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mc:AlternateContent xmlns:mc="http://schemas.openxmlformats.org/markup-compatibility/2006">
    <mc:Choice Requires="x15">
      <x15ac:absPath xmlns:x15ac="http://schemas.microsoft.com/office/spreadsheetml/2010/11/ac" url="C:\Users\nbl\Downloads\"/>
    </mc:Choice>
  </mc:AlternateContent>
  <bookViews>
    <workbookView xWindow="7155" yWindow="270" windowWidth="7995" windowHeight="8145" tabRatio="885" activeTab="2"/>
  </bookViews>
  <sheets>
    <sheet name="Donnée d'entrée" sheetId="23" r:id="rId1"/>
    <sheet name="première page" sheetId="25" r:id="rId2"/>
    <sheet name="1" sheetId="26" r:id="rId3"/>
    <sheet name="2" sheetId="27" r:id="rId4"/>
    <sheet name="3" sheetId="28" r:id="rId5"/>
    <sheet name="5" sheetId="30" r:id="rId6"/>
    <sheet name="6" sheetId="31" r:id="rId7"/>
    <sheet name="7" sheetId="32" r:id="rId8"/>
    <sheet name="8" sheetId="33" r:id="rId9"/>
    <sheet name="9" sheetId="34" r:id="rId10"/>
    <sheet name="PRZA " sheetId="41" r:id="rId11"/>
    <sheet name="FRAFU AVS + LESG" sheetId="21" r:id="rId12"/>
    <sheet name="Bdgt" sheetId="6" r:id="rId13"/>
    <sheet name="Prgr. 2018" sheetId="15" r:id="rId14"/>
    <sheet name="Max" sheetId="43" r:id="rId15"/>
  </sheets>
  <definedNames>
    <definedName name="_Parse_Out" localSheetId="12" hidden="1">#REF!</definedName>
    <definedName name="_Parse_Out" localSheetId="10" hidden="1">#REF!</definedName>
    <definedName name="_Parse_Out" hidden="1">#REF!</definedName>
    <definedName name="adresse_LLS">'Donnée d''entrée'!$D$12</definedName>
    <definedName name="adresse_LLTS">'Donnée d''entrée'!$E$12</definedName>
    <definedName name="adresse_siege">'Donnée d''entrée'!$D$24</definedName>
    <definedName name="anscount" hidden="1">1</definedName>
    <definedName name="CAF_Tot">'Prgr. 2018'!$AA$55</definedName>
    <definedName name="CDC_LLS">'Prgr. 2018'!$X$56</definedName>
    <definedName name="CDC_LLTS">'Prgr. 2018'!$Y$56</definedName>
    <definedName name="code">Bdgt!$G$1</definedName>
    <definedName name="Commune_LLS">'Donnée d''entrée'!$D$16</definedName>
    <definedName name="Commune_LLTS">'Donnée d''entrée'!$E$16</definedName>
    <definedName name="Créd_Imp">'Prgr. 2018'!$AA$62</definedName>
    <definedName name="Date">'Donnée d''entrée'!#REF!</definedName>
    <definedName name="Day">'Donnée d''entrée'!$D$18</definedName>
    <definedName name="dhdh" localSheetId="12" hidden="1">{#N/A,#N/A,FALSE,"Gain Fiscal";#N/A,#N/A,FALSE,"CR";#N/A,#N/A,FALSE,"Bilan";#N/A,#N/A,FALSE,"Trésorerie";#N/A,#N/A,FALSE,"Prêt-Emprunt";#N/A,#N/A,FALSE,"Swap"}</definedName>
    <definedName name="dhdh" localSheetId="10" hidden="1">{#N/A,#N/A,FALSE,"Gain Fiscal";#N/A,#N/A,FALSE,"CR";#N/A,#N/A,FALSE,"Bilan";#N/A,#N/A,FALSE,"Trésorerie";#N/A,#N/A,FALSE,"Prêt-Emprunt";#N/A,#N/A,FALSE,"Swap"}</definedName>
    <definedName name="dhdh" hidden="1">{#N/A,#N/A,FALSE,"Gain Fiscal";#N/A,#N/A,FALSE,"CR";#N/A,#N/A,FALSE,"Bilan";#N/A,#N/A,FALSE,"Trésorerie";#N/A,#N/A,FALSE,"Prêt-Emprunt";#N/A,#N/A,FALSE,"Swap"}</definedName>
    <definedName name="directeur_g">'Donnée d''entrée'!$D$26</definedName>
    <definedName name="euro" localSheetId="12">Bdgt!$I$6</definedName>
    <definedName name="fezfzef" localSheetId="12"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ezfzef" localSheetId="1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ezfzef"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ff" localSheetId="12" hidden="1">{#N/A,#N/A,FALSE,"Gain Fiscal";#N/A,#N/A,FALSE,"CR";#N/A,#N/A,FALSE,"Bilan";#N/A,#N/A,FALSE,"Trésorerie";#N/A,#N/A,FALSE,"Prêt-Emprunt";#N/A,#N/A,FALSE,"Swap"}</definedName>
    <definedName name="ff" localSheetId="10" hidden="1">{#N/A,#N/A,FALSE,"Gain Fiscal";#N/A,#N/A,FALSE,"CR";#N/A,#N/A,FALSE,"Bilan";#N/A,#N/A,FALSE,"Trésorerie";#N/A,#N/A,FALSE,"Prêt-Emprunt";#N/A,#N/A,FALSE,"Swap"}</definedName>
    <definedName name="ff" hidden="1">{#N/A,#N/A,FALSE,"Gain Fiscal";#N/A,#N/A,FALSE,"CR";#N/A,#N/A,FALSE,"Bilan";#N/A,#N/A,FALSE,"Trésorerie";#N/A,#N/A,FALSE,"Prêt-Emprunt";#N/A,#N/A,FALSE,"Swap"}</definedName>
    <definedName name="fff" localSheetId="12" hidden="1">{#N/A,#N/A,FALSE,"Gain Fiscal";#N/A,#N/A,FALSE,"CR";#N/A,#N/A,FALSE,"Bilan";#N/A,#N/A,FALSE,"Trésorerie";#N/A,#N/A,FALSE,"Prêt-Emprunt";#N/A,#N/A,FALSE,"Swap"}</definedName>
    <definedName name="fff" localSheetId="10" hidden="1">{#N/A,#N/A,FALSE,"Gain Fiscal";#N/A,#N/A,FALSE,"CR";#N/A,#N/A,FALSE,"Bilan";#N/A,#N/A,FALSE,"Trésorerie";#N/A,#N/A,FALSE,"Prêt-Emprunt";#N/A,#N/A,FALSE,"Swap"}</definedName>
    <definedName name="fff" hidden="1">{#N/A,#N/A,FALSE,"Gain Fiscal";#N/A,#N/A,FALSE,"CR";#N/A,#N/A,FALSE,"Bilan";#N/A,#N/A,FALSE,"Trésorerie";#N/A,#N/A,FALSE,"Prêt-Emprunt";#N/A,#N/A,FALSE,"Swap"}</definedName>
    <definedName name="FP_LLS">'Prgr. 2018'!$X$61</definedName>
    <definedName name="FP_LLTS">'Prgr. 2018'!$Y$61</definedName>
    <definedName name="FRAFU_LLS">#REF!</definedName>
    <definedName name="FRAFU_LLTS">#REF!</definedName>
    <definedName name="franc" localSheetId="10">'PRZA '!$J$6</definedName>
    <definedName name="_xlnm.Print_Titles" localSheetId="12">Bdgt!$1:$7</definedName>
    <definedName name="_xlnm.Print_Titles" localSheetId="10">'PRZA '!$1:$7</definedName>
    <definedName name="LBU_FRAFU">'FRAFU AVS + LESG'!$D$105</definedName>
    <definedName name="LBU_SF">'Prgr. 2018'!$AA$51</definedName>
    <definedName name="LBU_Tot">'Prgr. 2018'!$AA$50</definedName>
    <definedName name="limcount" hidden="1">1</definedName>
    <definedName name="LMDom" localSheetId="13">'Prgr. 2018'!$F$70</definedName>
    <definedName name="LMDomTS" localSheetId="13">'Prgr. 2018'!$F$80</definedName>
    <definedName name="LP_LLS">'Prgr. 2018'!$F$78</definedName>
    <definedName name="LP_LLTS">'Prgr. 2018'!$F$88</definedName>
    <definedName name="Macro3" localSheetId="10">'PRZA '!Macro3</definedName>
    <definedName name="Macro4" localSheetId="10">'PRZA '!Macro4</definedName>
    <definedName name="montant_eligible_LLS">'Donnée d''entrée'!$D$28</definedName>
    <definedName name="montant_eligible_LLTS">'Donnée d''entrée'!$E$28</definedName>
    <definedName name="Nbre" localSheetId="13">'Prgr. 2018'!$V$34</definedName>
    <definedName name="NbreCOMM" localSheetId="13">'Prgr. 2018'!$V$32</definedName>
    <definedName name="NbreLLS" localSheetId="13">'Prgr. 2018'!$V$15</definedName>
    <definedName name="NbreLLTS" localSheetId="13">'Prgr. 2018'!$V$25</definedName>
    <definedName name="nom">'Prgr. 2018'!$D$1</definedName>
    <definedName name="nombreLLS">'Donnée d''entrée'!$D$8</definedName>
    <definedName name="nombreLLTS">'Donnée d''entrée'!$E$8</definedName>
    <definedName name="OPERATION" localSheetId="12">Bdgt!$1:$1048576</definedName>
    <definedName name="OPERATION" localSheetId="10">'PRZA '!$1:$1048576</definedName>
    <definedName name="PA_SAS_HT_LLS">#REF!</definedName>
    <definedName name="PA_SAS_HT_LLTS">#REF!</definedName>
    <definedName name="parking_a_LLS">'Donnée d''entrée'!$D$20</definedName>
    <definedName name="parking_a_LLTS">'Donnée d''entrée'!$E$20</definedName>
    <definedName name="parking_c_LLS">'Donnée d''entrée'!$D$22</definedName>
    <definedName name="parking_c_LLTS">'Donnée d''entrée'!$E$22</definedName>
    <definedName name="parking_s_LLS">'Donnée d''entrée'!$D$22</definedName>
    <definedName name="parking_s_LLTS">'Donnée d''entrée'!$E$22</definedName>
    <definedName name="PRP_TTC_LLS">'Donnée d''entrée'!$D$30</definedName>
    <definedName name="PRP_TTC_LLTS">'Donnée d''entrée'!$E$30</definedName>
    <definedName name="S.LCR" localSheetId="13">'Prgr. 2018'!$AA$35</definedName>
    <definedName name="S_terrain">'Prgr. 2018'!$B$55</definedName>
    <definedName name="sencount" hidden="1">1</definedName>
    <definedName name="SF.COMM" localSheetId="13">'Prgr. 2018'!$AC$32</definedName>
    <definedName name="SF.LLS" localSheetId="13">'Prgr. 2018'!$AC$15</definedName>
    <definedName name="SF.LLTS" localSheetId="13">'Prgr. 2018'!$AC$25</definedName>
    <definedName name="SF.T" localSheetId="13">'Prgr. 2018'!$AC$34</definedName>
    <definedName name="SF_LLS">'Donnée d''entrée'!$D$32</definedName>
    <definedName name="SF_LLTS">'Donnée d''entrée'!$E$32</definedName>
    <definedName name="SH.COMM" localSheetId="13">'Prgr. 2018'!$X$32</definedName>
    <definedName name="SH.LLS" localSheetId="13">'Prgr. 2018'!$X$15</definedName>
    <definedName name="SH.LLTS" localSheetId="13">'Prgr. 2018'!$X$25</definedName>
    <definedName name="SH.T" localSheetId="13">'Prgr. 2018'!$X$34</definedName>
    <definedName name="SHOB" localSheetId="13">'Prgr. 2018'!$AC$35</definedName>
    <definedName name="SP" localSheetId="13">'Prgr. 2018'!$AC$36</definedName>
    <definedName name="SU.COMM" localSheetId="13">'Prgr. 2018'!$Z$32</definedName>
    <definedName name="SU.LLS" localSheetId="13">'Prgr. 2018'!$Z$15</definedName>
    <definedName name="SU.LLTS" localSheetId="13">'Prgr. 2018'!$Z$25</definedName>
    <definedName name="SU.T" localSheetId="13">'Prgr. 2018'!$Z$34</definedName>
    <definedName name="Sub_LLS">'Prgr. 2018'!$X$50</definedName>
    <definedName name="Sub_LLTS">'Prgr. 2018'!$Y$50</definedName>
    <definedName name="T1_LLS">'1'!#REF!</definedName>
    <definedName name="T1_LLTS">'1'!#REF!</definedName>
    <definedName name="T2_LLS">'1'!#REF!</definedName>
    <definedName name="T2_LLTS">'1'!#REF!</definedName>
    <definedName name="T3_LLS">'1'!#REF!</definedName>
    <definedName name="T3_LLTS">'1'!#REF!</definedName>
    <definedName name="T4_LLS">'1'!#REF!</definedName>
    <definedName name="T4_LLTS">'1'!#REF!</definedName>
    <definedName name="T5_LLS">'1'!#REF!</definedName>
    <definedName name="T5_LLTS">'1'!#REF!</definedName>
    <definedName name="TVA0" localSheetId="12">Bdgt!$K$2</definedName>
    <definedName name="TVA0" localSheetId="10">'PRZA '!$L$2</definedName>
    <definedName name="TVAN" localSheetId="12">Bdgt!$K$5</definedName>
    <definedName name="TVAN" localSheetId="10">'PRZA '!$L$6</definedName>
    <definedName name="TVAN1" localSheetId="12">Bdgt!$K$6</definedName>
    <definedName name="TVAS" localSheetId="12">Bdgt!$K$4</definedName>
    <definedName name="TVAS" localSheetId="10">'PRZA '!$L$5</definedName>
    <definedName name="type_lg_LLS">'Donnée d''entrée'!$D$10</definedName>
    <definedName name="type_lg_LLTS">'Donnée d''entrée'!$E$10</definedName>
    <definedName name="wrn.Comité." localSheetId="12" hidden="1">{"Option 4",#N/A,FALSE,"GIE-GNi-2002+ 0 an";"Option 4 + 1",#N/A,FALSE,"GIE-GNi-2002+ 0 an";"Option 4 + 2",#N/A,FALSE,"GIE-GNi-2002+ 0 an"}</definedName>
    <definedName name="wrn.Comité." localSheetId="10" hidden="1">{"Option 4",#N/A,FALSE,"GIE-GNi-2002+ 0 an";"Option 4 + 1",#N/A,FALSE,"GIE-GNi-2002+ 0 an";"Option 4 + 2",#N/A,FALSE,"GIE-GNi-2002+ 0 an"}</definedName>
    <definedName name="wrn.Comité." hidden="1">{"Option 4",#N/A,FALSE,"GIE-GNi-2002+ 0 an";"Option 4 + 1",#N/A,FALSE,"GIE-GNi-2002+ 0 an";"Option 4 + 2",#N/A,FALSE,"GIE-GNi-2002+ 0 an"}</definedName>
    <definedName name="wrn.Imprime." localSheetId="12"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Imprime." localSheetId="10"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Imprime." hidden="1">{"Hyp&amp;Res",#N/A,TRUE,"Modele";"LO CF USD",#N/A,TRUE,"Modele";"LO CF EUR",#N/A,TRUE,"Modele";"LO P&amp;L",#N/A,TRUE,"Modele";"BNPP Tax Situation",#N/A,TRUE,"Modele";"BNPP ATR",#N/A,TRUE,"Modele";"Schedule",#N/A,TRUE,"Modele";"BNP Paribas CF",#N/A,TRUE,"Modele";"FeeSharing",#N/A,TRUE,"Modele";"Equity Use",#N/A,TRUE,"IRR Exim";"Balance Sheet",#N/A,TRUE,"IRR Exim";"TVs",#N/A,TRUE,"IRR Exim";"IRR SIA",#N/A,TRUE,"IRR Exim";"IRR SAI EXIM",#N/A,TRUE,"IRR Exim";"TV calc 2",#N/A,TRUE,"IRR Exim";"TVcalc1",#N/A,TRUE,"IRR Exim"}</definedName>
    <definedName name="wrn.Tranche._.1." localSheetId="12"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 localSheetId="10"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 hidden="1">{"Hypothèses - T1",#N/A,FALSE,"GIE- Tranche 1 seule";"Prêt - T1",#N/A,FALSE,"GIE- Tranche 1 seule";"Trésorerie - T1",#N/A,FALSE,"GIE- Tranche 1 seule";"Amort - T1",#N/A,FALSE,"GIE- Tranche 1 seule";"CR - T1",#N/A,FALSE,"GIE- Tranche 1 seule";"VAN - T1",#N/A,FALSE,"GIE- Tranche 1 seule";"Bilan - T1",#N/A,FALSE,"GIE- Tranche 1 seule";"Loyer C - T1",#N/A,FALSE,"ADF&amp;TV - T1";"Loyer - T1",#N/A,FALSE,"GIE- Tranche 1 seule";"5 Hypothèse - T1",#N/A,FALSE,"GIE- Tranche 1 seule";"5 Ec. Fiscale - T1",#N/A,FALSE,"GIE- Tranche 1 seule";"5 Tréso - T1",#N/A,FALSE,"GIE- Tranche 1 seule";"5 RF - T1",#N/A,FALSE,"GIE- Tranche 1 seule";"4 VR - T1",#N/A,FALSE,"GIE- Tranche 1 seule";"TEG 1",#N/A,FALSE,"TEG 1";"DGI SYNTH",#N/A,FALSE,"Décomposition"}</definedName>
    <definedName name="wrn.Tranche._.1._.et._.Tranche._.2." localSheetId="12"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 name="wrn.Tranche._.1._.et._.Tranche._.2." localSheetId="10"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 name="wrn.Tranche._.1._.et._.Tranche._.2." hidden="1">{"Hypothèse T1 + T2",#N/A,FALSE,"GIE- Centrale en totalité";"Prêt T1 + T2",#N/A,FALSE,"GIE- Centrale en totalité";"Trésorerie - T1 + T2",#N/A,FALSE,"GIE- Centrale en totalité";"Amort - T1 + T2",#N/A,FALSE,"GIE- Centrale en totalité";"CR - T1 + T2",#N/A,FALSE,"GIE- Centrale en totalité";"VAN - T1 + T2",#N/A,FALSE,"GIE- Centrale en totalité";"Bilan - T1 + T2",#N/A,FALSE,"GIE- Centrale en totalité";"Loyer - T1 + T2",#N/A,FALSE,"GIE- Centrale en totalité";"Loyer C - T1 + T2",#N/A,FALSE,"GIE- Centrale en totalité";"5 Hypothèse - T1 + T2",#N/A,FALSE,"GIE- Centrale en totalité";"5 Ec. Fiscale - T1 + T2",#N/A,FALSE,"GIE- Centrale en totalité";"5 Tréso - T1 + T2",#N/A,FALSE,"GIE- Centrale en totalité";"5 RF - T1 + T2",#N/A,FALSE,"GIE- Centrale en totalité";"4 VR - T1 + T2",#N/A,FALSE,"GIE- Centrale en totalité";"TEG 2",#N/A,FALSE,"TEG 1&amp;2"}</definedName>
    <definedName name="Z_7260F990_129C_11D3_AE5E_0090274E55AC_.wvu.PrintArea" localSheetId="12" hidden="1">Bdgt!$B$1:$H$23</definedName>
    <definedName name="Z_7260F990_129C_11D3_AE5E_0090274E55AC_.wvu.PrintArea" localSheetId="13" hidden="1">'Prgr. 2018'!$A$1:$AB$100</definedName>
    <definedName name="Z_7260F990_129C_11D3_AE5E_0090274E55AC_.wvu.PrintArea" localSheetId="10" hidden="1">'PRZA '!$B$1:$H$22</definedName>
    <definedName name="Z_7260F990_129C_11D3_AE5E_0090274E55AC_.wvu.Rows" localSheetId="13" hidden="1">'Prgr. 2018'!#REF!,'Prgr. 2018'!#REF!,'Prgr. 2018'!#REF!,'Prgr. 2018'!#REF!</definedName>
    <definedName name="_xlnm.Print_Area" localSheetId="2">'1'!$A$1:$AI$148</definedName>
    <definedName name="_xlnm.Print_Area" localSheetId="3">'2'!$A$1:$AB$149</definedName>
    <definedName name="_xlnm.Print_Area" localSheetId="6">'6'!$A$1:$G$356</definedName>
    <definedName name="_xlnm.Print_Area" localSheetId="7">'7'!$A$1:$N$368</definedName>
    <definedName name="_xlnm.Print_Area" localSheetId="8">'8'!$A$1:$G$163</definedName>
    <definedName name="_xlnm.Print_Area" localSheetId="9">'9'!$A$1:$AI$150</definedName>
    <definedName name="_xlnm.Print_Area" localSheetId="12">Bdgt!$A$1:$AJ$179</definedName>
    <definedName name="_xlnm.Print_Area" localSheetId="13">'Prgr. 2018'!$A$1:$AL$102</definedName>
    <definedName name="_xlnm.Print_Area" localSheetId="10">'PRZA '!$A$1:$AQ$95</definedName>
  </definedNames>
  <calcPr calcId="152511"/>
</workbook>
</file>

<file path=xl/calcChain.xml><?xml version="1.0" encoding="utf-8"?>
<calcChain xmlns="http://schemas.openxmlformats.org/spreadsheetml/2006/main">
  <c r="AC72" i="15" l="1"/>
  <c r="AC73" i="15"/>
  <c r="AC74" i="15"/>
  <c r="AC75" i="15"/>
  <c r="AC76" i="15"/>
  <c r="AC77" i="15"/>
  <c r="AC71" i="15"/>
  <c r="A82" i="15" l="1"/>
  <c r="B82" i="15"/>
  <c r="A83" i="15"/>
  <c r="B83" i="15"/>
  <c r="A84" i="15"/>
  <c r="B84" i="15"/>
  <c r="A85" i="15"/>
  <c r="B85" i="15"/>
  <c r="A86" i="15"/>
  <c r="B86" i="15"/>
  <c r="A87" i="15"/>
  <c r="B87" i="15"/>
  <c r="K87" i="15"/>
  <c r="D77" i="15"/>
  <c r="A72" i="15"/>
  <c r="B72" i="15"/>
  <c r="A73" i="15"/>
  <c r="B73" i="15"/>
  <c r="A74" i="15"/>
  <c r="B74" i="15"/>
  <c r="A75" i="15"/>
  <c r="B75" i="15"/>
  <c r="A76" i="15"/>
  <c r="B76" i="15"/>
  <c r="A77" i="15"/>
  <c r="B77" i="15"/>
  <c r="K77" i="15"/>
  <c r="V25" i="15"/>
  <c r="AB24" i="15"/>
  <c r="W24" i="15"/>
  <c r="Q24" i="15"/>
  <c r="R24" i="15" s="1"/>
  <c r="L87" i="15" s="1"/>
  <c r="Z87" i="15" s="1"/>
  <c r="P24" i="15"/>
  <c r="S24" i="15" s="1"/>
  <c r="AA24" i="15" s="1"/>
  <c r="W23" i="15"/>
  <c r="T23" i="15"/>
  <c r="AB23" i="15" s="1"/>
  <c r="Q23" i="15"/>
  <c r="Y23" i="15" s="1"/>
  <c r="P23" i="15"/>
  <c r="S23" i="15" s="1"/>
  <c r="AA23" i="15" s="1"/>
  <c r="M23" i="15"/>
  <c r="J23" i="15"/>
  <c r="X23" i="15" s="1"/>
  <c r="V15" i="15"/>
  <c r="AB14" i="15"/>
  <c r="Q14" i="15"/>
  <c r="R14" i="15" s="1"/>
  <c r="L77" i="15" s="1"/>
  <c r="Z77" i="15" s="1"/>
  <c r="O77" i="15" s="1"/>
  <c r="P14" i="15"/>
  <c r="S14" i="15" s="1"/>
  <c r="AA14" i="15" s="1"/>
  <c r="W13" i="15"/>
  <c r="T13" i="15"/>
  <c r="AB13" i="15" s="1"/>
  <c r="P13" i="15"/>
  <c r="S13" i="15" s="1"/>
  <c r="AA13" i="15" s="1"/>
  <c r="M13" i="15"/>
  <c r="Q13" i="15" s="1"/>
  <c r="Y13" i="15" s="1"/>
  <c r="J13" i="15"/>
  <c r="K76" i="15" s="1"/>
  <c r="K86" i="15" l="1"/>
  <c r="O87" i="15"/>
  <c r="U24" i="15"/>
  <c r="U23" i="15"/>
  <c r="R23" i="15"/>
  <c r="U14" i="15"/>
  <c r="U13" i="15"/>
  <c r="M76" i="15" s="1"/>
  <c r="R13" i="15"/>
  <c r="X13" i="15"/>
  <c r="Z23" i="15" l="1"/>
  <c r="L86" i="15"/>
  <c r="Z86" i="15" s="1"/>
  <c r="O86" i="15" s="1"/>
  <c r="AC24" i="15"/>
  <c r="C87" i="15" s="1"/>
  <c r="D87" i="15" s="1"/>
  <c r="M87" i="15"/>
  <c r="AC23" i="15"/>
  <c r="C86" i="15" s="1"/>
  <c r="D86" i="15" s="1"/>
  <c r="M86" i="15"/>
  <c r="Z13" i="15"/>
  <c r="L76" i="15"/>
  <c r="Z76" i="15" s="1"/>
  <c r="O76" i="15" s="1"/>
  <c r="AC14" i="15"/>
  <c r="C77" i="15" s="1"/>
  <c r="M77" i="15"/>
  <c r="AC13" i="15"/>
  <c r="C76" i="15" s="1"/>
  <c r="D76" i="15" s="1"/>
  <c r="F80" i="15" l="1"/>
  <c r="F86" i="15" l="1"/>
  <c r="E86" i="15"/>
  <c r="E87" i="15"/>
  <c r="F87" i="15"/>
  <c r="H142" i="27"/>
  <c r="J133" i="27"/>
  <c r="H131" i="27"/>
  <c r="H130" i="27"/>
  <c r="H129" i="27"/>
  <c r="H128" i="27"/>
  <c r="H127" i="27"/>
  <c r="H118" i="27"/>
  <c r="H115" i="27"/>
  <c r="H102" i="27"/>
  <c r="J93" i="27"/>
  <c r="H91" i="27"/>
  <c r="H90" i="27"/>
  <c r="H89" i="27"/>
  <c r="H88" i="27"/>
  <c r="H87" i="27"/>
  <c r="H78" i="27"/>
  <c r="H75" i="27"/>
  <c r="A148" i="26"/>
  <c r="A147" i="26"/>
  <c r="D123" i="26"/>
  <c r="A98" i="26"/>
  <c r="A97" i="26"/>
  <c r="D73" i="26"/>
  <c r="H87" i="15" l="1"/>
  <c r="I87" i="15"/>
  <c r="G87" i="15"/>
  <c r="H86" i="15"/>
  <c r="G86" i="15"/>
  <c r="I86" i="15"/>
  <c r="E202" i="31"/>
  <c r="F196" i="31"/>
  <c r="A176" i="31"/>
  <c r="A173" i="31"/>
  <c r="E151" i="31"/>
  <c r="F143" i="31"/>
  <c r="A122" i="31"/>
  <c r="A119" i="31"/>
  <c r="J10" i="23" l="1"/>
  <c r="J117" i="6" l="1"/>
  <c r="K117" i="6" s="1"/>
  <c r="L117" i="6" s="1"/>
  <c r="AF117" i="6"/>
  <c r="AG117" i="6" s="1"/>
  <c r="AI117" i="6"/>
  <c r="AJ117" i="6"/>
  <c r="I33" i="6" l="1"/>
  <c r="I11" i="6" l="1"/>
  <c r="I196" i="6" l="1"/>
  <c r="X33" i="6" l="1"/>
  <c r="T33" i="6"/>
  <c r="P33" i="6"/>
  <c r="AI33" i="6" l="1"/>
  <c r="AJ33" i="6"/>
  <c r="AB33" i="6" l="1"/>
  <c r="J33" i="6" l="1"/>
  <c r="K33" i="6" l="1"/>
  <c r="L33" i="6" s="1"/>
  <c r="Q33" i="6"/>
  <c r="R33" i="6" s="1"/>
  <c r="U33" i="6"/>
  <c r="V33" i="6" s="1"/>
  <c r="Y33" i="6"/>
  <c r="Z33" i="6" s="1"/>
  <c r="AF33" i="6"/>
  <c r="AG33" i="6" s="1"/>
  <c r="J125" i="6"/>
  <c r="K125" i="6" l="1"/>
  <c r="K78" i="28" l="1"/>
  <c r="H129" i="6"/>
  <c r="T32" i="6"/>
  <c r="AI14" i="6"/>
  <c r="E24" i="23"/>
  <c r="R299" i="30"/>
  <c r="S292" i="30"/>
  <c r="O279" i="30"/>
  <c r="O276" i="30"/>
  <c r="C45" i="15"/>
  <c r="R248" i="30"/>
  <c r="S240" i="30"/>
  <c r="O225" i="30"/>
  <c r="O222" i="30"/>
  <c r="O180" i="30"/>
  <c r="AI144" i="34"/>
  <c r="AI99" i="34"/>
  <c r="S140" i="34"/>
  <c r="S90" i="34"/>
  <c r="F132" i="34"/>
  <c r="F81" i="34"/>
  <c r="F79" i="33"/>
  <c r="F135" i="33"/>
  <c r="U130" i="30"/>
  <c r="L147" i="28"/>
  <c r="N139" i="28"/>
  <c r="L97" i="28"/>
  <c r="N89" i="28"/>
  <c r="W18" i="15"/>
  <c r="T18" i="15"/>
  <c r="AB18" i="15" s="1"/>
  <c r="Q18" i="15"/>
  <c r="Y18" i="15" s="1"/>
  <c r="P18" i="15"/>
  <c r="S18" i="15" s="1"/>
  <c r="AA18" i="15" s="1"/>
  <c r="M18" i="15"/>
  <c r="J18" i="15"/>
  <c r="X18" i="15" s="1"/>
  <c r="W8" i="15"/>
  <c r="T8" i="15"/>
  <c r="AB8" i="15" s="1"/>
  <c r="P8" i="15"/>
  <c r="S8" i="15"/>
  <c r="AA8" i="15" s="1"/>
  <c r="M8" i="15"/>
  <c r="Q8" i="15" s="1"/>
  <c r="Y8" i="15" s="1"/>
  <c r="J8" i="15"/>
  <c r="K71" i="15" s="1"/>
  <c r="AE141" i="6"/>
  <c r="AE137" i="6"/>
  <c r="AE134" i="6"/>
  <c r="AE128" i="6"/>
  <c r="AE123" i="6"/>
  <c r="AE120" i="6"/>
  <c r="AE113" i="6"/>
  <c r="AE108" i="6" s="1"/>
  <c r="AE76" i="6" s="1"/>
  <c r="AE109" i="6"/>
  <c r="AE97" i="6"/>
  <c r="AE92" i="6"/>
  <c r="AE86" i="6"/>
  <c r="AE82" i="6"/>
  <c r="AE78" i="6"/>
  <c r="AE69" i="6"/>
  <c r="AE63" i="6"/>
  <c r="AE58" i="6"/>
  <c r="AE54" i="6"/>
  <c r="AE45" i="6"/>
  <c r="AE40" i="6"/>
  <c r="AE30" i="6"/>
  <c r="AE27" i="6"/>
  <c r="AE24" i="6"/>
  <c r="AE21" i="6"/>
  <c r="AE17" i="6"/>
  <c r="AE13" i="6"/>
  <c r="AE9" i="6"/>
  <c r="AE8" i="6" s="1"/>
  <c r="AC141" i="6"/>
  <c r="AC137" i="6"/>
  <c r="AC134" i="6"/>
  <c r="AC128" i="6"/>
  <c r="AC123" i="6"/>
  <c r="AC120" i="6"/>
  <c r="AC113" i="6"/>
  <c r="AC109" i="6"/>
  <c r="AC97" i="6"/>
  <c r="AC92" i="6"/>
  <c r="AC86" i="6"/>
  <c r="AC82" i="6"/>
  <c r="AC77" i="6" s="1"/>
  <c r="AC78" i="6"/>
  <c r="AC69" i="6"/>
  <c r="AC63" i="6"/>
  <c r="AC58" i="6"/>
  <c r="AC54" i="6"/>
  <c r="AC45" i="6"/>
  <c r="AC39" i="6"/>
  <c r="AC40" i="6"/>
  <c r="AC30" i="6"/>
  <c r="AC27" i="6"/>
  <c r="AC24" i="6"/>
  <c r="AC21" i="6"/>
  <c r="AC17" i="6"/>
  <c r="AC13" i="6"/>
  <c r="AC9" i="6"/>
  <c r="P32" i="6"/>
  <c r="X34" i="6"/>
  <c r="V167" i="6"/>
  <c r="H31" i="6"/>
  <c r="J19" i="15"/>
  <c r="K82" i="15" s="1"/>
  <c r="M19" i="15"/>
  <c r="Q19" i="15" s="1"/>
  <c r="Y19" i="15" s="1"/>
  <c r="P19" i="15"/>
  <c r="S19" i="15" s="1"/>
  <c r="T19" i="15"/>
  <c r="AB19" i="15" s="1"/>
  <c r="J20" i="15"/>
  <c r="M20" i="15"/>
  <c r="Q20" i="15" s="1"/>
  <c r="P20" i="15"/>
  <c r="S20" i="15" s="1"/>
  <c r="AA20" i="15" s="1"/>
  <c r="T20" i="15"/>
  <c r="J21" i="15"/>
  <c r="K84" i="15" s="1"/>
  <c r="M21" i="15"/>
  <c r="Q21" i="15" s="1"/>
  <c r="P21" i="15"/>
  <c r="S21" i="15" s="1"/>
  <c r="AA21" i="15" s="1"/>
  <c r="T21" i="15"/>
  <c r="AB21" i="15" s="1"/>
  <c r="J22" i="15"/>
  <c r="K85" i="15" s="1"/>
  <c r="M22" i="15"/>
  <c r="Q22" i="15" s="1"/>
  <c r="P22" i="15"/>
  <c r="S22" i="15" s="1"/>
  <c r="AA22" i="15" s="1"/>
  <c r="T22" i="15"/>
  <c r="W19" i="15"/>
  <c r="W20" i="15"/>
  <c r="W21" i="15"/>
  <c r="W22" i="15"/>
  <c r="L80" i="21"/>
  <c r="M80" i="21" s="1"/>
  <c r="F70" i="15"/>
  <c r="F67" i="15"/>
  <c r="R67" i="15" s="1"/>
  <c r="W9" i="15"/>
  <c r="W10" i="15"/>
  <c r="W11" i="15"/>
  <c r="W12" i="15"/>
  <c r="D46" i="21"/>
  <c r="D51" i="21"/>
  <c r="D45" i="21"/>
  <c r="I10" i="41"/>
  <c r="F1" i="41"/>
  <c r="K94" i="41"/>
  <c r="L94" i="41"/>
  <c r="AF93" i="41"/>
  <c r="AE92" i="41"/>
  <c r="AE90" i="41"/>
  <c r="AF91" i="41"/>
  <c r="AD90" i="41"/>
  <c r="AC90" i="41"/>
  <c r="AA90" i="41"/>
  <c r="Z90" i="41"/>
  <c r="Y90" i="41"/>
  <c r="AM89" i="41"/>
  <c r="AN89" i="41"/>
  <c r="AD89" i="41"/>
  <c r="W89" i="41"/>
  <c r="I89" i="41"/>
  <c r="AP89" i="41"/>
  <c r="K88" i="41"/>
  <c r="AM88" i="41"/>
  <c r="AN88" i="41"/>
  <c r="I87" i="41"/>
  <c r="AM87" i="41"/>
  <c r="AN87" i="41"/>
  <c r="Z87" i="41"/>
  <c r="AM86" i="41"/>
  <c r="AN86" i="41"/>
  <c r="AC86" i="41"/>
  <c r="Y84" i="41"/>
  <c r="Y83" i="41"/>
  <c r="AN82" i="41"/>
  <c r="AK82" i="41"/>
  <c r="AH82" i="41"/>
  <c r="AQ76" i="41"/>
  <c r="AP76" i="41"/>
  <c r="Y76" i="41"/>
  <c r="AK73" i="41"/>
  <c r="AH73" i="41"/>
  <c r="AQ71" i="41"/>
  <c r="AP71" i="41"/>
  <c r="Y71" i="41"/>
  <c r="Z71" i="41"/>
  <c r="AA71" i="41"/>
  <c r="K71" i="41"/>
  <c r="L71" i="41"/>
  <c r="M71" i="41"/>
  <c r="K70" i="41"/>
  <c r="AM70" i="41"/>
  <c r="AK69" i="41"/>
  <c r="AH69" i="41"/>
  <c r="AQ68" i="41"/>
  <c r="AQ66" i="41"/>
  <c r="AQ65" i="41"/>
  <c r="AQ67" i="41"/>
  <c r="AP68" i="41"/>
  <c r="Y68" i="41"/>
  <c r="AP67" i="41"/>
  <c r="AP66" i="41"/>
  <c r="AP65" i="41"/>
  <c r="Y67" i="41"/>
  <c r="Y66" i="41"/>
  <c r="AK65" i="41"/>
  <c r="AH65" i="41"/>
  <c r="I65" i="41"/>
  <c r="AQ64" i="41"/>
  <c r="AP64" i="41"/>
  <c r="Y64" i="41"/>
  <c r="AK62" i="41"/>
  <c r="AK61" i="41"/>
  <c r="AH62" i="41"/>
  <c r="AQ59" i="41"/>
  <c r="AP59" i="41"/>
  <c r="Y59" i="41"/>
  <c r="K59" i="41"/>
  <c r="K57" i="41"/>
  <c r="AM57" i="41"/>
  <c r="AN57" i="41"/>
  <c r="K56" i="41"/>
  <c r="AM56" i="41"/>
  <c r="AN56" i="41"/>
  <c r="AN55" i="41"/>
  <c r="AK55" i="41"/>
  <c r="AH55" i="41"/>
  <c r="AQ54" i="41"/>
  <c r="AQ53" i="41"/>
  <c r="AQ52" i="41"/>
  <c r="AP54" i="41"/>
  <c r="Y54" i="41"/>
  <c r="K54" i="41"/>
  <c r="AM54" i="41"/>
  <c r="AN54" i="41"/>
  <c r="AP53" i="41"/>
  <c r="AP52" i="41"/>
  <c r="K53" i="41"/>
  <c r="L53" i="41"/>
  <c r="M53" i="41"/>
  <c r="Y53" i="41"/>
  <c r="Z53" i="41"/>
  <c r="AK52" i="41"/>
  <c r="AH52" i="41"/>
  <c r="AH30" i="41"/>
  <c r="AH33" i="41"/>
  <c r="AH41" i="41"/>
  <c r="AH44" i="41"/>
  <c r="AH47" i="41"/>
  <c r="I52" i="41"/>
  <c r="AQ51" i="41"/>
  <c r="AP51" i="41"/>
  <c r="Y51" i="41"/>
  <c r="K51" i="41"/>
  <c r="AQ50" i="41"/>
  <c r="AP50" i="41"/>
  <c r="K50" i="41"/>
  <c r="Y50" i="41"/>
  <c r="AQ49" i="41"/>
  <c r="AP49" i="41"/>
  <c r="Y49" i="41"/>
  <c r="K49" i="41"/>
  <c r="K48" i="41"/>
  <c r="AM48" i="41"/>
  <c r="AN48" i="41"/>
  <c r="AK47" i="41"/>
  <c r="AQ46" i="41"/>
  <c r="AP46" i="41"/>
  <c r="K46" i="41"/>
  <c r="AM46" i="41"/>
  <c r="AN46" i="41"/>
  <c r="Y46" i="41"/>
  <c r="AQ45" i="41"/>
  <c r="AQ44" i="41"/>
  <c r="AP45" i="41"/>
  <c r="AP44" i="41"/>
  <c r="Y45" i="41"/>
  <c r="Y44" i="41"/>
  <c r="K45" i="41"/>
  <c r="AM45" i="41"/>
  <c r="AN45" i="41"/>
  <c r="AK44" i="41"/>
  <c r="I44" i="41"/>
  <c r="AQ43" i="41"/>
  <c r="AP43" i="41"/>
  <c r="AP42" i="41"/>
  <c r="AP41" i="41"/>
  <c r="K43" i="41"/>
  <c r="AM43" i="41"/>
  <c r="AN43" i="41"/>
  <c r="Y43" i="41"/>
  <c r="AA43" i="41"/>
  <c r="Z43" i="41"/>
  <c r="L43" i="41"/>
  <c r="M43" i="41"/>
  <c r="AQ42" i="41"/>
  <c r="Y42" i="41"/>
  <c r="Y41" i="41"/>
  <c r="K42" i="41"/>
  <c r="AK41" i="41"/>
  <c r="I41" i="41"/>
  <c r="AQ40" i="41"/>
  <c r="AP40" i="41"/>
  <c r="Y40" i="41"/>
  <c r="K40" i="41"/>
  <c r="AQ39" i="41"/>
  <c r="AP39" i="41"/>
  <c r="Y39" i="41"/>
  <c r="K39" i="41"/>
  <c r="AQ38" i="41"/>
  <c r="AP38" i="41"/>
  <c r="AP34" i="41"/>
  <c r="AP33" i="41"/>
  <c r="AP35" i="41"/>
  <c r="AP36" i="41"/>
  <c r="AP37" i="41"/>
  <c r="Y38" i="41"/>
  <c r="K38" i="41"/>
  <c r="AQ37" i="41"/>
  <c r="Y37" i="41"/>
  <c r="K37" i="41"/>
  <c r="AQ36" i="41"/>
  <c r="Y36" i="41"/>
  <c r="K36" i="41"/>
  <c r="AM36" i="41"/>
  <c r="AN36" i="41"/>
  <c r="AQ35" i="41"/>
  <c r="AQ34" i="41"/>
  <c r="AQ33" i="41"/>
  <c r="Y35" i="41"/>
  <c r="K35" i="41"/>
  <c r="AM35" i="41"/>
  <c r="AN35" i="41"/>
  <c r="Y34" i="41"/>
  <c r="K34" i="41"/>
  <c r="AK33" i="41"/>
  <c r="I33" i="41"/>
  <c r="AT32" i="41"/>
  <c r="K32" i="41"/>
  <c r="AM32" i="41"/>
  <c r="AN32" i="41"/>
  <c r="AQ31" i="41"/>
  <c r="AP31" i="41"/>
  <c r="Y31" i="41"/>
  <c r="K31" i="41"/>
  <c r="AK30" i="41"/>
  <c r="AQ26" i="41"/>
  <c r="AP26" i="41"/>
  <c r="Y26" i="41"/>
  <c r="K26" i="41"/>
  <c r="AQ24" i="41"/>
  <c r="AQ23" i="41"/>
  <c r="AP24" i="41"/>
  <c r="Y24" i="41"/>
  <c r="Y23" i="41"/>
  <c r="AP23" i="41"/>
  <c r="AK23" i="41"/>
  <c r="AH23" i="41"/>
  <c r="I23" i="41"/>
  <c r="K22" i="41"/>
  <c r="Y22" i="41"/>
  <c r="AQ21" i="41"/>
  <c r="AP21" i="41"/>
  <c r="Y21" i="41"/>
  <c r="K21" i="41"/>
  <c r="AK20" i="41"/>
  <c r="AH20" i="41"/>
  <c r="AQ19" i="41"/>
  <c r="AP19" i="41"/>
  <c r="Y19" i="41"/>
  <c r="Z19" i="41"/>
  <c r="K19" i="41"/>
  <c r="AM19" i="41"/>
  <c r="AN19" i="41"/>
  <c r="AA19" i="41"/>
  <c r="AQ18" i="41"/>
  <c r="AP18" i="41"/>
  <c r="K18" i="41"/>
  <c r="AM18" i="41"/>
  <c r="AN18" i="41"/>
  <c r="Y18" i="41"/>
  <c r="L18" i="41"/>
  <c r="M18" i="41"/>
  <c r="AQ17" i="41"/>
  <c r="AQ16" i="41"/>
  <c r="AP17" i="41"/>
  <c r="Y17" i="41"/>
  <c r="AK16" i="41"/>
  <c r="AH16" i="41"/>
  <c r="I16" i="41"/>
  <c r="AQ15" i="41"/>
  <c r="AP15" i="41"/>
  <c r="Y15" i="41"/>
  <c r="K15" i="41"/>
  <c r="K14" i="41"/>
  <c r="AM14" i="41"/>
  <c r="AK13" i="41"/>
  <c r="AH13" i="41"/>
  <c r="AH9" i="41"/>
  <c r="AH8" i="41"/>
  <c r="AH61" i="41"/>
  <c r="AF12" i="41"/>
  <c r="AF11" i="41"/>
  <c r="AC10" i="41"/>
  <c r="K10" i="41"/>
  <c r="AM10" i="41"/>
  <c r="AN10" i="41"/>
  <c r="AN9" i="41"/>
  <c r="AM9" i="41"/>
  <c r="AK9" i="41"/>
  <c r="AC9" i="41"/>
  <c r="M6" i="41"/>
  <c r="J6" i="41"/>
  <c r="M5" i="41"/>
  <c r="L2" i="41"/>
  <c r="AQ41" i="41"/>
  <c r="M94" i="41"/>
  <c r="AM59" i="41"/>
  <c r="AN59" i="41"/>
  <c r="L59" i="41"/>
  <c r="M59" i="41"/>
  <c r="L19" i="41"/>
  <c r="M19" i="41"/>
  <c r="Z46" i="41"/>
  <c r="AA46" i="41"/>
  <c r="L46" i="41"/>
  <c r="M46" i="41"/>
  <c r="Z51" i="41"/>
  <c r="AA51" i="41"/>
  <c r="L22" i="41"/>
  <c r="AP22" i="41"/>
  <c r="AP20" i="41"/>
  <c r="I20" i="41"/>
  <c r="AQ22" i="41"/>
  <c r="L26" i="41"/>
  <c r="M26" i="41"/>
  <c r="Z36" i="41"/>
  <c r="AA36" i="41"/>
  <c r="AM42" i="41"/>
  <c r="L42" i="41"/>
  <c r="Z45" i="41"/>
  <c r="R32" i="41"/>
  <c r="S32" i="41"/>
  <c r="AM51" i="41"/>
  <c r="AN51" i="41"/>
  <c r="L51" i="41"/>
  <c r="M51" i="41"/>
  <c r="AQ89" i="41"/>
  <c r="AM71" i="41"/>
  <c r="AN71" i="41"/>
  <c r="E100" i="21"/>
  <c r="L12" i="21"/>
  <c r="X124" i="34"/>
  <c r="X126" i="34"/>
  <c r="X128" i="34"/>
  <c r="X130" i="34"/>
  <c r="X132" i="34"/>
  <c r="X133" i="34"/>
  <c r="X134" i="34"/>
  <c r="X135" i="34"/>
  <c r="X136" i="34"/>
  <c r="X122" i="34"/>
  <c r="X74" i="34"/>
  <c r="X76" i="34"/>
  <c r="X78" i="34"/>
  <c r="X80" i="34"/>
  <c r="X82" i="34"/>
  <c r="X83" i="34"/>
  <c r="X84" i="34"/>
  <c r="X85" i="34"/>
  <c r="X86" i="34"/>
  <c r="W73" i="34"/>
  <c r="X73" i="34" s="1"/>
  <c r="W75" i="34"/>
  <c r="X75" i="34" s="1"/>
  <c r="W77" i="34"/>
  <c r="X77" i="34" s="1"/>
  <c r="W79" i="34"/>
  <c r="X79" i="34" s="1"/>
  <c r="X72" i="34"/>
  <c r="Y61" i="15"/>
  <c r="Y59" i="15" s="1"/>
  <c r="D6" i="23"/>
  <c r="D85" i="26"/>
  <c r="D133" i="26"/>
  <c r="D83" i="26"/>
  <c r="J9" i="15"/>
  <c r="K72" i="15" s="1"/>
  <c r="M9" i="15"/>
  <c r="Q9" i="15" s="1"/>
  <c r="Y9" i="15" s="1"/>
  <c r="P9" i="15"/>
  <c r="S9" i="15" s="1"/>
  <c r="AA9" i="15" s="1"/>
  <c r="J10" i="15"/>
  <c r="K73" i="15" s="1"/>
  <c r="M10" i="15"/>
  <c r="Q10" i="15" s="1"/>
  <c r="Y10" i="15" s="1"/>
  <c r="P10" i="15"/>
  <c r="S10" i="15" s="1"/>
  <c r="AA10" i="15" s="1"/>
  <c r="J11" i="15"/>
  <c r="K74" i="15" s="1"/>
  <c r="M11" i="15"/>
  <c r="Q11" i="15" s="1"/>
  <c r="Y11" i="15" s="1"/>
  <c r="P11" i="15"/>
  <c r="S11" i="15" s="1"/>
  <c r="AA11" i="15" s="1"/>
  <c r="J12" i="15"/>
  <c r="K75" i="15" s="1"/>
  <c r="M12" i="15"/>
  <c r="P12" i="15"/>
  <c r="S12" i="15" s="1"/>
  <c r="AA12" i="15" s="1"/>
  <c r="O80" i="34"/>
  <c r="F66" i="28"/>
  <c r="T25" i="25"/>
  <c r="M25" i="25"/>
  <c r="D79" i="26"/>
  <c r="D129" i="26"/>
  <c r="J42" i="6"/>
  <c r="W65" i="34"/>
  <c r="H25" i="34"/>
  <c r="A368" i="32"/>
  <c r="C360" i="32"/>
  <c r="A326" i="32"/>
  <c r="A310" i="32"/>
  <c r="C299" i="32"/>
  <c r="A275" i="32"/>
  <c r="C193" i="32"/>
  <c r="C253" i="32"/>
  <c r="S84" i="30"/>
  <c r="F81" i="27"/>
  <c r="F15" i="25"/>
  <c r="A143" i="32"/>
  <c r="C134" i="32"/>
  <c r="T76" i="30"/>
  <c r="M122" i="26"/>
  <c r="M78" i="26"/>
  <c r="AG150" i="34"/>
  <c r="AC115" i="34"/>
  <c r="W131" i="34"/>
  <c r="X131" i="34" s="1"/>
  <c r="W129" i="34"/>
  <c r="X129" i="34" s="1"/>
  <c r="W127" i="34"/>
  <c r="W125" i="34"/>
  <c r="X125" i="34" s="1"/>
  <c r="W123" i="34"/>
  <c r="X123" i="34" s="1"/>
  <c r="W115" i="34"/>
  <c r="W114" i="34"/>
  <c r="W81" i="34"/>
  <c r="X81" i="34" s="1"/>
  <c r="W64" i="34"/>
  <c r="P120" i="34"/>
  <c r="R148" i="34"/>
  <c r="O132" i="34"/>
  <c r="R131" i="34"/>
  <c r="O131" i="34"/>
  <c r="O130" i="34"/>
  <c r="R81" i="34"/>
  <c r="P70" i="34"/>
  <c r="E140" i="34"/>
  <c r="A128" i="34"/>
  <c r="A126" i="34"/>
  <c r="A124" i="34"/>
  <c r="AG105" i="34"/>
  <c r="R99" i="34"/>
  <c r="E89" i="34"/>
  <c r="O82" i="34"/>
  <c r="O81" i="34"/>
  <c r="A77" i="34"/>
  <c r="A75" i="34"/>
  <c r="A73" i="34"/>
  <c r="AC68" i="34"/>
  <c r="AC25" i="34"/>
  <c r="U25" i="34"/>
  <c r="O24" i="34"/>
  <c r="A23" i="34"/>
  <c r="E143" i="33"/>
  <c r="A121" i="33"/>
  <c r="E87" i="33"/>
  <c r="A65" i="33"/>
  <c r="A263" i="32"/>
  <c r="A218" i="32"/>
  <c r="A202" i="32"/>
  <c r="A169" i="32"/>
  <c r="S138" i="30"/>
  <c r="F116" i="28"/>
  <c r="E123" i="28"/>
  <c r="E74" i="28"/>
  <c r="E87" i="27"/>
  <c r="AF112" i="26"/>
  <c r="AE105" i="26"/>
  <c r="AE63" i="26"/>
  <c r="D127" i="26"/>
  <c r="L129" i="26"/>
  <c r="AF70" i="26"/>
  <c r="D77" i="26"/>
  <c r="L85" i="26"/>
  <c r="B16" i="25"/>
  <c r="E18" i="23"/>
  <c r="D18" i="23"/>
  <c r="L161" i="6"/>
  <c r="AB161" i="6"/>
  <c r="V32" i="15"/>
  <c r="Y2" i="6" s="1"/>
  <c r="U2" i="6"/>
  <c r="I81" i="21" s="1"/>
  <c r="J28" i="15"/>
  <c r="J10" i="6"/>
  <c r="AF10" i="6" s="1"/>
  <c r="AG10" i="6" s="1"/>
  <c r="J11" i="6"/>
  <c r="J12" i="6"/>
  <c r="AF12" i="6" s="1"/>
  <c r="AG12" i="6" s="1"/>
  <c r="J15" i="6"/>
  <c r="J16" i="6"/>
  <c r="K16" i="6" s="1"/>
  <c r="L16" i="6" s="1"/>
  <c r="K2" i="6"/>
  <c r="J34" i="6"/>
  <c r="U34" i="6" s="1"/>
  <c r="V34" i="6" s="1"/>
  <c r="J19" i="6"/>
  <c r="J22" i="6"/>
  <c r="K22" i="6" s="1"/>
  <c r="L22" i="6" s="1"/>
  <c r="J23" i="6"/>
  <c r="K23" i="6" s="1"/>
  <c r="J25" i="6"/>
  <c r="K25" i="6" s="1"/>
  <c r="L25" i="6" s="1"/>
  <c r="J37" i="6"/>
  <c r="AF37" i="6" s="1"/>
  <c r="J41" i="6"/>
  <c r="K41" i="6" s="1"/>
  <c r="L41" i="6"/>
  <c r="J43" i="6"/>
  <c r="K43" i="6" s="1"/>
  <c r="L43" i="6" s="1"/>
  <c r="J44" i="6"/>
  <c r="K44" i="6" s="1"/>
  <c r="L44" i="6" s="1"/>
  <c r="J55" i="6"/>
  <c r="AF55" i="6"/>
  <c r="J57" i="6"/>
  <c r="AF57" i="6" s="1"/>
  <c r="AG57" i="6" s="1"/>
  <c r="J56" i="6"/>
  <c r="AF56" i="6" s="1"/>
  <c r="J46" i="6"/>
  <c r="K46" i="6"/>
  <c r="L46" i="6" s="1"/>
  <c r="J47" i="6"/>
  <c r="AF47" i="6"/>
  <c r="AG47" i="6"/>
  <c r="J48" i="6"/>
  <c r="K48" i="6"/>
  <c r="L48" i="6" s="1"/>
  <c r="J49" i="6"/>
  <c r="J50" i="6"/>
  <c r="AF50" i="6"/>
  <c r="AG50" i="6" s="1"/>
  <c r="J51" i="6"/>
  <c r="J52" i="6"/>
  <c r="J53" i="6"/>
  <c r="J59" i="6"/>
  <c r="K59" i="6" s="1"/>
  <c r="L59" i="6"/>
  <c r="J60" i="6"/>
  <c r="K60" i="6" s="1"/>
  <c r="J61" i="6"/>
  <c r="AF61" i="6" s="1"/>
  <c r="AG61" i="6" s="1"/>
  <c r="J62" i="6"/>
  <c r="K62" i="6" s="1"/>
  <c r="L62" i="6" s="1"/>
  <c r="J64" i="6"/>
  <c r="K64" i="6" s="1"/>
  <c r="L64" i="6" s="1"/>
  <c r="J65" i="6"/>
  <c r="J66" i="6"/>
  <c r="K66" i="6" s="1"/>
  <c r="L66" i="6" s="1"/>
  <c r="J67" i="6"/>
  <c r="AF67" i="6" s="1"/>
  <c r="AG67" i="6" s="1"/>
  <c r="J68" i="6"/>
  <c r="K68" i="6" s="1"/>
  <c r="L68" i="6" s="1"/>
  <c r="J70" i="6"/>
  <c r="AF70" i="6" s="1"/>
  <c r="AG70" i="6" s="1"/>
  <c r="J71" i="6"/>
  <c r="K71" i="6" s="1"/>
  <c r="L71" i="6" s="1"/>
  <c r="J72" i="6"/>
  <c r="AF72" i="6" s="1"/>
  <c r="J74" i="6"/>
  <c r="J79" i="6"/>
  <c r="AF79" i="6" s="1"/>
  <c r="J80" i="6"/>
  <c r="J81" i="6"/>
  <c r="K81" i="6" s="1"/>
  <c r="L81" i="6" s="1"/>
  <c r="J83" i="6"/>
  <c r="K83" i="6"/>
  <c r="L83" i="6" s="1"/>
  <c r="J84" i="6"/>
  <c r="K84" i="6" s="1"/>
  <c r="L84" i="6" s="1"/>
  <c r="J85" i="6"/>
  <c r="K85" i="6"/>
  <c r="L85" i="6" s="1"/>
  <c r="J87" i="6"/>
  <c r="J88" i="6"/>
  <c r="K88" i="6" s="1"/>
  <c r="L88" i="6" s="1"/>
  <c r="J89" i="6"/>
  <c r="K89" i="6" s="1"/>
  <c r="L89" i="6" s="1"/>
  <c r="J90" i="6"/>
  <c r="K90" i="6" s="1"/>
  <c r="L90" i="6" s="1"/>
  <c r="J91" i="6"/>
  <c r="AF91" i="6" s="1"/>
  <c r="AG91" i="6" s="1"/>
  <c r="J93" i="6"/>
  <c r="K93" i="6" s="1"/>
  <c r="L93" i="6" s="1"/>
  <c r="J94" i="6"/>
  <c r="AF94" i="6" s="1"/>
  <c r="AG94" i="6" s="1"/>
  <c r="J95" i="6"/>
  <c r="J96" i="6"/>
  <c r="K96" i="6"/>
  <c r="J98" i="6"/>
  <c r="K98" i="6"/>
  <c r="L98" i="6" s="1"/>
  <c r="J99" i="6"/>
  <c r="K99" i="6"/>
  <c r="L99" i="6" s="1"/>
  <c r="J100" i="6"/>
  <c r="AF100" i="6"/>
  <c r="AG100" i="6"/>
  <c r="J101" i="6"/>
  <c r="AF101" i="6"/>
  <c r="AG101" i="6" s="1"/>
  <c r="J102" i="6"/>
  <c r="K102" i="6"/>
  <c r="L102" i="6"/>
  <c r="J103" i="6"/>
  <c r="J104" i="6"/>
  <c r="AF104" i="6"/>
  <c r="AG104" i="6"/>
  <c r="J106" i="6"/>
  <c r="K106" i="6" s="1"/>
  <c r="L106" i="6" s="1"/>
  <c r="J110" i="6"/>
  <c r="AF110" i="6" s="1"/>
  <c r="AG110" i="6" s="1"/>
  <c r="J111" i="6"/>
  <c r="J112" i="6"/>
  <c r="J114" i="6"/>
  <c r="AF114" i="6" s="1"/>
  <c r="J115" i="6"/>
  <c r="AF115" i="6" s="1"/>
  <c r="J116" i="6"/>
  <c r="J118" i="6"/>
  <c r="AF118" i="6" s="1"/>
  <c r="AG118" i="6" s="1"/>
  <c r="J119" i="6"/>
  <c r="AF119" i="6" s="1"/>
  <c r="AG119" i="6" s="1"/>
  <c r="J129" i="6"/>
  <c r="AF129" i="6"/>
  <c r="J130" i="6"/>
  <c r="AF130" i="6" s="1"/>
  <c r="AG130" i="6" s="1"/>
  <c r="J124" i="6"/>
  <c r="AF124" i="6"/>
  <c r="AG124" i="6" s="1"/>
  <c r="J126" i="6"/>
  <c r="K126" i="6"/>
  <c r="L126" i="6" s="1"/>
  <c r="J127" i="6"/>
  <c r="J132" i="6"/>
  <c r="J139" i="6"/>
  <c r="K139" i="6" s="1"/>
  <c r="L139" i="6" s="1"/>
  <c r="J142" i="6"/>
  <c r="AF142" i="6"/>
  <c r="AG142" i="6"/>
  <c r="J143" i="6"/>
  <c r="J144" i="6"/>
  <c r="J145" i="6"/>
  <c r="AF145" i="6"/>
  <c r="AG145" i="6" s="1"/>
  <c r="J146" i="6"/>
  <c r="K146" i="6"/>
  <c r="L146" i="6"/>
  <c r="J148" i="6"/>
  <c r="K148" i="6" s="1"/>
  <c r="L148" i="6" s="1"/>
  <c r="J20" i="6"/>
  <c r="U184" i="6"/>
  <c r="Q184" i="6"/>
  <c r="E65" i="21"/>
  <c r="E64" i="21"/>
  <c r="E63" i="21"/>
  <c r="E46" i="21"/>
  <c r="E47" i="21"/>
  <c r="E48" i="21"/>
  <c r="E50" i="21"/>
  <c r="E51" i="21"/>
  <c r="E45" i="21"/>
  <c r="E30" i="21"/>
  <c r="E31" i="21"/>
  <c r="E32" i="21"/>
  <c r="E33" i="21"/>
  <c r="E34" i="21"/>
  <c r="E35" i="21"/>
  <c r="E36" i="21"/>
  <c r="E37" i="21"/>
  <c r="E28" i="21"/>
  <c r="E25" i="21"/>
  <c r="E12" i="21"/>
  <c r="E18" i="21"/>
  <c r="X12" i="6"/>
  <c r="M91" i="21"/>
  <c r="M90" i="21"/>
  <c r="F85" i="21"/>
  <c r="D85" i="21"/>
  <c r="M84" i="21"/>
  <c r="M83" i="21"/>
  <c r="M82" i="21"/>
  <c r="D81" i="21"/>
  <c r="M79" i="21"/>
  <c r="D76" i="21"/>
  <c r="M73" i="21"/>
  <c r="M66" i="21"/>
  <c r="F61" i="21"/>
  <c r="F58" i="21"/>
  <c r="M55" i="21"/>
  <c r="F55" i="21"/>
  <c r="F44" i="21"/>
  <c r="M43" i="21"/>
  <c r="J27" i="21"/>
  <c r="F22" i="21"/>
  <c r="F18" i="21"/>
  <c r="D18" i="21"/>
  <c r="J16" i="21"/>
  <c r="M15" i="21"/>
  <c r="M14" i="21"/>
  <c r="M13" i="21"/>
  <c r="M16" i="21"/>
  <c r="F12" i="21"/>
  <c r="D12" i="21"/>
  <c r="H57" i="6"/>
  <c r="H196" i="6"/>
  <c r="AJ125" i="6"/>
  <c r="AI125" i="6"/>
  <c r="L125" i="6"/>
  <c r="AF125" i="6"/>
  <c r="J31" i="6"/>
  <c r="AF31" i="6" s="1"/>
  <c r="AG31" i="6" s="1"/>
  <c r="L4" i="6"/>
  <c r="L5" i="6"/>
  <c r="I6" i="6"/>
  <c r="L6" i="6"/>
  <c r="AI11" i="6"/>
  <c r="AJ11" i="6"/>
  <c r="AF14" i="6"/>
  <c r="AG14" i="6" s="1"/>
  <c r="AI16" i="6"/>
  <c r="AJ16" i="6"/>
  <c r="I17" i="6"/>
  <c r="AI18" i="6"/>
  <c r="AJ18" i="6"/>
  <c r="AI19" i="6"/>
  <c r="AI17" i="6" s="1"/>
  <c r="AJ19" i="6"/>
  <c r="AI20" i="6"/>
  <c r="AJ20" i="6"/>
  <c r="I21" i="6"/>
  <c r="AI22" i="6"/>
  <c r="AJ22" i="6"/>
  <c r="AI23" i="6"/>
  <c r="AJ23" i="6"/>
  <c r="I24" i="6"/>
  <c r="AI25" i="6"/>
  <c r="AJ25" i="6"/>
  <c r="AI26" i="6"/>
  <c r="AJ26" i="6"/>
  <c r="AJ24" i="6" s="1"/>
  <c r="I27" i="6"/>
  <c r="AI28" i="6"/>
  <c r="AJ28" i="6"/>
  <c r="AI29" i="6"/>
  <c r="AI27" i="6" s="1"/>
  <c r="AJ29" i="6"/>
  <c r="AI35" i="6"/>
  <c r="AJ35" i="6"/>
  <c r="AI37" i="6"/>
  <c r="AJ37" i="6"/>
  <c r="AI41" i="6"/>
  <c r="AJ41" i="6"/>
  <c r="AI43" i="6"/>
  <c r="AJ43" i="6"/>
  <c r="AI44" i="6"/>
  <c r="AJ44" i="6"/>
  <c r="I45" i="6"/>
  <c r="AI46" i="6"/>
  <c r="AJ46" i="6"/>
  <c r="AI47" i="6"/>
  <c r="AI45" i="6" s="1"/>
  <c r="AJ47" i="6"/>
  <c r="AI48" i="6"/>
  <c r="AJ48" i="6"/>
  <c r="AJ45" i="6" s="1"/>
  <c r="AI49" i="6"/>
  <c r="AJ49" i="6"/>
  <c r="AI50" i="6"/>
  <c r="AJ50" i="6"/>
  <c r="AI51" i="6"/>
  <c r="AJ51" i="6"/>
  <c r="AI52" i="6"/>
  <c r="AJ52" i="6"/>
  <c r="AI53" i="6"/>
  <c r="AJ53" i="6"/>
  <c r="I58" i="6"/>
  <c r="AI59" i="6"/>
  <c r="AJ59" i="6"/>
  <c r="AI60" i="6"/>
  <c r="AJ60" i="6"/>
  <c r="AI61" i="6"/>
  <c r="AJ61" i="6"/>
  <c r="AI62" i="6"/>
  <c r="AJ62" i="6"/>
  <c r="I63" i="6"/>
  <c r="AI64" i="6"/>
  <c r="AJ64" i="6"/>
  <c r="AI65" i="6"/>
  <c r="AJ65" i="6"/>
  <c r="AI66" i="6"/>
  <c r="AJ66" i="6"/>
  <c r="AI67" i="6"/>
  <c r="AJ67" i="6"/>
  <c r="AI68" i="6"/>
  <c r="AJ68" i="6"/>
  <c r="I69" i="6"/>
  <c r="AI70" i="6"/>
  <c r="AJ70" i="6"/>
  <c r="AI71" i="6"/>
  <c r="AJ71" i="6"/>
  <c r="AI72" i="6"/>
  <c r="AJ72" i="6"/>
  <c r="AI74" i="6"/>
  <c r="AJ74" i="6"/>
  <c r="I82" i="6"/>
  <c r="AI83" i="6"/>
  <c r="AJ83" i="6"/>
  <c r="AJ82" i="6" s="1"/>
  <c r="AI84" i="6"/>
  <c r="AJ84" i="6"/>
  <c r="AI85" i="6"/>
  <c r="AJ85" i="6"/>
  <c r="I86" i="6"/>
  <c r="AI87" i="6"/>
  <c r="AJ87" i="6"/>
  <c r="AJ86" i="6" s="1"/>
  <c r="AI88" i="6"/>
  <c r="AJ88" i="6"/>
  <c r="AI89" i="6"/>
  <c r="AJ89" i="6"/>
  <c r="AI90" i="6"/>
  <c r="AJ90" i="6"/>
  <c r="AI91" i="6"/>
  <c r="AJ91" i="6"/>
  <c r="I92" i="6"/>
  <c r="AI93" i="6"/>
  <c r="AJ93" i="6"/>
  <c r="AI94" i="6"/>
  <c r="AI92" i="6" s="1"/>
  <c r="AJ94" i="6"/>
  <c r="AI95" i="6"/>
  <c r="AJ95" i="6"/>
  <c r="AI96" i="6"/>
  <c r="AJ96" i="6"/>
  <c r="I97" i="6"/>
  <c r="AI98" i="6"/>
  <c r="AJ98" i="6"/>
  <c r="AJ97" i="6" s="1"/>
  <c r="AI99" i="6"/>
  <c r="AJ99" i="6"/>
  <c r="AI100" i="6"/>
  <c r="AJ100" i="6"/>
  <c r="AI101" i="6"/>
  <c r="AJ101" i="6"/>
  <c r="AI102" i="6"/>
  <c r="AJ102" i="6"/>
  <c r="AI103" i="6"/>
  <c r="AJ103" i="6"/>
  <c r="AI104" i="6"/>
  <c r="AJ104" i="6"/>
  <c r="AI106" i="6"/>
  <c r="AJ106" i="6"/>
  <c r="AI112" i="6"/>
  <c r="AJ112" i="6"/>
  <c r="AI114" i="6"/>
  <c r="AJ114" i="6"/>
  <c r="I123" i="6"/>
  <c r="K184" i="6"/>
  <c r="AI124" i="6"/>
  <c r="AJ124" i="6"/>
  <c r="AI126" i="6"/>
  <c r="AJ126" i="6"/>
  <c r="AI127" i="6"/>
  <c r="AJ127" i="6"/>
  <c r="AJ131" i="6"/>
  <c r="AI132" i="6"/>
  <c r="AJ132" i="6"/>
  <c r="AI139" i="6"/>
  <c r="AJ139" i="6"/>
  <c r="I141" i="6"/>
  <c r="AI142" i="6"/>
  <c r="AJ142" i="6"/>
  <c r="AI143" i="6"/>
  <c r="AJ143" i="6"/>
  <c r="AI144" i="6"/>
  <c r="AJ144" i="6"/>
  <c r="AI145" i="6"/>
  <c r="AJ145" i="6"/>
  <c r="AI146" i="6"/>
  <c r="AJ146" i="6"/>
  <c r="AI148" i="6"/>
  <c r="AJ148" i="6"/>
  <c r="AB150" i="6"/>
  <c r="AB151" i="6"/>
  <c r="AB152" i="6"/>
  <c r="AB154" i="6"/>
  <c r="AC155" i="6"/>
  <c r="AC158" i="6"/>
  <c r="Z160" i="6"/>
  <c r="R164" i="6"/>
  <c r="V164" i="6"/>
  <c r="Z164" i="6"/>
  <c r="L165" i="6"/>
  <c r="AB165" i="6"/>
  <c r="L166" i="6"/>
  <c r="Z167" i="6"/>
  <c r="L169" i="6"/>
  <c r="L170" i="6"/>
  <c r="L171" i="6"/>
  <c r="AB171" i="6"/>
  <c r="L172" i="6"/>
  <c r="AB172" i="6"/>
  <c r="L173" i="6"/>
  <c r="AB173" i="6"/>
  <c r="L174" i="6"/>
  <c r="AB174" i="6"/>
  <c r="L175" i="6"/>
  <c r="AB175" i="6"/>
  <c r="AB179" i="6"/>
  <c r="Y184" i="6"/>
  <c r="K200" i="6"/>
  <c r="Q200" i="6"/>
  <c r="U200" i="6"/>
  <c r="Y200" i="6"/>
  <c r="M205" i="6"/>
  <c r="M213" i="6"/>
  <c r="N213" i="6"/>
  <c r="I206" i="6"/>
  <c r="M206" i="6"/>
  <c r="P206" i="6"/>
  <c r="T206" i="6"/>
  <c r="X206" i="6"/>
  <c r="I207" i="6"/>
  <c r="M207" i="6"/>
  <c r="P207" i="6"/>
  <c r="T207" i="6"/>
  <c r="X207" i="6"/>
  <c r="I208" i="6"/>
  <c r="M208" i="6"/>
  <c r="P208" i="6"/>
  <c r="T208" i="6"/>
  <c r="X208" i="6"/>
  <c r="I209" i="6"/>
  <c r="M209" i="6"/>
  <c r="P209" i="6"/>
  <c r="T209" i="6"/>
  <c r="X209" i="6"/>
  <c r="I210" i="6"/>
  <c r="M210" i="6"/>
  <c r="P210" i="6"/>
  <c r="T210" i="6"/>
  <c r="X210" i="6"/>
  <c r="I211" i="6"/>
  <c r="M211" i="6"/>
  <c r="P211" i="6"/>
  <c r="T211" i="6"/>
  <c r="X211" i="6"/>
  <c r="I212" i="6"/>
  <c r="M212" i="6"/>
  <c r="P212" i="6"/>
  <c r="T212" i="6"/>
  <c r="X212" i="6"/>
  <c r="M28" i="15"/>
  <c r="Q28" i="15" s="1"/>
  <c r="P28" i="15"/>
  <c r="S28" i="15" s="1"/>
  <c r="AA28" i="15" s="1"/>
  <c r="J29" i="15"/>
  <c r="X29" i="15" s="1"/>
  <c r="X32" i="15" s="1"/>
  <c r="J32" i="15" s="1"/>
  <c r="M29" i="15"/>
  <c r="Q29" i="15" s="1"/>
  <c r="P29" i="15"/>
  <c r="S29" i="15" s="1"/>
  <c r="AA29" i="15" s="1"/>
  <c r="J30" i="15"/>
  <c r="M30" i="15"/>
  <c r="Q30" i="15" s="1"/>
  <c r="P30" i="15"/>
  <c r="S30" i="15" s="1"/>
  <c r="AA30" i="15" s="1"/>
  <c r="J31" i="15"/>
  <c r="X31" i="15"/>
  <c r="M31" i="15"/>
  <c r="Q31" i="15" s="1"/>
  <c r="P31" i="15"/>
  <c r="S31" i="15" s="1"/>
  <c r="AA31" i="15" s="1"/>
  <c r="W32" i="15"/>
  <c r="C41" i="15"/>
  <c r="U52" i="15"/>
  <c r="AA42" i="15"/>
  <c r="Z49" i="15"/>
  <c r="Z56" i="15"/>
  <c r="Z59" i="15"/>
  <c r="I51" i="15"/>
  <c r="AA51" i="15"/>
  <c r="AA52" i="15"/>
  <c r="U53" i="15"/>
  <c r="AA53" i="15"/>
  <c r="AA54" i="15"/>
  <c r="AA55" i="15"/>
  <c r="B57" i="15"/>
  <c r="Y57" i="15"/>
  <c r="D58" i="15"/>
  <c r="D59" i="15"/>
  <c r="I59" i="15"/>
  <c r="D60" i="15"/>
  <c r="I60" i="15"/>
  <c r="AA60" i="15"/>
  <c r="X61" i="15"/>
  <c r="X59" i="15" s="1"/>
  <c r="G67" i="15"/>
  <c r="I67" i="15"/>
  <c r="A68" i="15"/>
  <c r="A71" i="15"/>
  <c r="B71" i="15"/>
  <c r="B78" i="15" s="1"/>
  <c r="A81" i="15"/>
  <c r="B81" i="15"/>
  <c r="B88" i="15" s="1"/>
  <c r="A91" i="15"/>
  <c r="B91" i="15"/>
  <c r="A92" i="15"/>
  <c r="B92" i="15"/>
  <c r="A93" i="15"/>
  <c r="B93" i="15"/>
  <c r="A94" i="15"/>
  <c r="B94" i="15"/>
  <c r="I34" i="6"/>
  <c r="AB31" i="15"/>
  <c r="AB28" i="15"/>
  <c r="AB29" i="15"/>
  <c r="AB30" i="15"/>
  <c r="AI119" i="6"/>
  <c r="AJ119" i="6"/>
  <c r="AI81" i="6"/>
  <c r="AJ81" i="6"/>
  <c r="AI80" i="6"/>
  <c r="AJ80" i="6"/>
  <c r="AI111" i="6"/>
  <c r="AJ111" i="6"/>
  <c r="T9" i="15"/>
  <c r="AB9" i="15" s="1"/>
  <c r="T10" i="15"/>
  <c r="AB10" i="15" s="1"/>
  <c r="T11" i="15"/>
  <c r="AB11" i="15" s="1"/>
  <c r="T12" i="15"/>
  <c r="AB12" i="15" s="1"/>
  <c r="AF83" i="6"/>
  <c r="AG83" i="6" s="1"/>
  <c r="K100" i="6"/>
  <c r="L100" i="6"/>
  <c r="AF22" i="6"/>
  <c r="AG22" i="6" s="1"/>
  <c r="AF90" i="6"/>
  <c r="K37" i="6"/>
  <c r="L37" i="6" s="1"/>
  <c r="AG37" i="6"/>
  <c r="K50" i="6"/>
  <c r="L50" i="6" s="1"/>
  <c r="AF16" i="6"/>
  <c r="AG16" i="6" s="1"/>
  <c r="K47" i="6"/>
  <c r="L47" i="6"/>
  <c r="AJ14" i="6"/>
  <c r="I40" i="6"/>
  <c r="AJ42" i="6"/>
  <c r="K14" i="6"/>
  <c r="L14" i="6" s="1"/>
  <c r="AI42" i="6"/>
  <c r="B58" i="15"/>
  <c r="D135" i="26"/>
  <c r="G4" i="6"/>
  <c r="L81" i="21"/>
  <c r="M81" i="21"/>
  <c r="L85" i="21"/>
  <c r="X57" i="15"/>
  <c r="X50" i="15"/>
  <c r="R167" i="6"/>
  <c r="L168" i="6"/>
  <c r="AB168" i="6"/>
  <c r="Y50" i="15"/>
  <c r="O124" i="30" s="1"/>
  <c r="A215" i="32"/>
  <c r="Q25" i="25"/>
  <c r="A62" i="33"/>
  <c r="A118" i="33"/>
  <c r="D113" i="26"/>
  <c r="J25" i="25"/>
  <c r="E6" i="23"/>
  <c r="AF101" i="26"/>
  <c r="A273" i="32"/>
  <c r="C4" i="21"/>
  <c r="P66" i="34"/>
  <c r="A65" i="34"/>
  <c r="A1" i="6"/>
  <c r="A73" i="33"/>
  <c r="P116" i="34"/>
  <c r="A117" i="34"/>
  <c r="AE113" i="34"/>
  <c r="I58" i="26"/>
  <c r="W113" i="34"/>
  <c r="A129" i="33"/>
  <c r="A116" i="32"/>
  <c r="I103" i="26"/>
  <c r="A324" i="32"/>
  <c r="AE65" i="34"/>
  <c r="W63" i="34"/>
  <c r="A166" i="32"/>
  <c r="C15" i="25"/>
  <c r="AF59" i="26"/>
  <c r="F71" i="21"/>
  <c r="F99" i="21"/>
  <c r="B74" i="21"/>
  <c r="D100" i="21"/>
  <c r="J136" i="6"/>
  <c r="AF136" i="6" s="1"/>
  <c r="AG136" i="6" s="1"/>
  <c r="J121" i="6"/>
  <c r="AF121" i="6" s="1"/>
  <c r="J28" i="6"/>
  <c r="J35" i="6"/>
  <c r="K35" i="6" s="1"/>
  <c r="L35" i="6" s="1"/>
  <c r="J26" i="6"/>
  <c r="J135" i="6"/>
  <c r="AF135" i="6" s="1"/>
  <c r="J138" i="6"/>
  <c r="Y138" i="6"/>
  <c r="Z138" i="6" s="1"/>
  <c r="J140" i="6"/>
  <c r="AF140" i="6" s="1"/>
  <c r="J32" i="6"/>
  <c r="J29" i="6"/>
  <c r="AF29" i="6" s="1"/>
  <c r="AG29" i="6" s="1"/>
  <c r="J18" i="6"/>
  <c r="J122" i="6"/>
  <c r="AF122" i="6" s="1"/>
  <c r="AG122" i="6" s="1"/>
  <c r="Z35" i="41"/>
  <c r="M22" i="41"/>
  <c r="L39" i="41"/>
  <c r="M39" i="41"/>
  <c r="Z39" i="41"/>
  <c r="AA39" i="41"/>
  <c r="AM40" i="41"/>
  <c r="AN40" i="41"/>
  <c r="Z40" i="41"/>
  <c r="AA40" i="41"/>
  <c r="AA87" i="41"/>
  <c r="AA84" i="41"/>
  <c r="AA83" i="41"/>
  <c r="AA82" i="41"/>
  <c r="Z84" i="41"/>
  <c r="Z83" i="41"/>
  <c r="AN42" i="41"/>
  <c r="Y20" i="41"/>
  <c r="AM22" i="41"/>
  <c r="AN22" i="41"/>
  <c r="Z22" i="41"/>
  <c r="AA22" i="41"/>
  <c r="AK28" i="41"/>
  <c r="L40" i="41"/>
  <c r="M40" i="41"/>
  <c r="I75" i="41"/>
  <c r="AP75" i="41"/>
  <c r="AP73" i="41"/>
  <c r="AP10" i="41"/>
  <c r="AP9" i="41"/>
  <c r="I9" i="41"/>
  <c r="AQ10" i="41"/>
  <c r="AQ9" i="41"/>
  <c r="Y10" i="41"/>
  <c r="D23" i="21"/>
  <c r="L10" i="41"/>
  <c r="L9" i="41"/>
  <c r="M10" i="41"/>
  <c r="AM55" i="41"/>
  <c r="Z15" i="41"/>
  <c r="AA15" i="41"/>
  <c r="AM39" i="41"/>
  <c r="AN39" i="41"/>
  <c r="I14" i="41"/>
  <c r="AK8" i="41"/>
  <c r="L87" i="41"/>
  <c r="M87" i="41"/>
  <c r="AF87" i="41"/>
  <c r="L31" i="41"/>
  <c r="L35" i="41"/>
  <c r="M35" i="41"/>
  <c r="K64" i="41"/>
  <c r="AM64" i="41"/>
  <c r="L36" i="41"/>
  <c r="M36" i="41"/>
  <c r="L38" i="41"/>
  <c r="M38" i="41"/>
  <c r="L45" i="41"/>
  <c r="M45" i="41"/>
  <c r="M9" i="41"/>
  <c r="Y9" i="41"/>
  <c r="Z10" i="41"/>
  <c r="Z9" i="41"/>
  <c r="AF138" i="6"/>
  <c r="AG138" i="6" s="1"/>
  <c r="M31" i="41"/>
  <c r="Z64" i="41"/>
  <c r="AA64" i="41"/>
  <c r="Y14" i="41"/>
  <c r="AQ14" i="41"/>
  <c r="AQ13" i="41"/>
  <c r="AP14" i="41"/>
  <c r="AP13" i="41"/>
  <c r="L14" i="41"/>
  <c r="I13" i="41"/>
  <c r="D24" i="21"/>
  <c r="E24" i="21"/>
  <c r="M14" i="41"/>
  <c r="Z14" i="41"/>
  <c r="AA14" i="41"/>
  <c r="AA13" i="41"/>
  <c r="Y13" i="41"/>
  <c r="Z13" i="41"/>
  <c r="AA10" i="41"/>
  <c r="AA9" i="41"/>
  <c r="AN64" i="41"/>
  <c r="L49" i="41"/>
  <c r="M49" i="41"/>
  <c r="AM49" i="41"/>
  <c r="Z49" i="41"/>
  <c r="AA49" i="41"/>
  <c r="AG79" i="6"/>
  <c r="AM15" i="41"/>
  <c r="AN15" i="41"/>
  <c r="L15" i="41"/>
  <c r="L21" i="41"/>
  <c r="AM21" i="41"/>
  <c r="AN21" i="41"/>
  <c r="AN20" i="41"/>
  <c r="Z21" i="41"/>
  <c r="AM37" i="41"/>
  <c r="AN37" i="41"/>
  <c r="Z37" i="41"/>
  <c r="AA37" i="41"/>
  <c r="L37" i="41"/>
  <c r="M37" i="41"/>
  <c r="L64" i="41"/>
  <c r="M64" i="41"/>
  <c r="AM34" i="41"/>
  <c r="L34" i="41"/>
  <c r="Z34" i="41"/>
  <c r="AA35" i="41"/>
  <c r="AN14" i="41"/>
  <c r="Z52" i="41"/>
  <c r="AE89" i="41"/>
  <c r="L89" i="41"/>
  <c r="M89" i="41"/>
  <c r="M44" i="41"/>
  <c r="M42" i="41"/>
  <c r="M41" i="41"/>
  <c r="L41" i="41"/>
  <c r="AN44" i="41"/>
  <c r="AN70" i="41"/>
  <c r="AN69" i="41"/>
  <c r="AM69" i="41"/>
  <c r="L50" i="41"/>
  <c r="M50" i="41"/>
  <c r="AM50" i="41"/>
  <c r="AN50" i="41"/>
  <c r="AM53" i="41"/>
  <c r="AN41" i="41"/>
  <c r="Z44" i="41"/>
  <c r="Z54" i="41"/>
  <c r="V2" i="41"/>
  <c r="B95" i="15"/>
  <c r="X30" i="15"/>
  <c r="X28" i="15"/>
  <c r="AA54" i="41"/>
  <c r="AA52" i="41"/>
  <c r="AA53" i="41"/>
  <c r="Y52" i="41"/>
  <c r="L44" i="41"/>
  <c r="AM44" i="41"/>
  <c r="AA45" i="41"/>
  <c r="AA44" i="41"/>
  <c r="Z42" i="41"/>
  <c r="Z41" i="41"/>
  <c r="AK78" i="41"/>
  <c r="AM41" i="41"/>
  <c r="AQ75" i="41"/>
  <c r="AQ73" i="41"/>
  <c r="AA34" i="41"/>
  <c r="Y75" i="41"/>
  <c r="I73" i="41"/>
  <c r="AM20" i="41"/>
  <c r="I8" i="41"/>
  <c r="AN34" i="41"/>
  <c r="Z20" i="41"/>
  <c r="AA21" i="41"/>
  <c r="AA20" i="41"/>
  <c r="AN49" i="41"/>
  <c r="AN47" i="41"/>
  <c r="AM47" i="41"/>
  <c r="AA42" i="41"/>
  <c r="AA41" i="41"/>
  <c r="AN53" i="41"/>
  <c r="AN52" i="41"/>
  <c r="AM52" i="41"/>
  <c r="AN13" i="41"/>
  <c r="AF89" i="41"/>
  <c r="AM13" i="41"/>
  <c r="L33" i="41"/>
  <c r="M34" i="41"/>
  <c r="M33" i="41"/>
  <c r="M15" i="41"/>
  <c r="M13" i="41"/>
  <c r="L13" i="41"/>
  <c r="Y73" i="41"/>
  <c r="L20" i="41"/>
  <c r="M21" i="41"/>
  <c r="K91" i="6"/>
  <c r="L91" i="6" s="1"/>
  <c r="AF116" i="6"/>
  <c r="AG116" i="6" s="1"/>
  <c r="AF60" i="6"/>
  <c r="AG60" i="6" s="1"/>
  <c r="E23" i="21"/>
  <c r="E22" i="21"/>
  <c r="D22" i="21"/>
  <c r="AB169" i="6"/>
  <c r="K132" i="6"/>
  <c r="L132" i="6" s="1"/>
  <c r="AF132" i="6"/>
  <c r="AG132" i="6" s="1"/>
  <c r="K70" i="6"/>
  <c r="L70" i="6" s="1"/>
  <c r="AH28" i="41"/>
  <c r="AH78" i="41"/>
  <c r="AF111" i="6"/>
  <c r="AG111" i="6" s="1"/>
  <c r="K111" i="6"/>
  <c r="L111" i="6"/>
  <c r="Z18" i="41"/>
  <c r="AA18" i="41"/>
  <c r="Y16" i="41"/>
  <c r="Y8" i="41"/>
  <c r="Y33" i="41"/>
  <c r="AD86" i="41"/>
  <c r="AC84" i="41"/>
  <c r="AC83" i="41"/>
  <c r="I86" i="41"/>
  <c r="AQ87" i="41"/>
  <c r="AP87" i="41"/>
  <c r="X8" i="15"/>
  <c r="K17" i="41"/>
  <c r="K67" i="41"/>
  <c r="K76" i="41"/>
  <c r="K68" i="41"/>
  <c r="K63" i="41"/>
  <c r="AM63" i="41"/>
  <c r="K24" i="41"/>
  <c r="K66" i="41"/>
  <c r="AM26" i="41"/>
  <c r="AN26" i="41"/>
  <c r="Z26" i="41"/>
  <c r="AA26" i="41"/>
  <c r="K75" i="41"/>
  <c r="AP16" i="41"/>
  <c r="AP8" i="41"/>
  <c r="AQ20" i="41"/>
  <c r="AQ8" i="41"/>
  <c r="Z31" i="41"/>
  <c r="AM31" i="41"/>
  <c r="Z38" i="41"/>
  <c r="AM38" i="41"/>
  <c r="Z50" i="41"/>
  <c r="AA50" i="41"/>
  <c r="Z59" i="41"/>
  <c r="AA59" i="41"/>
  <c r="Y65" i="41"/>
  <c r="L54" i="41"/>
  <c r="AA38" i="41"/>
  <c r="AA33" i="41"/>
  <c r="Z33" i="41"/>
  <c r="L68" i="41"/>
  <c r="M68" i="41"/>
  <c r="AM68" i="41"/>
  <c r="AN68" i="41"/>
  <c r="Z68" i="41"/>
  <c r="AA68" i="41"/>
  <c r="L86" i="41"/>
  <c r="AE86" i="41"/>
  <c r="AE84" i="41"/>
  <c r="AE83" i="41"/>
  <c r="AD84" i="41"/>
  <c r="AD83" i="41"/>
  <c r="M20" i="41"/>
  <c r="AN31" i="41"/>
  <c r="AN30" i="41"/>
  <c r="AM30" i="41"/>
  <c r="AM75" i="41"/>
  <c r="AN75" i="41"/>
  <c r="Z75" i="41"/>
  <c r="L75" i="41"/>
  <c r="L66" i="41"/>
  <c r="AM66" i="41"/>
  <c r="Z66" i="41"/>
  <c r="L76" i="41"/>
  <c r="M76" i="41"/>
  <c r="AM76" i="41"/>
  <c r="AN76" i="41"/>
  <c r="Z76" i="41"/>
  <c r="AA76" i="41"/>
  <c r="AA31" i="41"/>
  <c r="L24" i="41"/>
  <c r="AM24" i="41"/>
  <c r="Z24" i="41"/>
  <c r="AM67" i="41"/>
  <c r="AN67" i="41"/>
  <c r="L67" i="41"/>
  <c r="M67" i="41"/>
  <c r="Z67" i="41"/>
  <c r="AA67" i="41"/>
  <c r="AQ86" i="41"/>
  <c r="AP86" i="41"/>
  <c r="M86" i="41"/>
  <c r="M54" i="41"/>
  <c r="L52" i="41"/>
  <c r="AN38" i="41"/>
  <c r="AN33" i="41"/>
  <c r="AM33" i="41"/>
  <c r="AN63" i="41"/>
  <c r="AN62" i="41"/>
  <c r="AM62" i="41"/>
  <c r="AM17" i="41"/>
  <c r="L17" i="41"/>
  <c r="Z17" i="41"/>
  <c r="M17" i="41"/>
  <c r="L16" i="41"/>
  <c r="M52" i="41"/>
  <c r="M24" i="41"/>
  <c r="L23" i="41"/>
  <c r="AN73" i="41"/>
  <c r="AM16" i="41"/>
  <c r="AN17" i="41"/>
  <c r="AN16" i="41"/>
  <c r="AA66" i="41"/>
  <c r="AA65" i="41"/>
  <c r="Z65" i="41"/>
  <c r="AM28" i="41"/>
  <c r="AM61" i="41"/>
  <c r="AF86" i="41"/>
  <c r="AA24" i="41"/>
  <c r="AA23" i="41"/>
  <c r="Z23" i="41"/>
  <c r="AN66" i="41"/>
  <c r="AN65" i="41"/>
  <c r="AN61" i="41"/>
  <c r="AM65" i="41"/>
  <c r="L73" i="41"/>
  <c r="M75" i="41"/>
  <c r="AN28" i="41"/>
  <c r="AA17" i="41"/>
  <c r="AA16" i="41"/>
  <c r="AA8" i="41"/>
  <c r="Z16" i="41"/>
  <c r="AM23" i="41"/>
  <c r="AN24" i="41"/>
  <c r="AN23" i="41"/>
  <c r="M66" i="41"/>
  <c r="L65" i="41"/>
  <c r="Z73" i="41"/>
  <c r="AA75" i="41"/>
  <c r="AA73" i="41"/>
  <c r="AM8" i="41"/>
  <c r="M65" i="41"/>
  <c r="Z8" i="41"/>
  <c r="M23" i="41"/>
  <c r="L8" i="41"/>
  <c r="M73" i="41"/>
  <c r="AN8" i="41"/>
  <c r="AN78" i="41"/>
  <c r="M16" i="41"/>
  <c r="M8" i="41"/>
  <c r="AF146" i="6"/>
  <c r="AG146" i="6" s="1"/>
  <c r="K101" i="6"/>
  <c r="L101" i="6" s="1"/>
  <c r="U136" i="6"/>
  <c r="V136" i="6"/>
  <c r="AF126" i="6"/>
  <c r="AF44" i="6"/>
  <c r="AG44" i="6" s="1"/>
  <c r="AI21" i="6"/>
  <c r="AJ17" i="6"/>
  <c r="AF89" i="6"/>
  <c r="AG89" i="6" s="1"/>
  <c r="K142" i="6"/>
  <c r="L142" i="6" s="1"/>
  <c r="K94" i="6"/>
  <c r="L94" i="6" s="1"/>
  <c r="AF99" i="6"/>
  <c r="AG99" i="6" s="1"/>
  <c r="K145" i="6"/>
  <c r="L145" i="6" s="1"/>
  <c r="AF93" i="6"/>
  <c r="AF98" i="6"/>
  <c r="AG98" i="6"/>
  <c r="AF48" i="6"/>
  <c r="AG48" i="6"/>
  <c r="AI63" i="6"/>
  <c r="AJ58" i="6"/>
  <c r="K29" i="6"/>
  <c r="L29" i="6" s="1"/>
  <c r="Y34" i="6"/>
  <c r="Z34" i="6" s="1"/>
  <c r="AF46" i="6"/>
  <c r="AG46" i="6"/>
  <c r="AF71" i="6"/>
  <c r="AG71" i="6" s="1"/>
  <c r="K61" i="6"/>
  <c r="L61" i="6" s="1"/>
  <c r="AI86" i="6"/>
  <c r="AJ40" i="6"/>
  <c r="AF35" i="6"/>
  <c r="AG35" i="6"/>
  <c r="AF85" i="6"/>
  <c r="AG85" i="6" s="1"/>
  <c r="AF43" i="6"/>
  <c r="AG43" i="6" s="1"/>
  <c r="AJ141" i="6"/>
  <c r="AJ123" i="6"/>
  <c r="AJ69" i="6"/>
  <c r="Q136" i="6"/>
  <c r="R136" i="6" s="1"/>
  <c r="K124" i="6"/>
  <c r="K104" i="6"/>
  <c r="L104" i="6"/>
  <c r="AF34" i="6"/>
  <c r="AG34" i="6" s="1"/>
  <c r="AF41" i="6"/>
  <c r="AG41" i="6" s="1"/>
  <c r="AF59" i="6"/>
  <c r="AF68" i="6"/>
  <c r="AG68" i="6" s="1"/>
  <c r="AF64" i="6"/>
  <c r="AG64" i="6"/>
  <c r="AF25" i="6"/>
  <c r="AG25" i="6" s="1"/>
  <c r="AJ27" i="6"/>
  <c r="AI24" i="6"/>
  <c r="AJ21" i="6"/>
  <c r="AF102" i="6"/>
  <c r="AG102" i="6" s="1"/>
  <c r="AF66" i="6"/>
  <c r="AG66" i="6"/>
  <c r="AG115" i="6"/>
  <c r="AF96" i="6"/>
  <c r="Q34" i="6"/>
  <c r="R34" i="6" s="1"/>
  <c r="AI123" i="6"/>
  <c r="AB166" i="6"/>
  <c r="AB164" i="6"/>
  <c r="L164" i="6"/>
  <c r="AF144" i="6"/>
  <c r="K144" i="6"/>
  <c r="L144" i="6" s="1"/>
  <c r="AJ34" i="6"/>
  <c r="AB34" i="6"/>
  <c r="K34" i="6"/>
  <c r="L34" i="6" s="1"/>
  <c r="AI34" i="6"/>
  <c r="K52" i="6"/>
  <c r="L52" i="6" s="1"/>
  <c r="AF52" i="6"/>
  <c r="AG52" i="6"/>
  <c r="L60" i="6"/>
  <c r="AI141" i="6"/>
  <c r="AI69" i="6"/>
  <c r="AI58" i="6"/>
  <c r="AG56" i="6"/>
  <c r="L96" i="6"/>
  <c r="K74" i="6"/>
  <c r="L74" i="6" s="1"/>
  <c r="AF74" i="6"/>
  <c r="AG74" i="6" s="1"/>
  <c r="K19" i="6"/>
  <c r="L19" i="6" s="1"/>
  <c r="AF19" i="6"/>
  <c r="AG19" i="6" s="1"/>
  <c r="AC133" i="6"/>
  <c r="AE39" i="6"/>
  <c r="AJ63" i="6"/>
  <c r="AI40" i="6"/>
  <c r="AE77" i="6"/>
  <c r="AF128" i="6"/>
  <c r="AG129" i="6"/>
  <c r="K87" i="6"/>
  <c r="AF87" i="6"/>
  <c r="AF84" i="6"/>
  <c r="AG84" i="6" s="1"/>
  <c r="K11" i="6"/>
  <c r="L11" i="6" s="1"/>
  <c r="AF11" i="6"/>
  <c r="AG11" i="6" s="1"/>
  <c r="I32" i="6"/>
  <c r="K32" i="6" s="1"/>
  <c r="AB170" i="6"/>
  <c r="AB167" i="6"/>
  <c r="L167" i="6"/>
  <c r="K143" i="6"/>
  <c r="K141" i="6" s="1"/>
  <c r="AF143" i="6"/>
  <c r="AF106" i="6"/>
  <c r="AG106" i="6" s="1"/>
  <c r="K67" i="6"/>
  <c r="L67" i="6" s="1"/>
  <c r="AF51" i="6"/>
  <c r="K51" i="6"/>
  <c r="L51" i="6"/>
  <c r="AC108" i="6"/>
  <c r="AE133" i="6"/>
  <c r="AF18" i="6"/>
  <c r="K18" i="6"/>
  <c r="Y32" i="6"/>
  <c r="Z32" i="6" s="1"/>
  <c r="Q88" i="41"/>
  <c r="AF15" i="6"/>
  <c r="AJ92" i="6"/>
  <c r="AI82" i="6"/>
  <c r="AG125" i="6"/>
  <c r="AF20" i="6"/>
  <c r="AG20" i="6" s="1"/>
  <c r="K20" i="6"/>
  <c r="L20" i="6"/>
  <c r="K127" i="6"/>
  <c r="L127" i="6" s="1"/>
  <c r="AF127" i="6"/>
  <c r="AG127" i="6"/>
  <c r="K103" i="6"/>
  <c r="L103" i="6" s="1"/>
  <c r="AF103" i="6"/>
  <c r="AG103" i="6" s="1"/>
  <c r="K65" i="6"/>
  <c r="AF65" i="6"/>
  <c r="AG65" i="6" s="1"/>
  <c r="AF53" i="6"/>
  <c r="AG53" i="6"/>
  <c r="K53" i="6"/>
  <c r="L53" i="6"/>
  <c r="AF49" i="6"/>
  <c r="K49" i="6"/>
  <c r="AG114" i="6"/>
  <c r="AF63" i="6"/>
  <c r="AG49" i="6"/>
  <c r="L65" i="6"/>
  <c r="L18" i="6"/>
  <c r="L17" i="6" s="1"/>
  <c r="K17" i="6"/>
  <c r="AG143" i="6"/>
  <c r="K82" i="6"/>
  <c r="L87" i="6"/>
  <c r="L49" i="6"/>
  <c r="AG15" i="6"/>
  <c r="AG18" i="6"/>
  <c r="AG17" i="6" s="1"/>
  <c r="AI32" i="6"/>
  <c r="AF82" i="6"/>
  <c r="AA32" i="15" l="1"/>
  <c r="Z63" i="15"/>
  <c r="R30" i="15"/>
  <c r="Z30" i="15" s="1"/>
  <c r="Y30" i="15"/>
  <c r="Y32" i="15" s="1"/>
  <c r="U30" i="15"/>
  <c r="AC30" i="15" s="1"/>
  <c r="C93" i="15" s="1"/>
  <c r="U31" i="15"/>
  <c r="AC31" i="15" s="1"/>
  <c r="C94" i="15" s="1"/>
  <c r="Y31" i="15"/>
  <c r="R31" i="15"/>
  <c r="Z31" i="15" s="1"/>
  <c r="Z32" i="15" s="1"/>
  <c r="R29" i="15"/>
  <c r="Z29" i="15" s="1"/>
  <c r="U29" i="15"/>
  <c r="AC29" i="15" s="1"/>
  <c r="C92" i="15" s="1"/>
  <c r="Y29" i="15"/>
  <c r="U28" i="15"/>
  <c r="AC28" i="15" s="1"/>
  <c r="C91" i="15" s="1"/>
  <c r="Y28" i="15"/>
  <c r="R28" i="15"/>
  <c r="Z28" i="15" s="1"/>
  <c r="F40" i="15"/>
  <c r="G40" i="15"/>
  <c r="F77" i="15"/>
  <c r="E77" i="15"/>
  <c r="F76" i="15"/>
  <c r="E76" i="15"/>
  <c r="K81" i="15"/>
  <c r="X21" i="15"/>
  <c r="X20" i="15"/>
  <c r="K83" i="15"/>
  <c r="R18" i="15"/>
  <c r="X19" i="15"/>
  <c r="X22" i="15"/>
  <c r="R22" i="15"/>
  <c r="L85" i="15" s="1"/>
  <c r="Z85" i="15" s="1"/>
  <c r="O85" i="15" s="1"/>
  <c r="R8" i="15"/>
  <c r="Q86" i="15"/>
  <c r="Q87" i="15"/>
  <c r="Q76" i="15"/>
  <c r="AB32" i="15"/>
  <c r="R20" i="15"/>
  <c r="Y20" i="15"/>
  <c r="X12" i="15"/>
  <c r="W25" i="15"/>
  <c r="W36" i="15" s="1"/>
  <c r="Y40" i="15" s="1"/>
  <c r="E8" i="23"/>
  <c r="H112" i="27" s="1"/>
  <c r="AA19" i="15"/>
  <c r="U19" i="15"/>
  <c r="M82" i="15" s="1"/>
  <c r="U18" i="15"/>
  <c r="AC18" i="15" s="1"/>
  <c r="Y21" i="15"/>
  <c r="R21" i="15"/>
  <c r="L84" i="15" s="1"/>
  <c r="Z84" i="15" s="1"/>
  <c r="O84" i="15" s="1"/>
  <c r="AA57" i="15"/>
  <c r="B97" i="15"/>
  <c r="Y22" i="15"/>
  <c r="R19" i="15"/>
  <c r="L82" i="15" s="1"/>
  <c r="Z82" i="15" s="1"/>
  <c r="O82" i="15" s="1"/>
  <c r="U10" i="15"/>
  <c r="M73" i="15" s="1"/>
  <c r="D63" i="26"/>
  <c r="U8" i="15"/>
  <c r="AC8" i="15" s="1"/>
  <c r="Q12" i="15"/>
  <c r="U11" i="15"/>
  <c r="M74" i="15" s="1"/>
  <c r="X9" i="15"/>
  <c r="R9" i="15"/>
  <c r="L72" i="15" s="1"/>
  <c r="Z72" i="15" s="1"/>
  <c r="O72" i="15" s="1"/>
  <c r="U9" i="15"/>
  <c r="M72" i="15" s="1"/>
  <c r="R2" i="41"/>
  <c r="G2" i="41" s="1"/>
  <c r="AB15" i="15"/>
  <c r="Y49" i="15"/>
  <c r="Q2" i="6"/>
  <c r="I80" i="21" s="1"/>
  <c r="I85" i="21" s="1"/>
  <c r="F105" i="21" s="1"/>
  <c r="F106" i="21" s="1"/>
  <c r="U21" i="15"/>
  <c r="M84" i="15" s="1"/>
  <c r="W15" i="15"/>
  <c r="AA25" i="15"/>
  <c r="AA50" i="15"/>
  <c r="V34" i="15"/>
  <c r="R10" i="15"/>
  <c r="L73" i="15" s="1"/>
  <c r="Z73" i="15" s="1"/>
  <c r="O73" i="15" s="1"/>
  <c r="X10" i="15"/>
  <c r="R11" i="15"/>
  <c r="L74" i="15" s="1"/>
  <c r="Z74" i="15" s="1"/>
  <c r="O74" i="15" s="1"/>
  <c r="D8" i="23"/>
  <c r="X11" i="15"/>
  <c r="AA15" i="15"/>
  <c r="W87" i="34"/>
  <c r="Y87" i="34" s="1"/>
  <c r="W137" i="34"/>
  <c r="Y137" i="34" s="1"/>
  <c r="X87" i="34"/>
  <c r="X127" i="34"/>
  <c r="AB22" i="15"/>
  <c r="U22" i="15"/>
  <c r="M85" i="15" s="1"/>
  <c r="AB20" i="15"/>
  <c r="U20" i="15"/>
  <c r="M83" i="15" s="1"/>
  <c r="W67" i="15"/>
  <c r="R70" i="15"/>
  <c r="R80" i="15" s="1"/>
  <c r="AC76" i="6"/>
  <c r="L143" i="6"/>
  <c r="L141" i="6" s="1"/>
  <c r="L124" i="6"/>
  <c r="L123" i="6" s="1"/>
  <c r="K123" i="6"/>
  <c r="AF113" i="6"/>
  <c r="AG72" i="6"/>
  <c r="AG69" i="6" s="1"/>
  <c r="AF69" i="6"/>
  <c r="L45" i="6"/>
  <c r="K21" i="6"/>
  <c r="L23" i="6"/>
  <c r="AG51" i="6"/>
  <c r="AF45" i="6"/>
  <c r="P12" i="6"/>
  <c r="M85" i="21"/>
  <c r="D95" i="21" s="1"/>
  <c r="K45" i="6"/>
  <c r="K28" i="6"/>
  <c r="AF28" i="6"/>
  <c r="AG45" i="6"/>
  <c r="R88" i="41"/>
  <c r="R84" i="41" s="1"/>
  <c r="Q84" i="41"/>
  <c r="AG144" i="6"/>
  <c r="AF141" i="6"/>
  <c r="AG59" i="6"/>
  <c r="AF58" i="6"/>
  <c r="AG63" i="6"/>
  <c r="AG126" i="6"/>
  <c r="AF123" i="6"/>
  <c r="S88" i="41"/>
  <c r="S84" i="41" s="1"/>
  <c r="AG141" i="6"/>
  <c r="L63" i="6"/>
  <c r="K63" i="6"/>
  <c r="U32" i="6"/>
  <c r="V32" i="6" s="1"/>
  <c r="Q32" i="6"/>
  <c r="R32" i="6" s="1"/>
  <c r="AF32" i="6"/>
  <c r="AG135" i="6"/>
  <c r="AG134" i="6" s="1"/>
  <c r="AF134" i="6"/>
  <c r="AF23" i="6"/>
  <c r="AG23" i="6" s="1"/>
  <c r="K114" i="6"/>
  <c r="L114" i="6" s="1"/>
  <c r="AF139" i="6"/>
  <c r="AG139" i="6" s="1"/>
  <c r="AF88" i="6"/>
  <c r="AG88" i="6" s="1"/>
  <c r="AG86" i="6" s="1"/>
  <c r="AF81" i="6"/>
  <c r="AG81" i="6" s="1"/>
  <c r="T138" i="6"/>
  <c r="AI97" i="6"/>
  <c r="L97" i="6"/>
  <c r="L21" i="6"/>
  <c r="K72" i="6"/>
  <c r="K119" i="6"/>
  <c r="L119" i="6" s="1"/>
  <c r="AG9" i="6"/>
  <c r="AG123" i="6"/>
  <c r="AG128" i="6"/>
  <c r="AG113" i="6"/>
  <c r="AF62" i="6"/>
  <c r="AG62" i="6" s="1"/>
  <c r="U168" i="6"/>
  <c r="AG97" i="6"/>
  <c r="AF97" i="6"/>
  <c r="K97" i="6"/>
  <c r="L82" i="6"/>
  <c r="AG82" i="6"/>
  <c r="L86" i="6"/>
  <c r="AF86" i="6"/>
  <c r="K86" i="6"/>
  <c r="AE149" i="6"/>
  <c r="AF21" i="6"/>
  <c r="AF17" i="6"/>
  <c r="AG13" i="6"/>
  <c r="AC8" i="6"/>
  <c r="AC149" i="6" s="1"/>
  <c r="AF13" i="6"/>
  <c r="AF9" i="6"/>
  <c r="AB32" i="6"/>
  <c r="L32" i="6"/>
  <c r="AJ32" i="6"/>
  <c r="AG140" i="6"/>
  <c r="AG137" i="6" s="1"/>
  <c r="AF137" i="6"/>
  <c r="AF120" i="6"/>
  <c r="AG121" i="6"/>
  <c r="AG120" i="6" s="1"/>
  <c r="L58" i="6"/>
  <c r="AG55" i="6"/>
  <c r="AG54" i="6" s="1"/>
  <c r="AF54" i="6"/>
  <c r="K42" i="6"/>
  <c r="AF42" i="6"/>
  <c r="AF26" i="6"/>
  <c r="K26" i="6"/>
  <c r="K80" i="6"/>
  <c r="L80" i="6" s="1"/>
  <c r="AF80" i="6"/>
  <c r="Y12" i="6"/>
  <c r="Z12" i="6" s="1"/>
  <c r="AG21" i="6"/>
  <c r="AA61" i="15"/>
  <c r="AA59" i="15" s="1"/>
  <c r="O69" i="30"/>
  <c r="X49" i="15"/>
  <c r="U88" i="41"/>
  <c r="T12" i="6"/>
  <c r="K58" i="6"/>
  <c r="K112" i="6"/>
  <c r="L112" i="6" s="1"/>
  <c r="AF112" i="6"/>
  <c r="AG93" i="6"/>
  <c r="K95" i="6"/>
  <c r="AF95" i="6"/>
  <c r="AG95" i="6" s="1"/>
  <c r="AF148" i="6"/>
  <c r="AG148" i="6" s="1"/>
  <c r="R32" i="15" l="1"/>
  <c r="Y3" i="6"/>
  <c r="AC19" i="15"/>
  <c r="C82" i="15" s="1"/>
  <c r="D82" i="15" s="1"/>
  <c r="Z22" i="15"/>
  <c r="C95" i="15"/>
  <c r="I77" i="15"/>
  <c r="H77" i="15"/>
  <c r="G77" i="15"/>
  <c r="Q168" i="6"/>
  <c r="AC32" i="15"/>
  <c r="H76" i="15"/>
  <c r="I76" i="15"/>
  <c r="G76" i="15"/>
  <c r="Q77" i="15"/>
  <c r="X25" i="15"/>
  <c r="AE113" i="26"/>
  <c r="J25" i="15"/>
  <c r="K88" i="15"/>
  <c r="Z20" i="15"/>
  <c r="L83" i="15"/>
  <c r="Z83" i="15" s="1"/>
  <c r="O83" i="15" s="1"/>
  <c r="L81" i="15"/>
  <c r="Z81" i="15" s="1"/>
  <c r="O81" i="15" s="1"/>
  <c r="Z18" i="15"/>
  <c r="S19" i="25"/>
  <c r="A332" i="32"/>
  <c r="AA34" i="15"/>
  <c r="Z8" i="15"/>
  <c r="L71" i="15"/>
  <c r="Z71" i="15" s="1"/>
  <c r="O71" i="15" s="1"/>
  <c r="E82" i="15"/>
  <c r="F82" i="15"/>
  <c r="V87" i="15"/>
  <c r="Y87" i="15"/>
  <c r="W87" i="15"/>
  <c r="S87" i="15"/>
  <c r="T87" i="15"/>
  <c r="X87" i="15"/>
  <c r="R87" i="15"/>
  <c r="V77" i="15"/>
  <c r="S77" i="15"/>
  <c r="R77" i="15"/>
  <c r="X77" i="15"/>
  <c r="T77" i="15"/>
  <c r="Y77" i="15"/>
  <c r="W77" i="15"/>
  <c r="W86" i="15"/>
  <c r="Y86" i="15"/>
  <c r="S86" i="15"/>
  <c r="V86" i="15"/>
  <c r="X86" i="15"/>
  <c r="R86" i="15"/>
  <c r="T86" i="15"/>
  <c r="W76" i="15"/>
  <c r="S76" i="15"/>
  <c r="T76" i="15"/>
  <c r="Y76" i="15"/>
  <c r="X76" i="15"/>
  <c r="V76" i="15"/>
  <c r="R76" i="15"/>
  <c r="R118" i="34"/>
  <c r="M81" i="15"/>
  <c r="A282" i="32"/>
  <c r="D115" i="26"/>
  <c r="M57" i="15"/>
  <c r="Y5" i="6"/>
  <c r="M56" i="15"/>
  <c r="H44" i="15"/>
  <c r="H45" i="15" s="1"/>
  <c r="U32" i="15"/>
  <c r="Y25" i="15"/>
  <c r="AE112" i="26"/>
  <c r="AF103" i="26"/>
  <c r="A182" i="31"/>
  <c r="A127" i="33"/>
  <c r="O286" i="30"/>
  <c r="AC121" i="34"/>
  <c r="M71" i="15"/>
  <c r="Z19" i="15"/>
  <c r="AC10" i="15"/>
  <c r="C73" i="15" s="1"/>
  <c r="D73" i="15" s="1"/>
  <c r="X15" i="15"/>
  <c r="X34" i="15" s="1"/>
  <c r="Z21" i="15"/>
  <c r="AC21" i="15"/>
  <c r="C84" i="15" s="1"/>
  <c r="D84" i="15" s="1"/>
  <c r="O51" i="41"/>
  <c r="O42" i="41"/>
  <c r="O40" i="41"/>
  <c r="O54" i="41"/>
  <c r="O24" i="41"/>
  <c r="O23" i="41" s="1"/>
  <c r="O34" i="41"/>
  <c r="O17" i="41"/>
  <c r="O76" i="41"/>
  <c r="O37" i="41"/>
  <c r="O10" i="41"/>
  <c r="O9" i="41" s="1"/>
  <c r="O64" i="41"/>
  <c r="O18" i="41"/>
  <c r="O31" i="41"/>
  <c r="O21" i="41"/>
  <c r="O38" i="41"/>
  <c r="O75" i="41"/>
  <c r="O73" i="41" s="1"/>
  <c r="I32" i="41"/>
  <c r="O68" i="41"/>
  <c r="O35" i="41"/>
  <c r="O49" i="41"/>
  <c r="O66" i="41"/>
  <c r="O59" i="41"/>
  <c r="O14" i="41"/>
  <c r="O94" i="41"/>
  <c r="O71" i="41"/>
  <c r="O53" i="41"/>
  <c r="O50" i="41"/>
  <c r="O46" i="41"/>
  <c r="O67" i="41"/>
  <c r="O15" i="41"/>
  <c r="O39" i="41"/>
  <c r="O43" i="41"/>
  <c r="O26" i="41"/>
  <c r="O19" i="41"/>
  <c r="O36" i="41"/>
  <c r="O45" i="41"/>
  <c r="O44" i="41" s="1"/>
  <c r="O22" i="41"/>
  <c r="G2" i="6"/>
  <c r="I115" i="6" s="1"/>
  <c r="P138" i="6"/>
  <c r="Q138" i="6" s="1"/>
  <c r="R138" i="6" s="1"/>
  <c r="Z11" i="15"/>
  <c r="AA49" i="15"/>
  <c r="AC11" i="15"/>
  <c r="C74" i="15" s="1"/>
  <c r="D74" i="15" s="1"/>
  <c r="AB25" i="15"/>
  <c r="AB34" i="15" s="1"/>
  <c r="AA36" i="15" s="1"/>
  <c r="H72" i="27"/>
  <c r="A128" i="31"/>
  <c r="AE70" i="26"/>
  <c r="A71" i="33"/>
  <c r="D65" i="26"/>
  <c r="AF61" i="26"/>
  <c r="O232" i="30"/>
  <c r="A225" i="32"/>
  <c r="L19" i="25"/>
  <c r="AC74" i="34"/>
  <c r="A176" i="32"/>
  <c r="R68" i="34"/>
  <c r="Z10" i="15"/>
  <c r="AC9" i="15"/>
  <c r="C72" i="15" s="1"/>
  <c r="D72" i="15" s="1"/>
  <c r="Y12" i="15"/>
  <c r="Y15" i="15" s="1"/>
  <c r="Y34" i="15" s="1"/>
  <c r="R12" i="15"/>
  <c r="L75" i="15" s="1"/>
  <c r="Z75" i="15" s="1"/>
  <c r="O75" i="15" s="1"/>
  <c r="U12" i="15"/>
  <c r="M75" i="15" s="1"/>
  <c r="B98" i="15"/>
  <c r="R60" i="15"/>
  <c r="R59" i="15"/>
  <c r="W34" i="15"/>
  <c r="W35" i="15"/>
  <c r="X40" i="15" s="1"/>
  <c r="AA40" i="15" s="1"/>
  <c r="Z9" i="15"/>
  <c r="Y79" i="34"/>
  <c r="Y73" i="34"/>
  <c r="Y85" i="34"/>
  <c r="Y72" i="34"/>
  <c r="Y75" i="34"/>
  <c r="Y84" i="34"/>
  <c r="Y76" i="34"/>
  <c r="Y81" i="34"/>
  <c r="Y78" i="34"/>
  <c r="Y82" i="34"/>
  <c r="Y77" i="34"/>
  <c r="Y74" i="34"/>
  <c r="Y86" i="34"/>
  <c r="X137" i="34"/>
  <c r="Y83" i="34"/>
  <c r="Y80" i="34"/>
  <c r="C81" i="15"/>
  <c r="AC22" i="15"/>
  <c r="C85" i="15" s="1"/>
  <c r="D85" i="15" s="1"/>
  <c r="AC20" i="15"/>
  <c r="C83" i="15" s="1"/>
  <c r="D83" i="15" s="1"/>
  <c r="C71" i="15"/>
  <c r="AG32" i="6"/>
  <c r="AG30" i="6" s="1"/>
  <c r="AF30" i="6"/>
  <c r="Q12" i="6"/>
  <c r="R12" i="6" s="1"/>
  <c r="F104" i="21"/>
  <c r="F109" i="21" s="1"/>
  <c r="AG58" i="6"/>
  <c r="AG28" i="6"/>
  <c r="AG27" i="6" s="1"/>
  <c r="AF27" i="6"/>
  <c r="K27" i="6"/>
  <c r="L28" i="6"/>
  <c r="L27" i="6" s="1"/>
  <c r="U138" i="6"/>
  <c r="V138" i="6" s="1"/>
  <c r="K69" i="6"/>
  <c r="L72" i="6"/>
  <c r="L69" i="6" s="1"/>
  <c r="E95" i="21"/>
  <c r="E94" i="21" s="1"/>
  <c r="E93" i="21" s="1"/>
  <c r="E101" i="21" s="1"/>
  <c r="D94" i="21"/>
  <c r="D93" i="21" s="1"/>
  <c r="D101" i="21" s="1"/>
  <c r="AF92" i="6"/>
  <c r="N61" i="6"/>
  <c r="V88" i="41"/>
  <c r="V84" i="41" s="1"/>
  <c r="I88" i="41"/>
  <c r="U84" i="41"/>
  <c r="AG92" i="6"/>
  <c r="K24" i="6"/>
  <c r="L26" i="6"/>
  <c r="L24" i="6" s="1"/>
  <c r="AF133" i="6"/>
  <c r="AG112" i="6"/>
  <c r="AG109" i="6" s="1"/>
  <c r="AG108" i="6" s="1"/>
  <c r="AF109" i="6"/>
  <c r="AF108" i="6" s="1"/>
  <c r="AG80" i="6"/>
  <c r="AG78" i="6" s="1"/>
  <c r="AG77" i="6" s="1"/>
  <c r="AF78" i="6"/>
  <c r="AF77" i="6" s="1"/>
  <c r="AF76" i="6" s="1"/>
  <c r="AG26" i="6"/>
  <c r="AG24" i="6" s="1"/>
  <c r="AF24" i="6"/>
  <c r="AF8" i="6" s="1"/>
  <c r="AF40" i="6"/>
  <c r="AF39" i="6" s="1"/>
  <c r="AG42" i="6"/>
  <c r="AG40" i="6" s="1"/>
  <c r="AG39" i="6" s="1"/>
  <c r="AG133" i="6"/>
  <c r="L95" i="6"/>
  <c r="L92" i="6" s="1"/>
  <c r="K92" i="6"/>
  <c r="U12" i="6"/>
  <c r="V12" i="6" s="1"/>
  <c r="I12" i="6"/>
  <c r="L42" i="6"/>
  <c r="L40" i="6" s="1"/>
  <c r="K40" i="6"/>
  <c r="O52" i="41" l="1"/>
  <c r="O20" i="41"/>
  <c r="O33" i="41"/>
  <c r="O41" i="41"/>
  <c r="N104" i="6"/>
  <c r="N117" i="6"/>
  <c r="E84" i="15"/>
  <c r="F84" i="15"/>
  <c r="N16" i="6"/>
  <c r="N47" i="6"/>
  <c r="E83" i="15"/>
  <c r="F83" i="15"/>
  <c r="O65" i="41"/>
  <c r="N53" i="6"/>
  <c r="F85" i="15"/>
  <c r="E85" i="15"/>
  <c r="N101" i="6"/>
  <c r="O13" i="41"/>
  <c r="O16" i="41"/>
  <c r="H82" i="15"/>
  <c r="G82" i="15"/>
  <c r="I82" i="15"/>
  <c r="Q82" i="15"/>
  <c r="N76" i="15"/>
  <c r="P76" i="15" s="1"/>
  <c r="AA76" i="15"/>
  <c r="N87" i="15"/>
  <c r="P87" i="15" s="1"/>
  <c r="AA87" i="15"/>
  <c r="N77" i="15"/>
  <c r="P77" i="15" s="1"/>
  <c r="AA77" i="15"/>
  <c r="AA86" i="15"/>
  <c r="N86" i="15"/>
  <c r="P86" i="15" s="1"/>
  <c r="E72" i="15"/>
  <c r="F72" i="15"/>
  <c r="F74" i="15"/>
  <c r="E74" i="15"/>
  <c r="E73" i="15"/>
  <c r="F73" i="15"/>
  <c r="N98" i="6"/>
  <c r="N100" i="6"/>
  <c r="N51" i="6"/>
  <c r="N52" i="6"/>
  <c r="O88" i="15"/>
  <c r="K78" i="15"/>
  <c r="J15" i="15"/>
  <c r="AE71" i="26"/>
  <c r="Z25" i="15"/>
  <c r="N20" i="6"/>
  <c r="N111" i="6"/>
  <c r="N146" i="6"/>
  <c r="N66" i="6"/>
  <c r="N80" i="6"/>
  <c r="N68" i="6"/>
  <c r="N28" i="6"/>
  <c r="N139" i="6"/>
  <c r="N71" i="6"/>
  <c r="N93" i="6"/>
  <c r="I56" i="6"/>
  <c r="AI56" i="6" s="1"/>
  <c r="O78" i="15"/>
  <c r="Z12" i="15"/>
  <c r="N148" i="6"/>
  <c r="N70" i="6"/>
  <c r="I57" i="6"/>
  <c r="K57" i="6" s="1"/>
  <c r="L57" i="6" s="1"/>
  <c r="N84" i="6"/>
  <c r="N112" i="6"/>
  <c r="N42" i="6"/>
  <c r="N88" i="6"/>
  <c r="N143" i="6"/>
  <c r="N125" i="6"/>
  <c r="N72" i="6"/>
  <c r="N67" i="6"/>
  <c r="I55" i="6"/>
  <c r="AI55" i="6" s="1"/>
  <c r="N25" i="6"/>
  <c r="N87" i="6"/>
  <c r="N19" i="6"/>
  <c r="N85" i="6"/>
  <c r="N59" i="6"/>
  <c r="N106" i="6"/>
  <c r="N95" i="6"/>
  <c r="N26" i="6"/>
  <c r="N132" i="6"/>
  <c r="N33" i="6"/>
  <c r="N32" i="6"/>
  <c r="N103" i="6"/>
  <c r="N99" i="6"/>
  <c r="N102" i="6"/>
  <c r="N60" i="6"/>
  <c r="N41" i="6"/>
  <c r="N119" i="6"/>
  <c r="N89" i="6"/>
  <c r="N142" i="6"/>
  <c r="N124" i="6"/>
  <c r="N126" i="6"/>
  <c r="N64" i="6"/>
  <c r="N91" i="6"/>
  <c r="N29" i="6"/>
  <c r="N90" i="6"/>
  <c r="N81" i="6"/>
  <c r="K169" i="6"/>
  <c r="N23" i="6"/>
  <c r="N46" i="6"/>
  <c r="N94" i="6"/>
  <c r="N22" i="6"/>
  <c r="I116" i="6"/>
  <c r="K116" i="6" s="1"/>
  <c r="L116" i="6" s="1"/>
  <c r="K97" i="15"/>
  <c r="J34" i="15"/>
  <c r="O32" i="41"/>
  <c r="O30" i="41" s="1"/>
  <c r="AP32" i="41"/>
  <c r="AP30" i="41" s="1"/>
  <c r="AQ32" i="41"/>
  <c r="AQ30" i="41" s="1"/>
  <c r="I48" i="41"/>
  <c r="Y32" i="41"/>
  <c r="L32" i="41"/>
  <c r="L30" i="41" s="1"/>
  <c r="D29" i="21"/>
  <c r="I30" i="41"/>
  <c r="I31" i="6"/>
  <c r="K31" i="6" s="1"/>
  <c r="K30" i="6" s="1"/>
  <c r="N96" i="6"/>
  <c r="N74" i="6"/>
  <c r="N44" i="6"/>
  <c r="N127" i="6"/>
  <c r="N62" i="6"/>
  <c r="N50" i="6"/>
  <c r="N11" i="6"/>
  <c r="N34" i="6"/>
  <c r="N65" i="6"/>
  <c r="N145" i="6"/>
  <c r="N48" i="6"/>
  <c r="N144" i="6"/>
  <c r="N49" i="6"/>
  <c r="N43" i="6"/>
  <c r="N14" i="6"/>
  <c r="N37" i="6"/>
  <c r="N114" i="6"/>
  <c r="N18" i="6"/>
  <c r="N35" i="6"/>
  <c r="N83" i="6"/>
  <c r="N82" i="6" s="1"/>
  <c r="Z15" i="15"/>
  <c r="AC12" i="15"/>
  <c r="C75" i="15" s="1"/>
  <c r="D75" i="15" s="1"/>
  <c r="I138" i="6"/>
  <c r="Y131" i="34"/>
  <c r="Y136" i="34"/>
  <c r="Y130" i="34"/>
  <c r="Y132" i="34"/>
  <c r="Y123" i="34"/>
  <c r="Y133" i="34"/>
  <c r="Y124" i="34"/>
  <c r="Y128" i="34"/>
  <c r="Y134" i="34"/>
  <c r="Y125" i="34"/>
  <c r="Y126" i="34"/>
  <c r="Y129" i="34"/>
  <c r="Y135" i="34"/>
  <c r="Y122" i="34"/>
  <c r="Y127" i="34"/>
  <c r="AC25" i="15"/>
  <c r="C88" i="15"/>
  <c r="D88" i="15" s="1"/>
  <c r="D81" i="15"/>
  <c r="D71" i="15"/>
  <c r="AG8" i="6"/>
  <c r="L163" i="6"/>
  <c r="AB163" i="6" s="1"/>
  <c r="AG76" i="6"/>
  <c r="AG149" i="6" s="1"/>
  <c r="Y11" i="6"/>
  <c r="Z11" i="6" s="1"/>
  <c r="AP88" i="41"/>
  <c r="L88" i="41"/>
  <c r="L84" i="41" s="1"/>
  <c r="I84" i="41"/>
  <c r="AQ88" i="41"/>
  <c r="Q11" i="6"/>
  <c r="R11" i="6" s="1"/>
  <c r="AB11" i="6"/>
  <c r="U11" i="6"/>
  <c r="V11" i="6" s="1"/>
  <c r="K12" i="6"/>
  <c r="AI12" i="6"/>
  <c r="AB12" i="6"/>
  <c r="AJ12" i="6"/>
  <c r="N12" i="6"/>
  <c r="AF149" i="6"/>
  <c r="W88" i="41"/>
  <c r="W84" i="41" s="1"/>
  <c r="K115" i="6"/>
  <c r="AI115" i="6"/>
  <c r="AJ115" i="6"/>
  <c r="N115" i="6"/>
  <c r="N27" i="6" l="1"/>
  <c r="N24" i="6"/>
  <c r="N17" i="6"/>
  <c r="O8" i="41"/>
  <c r="AJ57" i="6"/>
  <c r="N31" i="6"/>
  <c r="N30" i="6" s="1"/>
  <c r="N97" i="6"/>
  <c r="H83" i="15"/>
  <c r="G83" i="15"/>
  <c r="I83" i="15"/>
  <c r="Q83" i="15"/>
  <c r="N40" i="6"/>
  <c r="N21" i="6"/>
  <c r="N141" i="6"/>
  <c r="N45" i="6"/>
  <c r="N86" i="6"/>
  <c r="N69" i="6"/>
  <c r="X82" i="15"/>
  <c r="Y82" i="15"/>
  <c r="R82" i="15"/>
  <c r="V82" i="15"/>
  <c r="W82" i="15"/>
  <c r="S82" i="15"/>
  <c r="T82" i="15"/>
  <c r="I84" i="15"/>
  <c r="G84" i="15"/>
  <c r="H84" i="15"/>
  <c r="Q84" i="15"/>
  <c r="N123" i="6"/>
  <c r="N58" i="6"/>
  <c r="N92" i="6"/>
  <c r="K56" i="6"/>
  <c r="L56" i="6" s="1"/>
  <c r="N63" i="6"/>
  <c r="G85" i="15"/>
  <c r="I85" i="15"/>
  <c r="H85" i="15"/>
  <c r="Q85" i="15"/>
  <c r="H73" i="15"/>
  <c r="I73" i="15"/>
  <c r="Q73" i="15"/>
  <c r="G73" i="15"/>
  <c r="Q72" i="15"/>
  <c r="G72" i="15"/>
  <c r="I72" i="15"/>
  <c r="H72" i="15"/>
  <c r="F75" i="15"/>
  <c r="E75" i="15"/>
  <c r="Q74" i="15"/>
  <c r="I74" i="15"/>
  <c r="H74" i="15"/>
  <c r="G74" i="15"/>
  <c r="N55" i="6"/>
  <c r="K55" i="6"/>
  <c r="L55" i="6" s="1"/>
  <c r="AJ55" i="6"/>
  <c r="AJ116" i="6"/>
  <c r="O97" i="15"/>
  <c r="Z97" i="15" s="1"/>
  <c r="R25" i="15"/>
  <c r="L88" i="15"/>
  <c r="Z88" i="15" s="1"/>
  <c r="U3" i="6"/>
  <c r="AC15" i="15"/>
  <c r="AJ56" i="6"/>
  <c r="N56" i="6"/>
  <c r="AI57" i="6"/>
  <c r="AI54" i="6" s="1"/>
  <c r="AI39" i="6" s="1"/>
  <c r="I54" i="6"/>
  <c r="I39" i="6" s="1"/>
  <c r="N57" i="6"/>
  <c r="I30" i="6"/>
  <c r="AJ31" i="6"/>
  <c r="AJ30" i="6" s="1"/>
  <c r="C78" i="15"/>
  <c r="D78" i="15" s="1"/>
  <c r="AI31" i="6"/>
  <c r="AI30" i="6" s="1"/>
  <c r="E29" i="21"/>
  <c r="E27" i="21" s="1"/>
  <c r="D27" i="21"/>
  <c r="C27" i="21" s="1"/>
  <c r="H40" i="6" s="1"/>
  <c r="N116" i="6"/>
  <c r="AJ138" i="6"/>
  <c r="N138" i="6"/>
  <c r="AI138" i="6"/>
  <c r="K138" i="6"/>
  <c r="L138" i="6" s="1"/>
  <c r="AB138" i="6"/>
  <c r="L78" i="15"/>
  <c r="Z78" i="15" s="1"/>
  <c r="Q3" i="6"/>
  <c r="R15" i="15"/>
  <c r="Z34" i="15"/>
  <c r="M32" i="41"/>
  <c r="M30" i="41" s="1"/>
  <c r="AI116" i="6"/>
  <c r="Z32" i="41"/>
  <c r="Z30" i="41" s="1"/>
  <c r="Y30" i="41"/>
  <c r="H44" i="41"/>
  <c r="I29" i="41"/>
  <c r="L48" i="41"/>
  <c r="L47" i="41" s="1"/>
  <c r="I47" i="41"/>
  <c r="I56" i="41" s="1"/>
  <c r="D49" i="21"/>
  <c r="AP48" i="41"/>
  <c r="AP47" i="41" s="1"/>
  <c r="Y48" i="41"/>
  <c r="AQ48" i="41"/>
  <c r="AQ47" i="41" s="1"/>
  <c r="O48" i="41"/>
  <c r="O47" i="41" s="1"/>
  <c r="U5" i="6"/>
  <c r="AC26" i="15"/>
  <c r="M88" i="15"/>
  <c r="E88" i="15" s="1"/>
  <c r="C89" i="15"/>
  <c r="Y39" i="15"/>
  <c r="E32" i="23"/>
  <c r="V3" i="41"/>
  <c r="G44" i="15"/>
  <c r="G45" i="15" s="1"/>
  <c r="U25" i="15"/>
  <c r="E81" i="15"/>
  <c r="F81" i="15"/>
  <c r="F71" i="15"/>
  <c r="E71" i="15"/>
  <c r="F88" i="15"/>
  <c r="M88" i="41"/>
  <c r="M84" i="41" s="1"/>
  <c r="L12" i="6"/>
  <c r="L115" i="6"/>
  <c r="L31" i="6"/>
  <c r="L30" i="6" s="1"/>
  <c r="AJ54" i="6" l="1"/>
  <c r="AJ39" i="6" s="1"/>
  <c r="N54" i="6"/>
  <c r="N39" i="6" s="1"/>
  <c r="AA82" i="15"/>
  <c r="N82" i="15"/>
  <c r="P82" i="15" s="1"/>
  <c r="T84" i="15"/>
  <c r="X84" i="15"/>
  <c r="V84" i="15"/>
  <c r="R84" i="15"/>
  <c r="S84" i="15"/>
  <c r="W84" i="15"/>
  <c r="Y84" i="15"/>
  <c r="L54" i="6"/>
  <c r="L39" i="6" s="1"/>
  <c r="X85" i="15"/>
  <c r="S85" i="15"/>
  <c r="R85" i="15"/>
  <c r="Y85" i="15"/>
  <c r="V85" i="15"/>
  <c r="T85" i="15"/>
  <c r="W85" i="15"/>
  <c r="W83" i="15"/>
  <c r="X83" i="15"/>
  <c r="S83" i="15"/>
  <c r="V83" i="15"/>
  <c r="Y83" i="15"/>
  <c r="T83" i="15"/>
  <c r="R83" i="15"/>
  <c r="X74" i="15"/>
  <c r="T74" i="15"/>
  <c r="V74" i="15"/>
  <c r="R74" i="15"/>
  <c r="W74" i="15"/>
  <c r="Y74" i="15"/>
  <c r="S74" i="15"/>
  <c r="R73" i="15"/>
  <c r="X73" i="15"/>
  <c r="W73" i="15"/>
  <c r="Y73" i="15"/>
  <c r="S73" i="15"/>
  <c r="V73" i="15"/>
  <c r="T73" i="15"/>
  <c r="K54" i="6"/>
  <c r="K39" i="6" s="1"/>
  <c r="Q75" i="15"/>
  <c r="G75" i="15"/>
  <c r="I75" i="15"/>
  <c r="H75" i="15"/>
  <c r="AC34" i="15"/>
  <c r="R72" i="15"/>
  <c r="X72" i="15"/>
  <c r="Y72" i="15"/>
  <c r="W72" i="15"/>
  <c r="T72" i="15"/>
  <c r="V72" i="15"/>
  <c r="S72" i="15"/>
  <c r="G3" i="6"/>
  <c r="C97" i="15"/>
  <c r="D97" i="15" s="1"/>
  <c r="C79" i="15"/>
  <c r="M48" i="41"/>
  <c r="M47" i="41" s="1"/>
  <c r="AA32" i="41"/>
  <c r="AA30" i="41" s="1"/>
  <c r="AC16" i="15"/>
  <c r="Q5" i="6"/>
  <c r="G5" i="6" s="1"/>
  <c r="X39" i="15"/>
  <c r="AA39" i="15" s="1"/>
  <c r="M78" i="15"/>
  <c r="E78" i="15" s="1"/>
  <c r="F44" i="15"/>
  <c r="F45" i="15" s="1"/>
  <c r="D32" i="23"/>
  <c r="U15" i="15"/>
  <c r="R3" i="41"/>
  <c r="Q77" i="41" s="1"/>
  <c r="J123" i="27"/>
  <c r="J83" i="27"/>
  <c r="Y56" i="41"/>
  <c r="AP56" i="41"/>
  <c r="D56" i="21"/>
  <c r="D55" i="21" s="1"/>
  <c r="E55" i="21" s="1"/>
  <c r="L56" i="41"/>
  <c r="O56" i="41"/>
  <c r="AQ56" i="41"/>
  <c r="I57" i="41"/>
  <c r="E49" i="21"/>
  <c r="E44" i="21" s="1"/>
  <c r="D44" i="21"/>
  <c r="Z48" i="41"/>
  <c r="Z47" i="41" s="1"/>
  <c r="Y47" i="41"/>
  <c r="R34" i="15"/>
  <c r="L97" i="15"/>
  <c r="I89" i="15"/>
  <c r="AG118" i="26"/>
  <c r="G81" i="15"/>
  <c r="Q81" i="15"/>
  <c r="I81" i="15"/>
  <c r="I88" i="15" s="1"/>
  <c r="H81" i="15"/>
  <c r="Q59" i="15"/>
  <c r="H88" i="15"/>
  <c r="G88" i="15"/>
  <c r="Q88" i="15"/>
  <c r="AE114" i="26"/>
  <c r="H71" i="15"/>
  <c r="I71" i="15"/>
  <c r="G71" i="15"/>
  <c r="Q71" i="15"/>
  <c r="F78" i="15"/>
  <c r="AF88" i="41"/>
  <c r="AF84" i="41"/>
  <c r="I78" i="15" l="1"/>
  <c r="T79" i="15" s="1"/>
  <c r="N84" i="15"/>
  <c r="P84" i="15" s="1"/>
  <c r="AA84" i="15"/>
  <c r="C98" i="15"/>
  <c r="N83" i="15"/>
  <c r="P83" i="15" s="1"/>
  <c r="AA83" i="15"/>
  <c r="N85" i="15"/>
  <c r="P85" i="15" s="1"/>
  <c r="AA85" i="15"/>
  <c r="U34" i="15"/>
  <c r="N74" i="15"/>
  <c r="P74" i="15" s="1"/>
  <c r="AA74" i="15"/>
  <c r="Q60" i="15"/>
  <c r="M97" i="15"/>
  <c r="AA72" i="15"/>
  <c r="N72" i="15"/>
  <c r="P72" i="15" s="1"/>
  <c r="S75" i="15"/>
  <c r="Y75" i="15"/>
  <c r="X75" i="15"/>
  <c r="V75" i="15"/>
  <c r="W75" i="15"/>
  <c r="R75" i="15"/>
  <c r="T75" i="15"/>
  <c r="N73" i="15"/>
  <c r="P73" i="15" s="1"/>
  <c r="AA73" i="15"/>
  <c r="I44" i="15"/>
  <c r="I45" i="15" s="1"/>
  <c r="G3" i="41"/>
  <c r="M48" i="6"/>
  <c r="P48" i="6" s="1"/>
  <c r="M47" i="6"/>
  <c r="T47" i="6" s="1"/>
  <c r="U47" i="6" s="1"/>
  <c r="V47" i="6" s="1"/>
  <c r="M18" i="6"/>
  <c r="P18" i="6" s="1"/>
  <c r="M66" i="6"/>
  <c r="X66" i="6" s="1"/>
  <c r="Y66" i="6" s="1"/>
  <c r="Z66" i="6" s="1"/>
  <c r="M89" i="6"/>
  <c r="X89" i="6" s="1"/>
  <c r="Y89" i="6" s="1"/>
  <c r="Z89" i="6" s="1"/>
  <c r="M124" i="6"/>
  <c r="M81" i="6"/>
  <c r="P81" i="6" s="1"/>
  <c r="M72" i="6"/>
  <c r="T72" i="6" s="1"/>
  <c r="U72" i="6" s="1"/>
  <c r="V72" i="6" s="1"/>
  <c r="M95" i="6"/>
  <c r="T95" i="6" s="1"/>
  <c r="M112" i="6"/>
  <c r="P112" i="6" s="1"/>
  <c r="M125" i="6"/>
  <c r="P125" i="6" s="1"/>
  <c r="M44" i="6"/>
  <c r="T44" i="6" s="1"/>
  <c r="U44" i="6" s="1"/>
  <c r="V44" i="6" s="1"/>
  <c r="M70" i="6"/>
  <c r="X70" i="6" s="1"/>
  <c r="M35" i="6"/>
  <c r="P35" i="6" s="1"/>
  <c r="M100" i="6"/>
  <c r="X100" i="6" s="1"/>
  <c r="Y100" i="6" s="1"/>
  <c r="Z100" i="6" s="1"/>
  <c r="M111" i="6"/>
  <c r="X111" i="6" s="1"/>
  <c r="M106" i="6"/>
  <c r="P106" i="6" s="1"/>
  <c r="M84" i="6"/>
  <c r="P84" i="6" s="1"/>
  <c r="M14" i="6"/>
  <c r="T14" i="6" s="1"/>
  <c r="M26" i="6"/>
  <c r="P26" i="6" s="1"/>
  <c r="M12" i="6"/>
  <c r="M31" i="6"/>
  <c r="M117" i="6"/>
  <c r="X117" i="6" s="1"/>
  <c r="M99" i="6"/>
  <c r="X99" i="6" s="1"/>
  <c r="Y99" i="6" s="1"/>
  <c r="Z99" i="6" s="1"/>
  <c r="M96" i="6"/>
  <c r="P96" i="6" s="1"/>
  <c r="M148" i="6"/>
  <c r="X148" i="6" s="1"/>
  <c r="Y148" i="6" s="1"/>
  <c r="Z148" i="6" s="1"/>
  <c r="M37" i="6"/>
  <c r="T37" i="6" s="1"/>
  <c r="U37" i="6" s="1"/>
  <c r="V37" i="6" s="1"/>
  <c r="M103" i="6"/>
  <c r="X103" i="6" s="1"/>
  <c r="Y103" i="6" s="1"/>
  <c r="Z103" i="6" s="1"/>
  <c r="M143" i="6"/>
  <c r="P143" i="6" s="1"/>
  <c r="M115" i="6"/>
  <c r="P115" i="6" s="1"/>
  <c r="M145" i="6"/>
  <c r="T145" i="6" s="1"/>
  <c r="U145" i="6" s="1"/>
  <c r="V145" i="6" s="1"/>
  <c r="M88" i="6"/>
  <c r="T88" i="6" s="1"/>
  <c r="M25" i="6"/>
  <c r="X25" i="6" s="1"/>
  <c r="M64" i="6"/>
  <c r="X64" i="6" s="1"/>
  <c r="M42" i="6"/>
  <c r="P42" i="6" s="1"/>
  <c r="M19" i="6"/>
  <c r="P19" i="6" s="1"/>
  <c r="M91" i="6"/>
  <c r="T91" i="6" s="1"/>
  <c r="M16" i="6"/>
  <c r="X16" i="6" s="1"/>
  <c r="Y16" i="6" s="1"/>
  <c r="Z16" i="6" s="1"/>
  <c r="M20" i="6"/>
  <c r="P20" i="6" s="1"/>
  <c r="M71" i="6"/>
  <c r="P71" i="6" s="1"/>
  <c r="M67" i="6"/>
  <c r="T67" i="6" s="1"/>
  <c r="U67" i="6" s="1"/>
  <c r="V67" i="6" s="1"/>
  <c r="M62" i="6"/>
  <c r="T62" i="6" s="1"/>
  <c r="U62" i="6" s="1"/>
  <c r="V62" i="6" s="1"/>
  <c r="M60" i="6"/>
  <c r="P60" i="6" s="1"/>
  <c r="M52" i="6"/>
  <c r="P52" i="6" s="1"/>
  <c r="M127" i="6"/>
  <c r="P127" i="6" s="1"/>
  <c r="M41" i="6"/>
  <c r="M46" i="6"/>
  <c r="T46" i="6" s="1"/>
  <c r="M93" i="6"/>
  <c r="T93" i="6" s="1"/>
  <c r="M142" i="6"/>
  <c r="P142" i="6" s="1"/>
  <c r="M114" i="6"/>
  <c r="X114" i="6" s="1"/>
  <c r="M55" i="6"/>
  <c r="M57" i="6"/>
  <c r="T57" i="6" s="1"/>
  <c r="M65" i="6"/>
  <c r="T65" i="6" s="1"/>
  <c r="U65" i="6" s="1"/>
  <c r="V65" i="6" s="1"/>
  <c r="M83" i="6"/>
  <c r="T83" i="6" s="1"/>
  <c r="M68" i="6"/>
  <c r="P68" i="6" s="1"/>
  <c r="M90" i="6"/>
  <c r="X90" i="6" s="1"/>
  <c r="Y90" i="6" s="1"/>
  <c r="Z90" i="6" s="1"/>
  <c r="M85" i="6"/>
  <c r="P85" i="6" s="1"/>
  <c r="M119" i="6"/>
  <c r="T119" i="6" s="1"/>
  <c r="M56" i="6"/>
  <c r="P56" i="6" s="1"/>
  <c r="M61" i="6"/>
  <c r="P61" i="6" s="1"/>
  <c r="M102" i="6"/>
  <c r="P102" i="6" s="1"/>
  <c r="M29" i="6"/>
  <c r="X29" i="6" s="1"/>
  <c r="Y29" i="6" s="1"/>
  <c r="Z29" i="6" s="1"/>
  <c r="M28" i="6"/>
  <c r="P28" i="6" s="1"/>
  <c r="M101" i="6"/>
  <c r="P101" i="6" s="1"/>
  <c r="M139" i="6"/>
  <c r="P139" i="6" s="1"/>
  <c r="I79" i="6"/>
  <c r="AJ79" i="6" s="1"/>
  <c r="AJ78" i="6" s="1"/>
  <c r="AJ77" i="6" s="1"/>
  <c r="M74" i="6"/>
  <c r="X74" i="6" s="1"/>
  <c r="Y74" i="6" s="1"/>
  <c r="Z74" i="6" s="1"/>
  <c r="M98" i="6"/>
  <c r="M11" i="6"/>
  <c r="M126" i="6"/>
  <c r="T126" i="6" s="1"/>
  <c r="U126" i="6" s="1"/>
  <c r="V126" i="6" s="1"/>
  <c r="M94" i="6"/>
  <c r="X94" i="6" s="1"/>
  <c r="Y94" i="6" s="1"/>
  <c r="Z94" i="6" s="1"/>
  <c r="M104" i="6"/>
  <c r="X104" i="6" s="1"/>
  <c r="M49" i="6"/>
  <c r="X49" i="6" s="1"/>
  <c r="Y49" i="6" s="1"/>
  <c r="Z49" i="6" s="1"/>
  <c r="M146" i="6"/>
  <c r="X146" i="6" s="1"/>
  <c r="Y146" i="6" s="1"/>
  <c r="Z146" i="6" s="1"/>
  <c r="M80" i="6"/>
  <c r="T80" i="6" s="1"/>
  <c r="U80" i="6" s="1"/>
  <c r="V80" i="6" s="1"/>
  <c r="M59" i="6"/>
  <c r="X59" i="6" s="1"/>
  <c r="M51" i="6"/>
  <c r="P51" i="6" s="1"/>
  <c r="M132" i="6"/>
  <c r="T132" i="6" s="1"/>
  <c r="U132" i="6" s="1"/>
  <c r="V132" i="6" s="1"/>
  <c r="M138" i="6"/>
  <c r="M116" i="6"/>
  <c r="P116" i="6" s="1"/>
  <c r="M23" i="6"/>
  <c r="X23" i="6" s="1"/>
  <c r="Y23" i="6" s="1"/>
  <c r="Z23" i="6" s="1"/>
  <c r="M87" i="6"/>
  <c r="T87" i="6" s="1"/>
  <c r="M50" i="6"/>
  <c r="P50" i="6" s="1"/>
  <c r="M53" i="6"/>
  <c r="T53" i="6" s="1"/>
  <c r="U53" i="6" s="1"/>
  <c r="V53" i="6" s="1"/>
  <c r="M144" i="6"/>
  <c r="T144" i="6" s="1"/>
  <c r="U144" i="6" s="1"/>
  <c r="V144" i="6" s="1"/>
  <c r="M22" i="6"/>
  <c r="P22" i="6" s="1"/>
  <c r="M43" i="6"/>
  <c r="P43" i="6" s="1"/>
  <c r="N56" i="41"/>
  <c r="Q56" i="41" s="1"/>
  <c r="AD10" i="41"/>
  <c r="AD9" i="41" s="1"/>
  <c r="N64" i="41"/>
  <c r="U64" i="41" s="1"/>
  <c r="V64" i="41" s="1"/>
  <c r="W64" i="41" s="1"/>
  <c r="N21" i="41"/>
  <c r="U21" i="41" s="1"/>
  <c r="V21" i="41" s="1"/>
  <c r="N39" i="41"/>
  <c r="U39" i="41" s="1"/>
  <c r="N22" i="41"/>
  <c r="AC22" i="41" s="1"/>
  <c r="N38" i="41"/>
  <c r="U38" i="41" s="1"/>
  <c r="V38" i="41" s="1"/>
  <c r="W38" i="41" s="1"/>
  <c r="V5" i="41"/>
  <c r="W5" i="41" s="1"/>
  <c r="N51" i="41"/>
  <c r="U51" i="41" s="1"/>
  <c r="V51" i="41" s="1"/>
  <c r="W51" i="41" s="1"/>
  <c r="N46" i="41"/>
  <c r="U46" i="41" s="1"/>
  <c r="V46" i="41" s="1"/>
  <c r="N66" i="41"/>
  <c r="U66" i="41" s="1"/>
  <c r="J122" i="27"/>
  <c r="AE72" i="26"/>
  <c r="J82" i="27"/>
  <c r="R5" i="6"/>
  <c r="M34" i="6"/>
  <c r="M33" i="6"/>
  <c r="M32" i="6"/>
  <c r="N48" i="41"/>
  <c r="U48" i="41" s="1"/>
  <c r="N32" i="41"/>
  <c r="AC32" i="41" s="1"/>
  <c r="AD32" i="41" s="1"/>
  <c r="AE32" i="41" s="1"/>
  <c r="N10" i="41"/>
  <c r="U10" i="41" s="1"/>
  <c r="V10" i="41" s="1"/>
  <c r="V9" i="41" s="1"/>
  <c r="N35" i="41"/>
  <c r="Q35" i="41" s="1"/>
  <c r="N36" i="41"/>
  <c r="Q36" i="41" s="1"/>
  <c r="N68" i="41"/>
  <c r="AC68" i="41" s="1"/>
  <c r="N15" i="41"/>
  <c r="AC15" i="41" s="1"/>
  <c r="N71" i="41"/>
  <c r="Q71" i="41" s="1"/>
  <c r="N37" i="41"/>
  <c r="AC37" i="41" s="1"/>
  <c r="N45" i="41"/>
  <c r="U45" i="41" s="1"/>
  <c r="U44" i="41" s="1"/>
  <c r="N43" i="41"/>
  <c r="U43" i="41" s="1"/>
  <c r="V43" i="41" s="1"/>
  <c r="W43" i="41" s="1"/>
  <c r="N17" i="41"/>
  <c r="U17" i="41" s="1"/>
  <c r="V17" i="41" s="1"/>
  <c r="N19" i="41"/>
  <c r="Q19" i="41" s="1"/>
  <c r="N24" i="41"/>
  <c r="AC24" i="41" s="1"/>
  <c r="N59" i="41"/>
  <c r="Q59" i="41" s="1"/>
  <c r="N49" i="41"/>
  <c r="Q49" i="41" s="1"/>
  <c r="N40" i="41"/>
  <c r="Q40" i="41" s="1"/>
  <c r="N26" i="41"/>
  <c r="Q26" i="41" s="1"/>
  <c r="N14" i="41"/>
  <c r="U14" i="41" s="1"/>
  <c r="D59" i="21"/>
  <c r="D58" i="21" s="1"/>
  <c r="E58" i="21" s="1"/>
  <c r="O57" i="41"/>
  <c r="O55" i="41" s="1"/>
  <c r="O28" i="41" s="1"/>
  <c r="AQ57" i="41"/>
  <c r="AQ55" i="41" s="1"/>
  <c r="AQ28" i="41" s="1"/>
  <c r="AP57" i="41"/>
  <c r="AP55" i="41" s="1"/>
  <c r="AP28" i="41" s="1"/>
  <c r="L57" i="41"/>
  <c r="M57" i="41" s="1"/>
  <c r="Y57" i="41"/>
  <c r="Y55" i="41" s="1"/>
  <c r="Y28" i="41" s="1"/>
  <c r="Z56" i="41"/>
  <c r="N57" i="41"/>
  <c r="U57" i="41" s="1"/>
  <c r="AA48" i="41"/>
  <c r="AA47" i="41" s="1"/>
  <c r="M56" i="41"/>
  <c r="I55" i="41"/>
  <c r="I28" i="41" s="1"/>
  <c r="X14" i="6"/>
  <c r="W71" i="15"/>
  <c r="T71" i="15"/>
  <c r="R71" i="15"/>
  <c r="V71" i="15"/>
  <c r="Y71" i="15"/>
  <c r="X71" i="15"/>
  <c r="S71" i="15"/>
  <c r="T103" i="6"/>
  <c r="U103" i="6" s="1"/>
  <c r="V103" i="6" s="1"/>
  <c r="T99" i="6"/>
  <c r="AC35" i="41"/>
  <c r="AC71" i="41"/>
  <c r="U71" i="41"/>
  <c r="X116" i="6"/>
  <c r="Y116" i="6" s="1"/>
  <c r="Z116" i="6" s="1"/>
  <c r="P59" i="6"/>
  <c r="T104" i="6"/>
  <c r="U104" i="6" s="1"/>
  <c r="V104" i="6" s="1"/>
  <c r="P98" i="6"/>
  <c r="T61" i="6"/>
  <c r="U61" i="6" s="1"/>
  <c r="V61" i="6" s="1"/>
  <c r="G78" i="15"/>
  <c r="H78" i="15"/>
  <c r="Q78" i="15"/>
  <c r="R88" i="15"/>
  <c r="T88" i="15"/>
  <c r="W88" i="15"/>
  <c r="X88" i="15"/>
  <c r="S88" i="15"/>
  <c r="Y88" i="15"/>
  <c r="AC49" i="41"/>
  <c r="U49" i="41"/>
  <c r="I97" i="15"/>
  <c r="T89" i="15"/>
  <c r="T98" i="15" s="1"/>
  <c r="X26" i="6"/>
  <c r="Y26" i="6" s="1"/>
  <c r="Z26" i="6" s="1"/>
  <c r="X44" i="6"/>
  <c r="P66" i="6"/>
  <c r="T90" i="6"/>
  <c r="X53" i="6"/>
  <c r="Y53" i="6" s="1"/>
  <c r="Z53" i="6" s="1"/>
  <c r="V39" i="41"/>
  <c r="W39" i="41" s="1"/>
  <c r="AF126" i="26"/>
  <c r="AG117" i="26"/>
  <c r="AF124" i="26"/>
  <c r="P57" i="6"/>
  <c r="T52" i="6"/>
  <c r="U52" i="6" s="1"/>
  <c r="V52" i="6" s="1"/>
  <c r="T71" i="6"/>
  <c r="U71" i="6" s="1"/>
  <c r="V71" i="6" s="1"/>
  <c r="T19" i="6"/>
  <c r="U19" i="6" s="1"/>
  <c r="V19" i="6" s="1"/>
  <c r="P88" i="6"/>
  <c r="I79" i="15"/>
  <c r="AG76" i="26"/>
  <c r="AG127" i="26"/>
  <c r="AG124" i="26"/>
  <c r="AF120" i="26"/>
  <c r="R81" i="15"/>
  <c r="Y81" i="15"/>
  <c r="W81" i="15"/>
  <c r="V81" i="15"/>
  <c r="X81" i="15"/>
  <c r="T81" i="15"/>
  <c r="S81" i="15"/>
  <c r="Q39" i="41"/>
  <c r="T25" i="6" l="1"/>
  <c r="AC19" i="41"/>
  <c r="T102" i="6"/>
  <c r="U102" i="6" s="1"/>
  <c r="V102" i="6" s="1"/>
  <c r="T51" i="6"/>
  <c r="X96" i="6"/>
  <c r="Y96" i="6" s="1"/>
  <c r="Z96" i="6" s="1"/>
  <c r="P23" i="6"/>
  <c r="P21" i="6" s="1"/>
  <c r="X102" i="6"/>
  <c r="Y102" i="6" s="1"/>
  <c r="Z102" i="6" s="1"/>
  <c r="AC36" i="41"/>
  <c r="AD36" i="41" s="1"/>
  <c r="AE36" i="41" s="1"/>
  <c r="X143" i="6"/>
  <c r="Y143" i="6" s="1"/>
  <c r="Z143" i="6" s="1"/>
  <c r="AE10" i="41"/>
  <c r="AE9" i="41" s="1"/>
  <c r="T48" i="6"/>
  <c r="U48" i="6" s="1"/>
  <c r="V48" i="6" s="1"/>
  <c r="M40" i="6"/>
  <c r="M92" i="6"/>
  <c r="X43" i="6"/>
  <c r="Y43" i="6" s="1"/>
  <c r="Z43" i="6" s="1"/>
  <c r="AC43" i="41"/>
  <c r="AD43" i="41" s="1"/>
  <c r="AE43" i="41" s="1"/>
  <c r="V20" i="41"/>
  <c r="M54" i="6"/>
  <c r="P46" i="6"/>
  <c r="Q46" i="6" s="1"/>
  <c r="M30" i="6"/>
  <c r="M123" i="6"/>
  <c r="T20" i="6"/>
  <c r="U20" i="6" s="1"/>
  <c r="V20" i="6" s="1"/>
  <c r="T68" i="6"/>
  <c r="U68" i="6" s="1"/>
  <c r="V68" i="6" s="1"/>
  <c r="T18" i="6"/>
  <c r="U18" i="6" s="1"/>
  <c r="N13" i="41"/>
  <c r="P37" i="6"/>
  <c r="Q37" i="6" s="1"/>
  <c r="R37" i="6" s="1"/>
  <c r="T106" i="6"/>
  <c r="U106" i="6" s="1"/>
  <c r="V106" i="6" s="1"/>
  <c r="M97" i="6"/>
  <c r="AC57" i="41"/>
  <c r="AD57" i="41" s="1"/>
  <c r="AE57" i="41" s="1"/>
  <c r="P80" i="6"/>
  <c r="Q80" i="6" s="1"/>
  <c r="R80" i="6" s="1"/>
  <c r="U15" i="41"/>
  <c r="U13" i="41" s="1"/>
  <c r="X42" i="6"/>
  <c r="Y42" i="6" s="1"/>
  <c r="Z42" i="6" s="1"/>
  <c r="X60" i="6"/>
  <c r="Y60" i="6" s="1"/>
  <c r="Z60" i="6" s="1"/>
  <c r="T55" i="6"/>
  <c r="U55" i="6" s="1"/>
  <c r="P117" i="6"/>
  <c r="Q117" i="6" s="1"/>
  <c r="R117" i="6" s="1"/>
  <c r="Q57" i="41"/>
  <c r="R57" i="41" s="1"/>
  <c r="S57" i="41" s="1"/>
  <c r="AC59" i="41"/>
  <c r="AD59" i="41" s="1"/>
  <c r="AE59" i="41" s="1"/>
  <c r="P74" i="6"/>
  <c r="Q74" i="6" s="1"/>
  <c r="R74" i="6" s="1"/>
  <c r="T56" i="6"/>
  <c r="T125" i="6"/>
  <c r="U125" i="6" s="1"/>
  <c r="V125" i="6" s="1"/>
  <c r="X28" i="6"/>
  <c r="Y28" i="6" s="1"/>
  <c r="Y27" i="6" s="1"/>
  <c r="T81" i="6"/>
  <c r="U81" i="6" s="1"/>
  <c r="V81" i="6" s="1"/>
  <c r="X145" i="6"/>
  <c r="Y145" i="6" s="1"/>
  <c r="Z145" i="6" s="1"/>
  <c r="V14" i="41"/>
  <c r="U59" i="41"/>
  <c r="V59" i="41" s="1"/>
  <c r="W59" i="41" s="1"/>
  <c r="P89" i="6"/>
  <c r="X106" i="6"/>
  <c r="Y106" i="6" s="1"/>
  <c r="Z106" i="6" s="1"/>
  <c r="Q22" i="41"/>
  <c r="R22" i="41" s="1"/>
  <c r="S22" i="41" s="1"/>
  <c r="AA75" i="15"/>
  <c r="N75" i="15"/>
  <c r="P75" i="15" s="1"/>
  <c r="U36" i="41"/>
  <c r="V36" i="41" s="1"/>
  <c r="W36" i="41" s="1"/>
  <c r="T142" i="6"/>
  <c r="T49" i="6"/>
  <c r="U49" i="6" s="1"/>
  <c r="V49" i="6" s="1"/>
  <c r="P95" i="6"/>
  <c r="X91" i="6"/>
  <c r="Y91" i="6" s="1"/>
  <c r="Z91" i="6" s="1"/>
  <c r="T23" i="6"/>
  <c r="U23" i="6" s="1"/>
  <c r="V23" i="6" s="1"/>
  <c r="T89" i="6"/>
  <c r="U89" i="6" s="1"/>
  <c r="V89" i="6" s="1"/>
  <c r="V48" i="41"/>
  <c r="T127" i="6"/>
  <c r="U127" i="6" s="1"/>
  <c r="V127" i="6" s="1"/>
  <c r="X142" i="6"/>
  <c r="Y142" i="6" s="1"/>
  <c r="Q48" i="41"/>
  <c r="R48" i="41" s="1"/>
  <c r="P65" i="6"/>
  <c r="Q65" i="6" s="1"/>
  <c r="R65" i="6" s="1"/>
  <c r="X144" i="6"/>
  <c r="Y144" i="6" s="1"/>
  <c r="Z144" i="6" s="1"/>
  <c r="X48" i="6"/>
  <c r="Y48" i="6" s="1"/>
  <c r="Z48" i="6" s="1"/>
  <c r="M69" i="6"/>
  <c r="AC46" i="41"/>
  <c r="AD46" i="41" s="1"/>
  <c r="AE46" i="41" s="1"/>
  <c r="P25" i="6"/>
  <c r="P24" i="6" s="1"/>
  <c r="P91" i="6"/>
  <c r="Q91" i="6" s="1"/>
  <c r="R91" i="6" s="1"/>
  <c r="P67" i="6"/>
  <c r="Q67" i="6" s="1"/>
  <c r="R67" i="6" s="1"/>
  <c r="P144" i="6"/>
  <c r="Q144" i="6" s="1"/>
  <c r="R144" i="6" s="1"/>
  <c r="X139" i="6"/>
  <c r="Y139" i="6" s="1"/>
  <c r="P49" i="6"/>
  <c r="Q49" i="6" s="1"/>
  <c r="R49" i="6" s="1"/>
  <c r="X51" i="6"/>
  <c r="Y51" i="6" s="1"/>
  <c r="Z51" i="6" s="1"/>
  <c r="X85" i="6"/>
  <c r="Y85" i="6" s="1"/>
  <c r="Z85" i="6" s="1"/>
  <c r="X95" i="6"/>
  <c r="Y95" i="6" s="1"/>
  <c r="Z95" i="6" s="1"/>
  <c r="T70" i="6"/>
  <c r="T69" i="6" s="1"/>
  <c r="X41" i="6"/>
  <c r="Y41" i="6" s="1"/>
  <c r="T112" i="6"/>
  <c r="U112" i="6" s="1"/>
  <c r="V112" i="6" s="1"/>
  <c r="M79" i="6"/>
  <c r="M78" i="6" s="1"/>
  <c r="M63" i="6"/>
  <c r="T114" i="6"/>
  <c r="X22" i="6"/>
  <c r="Y22" i="6" s="1"/>
  <c r="Y21" i="6" s="1"/>
  <c r="W46" i="41"/>
  <c r="U26" i="41"/>
  <c r="V26" i="41" s="1"/>
  <c r="W26" i="41" s="1"/>
  <c r="Q64" i="41"/>
  <c r="R64" i="41" s="1"/>
  <c r="S64" i="41" s="1"/>
  <c r="Q38" i="41"/>
  <c r="R38" i="41" s="1"/>
  <c r="S38" i="41" s="1"/>
  <c r="X47" i="6"/>
  <c r="Y47" i="6" s="1"/>
  <c r="Z47" i="6" s="1"/>
  <c r="T146" i="6"/>
  <c r="U146" i="6" s="1"/>
  <c r="V146" i="6" s="1"/>
  <c r="X119" i="6"/>
  <c r="Y119" i="6" s="1"/>
  <c r="Z119" i="6" s="1"/>
  <c r="T31" i="6"/>
  <c r="AC45" i="41"/>
  <c r="AD45" i="41" s="1"/>
  <c r="T148" i="6"/>
  <c r="U148" i="6" s="1"/>
  <c r="V148" i="6" s="1"/>
  <c r="AC64" i="41"/>
  <c r="AD64" i="41" s="1"/>
  <c r="AE64" i="41" s="1"/>
  <c r="P64" i="6"/>
  <c r="X62" i="6"/>
  <c r="Y62" i="6" s="1"/>
  <c r="Z62" i="6" s="1"/>
  <c r="T41" i="6"/>
  <c r="P114" i="6"/>
  <c r="M86" i="6"/>
  <c r="U32" i="41"/>
  <c r="V32" i="41" s="1"/>
  <c r="W32" i="41" s="1"/>
  <c r="AF32" i="41" s="1"/>
  <c r="Q68" i="41"/>
  <c r="R68" i="41" s="1"/>
  <c r="S68" i="41" s="1"/>
  <c r="P119" i="6"/>
  <c r="AB119" i="6" s="1"/>
  <c r="X31" i="6"/>
  <c r="U22" i="41"/>
  <c r="V22" i="41" s="1"/>
  <c r="W22" i="41" s="1"/>
  <c r="Q46" i="41"/>
  <c r="R46" i="41" s="1"/>
  <c r="S46" i="41" s="1"/>
  <c r="U37" i="41"/>
  <c r="V37" i="41" s="1"/>
  <c r="W37" i="41" s="1"/>
  <c r="M24" i="6"/>
  <c r="X67" i="6"/>
  <c r="Y67" i="6" s="1"/>
  <c r="Z67" i="6" s="1"/>
  <c r="P62" i="6"/>
  <c r="P58" i="6" s="1"/>
  <c r="X127" i="6"/>
  <c r="Y127" i="6" s="1"/>
  <c r="Z127" i="6" s="1"/>
  <c r="M141" i="6"/>
  <c r="X65" i="6"/>
  <c r="Y65" i="6" s="1"/>
  <c r="Z65" i="6" s="1"/>
  <c r="P87" i="6"/>
  <c r="Q87" i="6" s="1"/>
  <c r="T143" i="6"/>
  <c r="U143" i="6" s="1"/>
  <c r="V143" i="6" s="1"/>
  <c r="T124" i="6"/>
  <c r="U124" i="6" s="1"/>
  <c r="X35" i="6"/>
  <c r="Y35" i="6" s="1"/>
  <c r="Z35" i="6" s="1"/>
  <c r="AC40" i="41"/>
  <c r="AD40" i="41" s="1"/>
  <c r="AE40" i="41" s="1"/>
  <c r="Q24" i="41"/>
  <c r="R24" i="41" s="1"/>
  <c r="R23" i="41" s="1"/>
  <c r="T139" i="6"/>
  <c r="U139" i="6" s="1"/>
  <c r="AI79" i="6"/>
  <c r="AI78" i="6" s="1"/>
  <c r="AI77" i="6" s="1"/>
  <c r="P126" i="6"/>
  <c r="Q126" i="6" s="1"/>
  <c r="R126" i="6" s="1"/>
  <c r="P132" i="6"/>
  <c r="Q132" i="6" s="1"/>
  <c r="R132" i="6" s="1"/>
  <c r="Q37" i="41"/>
  <c r="R37" i="41" s="1"/>
  <c r="S37" i="41" s="1"/>
  <c r="T96" i="6"/>
  <c r="P83" i="6"/>
  <c r="Q83" i="6" s="1"/>
  <c r="T85" i="6"/>
  <c r="P70" i="6"/>
  <c r="V66" i="41"/>
  <c r="V45" i="41"/>
  <c r="V44" i="41" s="1"/>
  <c r="T115" i="6"/>
  <c r="U115" i="6" s="1"/>
  <c r="V115" i="6" s="1"/>
  <c r="AC26" i="41"/>
  <c r="AD26" i="41" s="1"/>
  <c r="AE26" i="41" s="1"/>
  <c r="I78" i="6"/>
  <c r="I77" i="6" s="1"/>
  <c r="I221" i="6" s="1"/>
  <c r="I222" i="6" s="1"/>
  <c r="U68" i="41"/>
  <c r="V68" i="41" s="1"/>
  <c r="W68" i="41" s="1"/>
  <c r="M82" i="6"/>
  <c r="U19" i="41"/>
  <c r="V19" i="41" s="1"/>
  <c r="W19" i="41" s="1"/>
  <c r="U40" i="41"/>
  <c r="V40" i="41" s="1"/>
  <c r="W40" i="41" s="1"/>
  <c r="AC66" i="41"/>
  <c r="AC38" i="41"/>
  <c r="AD38" i="41" s="1"/>
  <c r="AE38" i="41" s="1"/>
  <c r="P16" i="6"/>
  <c r="Q16" i="6" s="1"/>
  <c r="R16" i="6" s="1"/>
  <c r="Q45" i="41"/>
  <c r="AC48" i="41"/>
  <c r="AD48" i="41" s="1"/>
  <c r="P148" i="6"/>
  <c r="Q148" i="6" s="1"/>
  <c r="R148" i="6" s="1"/>
  <c r="M21" i="6"/>
  <c r="X124" i="6"/>
  <c r="Y124" i="6" s="1"/>
  <c r="T84" i="6"/>
  <c r="U84" i="6" s="1"/>
  <c r="V84" i="6" s="1"/>
  <c r="P29" i="6"/>
  <c r="P27" i="6" s="1"/>
  <c r="N79" i="6"/>
  <c r="N78" i="6" s="1"/>
  <c r="N77" i="6" s="1"/>
  <c r="P146" i="6"/>
  <c r="Q146" i="6" s="1"/>
  <c r="R146" i="6" s="1"/>
  <c r="AC21" i="41"/>
  <c r="AC20" i="41" s="1"/>
  <c r="X20" i="6"/>
  <c r="Y20" i="6" s="1"/>
  <c r="Z20" i="6" s="1"/>
  <c r="X46" i="6"/>
  <c r="P55" i="6"/>
  <c r="P54" i="6" s="1"/>
  <c r="X68" i="6"/>
  <c r="AC14" i="41"/>
  <c r="AD14" i="41" s="1"/>
  <c r="X80" i="6"/>
  <c r="Y80" i="6" s="1"/>
  <c r="Z80" i="6" s="1"/>
  <c r="T100" i="6"/>
  <c r="Q21" i="41"/>
  <c r="R21" i="41" s="1"/>
  <c r="R20" i="41" s="1"/>
  <c r="P145" i="6"/>
  <c r="Q145" i="6" s="1"/>
  <c r="R145" i="6" s="1"/>
  <c r="T64" i="6"/>
  <c r="U64" i="6" s="1"/>
  <c r="T42" i="6"/>
  <c r="U42" i="6" s="1"/>
  <c r="V42" i="6" s="1"/>
  <c r="T16" i="6"/>
  <c r="U16" i="6" s="1"/>
  <c r="V16" i="6" s="1"/>
  <c r="T60" i="6"/>
  <c r="U60" i="6" s="1"/>
  <c r="V60" i="6" s="1"/>
  <c r="P41" i="6"/>
  <c r="M45" i="6"/>
  <c r="X55" i="6"/>
  <c r="Y55" i="6" s="1"/>
  <c r="Q15" i="41"/>
  <c r="R15" i="41" s="1"/>
  <c r="S15" i="41" s="1"/>
  <c r="Q10" i="41"/>
  <c r="R10" i="41" s="1"/>
  <c r="R9" i="41" s="1"/>
  <c r="X87" i="6"/>
  <c r="Y87" i="6" s="1"/>
  <c r="T22" i="6"/>
  <c r="T21" i="6" s="1"/>
  <c r="T43" i="6"/>
  <c r="X115" i="6"/>
  <c r="Y115" i="6" s="1"/>
  <c r="Z115" i="6" s="1"/>
  <c r="P47" i="6"/>
  <c r="Q47" i="6" s="1"/>
  <c r="R47" i="6" s="1"/>
  <c r="P124" i="6"/>
  <c r="Q124" i="6" s="1"/>
  <c r="X112" i="6"/>
  <c r="Y112" i="6" s="1"/>
  <c r="Z112" i="6" s="1"/>
  <c r="T35" i="6"/>
  <c r="U35" i="6" s="1"/>
  <c r="V35" i="6" s="1"/>
  <c r="X84" i="6"/>
  <c r="Y84" i="6" s="1"/>
  <c r="Z84" i="6" s="1"/>
  <c r="U24" i="41"/>
  <c r="V24" i="41" s="1"/>
  <c r="V23" i="41" s="1"/>
  <c r="Q14" i="41"/>
  <c r="R14" i="41" s="1"/>
  <c r="R13" i="41" s="1"/>
  <c r="N23" i="41"/>
  <c r="T29" i="6"/>
  <c r="U29" i="6" s="1"/>
  <c r="V29" i="6" s="1"/>
  <c r="M27" i="6"/>
  <c r="K79" i="6"/>
  <c r="K78" i="6" s="1"/>
  <c r="K77" i="6" s="1"/>
  <c r="T74" i="6"/>
  <c r="U74" i="6" s="1"/>
  <c r="V74" i="6" s="1"/>
  <c r="X126" i="6"/>
  <c r="Y126" i="6" s="1"/>
  <c r="Z126" i="6" s="1"/>
  <c r="P94" i="6"/>
  <c r="Q94" i="6" s="1"/>
  <c r="R94" i="6" s="1"/>
  <c r="X132" i="6"/>
  <c r="Y132" i="6" s="1"/>
  <c r="Z132" i="6" s="1"/>
  <c r="X83" i="6"/>
  <c r="T50" i="6"/>
  <c r="U50" i="6" s="1"/>
  <c r="V50" i="6" s="1"/>
  <c r="X37" i="6"/>
  <c r="Y37" i="6" s="1"/>
  <c r="Z37" i="6" s="1"/>
  <c r="X56" i="6"/>
  <c r="Y56" i="6" s="1"/>
  <c r="Z56" i="6" s="1"/>
  <c r="X18" i="6"/>
  <c r="X81" i="6"/>
  <c r="Y81" i="6" s="1"/>
  <c r="Z81" i="6" s="1"/>
  <c r="X125" i="6"/>
  <c r="Y125" i="6" s="1"/>
  <c r="Z125" i="6" s="1"/>
  <c r="P100" i="6"/>
  <c r="Q100" i="6" s="1"/>
  <c r="P14" i="6"/>
  <c r="P31" i="6"/>
  <c r="P30" i="6" s="1"/>
  <c r="U9" i="41"/>
  <c r="T117" i="6"/>
  <c r="U117" i="6" s="1"/>
  <c r="V117" i="6" s="1"/>
  <c r="T28" i="6"/>
  <c r="U28" i="6" s="1"/>
  <c r="U27" i="6" s="1"/>
  <c r="T94" i="6"/>
  <c r="U94" i="6" s="1"/>
  <c r="V94" i="6" s="1"/>
  <c r="X50" i="6"/>
  <c r="Y50" i="6" s="1"/>
  <c r="Z50" i="6" s="1"/>
  <c r="M17" i="6"/>
  <c r="Q66" i="41"/>
  <c r="R66" i="41" s="1"/>
  <c r="N20" i="41"/>
  <c r="N44" i="41"/>
  <c r="N9" i="41"/>
  <c r="Q43" i="41"/>
  <c r="R43" i="41" s="1"/>
  <c r="S43" i="41" s="1"/>
  <c r="N34" i="41"/>
  <c r="N31" i="41"/>
  <c r="N76" i="41"/>
  <c r="N50" i="41"/>
  <c r="N47" i="41" s="1"/>
  <c r="N67" i="41"/>
  <c r="N65" i="41" s="1"/>
  <c r="N53" i="41"/>
  <c r="N75" i="41"/>
  <c r="N42" i="41"/>
  <c r="N94" i="41"/>
  <c r="N18" i="41"/>
  <c r="N54" i="41"/>
  <c r="AC39" i="41"/>
  <c r="AD39" i="41" s="1"/>
  <c r="AE39" i="41" s="1"/>
  <c r="AC56" i="41"/>
  <c r="X19" i="6"/>
  <c r="Y19" i="6" s="1"/>
  <c r="Z19" i="6" s="1"/>
  <c r="X71" i="6"/>
  <c r="Y71" i="6" s="1"/>
  <c r="Z71" i="6" s="1"/>
  <c r="X52" i="6"/>
  <c r="Y52" i="6" s="1"/>
  <c r="Z52" i="6" s="1"/>
  <c r="P93" i="6"/>
  <c r="P53" i="6"/>
  <c r="Q53" i="6" s="1"/>
  <c r="R53" i="6" s="1"/>
  <c r="X72" i="6"/>
  <c r="Y72" i="6" s="1"/>
  <c r="Z72" i="6" s="1"/>
  <c r="P44" i="6"/>
  <c r="AB44" i="6" s="1"/>
  <c r="P111" i="6"/>
  <c r="Q111" i="6" s="1"/>
  <c r="R111" i="6" s="1"/>
  <c r="T26" i="6"/>
  <c r="U26" i="6" s="1"/>
  <c r="V26" i="6" s="1"/>
  <c r="AC17" i="41"/>
  <c r="X61" i="6"/>
  <c r="Y61" i="6" s="1"/>
  <c r="Z61" i="6" s="1"/>
  <c r="T101" i="6"/>
  <c r="U101" i="6" s="1"/>
  <c r="V101" i="6" s="1"/>
  <c r="T98" i="6"/>
  <c r="T59" i="6"/>
  <c r="T116" i="6"/>
  <c r="P99" i="6"/>
  <c r="P103" i="6"/>
  <c r="AB103" i="6" s="1"/>
  <c r="L55" i="41"/>
  <c r="L28" i="41" s="1"/>
  <c r="U35" i="41"/>
  <c r="V35" i="41" s="1"/>
  <c r="W35" i="41" s="1"/>
  <c r="AC51" i="41"/>
  <c r="AD51" i="41" s="1"/>
  <c r="AE51" i="41" s="1"/>
  <c r="U56" i="41"/>
  <c r="V56" i="41" s="1"/>
  <c r="N55" i="41"/>
  <c r="X88" i="6"/>
  <c r="Y88" i="6" s="1"/>
  <c r="Z88" i="6" s="1"/>
  <c r="X93" i="6"/>
  <c r="Y93" i="6" s="1"/>
  <c r="X57" i="6"/>
  <c r="Y57" i="6" s="1"/>
  <c r="Z57" i="6" s="1"/>
  <c r="P90" i="6"/>
  <c r="T66" i="6"/>
  <c r="U66" i="6" s="1"/>
  <c r="V66" i="6" s="1"/>
  <c r="P72" i="6"/>
  <c r="Q72" i="6" s="1"/>
  <c r="R72" i="6" s="1"/>
  <c r="T111" i="6"/>
  <c r="U111" i="6" s="1"/>
  <c r="V111" i="6" s="1"/>
  <c r="N16" i="41"/>
  <c r="X101" i="6"/>
  <c r="Y101" i="6" s="1"/>
  <c r="Z101" i="6" s="1"/>
  <c r="X98" i="6"/>
  <c r="Y98" i="6" s="1"/>
  <c r="P104" i="6"/>
  <c r="AB104" i="6" s="1"/>
  <c r="M58" i="6"/>
  <c r="Q51" i="41"/>
  <c r="R51" i="41" s="1"/>
  <c r="S51" i="41" s="1"/>
  <c r="Q17" i="41"/>
  <c r="R17" i="41" s="1"/>
  <c r="M55" i="41"/>
  <c r="M28" i="41" s="1"/>
  <c r="I63" i="41" s="1"/>
  <c r="AF78" i="26"/>
  <c r="AG82" i="26"/>
  <c r="AG85" i="26"/>
  <c r="Z57" i="41"/>
  <c r="Z55" i="41" s="1"/>
  <c r="Z28" i="41" s="1"/>
  <c r="AA56" i="41"/>
  <c r="N81" i="15"/>
  <c r="AA81" i="15"/>
  <c r="U55" i="41"/>
  <c r="Q143" i="6"/>
  <c r="R143" i="6" s="1"/>
  <c r="R40" i="41"/>
  <c r="S40" i="41" s="1"/>
  <c r="R19" i="41"/>
  <c r="S19" i="41" s="1"/>
  <c r="Q28" i="6"/>
  <c r="Q96" i="6"/>
  <c r="R96" i="6" s="1"/>
  <c r="U95" i="6"/>
  <c r="V95" i="6" s="1"/>
  <c r="AD22" i="41"/>
  <c r="AE22" i="41" s="1"/>
  <c r="V57" i="41"/>
  <c r="W57" i="41" s="1"/>
  <c r="Y64" i="6"/>
  <c r="Q19" i="6"/>
  <c r="R19" i="6" s="1"/>
  <c r="Q52" i="6"/>
  <c r="R52" i="6" s="1"/>
  <c r="Y111" i="6"/>
  <c r="Z111" i="6" s="1"/>
  <c r="R26" i="41"/>
  <c r="S26" i="41" s="1"/>
  <c r="Q51" i="6"/>
  <c r="R51" i="6" s="1"/>
  <c r="Q116" i="6"/>
  <c r="R116" i="6" s="1"/>
  <c r="W21" i="41"/>
  <c r="Q85" i="6"/>
  <c r="R85" i="6" s="1"/>
  <c r="AA71" i="15"/>
  <c r="N71" i="15"/>
  <c r="R39" i="41"/>
  <c r="S39" i="41" s="1"/>
  <c r="Q55" i="41"/>
  <c r="R56" i="41"/>
  <c r="R55" i="41" s="1"/>
  <c r="AF82" i="26"/>
  <c r="AG75" i="26"/>
  <c r="AF84" i="26"/>
  <c r="U88" i="6"/>
  <c r="V88" i="6" s="1"/>
  <c r="Q20" i="6"/>
  <c r="R20" i="6" s="1"/>
  <c r="U93" i="6"/>
  <c r="Y114" i="6"/>
  <c r="U57" i="6"/>
  <c r="V57" i="6" s="1"/>
  <c r="W17" i="41"/>
  <c r="AD15" i="41"/>
  <c r="AE15" i="41" s="1"/>
  <c r="Y117" i="6"/>
  <c r="Z117" i="6" s="1"/>
  <c r="U87" i="6"/>
  <c r="Q68" i="6"/>
  <c r="R68" i="6" s="1"/>
  <c r="U90" i="6"/>
  <c r="V90" i="6" s="1"/>
  <c r="Q22" i="6"/>
  <c r="Q43" i="6"/>
  <c r="R43" i="6" s="1"/>
  <c r="Q115" i="6"/>
  <c r="R115" i="6" s="1"/>
  <c r="Q66" i="6"/>
  <c r="R66" i="6" s="1"/>
  <c r="Y44" i="6"/>
  <c r="Z44" i="6" s="1"/>
  <c r="V49" i="41"/>
  <c r="W49" i="41" s="1"/>
  <c r="R49" i="41"/>
  <c r="S49" i="41" s="1"/>
  <c r="AD24" i="41"/>
  <c r="AD23" i="41" s="1"/>
  <c r="AC23" i="41"/>
  <c r="X78" i="15"/>
  <c r="S78" i="15"/>
  <c r="R78" i="15"/>
  <c r="T78" i="15"/>
  <c r="W78" i="15"/>
  <c r="Y78" i="15"/>
  <c r="Q102" i="6"/>
  <c r="R102" i="6" s="1"/>
  <c r="Y104" i="6"/>
  <c r="Z104" i="6" s="1"/>
  <c r="Y59" i="6"/>
  <c r="R71" i="41"/>
  <c r="S71" i="41" s="1"/>
  <c r="R35" i="41"/>
  <c r="S35" i="41" s="1"/>
  <c r="U119" i="6"/>
  <c r="V119" i="6" s="1"/>
  <c r="Q56" i="6"/>
  <c r="R56" i="6" s="1"/>
  <c r="Q18" i="6"/>
  <c r="P17" i="6"/>
  <c r="Q125" i="6"/>
  <c r="R125" i="6" s="1"/>
  <c r="U14" i="6"/>
  <c r="W10" i="41"/>
  <c r="W9" i="41" s="1"/>
  <c r="U91" i="6"/>
  <c r="V91" i="6" s="1"/>
  <c r="Q127" i="6"/>
  <c r="R127" i="6" s="1"/>
  <c r="Q142" i="6"/>
  <c r="R36" i="41"/>
  <c r="S36" i="41" s="1"/>
  <c r="Q84" i="6"/>
  <c r="R84" i="6" s="1"/>
  <c r="R59" i="41"/>
  <c r="S59" i="41" s="1"/>
  <c r="Q101" i="6"/>
  <c r="R101" i="6" s="1"/>
  <c r="AD68" i="41"/>
  <c r="AE68" i="41" s="1"/>
  <c r="U99" i="6"/>
  <c r="V99" i="6" s="1"/>
  <c r="U83" i="6"/>
  <c r="Q50" i="6"/>
  <c r="R50" i="6" s="1"/>
  <c r="Q81" i="6"/>
  <c r="R81" i="6" s="1"/>
  <c r="U25" i="6"/>
  <c r="Q42" i="6"/>
  <c r="R42" i="6" s="1"/>
  <c r="Q71" i="6"/>
  <c r="R71" i="6" s="1"/>
  <c r="Q60" i="6"/>
  <c r="R60" i="6" s="1"/>
  <c r="Q35" i="6"/>
  <c r="R35" i="6" s="1"/>
  <c r="Q26" i="6"/>
  <c r="R26" i="6" s="1"/>
  <c r="AD49" i="41"/>
  <c r="AE49" i="41" s="1"/>
  <c r="AD19" i="41"/>
  <c r="AE19" i="41" s="1"/>
  <c r="AD37" i="41"/>
  <c r="AE37" i="41" s="1"/>
  <c r="Q106" i="6"/>
  <c r="R106" i="6" s="1"/>
  <c r="V15" i="41"/>
  <c r="W15" i="41" s="1"/>
  <c r="Q88" i="6"/>
  <c r="R88" i="6" s="1"/>
  <c r="X24" i="6"/>
  <c r="Y25" i="6"/>
  <c r="Y24" i="6" s="1"/>
  <c r="U46" i="6"/>
  <c r="Q57" i="6"/>
  <c r="R57" i="6" s="1"/>
  <c r="AF123" i="26"/>
  <c r="AF127" i="26"/>
  <c r="Q112" i="6"/>
  <c r="R112" i="6" s="1"/>
  <c r="E97" i="15"/>
  <c r="F97" i="15"/>
  <c r="I98" i="15" s="1"/>
  <c r="T99" i="15" s="1"/>
  <c r="Q61" i="6"/>
  <c r="R61" i="6" s="1"/>
  <c r="Q139" i="6"/>
  <c r="Q98" i="6"/>
  <c r="Q59" i="6"/>
  <c r="V71" i="41"/>
  <c r="W71" i="41" s="1"/>
  <c r="AD71" i="41"/>
  <c r="AE71" i="41" s="1"/>
  <c r="AD35" i="41"/>
  <c r="AE35" i="41" s="1"/>
  <c r="Q48" i="6"/>
  <c r="R48" i="6" s="1"/>
  <c r="Y70" i="6"/>
  <c r="Y14" i="6"/>
  <c r="AB114" i="6" l="1"/>
  <c r="U51" i="6"/>
  <c r="V51" i="6" s="1"/>
  <c r="AC55" i="41"/>
  <c r="X27" i="6"/>
  <c r="U20" i="41"/>
  <c r="U123" i="6"/>
  <c r="AB102" i="6"/>
  <c r="W20" i="41"/>
  <c r="X69" i="6"/>
  <c r="Q23" i="6"/>
  <c r="R23" i="6" s="1"/>
  <c r="Y69" i="6"/>
  <c r="AB68" i="6"/>
  <c r="AB139" i="6"/>
  <c r="Y92" i="6"/>
  <c r="AB96" i="6"/>
  <c r="T17" i="6"/>
  <c r="Q17" i="6"/>
  <c r="T86" i="6"/>
  <c r="Q31" i="6"/>
  <c r="Q30" i="6" s="1"/>
  <c r="Y40" i="6"/>
  <c r="T24" i="6"/>
  <c r="K132" i="28" s="1"/>
  <c r="P97" i="6"/>
  <c r="T54" i="6"/>
  <c r="P141" i="6"/>
  <c r="AB51" i="6"/>
  <c r="X17" i="6"/>
  <c r="X82" i="6"/>
  <c r="Y86" i="6"/>
  <c r="U17" i="6"/>
  <c r="AD13" i="41"/>
  <c r="X40" i="6"/>
  <c r="U24" i="6"/>
  <c r="Y68" i="6"/>
  <c r="Z68" i="6" s="1"/>
  <c r="T92" i="6"/>
  <c r="T58" i="6"/>
  <c r="Q82" i="6"/>
  <c r="Q95" i="6"/>
  <c r="R95" i="6" s="1"/>
  <c r="U56" i="6"/>
  <c r="V56" i="6" s="1"/>
  <c r="T45" i="6"/>
  <c r="T82" i="6"/>
  <c r="Q45" i="6"/>
  <c r="Y58" i="6"/>
  <c r="Y18" i="6"/>
  <c r="Y17" i="6" s="1"/>
  <c r="AB85" i="6"/>
  <c r="X63" i="6"/>
  <c r="P40" i="6"/>
  <c r="U63" i="6"/>
  <c r="Y123" i="6"/>
  <c r="Q44" i="41"/>
  <c r="AD44" i="41"/>
  <c r="Y141" i="6"/>
  <c r="T141" i="6"/>
  <c r="P45" i="6"/>
  <c r="Q89" i="6"/>
  <c r="R89" i="6" s="1"/>
  <c r="T40" i="6"/>
  <c r="U45" i="6"/>
  <c r="Q141" i="6"/>
  <c r="X58" i="6"/>
  <c r="U86" i="6"/>
  <c r="Y97" i="6"/>
  <c r="V55" i="41"/>
  <c r="P92" i="6"/>
  <c r="Q123" i="6"/>
  <c r="X45" i="6"/>
  <c r="P69" i="6"/>
  <c r="X30" i="6"/>
  <c r="P63" i="6"/>
  <c r="V13" i="41"/>
  <c r="AB46" i="6"/>
  <c r="AB145" i="6"/>
  <c r="AB89" i="6"/>
  <c r="Y46" i="6"/>
  <c r="Y45" i="6" s="1"/>
  <c r="W14" i="41"/>
  <c r="W13" i="41" s="1"/>
  <c r="AB57" i="6"/>
  <c r="AB106" i="6"/>
  <c r="AB25" i="6"/>
  <c r="AD56" i="41"/>
  <c r="AD55" i="41" s="1"/>
  <c r="W48" i="41"/>
  <c r="T30" i="6"/>
  <c r="U142" i="6"/>
  <c r="U141" i="6" s="1"/>
  <c r="X21" i="6"/>
  <c r="AB99" i="6"/>
  <c r="T123" i="6"/>
  <c r="AB70" i="6"/>
  <c r="AB23" i="6"/>
  <c r="Q70" i="6"/>
  <c r="Q69" i="6" s="1"/>
  <c r="AB31" i="6"/>
  <c r="U31" i="6"/>
  <c r="V31" i="6" s="1"/>
  <c r="V30" i="6" s="1"/>
  <c r="AB95" i="6"/>
  <c r="AB48" i="6"/>
  <c r="AB94" i="6"/>
  <c r="Q64" i="6"/>
  <c r="Q63" i="6" s="1"/>
  <c r="U70" i="6"/>
  <c r="U69" i="6" s="1"/>
  <c r="U23" i="41"/>
  <c r="AB49" i="6"/>
  <c r="AB127" i="6"/>
  <c r="X141" i="6"/>
  <c r="AB91" i="6"/>
  <c r="Y31" i="6"/>
  <c r="Y30" i="6" s="1"/>
  <c r="Q25" i="6"/>
  <c r="Q24" i="6" s="1"/>
  <c r="AB142" i="6"/>
  <c r="AB60" i="6"/>
  <c r="AB81" i="6"/>
  <c r="Q99" i="6"/>
  <c r="R99" i="6" s="1"/>
  <c r="X97" i="6"/>
  <c r="AB52" i="6"/>
  <c r="AB28" i="6"/>
  <c r="AB143" i="6"/>
  <c r="AB29" i="6"/>
  <c r="Y83" i="6"/>
  <c r="Y82" i="6" s="1"/>
  <c r="T27" i="6"/>
  <c r="Q29" i="6"/>
  <c r="R29" i="6" s="1"/>
  <c r="Q119" i="6"/>
  <c r="R119" i="6" s="1"/>
  <c r="AB61" i="6"/>
  <c r="Q20" i="41"/>
  <c r="AB14" i="6"/>
  <c r="X92" i="6"/>
  <c r="Q23" i="41"/>
  <c r="Q44" i="6"/>
  <c r="R44" i="6" s="1"/>
  <c r="U85" i="6"/>
  <c r="V85" i="6" s="1"/>
  <c r="AB18" i="6"/>
  <c r="AB66" i="6"/>
  <c r="Q14" i="6"/>
  <c r="AB116" i="6"/>
  <c r="X86" i="6"/>
  <c r="AB16" i="6"/>
  <c r="U116" i="6"/>
  <c r="V116" i="6" s="1"/>
  <c r="AB144" i="6"/>
  <c r="M77" i="6"/>
  <c r="AC13" i="41"/>
  <c r="K133" i="28"/>
  <c r="AB20" i="6"/>
  <c r="Q114" i="6"/>
  <c r="U114" i="6"/>
  <c r="U96" i="6"/>
  <c r="V96" i="6" s="1"/>
  <c r="P79" i="6"/>
  <c r="P78" i="6" s="1"/>
  <c r="AB111" i="6"/>
  <c r="AB124" i="6"/>
  <c r="T63" i="6"/>
  <c r="T79" i="6"/>
  <c r="U79" i="6" s="1"/>
  <c r="U78" i="6" s="1"/>
  <c r="AF64" i="41"/>
  <c r="AB132" i="6"/>
  <c r="X79" i="6"/>
  <c r="X78" i="6" s="1"/>
  <c r="AB50" i="6"/>
  <c r="M39" i="6"/>
  <c r="AD17" i="41"/>
  <c r="U41" i="6"/>
  <c r="AD66" i="41"/>
  <c r="AB117" i="6"/>
  <c r="AB87" i="6"/>
  <c r="W45" i="41"/>
  <c r="W44" i="41" s="1"/>
  <c r="AB56" i="6"/>
  <c r="I70" i="41"/>
  <c r="I69" i="41" s="1"/>
  <c r="AB148" i="6"/>
  <c r="AB84" i="6"/>
  <c r="AB126" i="6"/>
  <c r="AB115" i="6"/>
  <c r="AB83" i="6"/>
  <c r="Q9" i="41"/>
  <c r="AD21" i="41"/>
  <c r="AD20" i="41" s="1"/>
  <c r="H77" i="6"/>
  <c r="H78" i="6" s="1"/>
  <c r="R45" i="41"/>
  <c r="R44" i="41" s="1"/>
  <c r="AB125" i="6"/>
  <c r="I129" i="6"/>
  <c r="N129" i="6" s="1"/>
  <c r="AB47" i="6"/>
  <c r="X123" i="6"/>
  <c r="X192" i="6" s="1"/>
  <c r="Z192" i="6" s="1"/>
  <c r="H56" i="15" s="1"/>
  <c r="M53" i="15" s="1"/>
  <c r="AC44" i="41"/>
  <c r="AB67" i="6"/>
  <c r="AB43" i="6"/>
  <c r="AB62" i="6"/>
  <c r="AF46" i="41"/>
  <c r="P86" i="6"/>
  <c r="AB74" i="6"/>
  <c r="AB146" i="6"/>
  <c r="I110" i="6"/>
  <c r="AI110" i="6" s="1"/>
  <c r="AI109" i="6" s="1"/>
  <c r="Q62" i="6"/>
  <c r="R62" i="6" s="1"/>
  <c r="AB35" i="6"/>
  <c r="AB65" i="6"/>
  <c r="R100" i="6"/>
  <c r="R83" i="6"/>
  <c r="R82" i="6" s="1"/>
  <c r="T97" i="6"/>
  <c r="P82" i="6"/>
  <c r="AB64" i="6"/>
  <c r="AB42" i="6"/>
  <c r="U59" i="6"/>
  <c r="U58" i="6" s="1"/>
  <c r="Q104" i="6"/>
  <c r="R104" i="6" s="1"/>
  <c r="W66" i="41"/>
  <c r="K80" i="28"/>
  <c r="K79" i="28"/>
  <c r="U18" i="41"/>
  <c r="Q18" i="41"/>
  <c r="R18" i="41" s="1"/>
  <c r="S18" i="41" s="1"/>
  <c r="AC18" i="41"/>
  <c r="AD18" i="41" s="1"/>
  <c r="AE18" i="41" s="1"/>
  <c r="AB26" i="6"/>
  <c r="Q55" i="6"/>
  <c r="Q54" i="6" s="1"/>
  <c r="AB41" i="6"/>
  <c r="U67" i="41"/>
  <c r="Q67" i="41"/>
  <c r="R67" i="41" s="1"/>
  <c r="S67" i="41" s="1"/>
  <c r="AC67" i="41"/>
  <c r="AD67" i="41" s="1"/>
  <c r="AE67" i="41" s="1"/>
  <c r="AC34" i="41"/>
  <c r="U34" i="41"/>
  <c r="N33" i="41"/>
  <c r="Q34" i="41"/>
  <c r="P123" i="6"/>
  <c r="P192" i="6" s="1"/>
  <c r="AB53" i="6"/>
  <c r="AB37" i="6"/>
  <c r="L79" i="6"/>
  <c r="L78" i="6" s="1"/>
  <c r="L77" i="6" s="1"/>
  <c r="X54" i="6"/>
  <c r="Q13" i="41"/>
  <c r="AB55" i="6"/>
  <c r="R46" i="6"/>
  <c r="R45" i="6" s="1"/>
  <c r="R18" i="6"/>
  <c r="R17" i="6" s="1"/>
  <c r="V139" i="6"/>
  <c r="AB22" i="6"/>
  <c r="Q41" i="6"/>
  <c r="Q103" i="6"/>
  <c r="R103" i="6" s="1"/>
  <c r="U22" i="6"/>
  <c r="U21" i="6" s="1"/>
  <c r="AB19" i="6"/>
  <c r="U100" i="6"/>
  <c r="V100" i="6" s="1"/>
  <c r="Q93" i="6"/>
  <c r="AB93" i="6"/>
  <c r="U42" i="41"/>
  <c r="N41" i="41"/>
  <c r="Q42" i="41"/>
  <c r="AC42" i="41"/>
  <c r="AC50" i="41"/>
  <c r="AD50" i="41" s="1"/>
  <c r="AE50" i="41" s="1"/>
  <c r="U50" i="41"/>
  <c r="Q50" i="41"/>
  <c r="R50" i="41" s="1"/>
  <c r="S50" i="41" s="1"/>
  <c r="Q53" i="41"/>
  <c r="AC53" i="41"/>
  <c r="U53" i="41"/>
  <c r="N52" i="41"/>
  <c r="U31" i="41"/>
  <c r="Q31" i="41"/>
  <c r="N30" i="41"/>
  <c r="AC31" i="41"/>
  <c r="U43" i="6"/>
  <c r="V43" i="6" s="1"/>
  <c r="U98" i="6"/>
  <c r="Q94" i="41"/>
  <c r="U94" i="41"/>
  <c r="V94" i="41" s="1"/>
  <c r="V90" i="41" s="1"/>
  <c r="V83" i="41" s="1"/>
  <c r="AB80" i="6"/>
  <c r="AB98" i="6"/>
  <c r="S24" i="41"/>
  <c r="S23" i="41" s="1"/>
  <c r="AB112" i="6"/>
  <c r="AB101" i="6"/>
  <c r="V28" i="6"/>
  <c r="V27" i="6" s="1"/>
  <c r="AB100" i="6"/>
  <c r="Z93" i="6"/>
  <c r="Z92" i="6" s="1"/>
  <c r="Z64" i="6"/>
  <c r="N8" i="41"/>
  <c r="Q54" i="41"/>
  <c r="R54" i="41" s="1"/>
  <c r="S54" i="41" s="1"/>
  <c r="U54" i="41"/>
  <c r="V54" i="41" s="1"/>
  <c r="W54" i="41" s="1"/>
  <c r="AC54" i="41"/>
  <c r="AD54" i="41" s="1"/>
  <c r="AE54" i="41" s="1"/>
  <c r="AC75" i="41"/>
  <c r="N73" i="41"/>
  <c r="U75" i="41"/>
  <c r="Q75" i="41"/>
  <c r="U76" i="41"/>
  <c r="V76" i="41" s="1"/>
  <c r="W76" i="41" s="1"/>
  <c r="AC76" i="41"/>
  <c r="AD76" i="41" s="1"/>
  <c r="AE76" i="41" s="1"/>
  <c r="Q76" i="41"/>
  <c r="R76" i="41" s="1"/>
  <c r="S76" i="41" s="1"/>
  <c r="AB59" i="6"/>
  <c r="AB71" i="6"/>
  <c r="V25" i="6"/>
  <c r="V24" i="6" s="1"/>
  <c r="Q90" i="6"/>
  <c r="R90" i="6" s="1"/>
  <c r="Z114" i="6"/>
  <c r="Z87" i="6"/>
  <c r="Z86" i="6" s="1"/>
  <c r="AB72" i="6"/>
  <c r="AF39" i="41"/>
  <c r="AB88" i="6"/>
  <c r="W24" i="41"/>
  <c r="W23" i="41" s="1"/>
  <c r="AB90" i="6"/>
  <c r="V93" i="6"/>
  <c r="Z28" i="6"/>
  <c r="Z27" i="6" s="1"/>
  <c r="AF38" i="41"/>
  <c r="AE24" i="41"/>
  <c r="AE23" i="41" s="1"/>
  <c r="AA57" i="41"/>
  <c r="AA55" i="41" s="1"/>
  <c r="AA28" i="41" s="1"/>
  <c r="AF71" i="41"/>
  <c r="S48" i="41"/>
  <c r="S17" i="41"/>
  <c r="Z14" i="6"/>
  <c r="S21" i="41"/>
  <c r="S20" i="41" s="1"/>
  <c r="V83" i="6"/>
  <c r="R22" i="6"/>
  <c r="R21" i="6" s="1"/>
  <c r="R98" i="6"/>
  <c r="AE14" i="41"/>
  <c r="AE13" i="41" s="1"/>
  <c r="AE48" i="41"/>
  <c r="V46" i="6"/>
  <c r="V45" i="6" s="1"/>
  <c r="Z25" i="6"/>
  <c r="Z24" i="6" s="1"/>
  <c r="R142" i="6"/>
  <c r="R141" i="6" s="1"/>
  <c r="Z142" i="6"/>
  <c r="Z141" i="6" s="1"/>
  <c r="S56" i="41"/>
  <c r="S55" i="41" s="1"/>
  <c r="AF43" i="41"/>
  <c r="R28" i="6"/>
  <c r="AE45" i="41"/>
  <c r="AE44" i="41" s="1"/>
  <c r="W56" i="41"/>
  <c r="W55" i="41" s="1"/>
  <c r="I62" i="41"/>
  <c r="N63" i="41"/>
  <c r="O63" i="41"/>
  <c r="O62" i="41" s="1"/>
  <c r="AQ63" i="41"/>
  <c r="AQ62" i="41" s="1"/>
  <c r="Y63" i="41"/>
  <c r="AP63" i="41"/>
  <c r="AP62" i="41" s="1"/>
  <c r="L63" i="41"/>
  <c r="L62" i="41" s="1"/>
  <c r="D62" i="21"/>
  <c r="AF51" i="41"/>
  <c r="AF19" i="41"/>
  <c r="AF35" i="41"/>
  <c r="AF37" i="41"/>
  <c r="AF40" i="41"/>
  <c r="V18" i="6"/>
  <c r="V17" i="6" s="1"/>
  <c r="R139" i="6"/>
  <c r="R124" i="6"/>
  <c r="R123" i="6" s="1"/>
  <c r="Y54" i="6"/>
  <c r="Z55" i="6"/>
  <c r="Z54" i="6" s="1"/>
  <c r="Z41" i="6"/>
  <c r="Z40" i="6" s="1"/>
  <c r="S14" i="41"/>
  <c r="V64" i="6"/>
  <c r="V63" i="6" s="1"/>
  <c r="Z59" i="6"/>
  <c r="Z58" i="6" s="1"/>
  <c r="V124" i="6"/>
  <c r="V123" i="6" s="1"/>
  <c r="K77" i="28"/>
  <c r="AF15" i="41"/>
  <c r="V87" i="6"/>
  <c r="V86" i="6" s="1"/>
  <c r="H97" i="15"/>
  <c r="G97" i="15"/>
  <c r="Q97" i="15"/>
  <c r="AF59" i="41"/>
  <c r="Z22" i="6"/>
  <c r="Z21" i="6" s="1"/>
  <c r="AF36" i="41"/>
  <c r="AF49" i="41"/>
  <c r="AF81" i="26"/>
  <c r="AF85" i="26"/>
  <c r="P71" i="15"/>
  <c r="P78" i="15" s="1"/>
  <c r="N78" i="15"/>
  <c r="AF68" i="41"/>
  <c r="AF26" i="41"/>
  <c r="S10" i="41"/>
  <c r="U54" i="6"/>
  <c r="V55" i="6"/>
  <c r="Z139" i="6"/>
  <c r="Z70" i="6"/>
  <c r="Z69" i="6" s="1"/>
  <c r="R59" i="6"/>
  <c r="S66" i="41"/>
  <c r="R87" i="6"/>
  <c r="V14" i="6"/>
  <c r="Z124" i="6"/>
  <c r="Z123" i="6" s="1"/>
  <c r="Z98" i="6"/>
  <c r="Z97" i="6" s="1"/>
  <c r="N88" i="15"/>
  <c r="Y89" i="15" s="1"/>
  <c r="V88" i="15" s="1"/>
  <c r="AA88" i="15" s="1"/>
  <c r="P81" i="15"/>
  <c r="P88" i="15" s="1"/>
  <c r="Y63" i="6" l="1"/>
  <c r="AE47" i="41"/>
  <c r="AB21" i="6"/>
  <c r="T192" i="6"/>
  <c r="V192" i="6" s="1"/>
  <c r="G56" i="15" s="1"/>
  <c r="L56" i="15" s="1"/>
  <c r="Q21" i="6"/>
  <c r="AB54" i="6"/>
  <c r="AB40" i="6"/>
  <c r="U97" i="6"/>
  <c r="S47" i="41"/>
  <c r="Y79" i="6"/>
  <c r="Y78" i="6" s="1"/>
  <c r="Y77" i="6" s="1"/>
  <c r="Y39" i="6"/>
  <c r="U30" i="6"/>
  <c r="Q65" i="41"/>
  <c r="P39" i="6"/>
  <c r="P186" i="6" s="1"/>
  <c r="R186" i="6" s="1"/>
  <c r="F50" i="15" s="1"/>
  <c r="K50" i="15" s="1"/>
  <c r="X39" i="6"/>
  <c r="X186" i="6" s="1"/>
  <c r="Z186" i="6" s="1"/>
  <c r="H50" i="15" s="1"/>
  <c r="M50" i="15" s="1"/>
  <c r="K135" i="28"/>
  <c r="R31" i="6"/>
  <c r="R30" i="6" s="1"/>
  <c r="AB24" i="6"/>
  <c r="AB97" i="6"/>
  <c r="R86" i="6"/>
  <c r="V82" i="6"/>
  <c r="U40" i="6"/>
  <c r="U39" i="6" s="1"/>
  <c r="AB27" i="6"/>
  <c r="Q86" i="6"/>
  <c r="Q77" i="6" s="1"/>
  <c r="U82" i="6"/>
  <c r="R47" i="41"/>
  <c r="Q47" i="41"/>
  <c r="V59" i="6"/>
  <c r="V58" i="6" s="1"/>
  <c r="R70" i="6"/>
  <c r="R69" i="6" s="1"/>
  <c r="R27" i="6"/>
  <c r="Q40" i="6"/>
  <c r="Z18" i="6"/>
  <c r="Z17" i="6" s="1"/>
  <c r="AD16" i="41"/>
  <c r="AD8" i="41" s="1"/>
  <c r="U92" i="6"/>
  <c r="AC16" i="41"/>
  <c r="AC8" i="41" s="1"/>
  <c r="Q27" i="6"/>
  <c r="K131" i="28"/>
  <c r="V50" i="41"/>
  <c r="U47" i="41"/>
  <c r="Q58" i="6"/>
  <c r="V142" i="6"/>
  <c r="V141" i="6" s="1"/>
  <c r="Z63" i="6"/>
  <c r="V18" i="41"/>
  <c r="U16" i="41"/>
  <c r="U8" i="41" s="1"/>
  <c r="AC47" i="41"/>
  <c r="Q16" i="41"/>
  <c r="Q8" i="41" s="1"/>
  <c r="AB92" i="6"/>
  <c r="AC65" i="41"/>
  <c r="R16" i="41"/>
  <c r="R8" i="41" s="1"/>
  <c r="AB58" i="6"/>
  <c r="AB141" i="6"/>
  <c r="R97" i="6"/>
  <c r="V92" i="6"/>
  <c r="AB82" i="6"/>
  <c r="AB86" i="6" s="1"/>
  <c r="AB120" i="6"/>
  <c r="AD47" i="41"/>
  <c r="R58" i="6"/>
  <c r="V54" i="6"/>
  <c r="Q79" i="6"/>
  <c r="Q78" i="6" s="1"/>
  <c r="K134" i="28"/>
  <c r="Q92" i="6"/>
  <c r="Z46" i="6"/>
  <c r="Z45" i="6" s="1"/>
  <c r="V67" i="41"/>
  <c r="U65" i="41"/>
  <c r="AB63" i="6"/>
  <c r="AD65" i="41"/>
  <c r="AB30" i="6"/>
  <c r="AB69" i="6"/>
  <c r="AB73" i="6" s="1"/>
  <c r="AB45" i="6"/>
  <c r="R65" i="41"/>
  <c r="Q97" i="6"/>
  <c r="AE56" i="41"/>
  <c r="AE55" i="41" s="1"/>
  <c r="R64" i="6"/>
  <c r="R63" i="6" s="1"/>
  <c r="M110" i="6"/>
  <c r="X110" i="6" s="1"/>
  <c r="AJ110" i="6"/>
  <c r="AJ109" i="6" s="1"/>
  <c r="Z31" i="6"/>
  <c r="Z30" i="6" s="1"/>
  <c r="V70" i="6"/>
  <c r="V69" i="6" s="1"/>
  <c r="R25" i="6"/>
  <c r="R24" i="6" s="1"/>
  <c r="R114" i="6"/>
  <c r="R14" i="6"/>
  <c r="Z83" i="6"/>
  <c r="Z82" i="6" s="1"/>
  <c r="AE21" i="41"/>
  <c r="AE20" i="41" s="1"/>
  <c r="T39" i="6"/>
  <c r="T186" i="6" s="1"/>
  <c r="V186" i="6" s="1"/>
  <c r="G50" i="15" s="1"/>
  <c r="L50" i="15" s="1"/>
  <c r="V41" i="6"/>
  <c r="V40" i="6" s="1"/>
  <c r="AB123" i="6"/>
  <c r="O70" i="41"/>
  <c r="O69" i="41" s="1"/>
  <c r="O61" i="41" s="1"/>
  <c r="O78" i="41" s="1"/>
  <c r="V114" i="6"/>
  <c r="X77" i="6"/>
  <c r="AJ129" i="6"/>
  <c r="K129" i="6"/>
  <c r="L129" i="6" s="1"/>
  <c r="Y70" i="41"/>
  <c r="Y69" i="41" s="1"/>
  <c r="M129" i="6"/>
  <c r="P129" i="6" s="1"/>
  <c r="I118" i="6"/>
  <c r="M118" i="6" s="1"/>
  <c r="M113" i="6" s="1"/>
  <c r="L70" i="41"/>
  <c r="L69" i="41" s="1"/>
  <c r="L61" i="41" s="1"/>
  <c r="L78" i="41" s="1"/>
  <c r="AE66" i="41"/>
  <c r="AE65" i="41" s="1"/>
  <c r="T78" i="6"/>
  <c r="T77" i="6" s="1"/>
  <c r="AI129" i="6"/>
  <c r="AB79" i="6"/>
  <c r="AB78" i="6" s="1"/>
  <c r="AQ70" i="41"/>
  <c r="AQ69" i="41" s="1"/>
  <c r="AQ61" i="41" s="1"/>
  <c r="AQ78" i="41" s="1"/>
  <c r="N70" i="41"/>
  <c r="AC70" i="41" s="1"/>
  <c r="AP70" i="41"/>
  <c r="AP69" i="41" s="1"/>
  <c r="AP61" i="41" s="1"/>
  <c r="AP78" i="41" s="1"/>
  <c r="N110" i="6"/>
  <c r="N109" i="6" s="1"/>
  <c r="S45" i="41"/>
  <c r="S44" i="41" s="1"/>
  <c r="W94" i="41"/>
  <c r="K110" i="6"/>
  <c r="K109" i="6" s="1"/>
  <c r="AE17" i="41"/>
  <c r="AE16" i="41" s="1"/>
  <c r="I109" i="6"/>
  <c r="AF54" i="41"/>
  <c r="N28" i="41"/>
  <c r="R93" i="6"/>
  <c r="R92" i="6" s="1"/>
  <c r="AF76" i="41"/>
  <c r="R41" i="6"/>
  <c r="R40" i="6" s="1"/>
  <c r="AC73" i="41"/>
  <c r="AD75" i="41"/>
  <c r="AD34" i="41"/>
  <c r="AD33" i="41" s="1"/>
  <c r="AC33" i="41"/>
  <c r="R75" i="41"/>
  <c r="R73" i="41" s="1"/>
  <c r="Q73" i="41"/>
  <c r="Q30" i="41"/>
  <c r="R31" i="41"/>
  <c r="R30" i="41" s="1"/>
  <c r="AD53" i="41"/>
  <c r="AD52" i="41" s="1"/>
  <c r="AC52" i="41"/>
  <c r="AF24" i="41"/>
  <c r="AF23" i="41" s="1"/>
  <c r="U73" i="41"/>
  <c r="V75" i="41"/>
  <c r="V31" i="41"/>
  <c r="V30" i="41" s="1"/>
  <c r="U30" i="41"/>
  <c r="Q52" i="41"/>
  <c r="R53" i="41"/>
  <c r="AD42" i="41"/>
  <c r="AC41" i="41"/>
  <c r="V53" i="41"/>
  <c r="V52" i="41" s="1"/>
  <c r="U52" i="41"/>
  <c r="V98" i="6"/>
  <c r="V97" i="6" s="1"/>
  <c r="AF57" i="41"/>
  <c r="V42" i="41"/>
  <c r="V41" i="41" s="1"/>
  <c r="U41" i="41"/>
  <c r="R34" i="41"/>
  <c r="Q33" i="41"/>
  <c r="R94" i="41"/>
  <c r="R90" i="41" s="1"/>
  <c r="R83" i="41" s="1"/>
  <c r="AD31" i="41"/>
  <c r="AC30" i="41"/>
  <c r="Q41" i="41"/>
  <c r="R42" i="41"/>
  <c r="V34" i="41"/>
  <c r="V33" i="41" s="1"/>
  <c r="U33" i="41"/>
  <c r="R55" i="6"/>
  <c r="R54" i="6" s="1"/>
  <c r="V22" i="6"/>
  <c r="V21" i="6" s="1"/>
  <c r="AF48" i="41"/>
  <c r="M63" i="41"/>
  <c r="M62" i="41" s="1"/>
  <c r="I61" i="41"/>
  <c r="I78" i="41" s="1"/>
  <c r="S16" i="41"/>
  <c r="E62" i="21"/>
  <c r="E61" i="21" s="1"/>
  <c r="E71" i="21" s="1"/>
  <c r="E99" i="21" s="1"/>
  <c r="E102" i="21" s="1"/>
  <c r="D61" i="21"/>
  <c r="D71" i="21" s="1"/>
  <c r="U63" i="41"/>
  <c r="AC63" i="41"/>
  <c r="Q63" i="41"/>
  <c r="N62" i="41"/>
  <c r="Z63" i="41"/>
  <c r="Z62" i="41" s="1"/>
  <c r="Y62" i="41"/>
  <c r="N97" i="15"/>
  <c r="Y79" i="15"/>
  <c r="S9" i="41"/>
  <c r="AF10" i="41"/>
  <c r="AF9" i="41" s="1"/>
  <c r="AA78" i="15"/>
  <c r="P97" i="15"/>
  <c r="AA97" i="15" s="1"/>
  <c r="P77" i="6"/>
  <c r="S65" i="41"/>
  <c r="X97" i="15"/>
  <c r="T97" i="15"/>
  <c r="R97" i="15"/>
  <c r="W97" i="15"/>
  <c r="S97" i="15"/>
  <c r="Y97" i="15"/>
  <c r="V79" i="6"/>
  <c r="V78" i="6" s="1"/>
  <c r="I192" i="6"/>
  <c r="H192" i="6" s="1"/>
  <c r="R192" i="6"/>
  <c r="F56" i="15" s="1"/>
  <c r="AF14" i="41"/>
  <c r="AF13" i="41" s="1"/>
  <c r="S13" i="41"/>
  <c r="AE8" i="41" l="1"/>
  <c r="AB17" i="6"/>
  <c r="X129" i="6"/>
  <c r="U77" i="6"/>
  <c r="Z79" i="6"/>
  <c r="Z78" i="6" s="1"/>
  <c r="Z77" i="6" s="1"/>
  <c r="T129" i="6"/>
  <c r="AB129" i="6" s="1"/>
  <c r="Q70" i="41"/>
  <c r="R70" i="41" s="1"/>
  <c r="R69" i="41" s="1"/>
  <c r="AF21" i="41"/>
  <c r="AF20" i="41" s="1"/>
  <c r="AB77" i="6"/>
  <c r="V39" i="6"/>
  <c r="AF56" i="41"/>
  <c r="Q39" i="6"/>
  <c r="AJ118" i="6"/>
  <c r="AJ113" i="6" s="1"/>
  <c r="AJ108" i="6" s="1"/>
  <c r="P110" i="6"/>
  <c r="Q110" i="6" s="1"/>
  <c r="Q109" i="6" s="1"/>
  <c r="AB39" i="6"/>
  <c r="Z39" i="6"/>
  <c r="R79" i="6"/>
  <c r="R78" i="6" s="1"/>
  <c r="M109" i="6"/>
  <c r="M108" i="6" s="1"/>
  <c r="W18" i="41"/>
  <c r="V16" i="41"/>
  <c r="V8" i="41" s="1"/>
  <c r="W67" i="41"/>
  <c r="V65" i="41"/>
  <c r="K76" i="28"/>
  <c r="W50" i="41"/>
  <c r="V47" i="41"/>
  <c r="V28" i="41" s="1"/>
  <c r="T110" i="6"/>
  <c r="T109" i="6" s="1"/>
  <c r="I50" i="15"/>
  <c r="Q50" i="15" s="1"/>
  <c r="K118" i="6"/>
  <c r="K113" i="6" s="1"/>
  <c r="K108" i="6" s="1"/>
  <c r="I186" i="6"/>
  <c r="H186" i="6" s="1"/>
  <c r="R39" i="6"/>
  <c r="Z70" i="41"/>
  <c r="Z69" i="41" s="1"/>
  <c r="Z61" i="41" s="1"/>
  <c r="Z78" i="41" s="1"/>
  <c r="V77" i="6"/>
  <c r="Y61" i="41"/>
  <c r="Y78" i="41" s="1"/>
  <c r="Y82" i="41" s="1"/>
  <c r="L110" i="6"/>
  <c r="L109" i="6" s="1"/>
  <c r="AF66" i="41"/>
  <c r="N118" i="6"/>
  <c r="N113" i="6" s="1"/>
  <c r="N108" i="6" s="1"/>
  <c r="N69" i="41"/>
  <c r="N61" i="41" s="1"/>
  <c r="N78" i="41" s="1"/>
  <c r="AI118" i="6"/>
  <c r="AI113" i="6" s="1"/>
  <c r="AI108" i="6" s="1"/>
  <c r="U70" i="41"/>
  <c r="U69" i="41" s="1"/>
  <c r="I113" i="6"/>
  <c r="I108" i="6" s="1"/>
  <c r="AF17" i="41"/>
  <c r="M70" i="41"/>
  <c r="M69" i="41" s="1"/>
  <c r="M61" i="41" s="1"/>
  <c r="M78" i="41" s="1"/>
  <c r="R77" i="6"/>
  <c r="AF45" i="41"/>
  <c r="AF44" i="41" s="1"/>
  <c r="AE53" i="41"/>
  <c r="AE52" i="41" s="1"/>
  <c r="S94" i="41"/>
  <c r="S90" i="41" s="1"/>
  <c r="S83" i="41" s="1"/>
  <c r="AD30" i="41"/>
  <c r="AE31" i="41"/>
  <c r="AE30" i="41" s="1"/>
  <c r="R52" i="41"/>
  <c r="S53" i="41"/>
  <c r="R41" i="41"/>
  <c r="S42" i="41"/>
  <c r="R33" i="41"/>
  <c r="S34" i="41"/>
  <c r="V73" i="41"/>
  <c r="W75" i="41"/>
  <c r="W73" i="41" s="1"/>
  <c r="W42" i="41"/>
  <c r="W41" i="41" s="1"/>
  <c r="W31" i="41"/>
  <c r="W30" i="41" s="1"/>
  <c r="AE34" i="41"/>
  <c r="AE33" i="41" s="1"/>
  <c r="S31" i="41"/>
  <c r="AD73" i="41"/>
  <c r="AE75" i="41"/>
  <c r="AE73" i="41" s="1"/>
  <c r="W34" i="41"/>
  <c r="W33" i="41" s="1"/>
  <c r="AC28" i="41"/>
  <c r="S75" i="41"/>
  <c r="AD41" i="41"/>
  <c r="AE42" i="41"/>
  <c r="AE41" i="41" s="1"/>
  <c r="U28" i="41"/>
  <c r="Q28" i="41"/>
  <c r="W53" i="41"/>
  <c r="W52" i="41" s="1"/>
  <c r="S8" i="41"/>
  <c r="U62" i="41"/>
  <c r="V63" i="41"/>
  <c r="V62" i="41" s="1"/>
  <c r="Q62" i="41"/>
  <c r="R63" i="41"/>
  <c r="R62" i="41" s="1"/>
  <c r="AC69" i="41"/>
  <c r="AD70" i="41"/>
  <c r="AD69" i="41" s="1"/>
  <c r="AA63" i="41"/>
  <c r="AA62" i="41" s="1"/>
  <c r="AD63" i="41"/>
  <c r="AD62" i="41" s="1"/>
  <c r="AC62" i="41"/>
  <c r="D99" i="21"/>
  <c r="D102" i="21" s="1"/>
  <c r="P118" i="6"/>
  <c r="P113" i="6" s="1"/>
  <c r="T118" i="6"/>
  <c r="T113" i="6" s="1"/>
  <c r="X118" i="6"/>
  <c r="K56" i="15"/>
  <c r="I56" i="15"/>
  <c r="Y110" i="6"/>
  <c r="Y109" i="6" s="1"/>
  <c r="X109" i="6"/>
  <c r="V78" i="15"/>
  <c r="Y98" i="15"/>
  <c r="V97" i="15" s="1"/>
  <c r="Y129" i="6"/>
  <c r="L192" i="6"/>
  <c r="AB192" i="6"/>
  <c r="Q129" i="6"/>
  <c r="P109" i="6"/>
  <c r="U122" i="6"/>
  <c r="V122" i="6" s="1"/>
  <c r="U129" i="6" l="1"/>
  <c r="AF94" i="41"/>
  <c r="Q69" i="41"/>
  <c r="AB110" i="6"/>
  <c r="AB109" i="6" s="1"/>
  <c r="U110" i="6"/>
  <c r="U109" i="6" s="1"/>
  <c r="W65" i="41"/>
  <c r="AF65" i="41" s="1"/>
  <c r="AF67" i="41"/>
  <c r="R50" i="15"/>
  <c r="W47" i="41"/>
  <c r="W28" i="41" s="1"/>
  <c r="AF50" i="41"/>
  <c r="AF47" i="41" s="1"/>
  <c r="Y118" i="6"/>
  <c r="X113" i="6"/>
  <c r="X108" i="6" s="1"/>
  <c r="X190" i="6" s="1"/>
  <c r="Z190" i="6" s="1"/>
  <c r="H54" i="15" s="1"/>
  <c r="M52" i="15" s="1"/>
  <c r="W16" i="41"/>
  <c r="W8" i="41" s="1"/>
  <c r="AF18" i="41"/>
  <c r="AF16" i="41" s="1"/>
  <c r="AF8" i="41" s="1"/>
  <c r="L118" i="6"/>
  <c r="L113" i="6" s="1"/>
  <c r="L108" i="6" s="1"/>
  <c r="L186" i="6"/>
  <c r="AB186" i="6"/>
  <c r="AA70" i="41"/>
  <c r="AA69" i="41" s="1"/>
  <c r="AA61" i="41" s="1"/>
  <c r="AA78" i="41" s="1"/>
  <c r="Z129" i="6"/>
  <c r="R129" i="6"/>
  <c r="AD61" i="41"/>
  <c r="V70" i="41"/>
  <c r="V69" i="41" s="1"/>
  <c r="V61" i="41" s="1"/>
  <c r="V78" i="41" s="1"/>
  <c r="W80" i="41" s="1"/>
  <c r="U61" i="41"/>
  <c r="U78" i="41" s="1"/>
  <c r="R28" i="41"/>
  <c r="AF34" i="41"/>
  <c r="AF33" i="41" s="1"/>
  <c r="S33" i="41"/>
  <c r="S30" i="41"/>
  <c r="AF31" i="41"/>
  <c r="AF30" i="41" s="1"/>
  <c r="S73" i="41"/>
  <c r="AF73" i="41" s="1"/>
  <c r="AF75" i="41"/>
  <c r="S41" i="41"/>
  <c r="AF42" i="41"/>
  <c r="AF41" i="41" s="1"/>
  <c r="AE28" i="41"/>
  <c r="S52" i="41"/>
  <c r="AF53" i="41"/>
  <c r="AF52" i="41" s="1"/>
  <c r="AD28" i="41"/>
  <c r="AE63" i="41"/>
  <c r="AE62" i="41" s="1"/>
  <c r="S63" i="41"/>
  <c r="S62" i="41" s="1"/>
  <c r="W63" i="41"/>
  <c r="W62" i="41" s="1"/>
  <c r="AE70" i="41"/>
  <c r="AE69" i="41" s="1"/>
  <c r="D105" i="21"/>
  <c r="D106" i="21" s="1"/>
  <c r="Z110" i="6"/>
  <c r="Z109" i="6" s="1"/>
  <c r="AC61" i="41"/>
  <c r="AC78" i="41" s="1"/>
  <c r="AC82" i="41" s="1"/>
  <c r="S70" i="41"/>
  <c r="R61" i="41"/>
  <c r="R110" i="6"/>
  <c r="R109" i="6" s="1"/>
  <c r="Q61" i="41"/>
  <c r="Q78" i="41" s="1"/>
  <c r="Q56" i="15"/>
  <c r="R56" i="15"/>
  <c r="AI130" i="6"/>
  <c r="AI128" i="6" s="1"/>
  <c r="K130" i="6"/>
  <c r="K128" i="6" s="1"/>
  <c r="AJ130" i="6"/>
  <c r="AJ128" i="6" s="1"/>
  <c r="I128" i="6"/>
  <c r="N130" i="6"/>
  <c r="N128" i="6" s="1"/>
  <c r="M130" i="6"/>
  <c r="M128" i="6" s="1"/>
  <c r="L130" i="6"/>
  <c r="L128" i="6" s="1"/>
  <c r="N192" i="6"/>
  <c r="M192" i="6"/>
  <c r="U118" i="6"/>
  <c r="P108" i="6"/>
  <c r="P190" i="6" s="1"/>
  <c r="T108" i="6"/>
  <c r="T190" i="6" s="1"/>
  <c r="V190" i="6" s="1"/>
  <c r="G54" i="15" s="1"/>
  <c r="L54" i="15" s="1"/>
  <c r="V129" i="6"/>
  <c r="Q118" i="6"/>
  <c r="AB118" i="6"/>
  <c r="AB113" i="6" s="1"/>
  <c r="Q122" i="6"/>
  <c r="R122" i="6" s="1"/>
  <c r="AB108" i="6" l="1"/>
  <c r="V110" i="6"/>
  <c r="V109" i="6" s="1"/>
  <c r="I121" i="6"/>
  <c r="K121" i="6" s="1"/>
  <c r="L121" i="6" s="1"/>
  <c r="V118" i="6"/>
  <c r="V113" i="6" s="1"/>
  <c r="V108" i="6" s="1"/>
  <c r="U113" i="6"/>
  <c r="U108" i="6" s="1"/>
  <c r="R118" i="6"/>
  <c r="R113" i="6" s="1"/>
  <c r="R108" i="6" s="1"/>
  <c r="Q113" i="6"/>
  <c r="Q108" i="6" s="1"/>
  <c r="Z118" i="6"/>
  <c r="Z113" i="6" s="1"/>
  <c r="Z108" i="6" s="1"/>
  <c r="Y113" i="6"/>
  <c r="Y108" i="6" s="1"/>
  <c r="AD78" i="41"/>
  <c r="AE80" i="41" s="1"/>
  <c r="N186" i="6"/>
  <c r="M186" i="6"/>
  <c r="W70" i="41"/>
  <c r="W69" i="41" s="1"/>
  <c r="W61" i="41" s="1"/>
  <c r="W78" i="41" s="1"/>
  <c r="R78" i="41"/>
  <c r="S80" i="41" s="1"/>
  <c r="S28" i="41"/>
  <c r="AF28" i="41"/>
  <c r="AF63" i="41"/>
  <c r="AE61" i="41"/>
  <c r="AE78" i="41" s="1"/>
  <c r="AE82" i="41" s="1"/>
  <c r="I92" i="41"/>
  <c r="D104" i="21"/>
  <c r="D109" i="21" s="1"/>
  <c r="D108" i="21" s="1"/>
  <c r="E105" i="21"/>
  <c r="E106" i="21"/>
  <c r="I95" i="41"/>
  <c r="M94" i="21"/>
  <c r="S69" i="41"/>
  <c r="M121" i="6"/>
  <c r="AI121" i="6"/>
  <c r="T130" i="6"/>
  <c r="X130" i="6"/>
  <c r="P130" i="6"/>
  <c r="I190" i="6"/>
  <c r="H190" i="6" s="1"/>
  <c r="R190" i="6"/>
  <c r="F54" i="15" s="1"/>
  <c r="N121" i="6" l="1"/>
  <c r="AJ121" i="6"/>
  <c r="T128" i="6"/>
  <c r="T189" i="6" s="1"/>
  <c r="Y130" i="6"/>
  <c r="X128" i="6"/>
  <c r="X189" i="6" s="1"/>
  <c r="P128" i="6"/>
  <c r="P189" i="6" s="1"/>
  <c r="AF70" i="41"/>
  <c r="AF69" i="41"/>
  <c r="AF61" i="41" s="1"/>
  <c r="AF78" i="41" s="1"/>
  <c r="E104" i="21"/>
  <c r="E109" i="21" s="1"/>
  <c r="E108" i="21" s="1"/>
  <c r="S61" i="41"/>
  <c r="S78" i="41" s="1"/>
  <c r="S82" i="41" s="1"/>
  <c r="L95" i="41"/>
  <c r="M95" i="41" s="1"/>
  <c r="O95" i="41"/>
  <c r="N95" i="41"/>
  <c r="L92" i="41"/>
  <c r="L90" i="41" s="1"/>
  <c r="L83" i="41" s="1"/>
  <c r="M80" i="41" s="1"/>
  <c r="L82" i="41" s="1"/>
  <c r="I97" i="41"/>
  <c r="I90" i="41"/>
  <c r="I83" i="41" s="1"/>
  <c r="I82" i="41" s="1"/>
  <c r="O92" i="41"/>
  <c r="N92" i="41"/>
  <c r="U130" i="6"/>
  <c r="K54" i="15"/>
  <c r="I54" i="15"/>
  <c r="Q130" i="6"/>
  <c r="AB130" i="6"/>
  <c r="AB128" i="6" s="1"/>
  <c r="AB76" i="6" s="1"/>
  <c r="X121" i="6"/>
  <c r="P121" i="6"/>
  <c r="T121" i="6"/>
  <c r="L190" i="6"/>
  <c r="AB190" i="6"/>
  <c r="T203" i="6" l="1"/>
  <c r="V189" i="6"/>
  <c r="Z130" i="6"/>
  <c r="Z128" i="6" s="1"/>
  <c r="X122" i="6" s="1"/>
  <c r="X120" i="6" s="1"/>
  <c r="Y128" i="6"/>
  <c r="R130" i="6"/>
  <c r="R128" i="6" s="1"/>
  <c r="Q128" i="6"/>
  <c r="V130" i="6"/>
  <c r="V128" i="6" s="1"/>
  <c r="U128" i="6"/>
  <c r="P203" i="6"/>
  <c r="R189" i="6"/>
  <c r="I189" i="6"/>
  <c r="H189" i="6" s="1"/>
  <c r="Z189" i="6"/>
  <c r="X203" i="6"/>
  <c r="O289" i="30"/>
  <c r="U92" i="41"/>
  <c r="Q92" i="41"/>
  <c r="Q90" i="41" s="1"/>
  <c r="Q83" i="41" s="1"/>
  <c r="Q82" i="41" s="1"/>
  <c r="O235" i="30"/>
  <c r="M92" i="41"/>
  <c r="U95" i="41"/>
  <c r="W95" i="41" s="1"/>
  <c r="Q95" i="41"/>
  <c r="Q121" i="6"/>
  <c r="Q120" i="6" s="1"/>
  <c r="AB121" i="6"/>
  <c r="P120" i="6"/>
  <c r="R54" i="15"/>
  <c r="Q54" i="15"/>
  <c r="Y121" i="6"/>
  <c r="M190" i="6"/>
  <c r="N190" i="6"/>
  <c r="U121" i="6"/>
  <c r="T120" i="6"/>
  <c r="H53" i="15" l="1"/>
  <c r="F53" i="15"/>
  <c r="Q76" i="6"/>
  <c r="I203" i="6"/>
  <c r="AB189" i="6"/>
  <c r="L189" i="6"/>
  <c r="G53" i="15"/>
  <c r="I122" i="6"/>
  <c r="Y122" i="6"/>
  <c r="Z122" i="6" s="1"/>
  <c r="U90" i="41"/>
  <c r="U83" i="41" s="1"/>
  <c r="U82" i="41" s="1"/>
  <c r="W92" i="41"/>
  <c r="W90" i="41" s="1"/>
  <c r="W83" i="41" s="1"/>
  <c r="W82" i="41" s="1"/>
  <c r="R121" i="6"/>
  <c r="R120" i="6" s="1"/>
  <c r="R76" i="6" s="1"/>
  <c r="M90" i="41"/>
  <c r="M83" i="41" s="1"/>
  <c r="U120" i="6"/>
  <c r="U76" i="6" s="1"/>
  <c r="V121" i="6"/>
  <c r="V120" i="6" s="1"/>
  <c r="V76" i="6" s="1"/>
  <c r="Y120" i="6"/>
  <c r="Y76" i="6" s="1"/>
  <c r="Z121" i="6"/>
  <c r="T76" i="6"/>
  <c r="T191" i="6"/>
  <c r="X191" i="6"/>
  <c r="X76" i="6"/>
  <c r="P76" i="6"/>
  <c r="P191" i="6"/>
  <c r="P193" i="6" s="1"/>
  <c r="Z120" i="6" l="1"/>
  <c r="Z76" i="6" s="1"/>
  <c r="V191" i="6"/>
  <c r="T193" i="6"/>
  <c r="L53" i="15"/>
  <c r="Y41" i="15"/>
  <c r="Y43" i="15" s="1"/>
  <c r="Y45" i="15" s="1"/>
  <c r="U169" i="6" s="1"/>
  <c r="U170" i="6" s="1"/>
  <c r="X41" i="15"/>
  <c r="K53" i="15"/>
  <c r="I53" i="15"/>
  <c r="Z191" i="6"/>
  <c r="X193" i="6"/>
  <c r="AI122" i="6"/>
  <c r="AI120" i="6" s="1"/>
  <c r="AI76" i="6" s="1"/>
  <c r="N122" i="6"/>
  <c r="N120" i="6" s="1"/>
  <c r="N76" i="6" s="1"/>
  <c r="K122" i="6"/>
  <c r="AJ122" i="6"/>
  <c r="AJ120" i="6" s="1"/>
  <c r="AJ76" i="6" s="1"/>
  <c r="M122" i="6"/>
  <c r="M120" i="6" s="1"/>
  <c r="M76" i="6" s="1"/>
  <c r="I120" i="6"/>
  <c r="AB122" i="6"/>
  <c r="M189" i="6"/>
  <c r="N189" i="6"/>
  <c r="AF92" i="41"/>
  <c r="M82" i="41"/>
  <c r="AF82" i="41" s="1"/>
  <c r="AF83" i="41"/>
  <c r="I191" i="6"/>
  <c r="I193" i="6" s="1"/>
  <c r="R191" i="6"/>
  <c r="X43" i="15" l="1"/>
  <c r="AA41" i="15"/>
  <c r="AB193" i="6"/>
  <c r="R53" i="15"/>
  <c r="Q53" i="15"/>
  <c r="G55" i="15"/>
  <c r="V193" i="6"/>
  <c r="F55" i="15"/>
  <c r="F57" i="15" s="1"/>
  <c r="K57" i="15" s="1"/>
  <c r="R193" i="6"/>
  <c r="H55" i="15"/>
  <c r="H57" i="15" s="1"/>
  <c r="M54" i="15" s="1"/>
  <c r="Z193" i="6"/>
  <c r="L122" i="6"/>
  <c r="L120" i="6" s="1"/>
  <c r="L76" i="6" s="1"/>
  <c r="K120" i="6"/>
  <c r="K76" i="6" s="1"/>
  <c r="I76" i="6"/>
  <c r="I140" i="6"/>
  <c r="L191" i="6"/>
  <c r="L193" i="6" s="1"/>
  <c r="AB191" i="6"/>
  <c r="H191" i="6"/>
  <c r="H193" i="6" s="1"/>
  <c r="Y10" i="6"/>
  <c r="Y9" i="6" s="1"/>
  <c r="X9" i="6"/>
  <c r="Z10" i="6"/>
  <c r="Z9" i="6" s="1"/>
  <c r="K55" i="15" l="1"/>
  <c r="I55" i="15"/>
  <c r="I57" i="15" s="1"/>
  <c r="L55" i="15"/>
  <c r="G57" i="15"/>
  <c r="L57" i="15" s="1"/>
  <c r="AJ140" i="6"/>
  <c r="AJ137" i="6" s="1"/>
  <c r="N140" i="6"/>
  <c r="N137" i="6" s="1"/>
  <c r="I137" i="6"/>
  <c r="AI140" i="6"/>
  <c r="AI137" i="6" s="1"/>
  <c r="M140" i="6"/>
  <c r="K140" i="6"/>
  <c r="AA43" i="15"/>
  <c r="X45" i="15"/>
  <c r="N191" i="6"/>
  <c r="N193" i="6" s="1"/>
  <c r="M191" i="6"/>
  <c r="M193" i="6" s="1"/>
  <c r="R55" i="15" l="1"/>
  <c r="Q55" i="15"/>
  <c r="M137" i="6"/>
  <c r="X140" i="6"/>
  <c r="P140" i="6"/>
  <c r="T140" i="6"/>
  <c r="Q169" i="6"/>
  <c r="Q170" i="6" s="1"/>
  <c r="AA45" i="15"/>
  <c r="K137" i="6"/>
  <c r="L140" i="6"/>
  <c r="L137" i="6" s="1"/>
  <c r="R57" i="15"/>
  <c r="Q57" i="15"/>
  <c r="P137" i="6" l="1"/>
  <c r="AB140" i="6"/>
  <c r="AB137" i="6" s="1"/>
  <c r="Q140" i="6"/>
  <c r="U140" i="6"/>
  <c r="T137" i="6"/>
  <c r="Y140" i="6"/>
  <c r="X137" i="6"/>
  <c r="V140" i="6" l="1"/>
  <c r="V137" i="6" s="1"/>
  <c r="U137" i="6"/>
  <c r="R140" i="6"/>
  <c r="R137" i="6" s="1"/>
  <c r="Q137" i="6"/>
  <c r="Z140" i="6"/>
  <c r="Z137" i="6" s="1"/>
  <c r="Y137" i="6"/>
  <c r="I9" i="6" l="1"/>
  <c r="K9" i="6"/>
  <c r="AJ9" i="6"/>
  <c r="AJ8" i="6" s="1"/>
  <c r="K10" i="6"/>
  <c r="L10" i="6" s="1"/>
  <c r="L9" i="6" s="1"/>
  <c r="M10" i="6"/>
  <c r="P10" i="6" s="1"/>
  <c r="N10" i="6"/>
  <c r="N9" i="6" s="1"/>
  <c r="AI10" i="6"/>
  <c r="AI9" i="6" s="1"/>
  <c r="AJ10" i="6"/>
  <c r="I15" i="6"/>
  <c r="L15" i="6" s="1"/>
  <c r="L13" i="6" s="1"/>
  <c r="K15" i="6"/>
  <c r="K13" i="6" s="1"/>
  <c r="N15" i="6"/>
  <c r="N13" i="6" s="1"/>
  <c r="AJ15" i="6"/>
  <c r="AJ13" i="6" s="1"/>
  <c r="N8" i="6" l="1"/>
  <c r="T10" i="6"/>
  <c r="Q10" i="6"/>
  <c r="Q9" i="6" s="1"/>
  <c r="AB10" i="6"/>
  <c r="AB9" i="6" s="1"/>
  <c r="P9" i="6"/>
  <c r="AI8" i="6"/>
  <c r="L8" i="6"/>
  <c r="K8" i="6"/>
  <c r="AI15" i="6"/>
  <c r="AI13" i="6" s="1"/>
  <c r="M15" i="6"/>
  <c r="M13" i="6" s="1"/>
  <c r="I13" i="6"/>
  <c r="I8" i="6" s="1"/>
  <c r="M9" i="6"/>
  <c r="M8" i="6" l="1"/>
  <c r="T9" i="6"/>
  <c r="U10" i="6"/>
  <c r="U9" i="6" s="1"/>
  <c r="X15" i="6"/>
  <c r="X13" i="6" s="1"/>
  <c r="X8" i="6" s="1"/>
  <c r="T15" i="6"/>
  <c r="T13" i="6" s="1"/>
  <c r="P15" i="6"/>
  <c r="P13" i="6" s="1"/>
  <c r="P8" i="6" s="1"/>
  <c r="R10" i="6"/>
  <c r="R9" i="6" s="1"/>
  <c r="P158" i="6" l="1"/>
  <c r="T8" i="6"/>
  <c r="T185" i="6" s="1"/>
  <c r="X185" i="6"/>
  <c r="T158" i="6"/>
  <c r="V10" i="6"/>
  <c r="V9" i="6" s="1"/>
  <c r="P185" i="6"/>
  <c r="Q15" i="6"/>
  <c r="AB15" i="6"/>
  <c r="AB13" i="6" s="1"/>
  <c r="AB8" i="6" s="1"/>
  <c r="U15" i="6"/>
  <c r="Y15" i="6"/>
  <c r="Z185" i="6" l="1"/>
  <c r="X187" i="6"/>
  <c r="R15" i="6"/>
  <c r="R13" i="6" s="1"/>
  <c r="R8" i="6" s="1"/>
  <c r="P135" i="6" s="1"/>
  <c r="P134" i="6" s="1"/>
  <c r="Q13" i="6"/>
  <c r="Q8" i="6" s="1"/>
  <c r="Z15" i="6"/>
  <c r="Z13" i="6" s="1"/>
  <c r="Z8" i="6" s="1"/>
  <c r="Y13" i="6"/>
  <c r="Y8" i="6" s="1"/>
  <c r="V15" i="6"/>
  <c r="V13" i="6" s="1"/>
  <c r="V8" i="6" s="1"/>
  <c r="T135" i="6" s="1"/>
  <c r="U13" i="6"/>
  <c r="U8" i="6" s="1"/>
  <c r="I185" i="6"/>
  <c r="P187" i="6"/>
  <c r="R185" i="6"/>
  <c r="T187" i="6"/>
  <c r="V185" i="6"/>
  <c r="Q135" i="6" l="1"/>
  <c r="Q134" i="6" s="1"/>
  <c r="Q133" i="6" s="1"/>
  <c r="Q149" i="6" s="1"/>
  <c r="U135" i="6"/>
  <c r="U134" i="6" s="1"/>
  <c r="U133" i="6" s="1"/>
  <c r="U149" i="6" s="1"/>
  <c r="U152" i="6" s="1"/>
  <c r="U155" i="6" s="1"/>
  <c r="T134" i="6"/>
  <c r="X136" i="6"/>
  <c r="X135" i="6"/>
  <c r="I135" i="6" s="1"/>
  <c r="H49" i="15"/>
  <c r="Z187" i="6"/>
  <c r="Z201" i="6"/>
  <c r="K75" i="28"/>
  <c r="K81" i="28" s="1"/>
  <c r="K130" i="28"/>
  <c r="K136" i="28" s="1"/>
  <c r="AB185" i="6"/>
  <c r="L185" i="6"/>
  <c r="I187" i="6"/>
  <c r="H185" i="6"/>
  <c r="H187" i="6" s="1"/>
  <c r="Q152" i="6"/>
  <c r="Q155" i="6" s="1"/>
  <c r="V135" i="6"/>
  <c r="V134" i="6" s="1"/>
  <c r="V133" i="6" s="1"/>
  <c r="V149" i="6" s="1"/>
  <c r="V187" i="6"/>
  <c r="V201" i="6"/>
  <c r="G49" i="15"/>
  <c r="R135" i="6"/>
  <c r="R134" i="6" s="1"/>
  <c r="R133" i="6" s="1"/>
  <c r="R149" i="6" s="1"/>
  <c r="R201" i="6"/>
  <c r="R187" i="6"/>
  <c r="F49" i="15"/>
  <c r="T133" i="6"/>
  <c r="P133" i="6"/>
  <c r="AI135" i="6" l="1"/>
  <c r="AB135" i="6"/>
  <c r="N135" i="6"/>
  <c r="K135" i="6"/>
  <c r="M135" i="6"/>
  <c r="AJ135" i="6"/>
  <c r="I136" i="6"/>
  <c r="I134" i="6" s="1"/>
  <c r="I133" i="6" s="1"/>
  <c r="I149" i="6" s="1"/>
  <c r="Y136" i="6"/>
  <c r="Z136" i="6" s="1"/>
  <c r="H52" i="15"/>
  <c r="M49" i="15"/>
  <c r="X134" i="6"/>
  <c r="X133" i="6" s="1"/>
  <c r="Y135" i="6"/>
  <c r="Y134" i="6" s="1"/>
  <c r="Y133" i="6" s="1"/>
  <c r="Y149" i="6" s="1"/>
  <c r="P195" i="6"/>
  <c r="P149" i="6"/>
  <c r="T195" i="6"/>
  <c r="T149" i="6"/>
  <c r="F52" i="15"/>
  <c r="K49" i="15"/>
  <c r="I49" i="15"/>
  <c r="AB187" i="6"/>
  <c r="L49" i="15"/>
  <c r="G52" i="15"/>
  <c r="L187" i="6"/>
  <c r="M185" i="6"/>
  <c r="M187" i="6" s="1"/>
  <c r="N185" i="6"/>
  <c r="N187" i="6" s="1"/>
  <c r="L201" i="6"/>
  <c r="M149" i="6" l="1"/>
  <c r="N149" i="6"/>
  <c r="X195" i="6"/>
  <c r="I195" i="6" s="1"/>
  <c r="X149" i="6"/>
  <c r="AI136" i="6"/>
  <c r="AI134" i="6" s="1"/>
  <c r="AI133" i="6" s="1"/>
  <c r="AJ136" i="6"/>
  <c r="K136" i="6"/>
  <c r="L136" i="6" s="1"/>
  <c r="N136" i="6"/>
  <c r="N134" i="6" s="1"/>
  <c r="N133" i="6" s="1"/>
  <c r="M136" i="6"/>
  <c r="M134" i="6" s="1"/>
  <c r="M133" i="6" s="1"/>
  <c r="AB136" i="6"/>
  <c r="AB134" i="6" s="1"/>
  <c r="AB133" i="6" s="1"/>
  <c r="L135" i="6"/>
  <c r="AJ134" i="6"/>
  <c r="AJ133" i="6" s="1"/>
  <c r="AJ149" i="6" s="1"/>
  <c r="Y152" i="6"/>
  <c r="Y155" i="6" s="1"/>
  <c r="K149" i="6"/>
  <c r="K152" i="6" s="1"/>
  <c r="K155" i="6" s="1"/>
  <c r="Z135" i="6"/>
  <c r="Z134" i="6" s="1"/>
  <c r="Z133" i="6" s="1"/>
  <c r="Z149" i="6" s="1"/>
  <c r="Q49" i="15"/>
  <c r="R49" i="15"/>
  <c r="I52" i="15"/>
  <c r="T151" i="6"/>
  <c r="T155" i="6" s="1"/>
  <c r="V156" i="6"/>
  <c r="K52" i="15"/>
  <c r="R156" i="6"/>
  <c r="P151" i="6"/>
  <c r="P155" i="6" s="1"/>
  <c r="L52" i="15"/>
  <c r="T204" i="6"/>
  <c r="U204" i="6" s="1"/>
  <c r="V195" i="6"/>
  <c r="T197" i="6"/>
  <c r="T202" i="6" s="1"/>
  <c r="R195" i="6"/>
  <c r="P204" i="6"/>
  <c r="Q204" i="6" s="1"/>
  <c r="P197" i="6"/>
  <c r="P202" i="6" s="1"/>
  <c r="L134" i="6" l="1"/>
  <c r="L133" i="6" s="1"/>
  <c r="L149" i="6" s="1"/>
  <c r="AB149" i="6" s="1"/>
  <c r="F62" i="28"/>
  <c r="K134" i="6"/>
  <c r="K133" i="6" s="1"/>
  <c r="AI149" i="6"/>
  <c r="AI131" i="6"/>
  <c r="X151" i="6"/>
  <c r="Z153" i="6" s="1"/>
  <c r="Z155" i="6" s="1"/>
  <c r="F112" i="28"/>
  <c r="X197" i="6"/>
  <c r="X202" i="6" s="1"/>
  <c r="X204" i="6"/>
  <c r="Y204" i="6" s="1"/>
  <c r="Z195" i="6"/>
  <c r="T198" i="6"/>
  <c r="L156" i="6"/>
  <c r="L196" i="6" s="1"/>
  <c r="R196" i="6"/>
  <c r="F62" i="15" s="1"/>
  <c r="V196" i="6"/>
  <c r="G62" i="15" s="1"/>
  <c r="F58" i="15"/>
  <c r="AB195" i="6"/>
  <c r="L195" i="6"/>
  <c r="I204" i="6"/>
  <c r="K204" i="6" s="1"/>
  <c r="I197" i="6"/>
  <c r="R153" i="6"/>
  <c r="R155" i="6" s="1"/>
  <c r="Q52" i="15"/>
  <c r="R52" i="15"/>
  <c r="H195" i="6"/>
  <c r="H197" i="6" s="1"/>
  <c r="G58" i="15"/>
  <c r="G61" i="15" s="1"/>
  <c r="P198" i="6"/>
  <c r="V153" i="6"/>
  <c r="V155" i="6" s="1"/>
  <c r="I151" i="6" l="1"/>
  <c r="V197" i="6"/>
  <c r="X198" i="6"/>
  <c r="X155" i="6"/>
  <c r="H58" i="15"/>
  <c r="I58" i="15" s="1"/>
  <c r="Z197" i="6"/>
  <c r="Z202" i="6" s="1"/>
  <c r="U171" i="6"/>
  <c r="E28" i="23"/>
  <c r="Q171" i="6"/>
  <c r="D28" i="23"/>
  <c r="R177" i="6"/>
  <c r="V177" i="6"/>
  <c r="Z178" i="6"/>
  <c r="R197" i="6"/>
  <c r="Q187" i="6" s="1"/>
  <c r="R157" i="6"/>
  <c r="Q160" i="6" s="1"/>
  <c r="I62" i="15"/>
  <c r="R62" i="15" s="1"/>
  <c r="V157" i="6"/>
  <c r="E30" i="23" s="1"/>
  <c r="A119" i="34" s="1"/>
  <c r="V202" i="6"/>
  <c r="U187" i="6"/>
  <c r="L61" i="15"/>
  <c r="G63" i="15"/>
  <c r="I202" i="6"/>
  <c r="H204" i="6" s="1"/>
  <c r="I198" i="6"/>
  <c r="D30" i="23"/>
  <c r="A67" i="34" s="1"/>
  <c r="R206" i="6"/>
  <c r="R207" i="6"/>
  <c r="R208" i="6"/>
  <c r="R209" i="6"/>
  <c r="Z209" i="6"/>
  <c r="R210" i="6"/>
  <c r="Z210" i="6"/>
  <c r="R211" i="6"/>
  <c r="Z211" i="6"/>
  <c r="R212" i="6"/>
  <c r="Z212" i="6"/>
  <c r="V206" i="6"/>
  <c r="V207" i="6"/>
  <c r="V208" i="6"/>
  <c r="Z206" i="6"/>
  <c r="Z207" i="6"/>
  <c r="Z208" i="6"/>
  <c r="V209" i="6"/>
  <c r="L210" i="6"/>
  <c r="V210" i="6"/>
  <c r="L211" i="6"/>
  <c r="V211" i="6"/>
  <c r="L212" i="6"/>
  <c r="V212" i="6"/>
  <c r="L206" i="6"/>
  <c r="L207" i="6"/>
  <c r="L208" i="6"/>
  <c r="L209" i="6"/>
  <c r="F61" i="15"/>
  <c r="L153" i="6"/>
  <c r="M151" i="6"/>
  <c r="M155" i="6" s="1"/>
  <c r="N151" i="6"/>
  <c r="N155" i="6" s="1"/>
  <c r="I155" i="6"/>
  <c r="M195" i="6"/>
  <c r="M197" i="6" s="1"/>
  <c r="N195" i="6"/>
  <c r="N197" i="6" s="1"/>
  <c r="L197" i="6"/>
  <c r="Q157" i="6" l="1"/>
  <c r="Q158" i="6"/>
  <c r="Z198" i="6"/>
  <c r="G187" i="6"/>
  <c r="R202" i="6"/>
  <c r="Z176" i="6"/>
  <c r="L178" i="6"/>
  <c r="AB178" i="6" s="1"/>
  <c r="V176" i="6"/>
  <c r="Y62" i="15"/>
  <c r="X62" i="15"/>
  <c r="R176" i="6"/>
  <c r="L177" i="6"/>
  <c r="M55" i="15"/>
  <c r="H61" i="15"/>
  <c r="I61" i="15" s="1"/>
  <c r="R198" i="6"/>
  <c r="Q62" i="15"/>
  <c r="P161" i="6"/>
  <c r="R162" i="6" s="1"/>
  <c r="U160" i="6"/>
  <c r="T161" i="6"/>
  <c r="V162" i="6" s="1"/>
  <c r="V160" i="6" s="1"/>
  <c r="V198" i="6"/>
  <c r="U158" i="6"/>
  <c r="U157" i="6"/>
  <c r="R205" i="6"/>
  <c r="R213" i="6" s="1"/>
  <c r="Z205" i="6"/>
  <c r="K61" i="15"/>
  <c r="F63" i="15"/>
  <c r="AB153" i="6"/>
  <c r="L155" i="6"/>
  <c r="L63" i="15"/>
  <c r="G64" i="15"/>
  <c r="L202" i="6"/>
  <c r="L205" i="6" s="1"/>
  <c r="Q58" i="15"/>
  <c r="R58" i="15"/>
  <c r="V205" i="6"/>
  <c r="R160" i="6" l="1"/>
  <c r="L176" i="6"/>
  <c r="AB177" i="6"/>
  <c r="AB176" i="6" s="1"/>
  <c r="T170" i="6"/>
  <c r="M61" i="15"/>
  <c r="H63" i="15"/>
  <c r="AA62" i="15"/>
  <c r="Y177" i="6"/>
  <c r="Z159" i="6"/>
  <c r="Z158" i="6" s="1"/>
  <c r="Y178" i="6" s="1"/>
  <c r="X58" i="15"/>
  <c r="L162" i="6"/>
  <c r="L160" i="6" s="1"/>
  <c r="Y58" i="15"/>
  <c r="Y56" i="15" s="1"/>
  <c r="Y63" i="15" s="1"/>
  <c r="Y64" i="15" s="1"/>
  <c r="K211" i="6"/>
  <c r="Q210" i="6"/>
  <c r="Q209" i="6"/>
  <c r="Y209" i="6"/>
  <c r="K206" i="6"/>
  <c r="U211" i="6"/>
  <c r="K210" i="6"/>
  <c r="Y211" i="6"/>
  <c r="U207" i="6"/>
  <c r="Y212" i="6"/>
  <c r="Q211" i="6"/>
  <c r="U205" i="6"/>
  <c r="V213" i="6"/>
  <c r="Y205" i="6"/>
  <c r="Z213" i="6"/>
  <c r="Q206" i="6"/>
  <c r="Y208" i="6"/>
  <c r="K208" i="6"/>
  <c r="U210" i="6"/>
  <c r="Q212" i="6"/>
  <c r="K207" i="6"/>
  <c r="V159" i="6"/>
  <c r="T162" i="6"/>
  <c r="K212" i="6"/>
  <c r="U206" i="6"/>
  <c r="X56" i="15"/>
  <c r="R61" i="15"/>
  <c r="R63" i="15" s="1"/>
  <c r="Q61" i="15"/>
  <c r="Q63" i="15" s="1"/>
  <c r="I63" i="15"/>
  <c r="E51" i="15" s="1"/>
  <c r="BM205" i="6"/>
  <c r="BM213" i="6" s="1"/>
  <c r="BQ205" i="6"/>
  <c r="BQ213" i="6" s="1"/>
  <c r="BU205" i="6"/>
  <c r="BU213" i="6" s="1"/>
  <c r="BY205" i="6"/>
  <c r="BY213" i="6" s="1"/>
  <c r="CC205" i="6"/>
  <c r="CC213" i="6" s="1"/>
  <c r="BN205" i="6"/>
  <c r="BN213" i="6" s="1"/>
  <c r="BR205" i="6"/>
  <c r="BR213" i="6" s="1"/>
  <c r="BV205" i="6"/>
  <c r="BV213" i="6" s="1"/>
  <c r="BO205" i="6"/>
  <c r="BO213" i="6" s="1"/>
  <c r="BS205" i="6"/>
  <c r="BS213" i="6" s="1"/>
  <c r="BW205" i="6"/>
  <c r="BW213" i="6" s="1"/>
  <c r="CA205" i="6"/>
  <c r="CA213" i="6" s="1"/>
  <c r="CE205" i="6"/>
  <c r="CE213" i="6" s="1"/>
  <c r="BP205" i="6"/>
  <c r="BP213" i="6" s="1"/>
  <c r="CB205" i="6"/>
  <c r="CB213" i="6" s="1"/>
  <c r="K205" i="6"/>
  <c r="BT205" i="6"/>
  <c r="BT213" i="6" s="1"/>
  <c r="CD205" i="6"/>
  <c r="CD213" i="6" s="1"/>
  <c r="BX205" i="6"/>
  <c r="BX213" i="6" s="1"/>
  <c r="CF205" i="6"/>
  <c r="CF213" i="6" s="1"/>
  <c r="BL205" i="6"/>
  <c r="BL213" i="6" s="1"/>
  <c r="BZ205" i="6"/>
  <c r="BZ213" i="6" s="1"/>
  <c r="L213" i="6"/>
  <c r="Q208" i="6"/>
  <c r="AB155" i="6"/>
  <c r="L157" i="6"/>
  <c r="R159" i="6"/>
  <c r="P162" i="6" s="1"/>
  <c r="K209" i="6"/>
  <c r="U208" i="6"/>
  <c r="K63" i="15"/>
  <c r="F64" i="15"/>
  <c r="Y210" i="6"/>
  <c r="Y207" i="6"/>
  <c r="Q207" i="6"/>
  <c r="U209" i="6"/>
  <c r="Y206" i="6"/>
  <c r="Q205" i="6"/>
  <c r="U212" i="6"/>
  <c r="Q213" i="6" l="1"/>
  <c r="Y213" i="6"/>
  <c r="K213" i="6"/>
  <c r="U213" i="6"/>
  <c r="M63" i="15"/>
  <c r="Z64" i="15"/>
  <c r="AB162" i="6"/>
  <c r="AB160" i="6" s="1"/>
  <c r="AA58" i="15"/>
  <c r="AA56" i="15" s="1"/>
  <c r="I64" i="15"/>
  <c r="L159" i="6"/>
  <c r="K161" i="6" s="1"/>
  <c r="M157" i="6"/>
  <c r="N157" i="6"/>
  <c r="K187" i="6"/>
  <c r="J161" i="6"/>
  <c r="L198" i="6"/>
  <c r="R158" i="6"/>
  <c r="P168" i="6"/>
  <c r="P177" i="6"/>
  <c r="X63" i="15"/>
  <c r="V158" i="6"/>
  <c r="T168" i="6"/>
  <c r="T177" i="6"/>
  <c r="I179" i="6" l="1"/>
  <c r="J181" i="6"/>
  <c r="K168" i="6"/>
  <c r="AB159" i="6"/>
  <c r="L158" i="6"/>
  <c r="AB158" i="6" s="1"/>
  <c r="K177" i="6"/>
  <c r="X64" i="15"/>
  <c r="AA63" i="15"/>
  <c r="AA64" i="15" l="1"/>
  <c r="AB63" i="15"/>
</calcChain>
</file>

<file path=xl/comments1.xml><?xml version="1.0" encoding="utf-8"?>
<comments xmlns="http://schemas.openxmlformats.org/spreadsheetml/2006/main">
  <authors>
    <author>JACAMON</author>
    <author>Packard Bell NEC Inc.</author>
    <author>Packard Bell NEC, Inc.</author>
  </authors>
  <commentList>
    <comment ref="L2" authorId="0" shapeId="0">
      <text>
        <r>
          <rPr>
            <sz val="8"/>
            <color indexed="81"/>
            <rFont val="Tahoma"/>
            <family val="2"/>
          </rPr>
          <t xml:space="preserve">Exo de TVA: </t>
        </r>
        <r>
          <rPr>
            <b/>
            <sz val="8"/>
            <color indexed="81"/>
            <rFont val="Tahoma"/>
            <family val="2"/>
          </rPr>
          <t>Code TVA0</t>
        </r>
        <r>
          <rPr>
            <sz val="8"/>
            <color indexed="81"/>
            <rFont val="Tahoma"/>
            <family val="2"/>
          </rPr>
          <t xml:space="preserve">
Acquisitions foncières en concession-RHI,
Taxes diverses,
Frais financiers
</t>
        </r>
      </text>
    </comment>
    <comment ref="L5" authorId="0" shapeId="0">
      <text>
        <r>
          <rPr>
            <sz val="8"/>
            <color indexed="81"/>
            <rFont val="Tahoma"/>
            <family val="2"/>
          </rPr>
          <t xml:space="preserve">TVA réduite: </t>
        </r>
        <r>
          <rPr>
            <b/>
            <sz val="8"/>
            <color indexed="81"/>
            <rFont val="Tahoma"/>
            <family val="2"/>
          </rPr>
          <t>code TVAS</t>
        </r>
        <r>
          <rPr>
            <sz val="8"/>
            <color indexed="81"/>
            <rFont val="Tahoma"/>
            <family val="2"/>
          </rPr>
          <t xml:space="preserve">
-sur terrains destinés à la construction de logements sociaux (LLS-LLTS-LES)
-sur livraison à soi-même (LLS/LLTS)
</t>
        </r>
        <r>
          <rPr>
            <sz val="8"/>
            <color indexed="81"/>
            <rFont val="Tahoma"/>
            <family val="2"/>
          </rPr>
          <t xml:space="preserve">
</t>
        </r>
      </text>
    </comment>
    <comment ref="I6" authorId="1" shapeId="0">
      <text>
        <r>
          <rPr>
            <sz val="8"/>
            <color indexed="81"/>
            <rFont val="Tahoma"/>
            <family val="2"/>
          </rPr>
          <t>Inserer valeur =1 pour franc ou =euro pour montant en euro</t>
        </r>
      </text>
    </comment>
    <comment ref="J8" authorId="2" shapeId="0">
      <text>
        <r>
          <rPr>
            <sz val="8"/>
            <color indexed="81"/>
            <rFont val="Tahoma"/>
            <family val="2"/>
          </rPr>
          <t xml:space="preserve">Insérer montant en francs dans la colonne grise.
</t>
        </r>
      </text>
    </comment>
    <comment ref="AI8" authorId="2" shapeId="0">
      <text>
        <r>
          <rPr>
            <sz val="8"/>
            <color indexed="81"/>
            <rFont val="Tahoma"/>
            <family val="2"/>
          </rPr>
          <t>Insérer montant en francs, Dans la colonne grise,</t>
        </r>
      </text>
    </comment>
    <comment ref="AL8" authorId="2" shapeId="0">
      <text>
        <r>
          <rPr>
            <sz val="8"/>
            <color indexed="81"/>
            <rFont val="Tahoma"/>
            <family val="2"/>
          </rPr>
          <t>Insérer montant en francs dans la colonne grise.</t>
        </r>
      </text>
    </comment>
  </commentList>
</comments>
</file>

<file path=xl/comments2.xml><?xml version="1.0" encoding="utf-8"?>
<comments xmlns="http://schemas.openxmlformats.org/spreadsheetml/2006/main">
  <authors>
    <author>JACAMON</author>
    <author>Sodegis</author>
    <author>Nathalie BLANDINO</author>
    <author>Fabrice HOAREAU</author>
    <author>NBL</author>
  </authors>
  <commentList>
    <comment ref="K2" authorId="0" shapeId="0">
      <text>
        <r>
          <rPr>
            <sz val="8"/>
            <color indexed="81"/>
            <rFont val="Tahoma"/>
            <family val="2"/>
          </rPr>
          <t xml:space="preserve">Exo de TVA: </t>
        </r>
        <r>
          <rPr>
            <b/>
            <sz val="8"/>
            <color indexed="81"/>
            <rFont val="Tahoma"/>
            <family val="2"/>
          </rPr>
          <t>Code TVA0</t>
        </r>
        <r>
          <rPr>
            <sz val="8"/>
            <color indexed="81"/>
            <rFont val="Tahoma"/>
            <family val="2"/>
          </rPr>
          <t xml:space="preserve">
Acquisitions foncières en concession-RHI,
Taxes diverses,
Frais financiers
</t>
        </r>
      </text>
    </comment>
    <comment ref="K4" authorId="0" shapeId="0">
      <text>
        <r>
          <rPr>
            <sz val="8"/>
            <color indexed="81"/>
            <rFont val="Tahoma"/>
            <family val="2"/>
          </rPr>
          <t xml:space="preserve">TVA réduite: </t>
        </r>
        <r>
          <rPr>
            <b/>
            <sz val="8"/>
            <color indexed="81"/>
            <rFont val="Tahoma"/>
            <family val="2"/>
          </rPr>
          <t>code TVAS</t>
        </r>
        <r>
          <rPr>
            <sz val="8"/>
            <color indexed="81"/>
            <rFont val="Tahoma"/>
            <family val="2"/>
          </rPr>
          <t xml:space="preserve">
-sur terrains destinés à la construction de logements sociaux (LLS-LLTS-LES)
-sur livraison à soi-même (LLS/LLTS)
</t>
        </r>
        <r>
          <rPr>
            <sz val="8"/>
            <color indexed="81"/>
            <rFont val="Tahoma"/>
            <family val="2"/>
          </rPr>
          <t xml:space="preserve">
</t>
        </r>
      </text>
    </comment>
    <comment ref="H32" authorId="1" shapeId="0">
      <text>
        <r>
          <rPr>
            <b/>
            <sz val="8"/>
            <color indexed="81"/>
            <rFont val="Tahoma"/>
            <family val="2"/>
          </rPr>
          <t>Sodegis:</t>
        </r>
        <r>
          <rPr>
            <sz val="8"/>
            <color indexed="81"/>
            <rFont val="Tahoma"/>
            <family val="2"/>
          </rPr>
          <t xml:space="preserve">
lgt</t>
        </r>
      </text>
    </comment>
    <comment ref="P32" authorId="2" shapeId="0">
      <text>
        <r>
          <rPr>
            <b/>
            <sz val="9"/>
            <color indexed="81"/>
            <rFont val="Tahoma"/>
            <family val="2"/>
          </rPr>
          <t>Nathalie BLANDINO:</t>
        </r>
        <r>
          <rPr>
            <sz val="9"/>
            <color indexed="81"/>
            <rFont val="Tahoma"/>
            <family val="2"/>
          </rPr>
          <t xml:space="preserve">
Exonération :
Entre Deux / Etg Salé / Avirons / Petite Ile / St Leu</t>
        </r>
      </text>
    </comment>
    <comment ref="H34" authorId="1" shapeId="0">
      <text>
        <r>
          <rPr>
            <b/>
            <sz val="8"/>
            <color indexed="81"/>
            <rFont val="Tahoma"/>
            <family val="2"/>
          </rPr>
          <t>Sodegis:</t>
        </r>
        <r>
          <rPr>
            <sz val="8"/>
            <color indexed="81"/>
            <rFont val="Tahoma"/>
            <family val="2"/>
          </rPr>
          <t xml:space="preserve">
bureaux</t>
        </r>
      </text>
    </comment>
    <comment ref="I110" authorId="3" shapeId="0">
      <text>
        <r>
          <rPr>
            <b/>
            <sz val="9"/>
            <color indexed="81"/>
            <rFont val="Tahoma"/>
            <family val="2"/>
          </rPr>
          <t>Fabrice HOAREAU:</t>
        </r>
        <r>
          <rPr>
            <sz val="9"/>
            <color indexed="81"/>
            <rFont val="Tahoma"/>
            <family val="2"/>
          </rPr>
          <t xml:space="preserve">
Contrat archi.</t>
        </r>
      </text>
    </comment>
    <comment ref="H140" authorId="2" shapeId="0">
      <text>
        <r>
          <rPr>
            <b/>
            <sz val="9"/>
            <color indexed="81"/>
            <rFont val="Tahoma"/>
            <family val="2"/>
          </rPr>
          <t>Nathalie BLANDINO:</t>
        </r>
        <r>
          <rPr>
            <sz val="9"/>
            <color indexed="81"/>
            <rFont val="Tahoma"/>
            <family val="2"/>
          </rPr>
          <t xml:space="preserve">
1 % si défisc</t>
        </r>
      </text>
    </comment>
    <comment ref="H156" authorId="2" shapeId="0">
      <text>
        <r>
          <rPr>
            <b/>
            <sz val="9"/>
            <color indexed="81"/>
            <rFont val="Tahoma"/>
            <family val="2"/>
          </rPr>
          <t>Nathalie BLANDINO:</t>
        </r>
        <r>
          <rPr>
            <sz val="9"/>
            <color indexed="81"/>
            <rFont val="Tahoma"/>
            <family val="2"/>
          </rPr>
          <t xml:space="preserve">
2,5 % si défisc</t>
        </r>
      </text>
    </comment>
    <comment ref="Q157" authorId="4" shapeId="0">
      <text>
        <r>
          <rPr>
            <b/>
            <sz val="9"/>
            <color indexed="81"/>
            <rFont val="Tahoma"/>
            <family val="2"/>
          </rPr>
          <t>NBL:</t>
        </r>
        <r>
          <rPr>
            <sz val="9"/>
            <color indexed="81"/>
            <rFont val="Tahoma"/>
            <family val="2"/>
          </rPr>
          <t xml:space="preserve">
PRP TTC / m² SF</t>
        </r>
      </text>
    </comment>
    <comment ref="U157" authorId="4" shapeId="0">
      <text>
        <r>
          <rPr>
            <b/>
            <sz val="9"/>
            <color indexed="81"/>
            <rFont val="Tahoma"/>
            <family val="2"/>
          </rPr>
          <t>NBL:</t>
        </r>
        <r>
          <rPr>
            <sz val="9"/>
            <color indexed="81"/>
            <rFont val="Tahoma"/>
            <family val="2"/>
          </rPr>
          <t xml:space="preserve">
PRP TTC / m² SF</t>
        </r>
      </text>
    </comment>
    <comment ref="L158" authorId="1" shapeId="0">
      <text>
        <r>
          <rPr>
            <b/>
            <sz val="8"/>
            <color indexed="81"/>
            <rFont val="Tahoma"/>
            <family val="2"/>
          </rPr>
          <t>Sodegis:</t>
        </r>
        <r>
          <rPr>
            <sz val="8"/>
            <color indexed="81"/>
            <rFont val="Tahoma"/>
            <family val="2"/>
          </rPr>
          <t xml:space="preserve">
dt frais d'actes à conserver</t>
        </r>
      </text>
    </comment>
    <comment ref="Q158" authorId="4" shapeId="0">
      <text>
        <r>
          <rPr>
            <b/>
            <sz val="9"/>
            <color indexed="81"/>
            <rFont val="Tahoma"/>
            <family val="2"/>
          </rPr>
          <t>NBL:</t>
        </r>
        <r>
          <rPr>
            <sz val="9"/>
            <color indexed="81"/>
            <rFont val="Tahoma"/>
            <family val="2"/>
          </rPr>
          <t xml:space="preserve">
PRP TTC / LGT</t>
        </r>
      </text>
    </comment>
    <comment ref="U158" authorId="4" shapeId="0">
      <text>
        <r>
          <rPr>
            <b/>
            <sz val="9"/>
            <color indexed="81"/>
            <rFont val="Tahoma"/>
            <family val="2"/>
          </rPr>
          <t>NBL:</t>
        </r>
        <r>
          <rPr>
            <sz val="9"/>
            <color indexed="81"/>
            <rFont val="Tahoma"/>
            <family val="2"/>
          </rPr>
          <t xml:space="preserve">
PRP TTC / LGT</t>
        </r>
      </text>
    </comment>
    <comment ref="P161" authorId="4" shapeId="0">
      <text>
        <r>
          <rPr>
            <b/>
            <sz val="9"/>
            <color indexed="81"/>
            <rFont val="Tahoma"/>
            <family val="2"/>
          </rPr>
          <t>NBL:</t>
        </r>
        <r>
          <rPr>
            <sz val="9"/>
            <color indexed="81"/>
            <rFont val="Tahoma"/>
            <family val="2"/>
          </rPr>
          <t xml:space="preserve">
calcul prêt foncier</t>
        </r>
      </text>
    </comment>
    <comment ref="T161" authorId="4" shapeId="0">
      <text>
        <r>
          <rPr>
            <b/>
            <sz val="9"/>
            <color indexed="81"/>
            <rFont val="Tahoma"/>
            <family val="2"/>
          </rPr>
          <t>NBL:</t>
        </r>
        <r>
          <rPr>
            <sz val="9"/>
            <color indexed="81"/>
            <rFont val="Tahoma"/>
            <family val="2"/>
          </rPr>
          <t xml:space="preserve">
calcul prêt foncier</t>
        </r>
      </text>
    </comment>
  </commentList>
</comments>
</file>

<file path=xl/comments3.xml><?xml version="1.0" encoding="utf-8"?>
<comments xmlns="http://schemas.openxmlformats.org/spreadsheetml/2006/main">
  <authors>
    <author>DJA</author>
    <author>JACAMON</author>
    <author>lmai</author>
    <author>NBL</author>
    <author>Dominique Jacamon</author>
    <author>Nathalie BLANDINO</author>
  </authors>
  <commentList>
    <comment ref="U5" authorId="0" shapeId="0">
      <text>
        <r>
          <rPr>
            <b/>
            <sz val="8"/>
            <color indexed="81"/>
            <rFont val="Tahoma"/>
            <family val="2"/>
          </rPr>
          <t>S+Sa/2+Sg/2+Slcr/2</t>
        </r>
        <r>
          <rPr>
            <sz val="8"/>
            <color indexed="81"/>
            <rFont val="Tahoma"/>
            <family val="2"/>
          </rPr>
          <t xml:space="preserve">
</t>
        </r>
      </text>
    </comment>
    <comment ref="K6" authorId="1" shapeId="0">
      <text>
        <r>
          <rPr>
            <sz val="8"/>
            <color indexed="81"/>
            <rFont val="Tahoma"/>
            <family val="2"/>
          </rPr>
          <t xml:space="preserve">annexes privatives couvertes: balcons,loggia,var&gt;14...
</t>
        </r>
      </text>
    </comment>
    <comment ref="L6" authorId="1" shapeId="0">
      <text>
        <r>
          <rPr>
            <sz val="8"/>
            <color indexed="81"/>
            <rFont val="Tahoma"/>
            <family val="2"/>
          </rPr>
          <t xml:space="preserve">autres annexes privatives
</t>
        </r>
      </text>
    </comment>
    <comment ref="M6" authorId="0" shapeId="0">
      <text>
        <r>
          <rPr>
            <b/>
            <sz val="8"/>
            <color indexed="81"/>
            <rFont val="Tahoma"/>
            <family val="2"/>
          </rPr>
          <t>surfaces réelles non pondérées</t>
        </r>
        <r>
          <rPr>
            <sz val="8"/>
            <color indexed="81"/>
            <rFont val="Tahoma"/>
            <family val="2"/>
          </rPr>
          <t xml:space="preserve">
</t>
        </r>
      </text>
    </comment>
    <comment ref="N6" authorId="2" shapeId="0">
      <text>
        <r>
          <rPr>
            <sz val="8"/>
            <color indexed="81"/>
            <rFont val="Tahoma"/>
            <family val="2"/>
          </rPr>
          <t xml:space="preserve">garages, boxes ou caves?  en sous sol </t>
        </r>
        <r>
          <rPr>
            <sz val="8"/>
            <color indexed="81"/>
            <rFont val="Tahoma"/>
            <family val="2"/>
          </rPr>
          <t xml:space="preserve">
</t>
        </r>
      </text>
    </comment>
    <comment ref="O6" authorId="1" shapeId="0">
      <text>
        <r>
          <rPr>
            <sz val="8"/>
            <color indexed="81"/>
            <rFont val="Tahoma"/>
            <family val="2"/>
          </rPr>
          <t>Garages, boxes en superstructure</t>
        </r>
        <r>
          <rPr>
            <sz val="8"/>
            <color indexed="81"/>
            <rFont val="Tahoma"/>
            <family val="2"/>
          </rPr>
          <t xml:space="preserve">
</t>
        </r>
      </text>
    </comment>
    <comment ref="P6" authorId="0" shapeId="0">
      <text>
        <r>
          <rPr>
            <b/>
            <sz val="8"/>
            <color indexed="81"/>
            <rFont val="Tahoma"/>
            <family val="2"/>
          </rPr>
          <t>surfaces réelles non pondérées</t>
        </r>
        <r>
          <rPr>
            <sz val="8"/>
            <color indexed="81"/>
            <rFont val="Tahoma"/>
            <family val="2"/>
          </rPr>
          <t xml:space="preserve">
</t>
        </r>
      </text>
    </comment>
    <comment ref="D37" authorId="0" shapeId="0">
      <text>
        <r>
          <rPr>
            <sz val="8"/>
            <color indexed="81"/>
            <rFont val="Tahoma"/>
            <family val="2"/>
          </rPr>
          <t>année de programmation LBU</t>
        </r>
        <r>
          <rPr>
            <sz val="8"/>
            <color indexed="81"/>
            <rFont val="Tahoma"/>
            <family val="2"/>
          </rPr>
          <t xml:space="preserve">
</t>
        </r>
      </text>
    </comment>
    <comment ref="U41" authorId="3" shapeId="0">
      <text>
        <r>
          <rPr>
            <b/>
            <sz val="9"/>
            <color indexed="81"/>
            <rFont val="Tahoma"/>
            <family val="2"/>
          </rPr>
          <t>NBL:</t>
        </r>
        <r>
          <rPr>
            <sz val="9"/>
            <color indexed="81"/>
            <rFont val="Tahoma"/>
            <family val="2"/>
          </rPr>
          <t xml:space="preserve">
coût réel ascenseur plafonné à 5 % de Travaux Bâtiment ==&gt; mettre la part du coût réel ascenseur</t>
        </r>
      </text>
    </comment>
    <comment ref="C47" authorId="0" shapeId="0">
      <text>
        <r>
          <rPr>
            <b/>
            <sz val="8"/>
            <color indexed="81"/>
            <rFont val="Tahoma"/>
            <family val="2"/>
          </rPr>
          <t>date</t>
        </r>
        <r>
          <rPr>
            <sz val="8"/>
            <color indexed="81"/>
            <rFont val="Tahoma"/>
            <family val="2"/>
          </rPr>
          <t xml:space="preserve">
</t>
        </r>
      </text>
    </comment>
    <comment ref="D47" authorId="0" shapeId="0">
      <text>
        <r>
          <rPr>
            <b/>
            <sz val="8"/>
            <color indexed="81"/>
            <rFont val="Tahoma"/>
            <family val="2"/>
          </rPr>
          <t>stade d'avancement (ex. PC, PRO, DAT…)</t>
        </r>
        <r>
          <rPr>
            <sz val="8"/>
            <color indexed="81"/>
            <rFont val="Tahoma"/>
            <family val="2"/>
          </rPr>
          <t xml:space="preserve">
</t>
        </r>
      </text>
    </comment>
    <comment ref="T49" authorId="4" shapeId="0">
      <text>
        <r>
          <rPr>
            <sz val="8"/>
            <color indexed="81"/>
            <rFont val="Tahoma"/>
            <family val="2"/>
          </rPr>
          <t>n° décision de subvention</t>
        </r>
      </text>
    </comment>
    <comment ref="U49" authorId="4" shapeId="0">
      <text>
        <r>
          <rPr>
            <sz val="8"/>
            <color indexed="81"/>
            <rFont val="Tahoma"/>
            <family val="2"/>
          </rPr>
          <t xml:space="preserve">date décision de subvention
</t>
        </r>
      </text>
    </comment>
    <comment ref="Q67" authorId="0" shapeId="0">
      <text>
        <r>
          <rPr>
            <sz val="8"/>
            <color indexed="81"/>
            <rFont val="Tahoma"/>
            <family val="2"/>
          </rPr>
          <t>hypothèse d'actualisation IRL, entre DF et DAT</t>
        </r>
        <r>
          <rPr>
            <sz val="8"/>
            <color indexed="81"/>
            <rFont val="Tahoma"/>
            <family val="2"/>
          </rPr>
          <t xml:space="preserve">
</t>
        </r>
      </text>
    </comment>
    <comment ref="W67" authorId="0" shapeId="0">
      <text>
        <r>
          <rPr>
            <sz val="8"/>
            <color indexed="81"/>
            <rFont val="Tahoma"/>
            <family val="2"/>
          </rPr>
          <t>IRL publié à la livraison</t>
        </r>
        <r>
          <rPr>
            <sz val="8"/>
            <color indexed="81"/>
            <rFont val="Tahoma"/>
            <family val="2"/>
          </rPr>
          <t xml:space="preserve">
</t>
        </r>
      </text>
    </comment>
    <comment ref="V68" authorId="0" shapeId="0">
      <text>
        <r>
          <rPr>
            <sz val="8"/>
            <color indexed="81"/>
            <rFont val="Tahoma"/>
            <family val="2"/>
          </rPr>
          <t>égal ou inférieur à L.max actualisé à la DAT</t>
        </r>
        <r>
          <rPr>
            <sz val="8"/>
            <color indexed="81"/>
            <rFont val="Tahoma"/>
            <family val="2"/>
          </rPr>
          <t xml:space="preserve">
</t>
        </r>
      </text>
    </comment>
    <comment ref="I70" authorId="0" shapeId="0">
      <text>
        <r>
          <rPr>
            <sz val="8"/>
            <color indexed="81"/>
            <rFont val="Tahoma"/>
            <family val="2"/>
          </rPr>
          <t>taux de loyer LLS</t>
        </r>
        <r>
          <rPr>
            <sz val="8"/>
            <color indexed="81"/>
            <rFont val="Tahoma"/>
            <family val="2"/>
          </rPr>
          <t xml:space="preserve">
</t>
        </r>
      </text>
    </comment>
    <comment ref="Z70" authorId="0" shapeId="0">
      <text>
        <r>
          <rPr>
            <sz val="8"/>
            <color indexed="81"/>
            <rFont val="Tahoma"/>
            <family val="2"/>
          </rPr>
          <t xml:space="preserve">au m2 / SU
+ 0,25 € si ascenseur
</t>
        </r>
      </text>
    </comment>
    <comment ref="V71" authorId="0" shapeId="0">
      <text>
        <r>
          <rPr>
            <sz val="8"/>
            <color indexed="81"/>
            <rFont val="Tahoma"/>
            <family val="2"/>
          </rPr>
          <t>entrée en valeur : égal ou inférieur à L.max actualisé à la DAT.</t>
        </r>
        <r>
          <rPr>
            <sz val="8"/>
            <color indexed="81"/>
            <rFont val="Tahoma"/>
            <family val="2"/>
          </rPr>
          <t xml:space="preserve">
</t>
        </r>
      </text>
    </comment>
    <comment ref="M78" authorId="0" shapeId="0">
      <text>
        <r>
          <rPr>
            <b/>
            <sz val="8"/>
            <color indexed="81"/>
            <rFont val="Tahoma"/>
            <family val="2"/>
          </rPr>
          <t>Sf moyenne</t>
        </r>
        <r>
          <rPr>
            <sz val="8"/>
            <color indexed="81"/>
            <rFont val="Tahoma"/>
            <family val="2"/>
          </rPr>
          <t xml:space="preserve">
</t>
        </r>
      </text>
    </comment>
    <comment ref="I80" authorId="0" shapeId="0">
      <text>
        <r>
          <rPr>
            <sz val="8"/>
            <color indexed="81"/>
            <rFont val="Tahoma"/>
            <family val="2"/>
          </rPr>
          <t>taux de loyer LLTS</t>
        </r>
        <r>
          <rPr>
            <sz val="8"/>
            <color indexed="81"/>
            <rFont val="Tahoma"/>
            <family val="2"/>
          </rPr>
          <t xml:space="preserve">
</t>
        </r>
      </text>
    </comment>
    <comment ref="Z80" authorId="5" shapeId="0">
      <text>
        <r>
          <rPr>
            <b/>
            <sz val="9"/>
            <color indexed="81"/>
            <rFont val="Tahoma"/>
            <family val="2"/>
          </rPr>
          <t>Nathalie BLANDINO:</t>
        </r>
        <r>
          <rPr>
            <sz val="9"/>
            <color indexed="81"/>
            <rFont val="Tahoma"/>
            <family val="2"/>
          </rPr>
          <t xml:space="preserve">
au m2 / SU
+ 0,25 € si ascenseur</t>
        </r>
      </text>
    </comment>
    <comment ref="V81" authorId="0" shapeId="0">
      <text>
        <r>
          <rPr>
            <sz val="8"/>
            <color indexed="81"/>
            <rFont val="Tahoma"/>
            <family val="2"/>
          </rPr>
          <t>entrée en valeur : égal ou inférieur à L.max actualisé à la DAT.</t>
        </r>
        <r>
          <rPr>
            <sz val="8"/>
            <color indexed="81"/>
            <rFont val="Tahoma"/>
            <family val="2"/>
          </rPr>
          <t xml:space="preserve">
</t>
        </r>
      </text>
    </comment>
    <comment ref="M88" authorId="0" shapeId="0">
      <text>
        <r>
          <rPr>
            <b/>
            <sz val="8"/>
            <color indexed="81"/>
            <rFont val="Tahoma"/>
            <family val="2"/>
          </rPr>
          <t>Sf moyenne</t>
        </r>
        <r>
          <rPr>
            <sz val="8"/>
            <color indexed="81"/>
            <rFont val="Tahoma"/>
            <family val="2"/>
          </rPr>
          <t xml:space="preserve">
</t>
        </r>
      </text>
    </comment>
  </commentList>
</comments>
</file>

<file path=xl/sharedStrings.xml><?xml version="1.0" encoding="utf-8"?>
<sst xmlns="http://schemas.openxmlformats.org/spreadsheetml/2006/main" count="1898" uniqueCount="1112">
  <si>
    <t>Nbre</t>
  </si>
  <si>
    <t>TVAO</t>
  </si>
  <si>
    <t>LLS</t>
  </si>
  <si>
    <t>LLTS</t>
  </si>
  <si>
    <t>Engagements</t>
  </si>
  <si>
    <t>Droits constatés</t>
  </si>
  <si>
    <t>Reste</t>
  </si>
  <si>
    <t>TVAS</t>
  </si>
  <si>
    <t>SHF</t>
  </si>
  <si>
    <t>au</t>
  </si>
  <si>
    <t>Situation au</t>
  </si>
  <si>
    <t>à engager</t>
  </si>
  <si>
    <t>à réaliser</t>
  </si>
  <si>
    <t>CPT GNRL</t>
  </si>
  <si>
    <t>CPT BDGT</t>
  </si>
  <si>
    <t xml:space="preserve">Etabli le:  </t>
  </si>
  <si>
    <t>Fournisseur</t>
  </si>
  <si>
    <t>TVAN</t>
  </si>
  <si>
    <t>Ratios</t>
  </si>
  <si>
    <t>PDP</t>
  </si>
  <si>
    <t>Postes</t>
  </si>
  <si>
    <t>Actualisé:</t>
  </si>
  <si>
    <t>Cumul HT</t>
  </si>
  <si>
    <t>code</t>
  </si>
  <si>
    <t>TVA</t>
  </si>
  <si>
    <t>Cumul TTC</t>
  </si>
  <si>
    <t>équiv/log.</t>
  </si>
  <si>
    <t>Cumul  HT</t>
  </si>
  <si>
    <t>HT</t>
  </si>
  <si>
    <t>231 2</t>
  </si>
  <si>
    <t>A1</t>
  </si>
  <si>
    <t xml:space="preserve">Terrain </t>
  </si>
  <si>
    <t>231 21</t>
  </si>
  <si>
    <t>A11</t>
  </si>
  <si>
    <t>Prix d'achat ou valeur d'apport</t>
  </si>
  <si>
    <t>111</t>
  </si>
  <si>
    <t>Prix d'achat - logement social</t>
  </si>
  <si>
    <t>(cession)</t>
  </si>
  <si>
    <t>112</t>
  </si>
  <si>
    <t>Prix d'achat - autres opérations</t>
  </si>
  <si>
    <t>115</t>
  </si>
  <si>
    <t xml:space="preserve">Valeur d'apport </t>
  </si>
  <si>
    <t>(affectation)</t>
  </si>
  <si>
    <t>231 22</t>
  </si>
  <si>
    <t>A12</t>
  </si>
  <si>
    <t>121</t>
  </si>
  <si>
    <t>Honoraires notaire</t>
  </si>
  <si>
    <t>123</t>
  </si>
  <si>
    <t xml:space="preserve">Enregistrement, TPF, autres frais d'actes </t>
  </si>
  <si>
    <t>231 23</t>
  </si>
  <si>
    <t>A13</t>
  </si>
  <si>
    <t>130</t>
  </si>
  <si>
    <t>131</t>
  </si>
  <si>
    <t>Indemnités  d'éviction et diverses</t>
  </si>
  <si>
    <t>132</t>
  </si>
  <si>
    <t>Frais de procèdure et enquêtes parcellaires</t>
  </si>
  <si>
    <t>138</t>
  </si>
  <si>
    <t>Divers</t>
  </si>
  <si>
    <t>231 24</t>
  </si>
  <si>
    <t>A14</t>
  </si>
  <si>
    <t>141</t>
  </si>
  <si>
    <t>Mise en état du sol  (Démolitions, déplacement des réseaux...)</t>
  </si>
  <si>
    <t>142</t>
  </si>
  <si>
    <t>231 25</t>
  </si>
  <si>
    <t>A15</t>
  </si>
  <si>
    <t>151</t>
  </si>
  <si>
    <t>Fonds de concours et  participations</t>
  </si>
  <si>
    <t>Taxe de branchement</t>
  </si>
  <si>
    <t>153</t>
  </si>
  <si>
    <t>231 4</t>
  </si>
  <si>
    <t>A2</t>
  </si>
  <si>
    <t>VRD-Aménagements</t>
  </si>
  <si>
    <t>Travaux</t>
  </si>
  <si>
    <t>231 41</t>
  </si>
  <si>
    <t>A21</t>
  </si>
  <si>
    <t>210</t>
  </si>
  <si>
    <t xml:space="preserve"> Voirie</t>
  </si>
  <si>
    <t>211</t>
  </si>
  <si>
    <t>Préparation des terrains, défrichage,terrassements généraux</t>
  </si>
  <si>
    <t>212</t>
  </si>
  <si>
    <t>Voiries</t>
  </si>
  <si>
    <t>218</t>
  </si>
  <si>
    <t xml:space="preserve">Divers </t>
  </si>
  <si>
    <t>231 42</t>
  </si>
  <si>
    <t>A22</t>
  </si>
  <si>
    <t>220</t>
  </si>
  <si>
    <t xml:space="preserve">Réseaux divers </t>
  </si>
  <si>
    <t>221</t>
  </si>
  <si>
    <t>Tranchée commune</t>
  </si>
  <si>
    <t>222</t>
  </si>
  <si>
    <t>Réseau EP - EU - EV</t>
  </si>
  <si>
    <t>224</t>
  </si>
  <si>
    <t>Eau Potable</t>
  </si>
  <si>
    <t>225</t>
  </si>
  <si>
    <t>Eclairage Public/ BT</t>
  </si>
  <si>
    <t>226</t>
  </si>
  <si>
    <t>228</t>
  </si>
  <si>
    <t>231 43</t>
  </si>
  <si>
    <t>A23</t>
  </si>
  <si>
    <t>Branchements (concessionnaires)</t>
  </si>
  <si>
    <t>231</t>
  </si>
  <si>
    <t>232</t>
  </si>
  <si>
    <t>Concessionnaire EAU</t>
  </si>
  <si>
    <t>231 44</t>
  </si>
  <si>
    <t>A24</t>
  </si>
  <si>
    <t>240</t>
  </si>
  <si>
    <t>241</t>
  </si>
  <si>
    <t>Espaces publics, espaces verts</t>
  </si>
  <si>
    <t>243</t>
  </si>
  <si>
    <t>244</t>
  </si>
  <si>
    <t>248</t>
  </si>
  <si>
    <t>231 45</t>
  </si>
  <si>
    <t>A25</t>
  </si>
  <si>
    <t>Honoraires techniques - VRD/Aménagement</t>
  </si>
  <si>
    <t>251</t>
  </si>
  <si>
    <t>Urbaniste-paysagiste</t>
  </si>
  <si>
    <t>252</t>
  </si>
  <si>
    <t>Etudes d'impact, loi sur l'eau</t>
  </si>
  <si>
    <t>253</t>
  </si>
  <si>
    <t>BET  VRD</t>
  </si>
  <si>
    <t>254</t>
  </si>
  <si>
    <t>SPS - VRD</t>
  </si>
  <si>
    <t>255</t>
  </si>
  <si>
    <t>Géomètre (DA- parcellaire)</t>
  </si>
  <si>
    <t>231 48</t>
  </si>
  <si>
    <t>A26</t>
  </si>
  <si>
    <t>260</t>
  </si>
  <si>
    <t>Autres frais annexes techniques - VRD</t>
  </si>
  <si>
    <t>261</t>
  </si>
  <si>
    <t>Divers, affichage et constats</t>
  </si>
  <si>
    <t>262</t>
  </si>
  <si>
    <t>Frais de plans, tirages, dossiers, photos, maquettes</t>
  </si>
  <si>
    <t>268</t>
  </si>
  <si>
    <t>Autres frais</t>
  </si>
  <si>
    <t>Imprévus</t>
  </si>
  <si>
    <t>231 49</t>
  </si>
  <si>
    <t>A29</t>
  </si>
  <si>
    <t>en négatif</t>
  </si>
  <si>
    <t>B</t>
  </si>
  <si>
    <t>Coût Technique</t>
  </si>
  <si>
    <t>231 31</t>
  </si>
  <si>
    <t>B1</t>
  </si>
  <si>
    <t>Travaux de bâtiment</t>
  </si>
  <si>
    <t>310</t>
  </si>
  <si>
    <t>GO-Maçonnerie</t>
  </si>
  <si>
    <t>311</t>
  </si>
  <si>
    <t xml:space="preserve">     Terrassements</t>
  </si>
  <si>
    <t>312</t>
  </si>
  <si>
    <t xml:space="preserve">     Fondations spéciales</t>
  </si>
  <si>
    <t>313</t>
  </si>
  <si>
    <t xml:space="preserve">     Gros œuvre / Maçonnerie</t>
  </si>
  <si>
    <t>315</t>
  </si>
  <si>
    <t>Charpente-Couverture</t>
  </si>
  <si>
    <t>316</t>
  </si>
  <si>
    <t xml:space="preserve">     Charpente</t>
  </si>
  <si>
    <t>317</t>
  </si>
  <si>
    <t xml:space="preserve">     Couverture </t>
  </si>
  <si>
    <t>318</t>
  </si>
  <si>
    <t>320</t>
  </si>
  <si>
    <t>Fermetures-Distribution</t>
  </si>
  <si>
    <t>321</t>
  </si>
  <si>
    <t xml:space="preserve">     Menuiseries Extérieures</t>
  </si>
  <si>
    <t>323</t>
  </si>
  <si>
    <t xml:space="preserve">     Menuiseries Intérieures</t>
  </si>
  <si>
    <t>324</t>
  </si>
  <si>
    <t xml:space="preserve">     Cloisons sèches / faux plafonds </t>
  </si>
  <si>
    <t>325</t>
  </si>
  <si>
    <t>Fluides</t>
  </si>
  <si>
    <t>326</t>
  </si>
  <si>
    <t xml:space="preserve">     Electricité </t>
  </si>
  <si>
    <t>327</t>
  </si>
  <si>
    <t xml:space="preserve">     Courants Faibles-Téléphone-Télévision     </t>
  </si>
  <si>
    <t>328</t>
  </si>
  <si>
    <t xml:space="preserve">     Plomberie / Sanitaire</t>
  </si>
  <si>
    <t>329</t>
  </si>
  <si>
    <t>330</t>
  </si>
  <si>
    <t>Revêtements-Finitions</t>
  </si>
  <si>
    <t>331</t>
  </si>
  <si>
    <t>332</t>
  </si>
  <si>
    <t xml:space="preserve">     Carrelage / faïence</t>
  </si>
  <si>
    <t>333</t>
  </si>
  <si>
    <t xml:space="preserve">     Boîtes aux lettres / Signalétique</t>
  </si>
  <si>
    <t>340</t>
  </si>
  <si>
    <t>B2</t>
  </si>
  <si>
    <t>Honoraires techniques- construction</t>
  </si>
  <si>
    <t>350</t>
  </si>
  <si>
    <t>Maîtrise d'œuvre</t>
  </si>
  <si>
    <t>351</t>
  </si>
  <si>
    <t>352</t>
  </si>
  <si>
    <t>360</t>
  </si>
  <si>
    <t>Autres honoraires techniques (Bât.)</t>
  </si>
  <si>
    <t>361</t>
  </si>
  <si>
    <t>362</t>
  </si>
  <si>
    <t>363</t>
  </si>
  <si>
    <t>364</t>
  </si>
  <si>
    <t>368</t>
  </si>
  <si>
    <t>B3</t>
  </si>
  <si>
    <t>370</t>
  </si>
  <si>
    <t xml:space="preserve">Assurances </t>
  </si>
  <si>
    <t>371</t>
  </si>
  <si>
    <t>Assurance DO</t>
  </si>
  <si>
    <t>372</t>
  </si>
  <si>
    <t>Assurance CNR</t>
  </si>
  <si>
    <t>B4</t>
  </si>
  <si>
    <t>380</t>
  </si>
  <si>
    <t>Autres frais annexes techniques - Bât.</t>
  </si>
  <si>
    <t>381</t>
  </si>
  <si>
    <t>382</t>
  </si>
  <si>
    <t>383</t>
  </si>
  <si>
    <t>B8</t>
  </si>
  <si>
    <t>385</t>
  </si>
  <si>
    <t>231 39</t>
  </si>
  <si>
    <t>B9</t>
  </si>
  <si>
    <t>C</t>
  </si>
  <si>
    <t>Frais Généraux</t>
  </si>
  <si>
    <t>231 62</t>
  </si>
  <si>
    <t>C1</t>
  </si>
  <si>
    <t>410</t>
  </si>
  <si>
    <t xml:space="preserve"> Rémunération du Maître d'ouvrage    </t>
  </si>
  <si>
    <t>411</t>
  </si>
  <si>
    <t>Direction d'investissement</t>
  </si>
  <si>
    <t xml:space="preserve"> </t>
  </si>
  <si>
    <t>412</t>
  </si>
  <si>
    <t>Conduite d'opération</t>
  </si>
  <si>
    <t>231 61</t>
  </si>
  <si>
    <t>C2</t>
  </si>
  <si>
    <t>420</t>
  </si>
  <si>
    <t>Charges financières</t>
  </si>
  <si>
    <t>421</t>
  </si>
  <si>
    <t xml:space="preserve">Intérêts sur emprunts </t>
  </si>
  <si>
    <t>(Préfinancement )</t>
  </si>
  <si>
    <t>422</t>
  </si>
  <si>
    <t>Frais sur emprunts</t>
  </si>
  <si>
    <t>423</t>
  </si>
  <si>
    <t>Cautions et garanties financières</t>
  </si>
  <si>
    <t>CGLS</t>
  </si>
  <si>
    <t>231 68</t>
  </si>
  <si>
    <t>C3</t>
  </si>
  <si>
    <t>430</t>
  </si>
  <si>
    <t>Frais annexes divers</t>
  </si>
  <si>
    <t>431</t>
  </si>
  <si>
    <t>Etudes générales - faisabilité et programmation</t>
  </si>
  <si>
    <t>432</t>
  </si>
  <si>
    <t>Création copropriété / Ass.syndicale</t>
  </si>
  <si>
    <t>433</t>
  </si>
  <si>
    <t>Frais de première installation</t>
  </si>
  <si>
    <t>438</t>
  </si>
  <si>
    <t xml:space="preserve">Autres frais divers </t>
  </si>
  <si>
    <t>231 69</t>
  </si>
  <si>
    <t>C9</t>
  </si>
  <si>
    <t>Produits annexes</t>
  </si>
  <si>
    <t>Total HT. Livraison à soi-même</t>
  </si>
  <si>
    <t>C5</t>
  </si>
  <si>
    <t>500</t>
  </si>
  <si>
    <t>Charges fiscales</t>
  </si>
  <si>
    <t>445 712 / 231 63</t>
  </si>
  <si>
    <t>510</t>
  </si>
  <si>
    <t>TVA sur livraison à soi-même</t>
  </si>
  <si>
    <t>(TVA d'opération)</t>
  </si>
  <si>
    <t>Collectée</t>
  </si>
  <si>
    <t>540</t>
  </si>
  <si>
    <t>TVA déductible</t>
  </si>
  <si>
    <t>TVA résiduelle - en crédit</t>
  </si>
  <si>
    <t>E</t>
  </si>
  <si>
    <t>PRIX DE REVIENT PREVISIONNEL</t>
  </si>
  <si>
    <t>insuffisance ou excédent de financement</t>
  </si>
  <si>
    <t>F</t>
  </si>
  <si>
    <t>FINANCEMENT PREVISIONNEL</t>
  </si>
  <si>
    <t>701</t>
  </si>
  <si>
    <t>Prêt CDC  LLS/LLTS</t>
  </si>
  <si>
    <t>Intérêts consolidés</t>
  </si>
  <si>
    <t>Autres prêts (secteur locatif)</t>
  </si>
  <si>
    <t>706</t>
  </si>
  <si>
    <t>708</t>
  </si>
  <si>
    <t xml:space="preserve">Autres prêts </t>
  </si>
  <si>
    <t>Subventions</t>
  </si>
  <si>
    <t>Commune</t>
  </si>
  <si>
    <t>CAF-LLTS</t>
  </si>
  <si>
    <t>ADI-LLTS</t>
  </si>
  <si>
    <t>1% patronal - droit de réservation</t>
  </si>
  <si>
    <t>729</t>
  </si>
  <si>
    <t>Fonds propres</t>
  </si>
  <si>
    <t>Fiche Programme</t>
  </si>
  <si>
    <t>Prix de Revient</t>
  </si>
  <si>
    <t>TTC</t>
  </si>
  <si>
    <t>Terrain</t>
  </si>
  <si>
    <t>VRD/Aménag.</t>
  </si>
  <si>
    <t xml:space="preserve"> Charge Foncière</t>
  </si>
  <si>
    <t>Travaux Bâtiment</t>
  </si>
  <si>
    <t>Honoraires Techniques</t>
  </si>
  <si>
    <t xml:space="preserve"> Côut Technique</t>
  </si>
  <si>
    <t xml:space="preserve">LBU </t>
  </si>
  <si>
    <t xml:space="preserve">LBU-LLTS </t>
  </si>
  <si>
    <t>434</t>
  </si>
  <si>
    <t>Participation à LCR de quartier</t>
  </si>
  <si>
    <t>Participation LCR reçue</t>
  </si>
  <si>
    <t>Assurance</t>
  </si>
  <si>
    <t>Frais annexes techniques</t>
  </si>
  <si>
    <t>Surface finançable</t>
  </si>
  <si>
    <t>Total</t>
  </si>
  <si>
    <t>Surface habitable</t>
  </si>
  <si>
    <t>Autres</t>
  </si>
  <si>
    <t>LCR</t>
  </si>
  <si>
    <t>Taxes</t>
  </si>
  <si>
    <t>Frais divers</t>
  </si>
  <si>
    <t>Bilan d'opération</t>
  </si>
  <si>
    <t>TVAN1</t>
  </si>
  <si>
    <t>AMRT</t>
  </si>
  <si>
    <t>m2/SHF</t>
  </si>
  <si>
    <t>cr.</t>
  </si>
  <si>
    <t>110</t>
  </si>
  <si>
    <t>120</t>
  </si>
  <si>
    <t>Frais d'acquisition</t>
  </si>
  <si>
    <t>Indemnités diverses</t>
  </si>
  <si>
    <t>140</t>
  </si>
  <si>
    <t>Autres frais de mise en état</t>
  </si>
  <si>
    <t>150</t>
  </si>
  <si>
    <t>Géomètre, topo, bornage</t>
  </si>
  <si>
    <t>231 26</t>
  </si>
  <si>
    <t>A16</t>
  </si>
  <si>
    <t>160</t>
  </si>
  <si>
    <t>161</t>
  </si>
  <si>
    <t>Fonds de concours</t>
  </si>
  <si>
    <t>162</t>
  </si>
  <si>
    <t>Participations</t>
  </si>
  <si>
    <t>231 27</t>
  </si>
  <si>
    <t>A17</t>
  </si>
  <si>
    <t>170</t>
  </si>
  <si>
    <t>Droits de mutation, taxes et redevances diverses</t>
  </si>
  <si>
    <t>171</t>
  </si>
  <si>
    <t>172</t>
  </si>
  <si>
    <t>173</t>
  </si>
  <si>
    <t>Taxes diverses</t>
  </si>
  <si>
    <t>231 29</t>
  </si>
  <si>
    <t>A 19</t>
  </si>
  <si>
    <t>Indemnitées diverses</t>
  </si>
  <si>
    <t>213</t>
  </si>
  <si>
    <t>223-a</t>
  </si>
  <si>
    <t>Epuration/Refoulement/Fosses septiques traditionnelles</t>
  </si>
  <si>
    <t>233-b</t>
  </si>
  <si>
    <t>Fosses septiques non traditionnelles</t>
  </si>
  <si>
    <t>Courants faibles / télécom-télévision / NTIC</t>
  </si>
  <si>
    <t>230</t>
  </si>
  <si>
    <t>France Telecom</t>
  </si>
  <si>
    <t>Aménagements et équipements de proximité</t>
  </si>
  <si>
    <t>G</t>
  </si>
  <si>
    <t>Aménagements et équipements légers : clôtures, jeux,…..</t>
  </si>
  <si>
    <t>Aménagements et équipements lourds : murets….</t>
  </si>
  <si>
    <t>Mobilier urbain-Signalétique-Boîtes aux lettres</t>
  </si>
  <si>
    <t>250</t>
  </si>
  <si>
    <t>Produits divers</t>
  </si>
  <si>
    <t xml:space="preserve">     Etanchéité de toiture</t>
  </si>
  <si>
    <t>322-1</t>
  </si>
  <si>
    <t xml:space="preserve">     Ferronerie / Serrrurerie - extérieur</t>
  </si>
  <si>
    <t>322-2</t>
  </si>
  <si>
    <t xml:space="preserve">     Ferronerie / Serrrurerie - intérieur</t>
  </si>
  <si>
    <t xml:space="preserve">     Peintures intérieures</t>
  </si>
  <si>
    <t>334-1</t>
  </si>
  <si>
    <t xml:space="preserve">     Peintures extérieures-ravalements</t>
  </si>
  <si>
    <t>D</t>
  </si>
  <si>
    <t>334-2</t>
  </si>
  <si>
    <t xml:space="preserve">     Revêtements-ravalements d'étanchéité</t>
  </si>
  <si>
    <t>H</t>
  </si>
  <si>
    <t>335-1</t>
  </si>
  <si>
    <t>335-2</t>
  </si>
  <si>
    <t xml:space="preserve">     Agencements divers</t>
  </si>
  <si>
    <t>231 65</t>
  </si>
  <si>
    <t xml:space="preserve">    Architecte</t>
  </si>
  <si>
    <t xml:space="preserve">    Sondages / études de sols</t>
  </si>
  <si>
    <t xml:space="preserve">    Bureau de contrôle</t>
  </si>
  <si>
    <t xml:space="preserve">    OPC - mandataire en groupement</t>
  </si>
  <si>
    <t xml:space="preserve">    Sécurité  SPS</t>
  </si>
  <si>
    <t xml:space="preserve">    Divers</t>
  </si>
  <si>
    <t>231 66</t>
  </si>
  <si>
    <t>Provision pour parfait achèvement</t>
  </si>
  <si>
    <t>231 64</t>
  </si>
  <si>
    <t>1/8ème  CIL</t>
  </si>
  <si>
    <t>Financement Eau Chaude Solaire</t>
  </si>
  <si>
    <t>Etudes</t>
  </si>
  <si>
    <t>MARGE</t>
  </si>
  <si>
    <t>COMMERCE</t>
  </si>
  <si>
    <t>contrôle</t>
  </si>
  <si>
    <t xml:space="preserve"> Frais annexes</t>
  </si>
  <si>
    <t xml:space="preserve">Prix de Revient </t>
  </si>
  <si>
    <t>Détermination des composants</t>
  </si>
  <si>
    <t>mise en service</t>
  </si>
  <si>
    <t>amortissement</t>
  </si>
  <si>
    <t>mise en immo</t>
  </si>
  <si>
    <t>Immeuble amortissable</t>
  </si>
  <si>
    <t>travaux</t>
  </si>
  <si>
    <t>coef.frais an.</t>
  </si>
  <si>
    <t>famille</t>
  </si>
  <si>
    <t>honoraires, assurances et frais annexes</t>
  </si>
  <si>
    <t>213 11-01</t>
  </si>
  <si>
    <t>A</t>
  </si>
  <si>
    <t>Stucture</t>
  </si>
  <si>
    <t>cr</t>
  </si>
  <si>
    <t>213 11-02</t>
  </si>
  <si>
    <t>Menuiseries extérieures - Ferronnerie extérieure</t>
  </si>
  <si>
    <t>213 11-05</t>
  </si>
  <si>
    <t>Couverture - étanchéité en toiture</t>
  </si>
  <si>
    <t>213 11-06</t>
  </si>
  <si>
    <t>Façades - Ravalements d'étanchéité</t>
  </si>
  <si>
    <t>213 11-09</t>
  </si>
  <si>
    <t>Ascenseurs</t>
  </si>
  <si>
    <t>213 11-10</t>
  </si>
  <si>
    <t>Equipements techniques de confort et sécurité</t>
  </si>
  <si>
    <t>213 11-11</t>
  </si>
  <si>
    <t>Equipements et aménagements extérieurs</t>
  </si>
  <si>
    <t>213 11-12</t>
  </si>
  <si>
    <t>Equipements et agencements intérieurs</t>
  </si>
  <si>
    <t xml:space="preserve">Arrêté préfectoral du 11/04/2001 (no 0801/sg/dicv/3) pour les communes de l'île de la Réunion </t>
  </si>
  <si>
    <t>SU</t>
  </si>
  <si>
    <t xml:space="preserve">     Equipements énergie solaire</t>
  </si>
  <si>
    <t xml:space="preserve">    BET solaire</t>
  </si>
  <si>
    <t>Frais de notaire defisc</t>
  </si>
  <si>
    <t>PRIX DE REVIENT PREVISIONNEL AVEC FRAIS NOTAIRE DEFISC</t>
  </si>
  <si>
    <t>LBU</t>
  </si>
  <si>
    <t>ECS</t>
  </si>
  <si>
    <t xml:space="preserve">EDF-MT/BT </t>
  </si>
  <si>
    <t>soit</t>
  </si>
  <si>
    <t xml:space="preserve">SU </t>
  </si>
  <si>
    <t xml:space="preserve">     Revêtements de sol souples </t>
  </si>
  <si>
    <t>Foncier</t>
  </si>
  <si>
    <t>Construction</t>
  </si>
  <si>
    <t>40 ans</t>
  </si>
  <si>
    <t>50 ans</t>
  </si>
  <si>
    <t>Groupe</t>
  </si>
  <si>
    <t>PRLC</t>
  </si>
  <si>
    <t>Autorisation CA</t>
  </si>
  <si>
    <t>PROGRAMME</t>
  </si>
  <si>
    <t>Shi</t>
  </si>
  <si>
    <t>Sv</t>
  </si>
  <si>
    <t>S</t>
  </si>
  <si>
    <t>annexes privatives</t>
  </si>
  <si>
    <t>garages et boxes</t>
  </si>
  <si>
    <t>Sa/2</t>
  </si>
  <si>
    <t>Sg/2</t>
  </si>
  <si>
    <t>Slcr/2</t>
  </si>
  <si>
    <t>SF</t>
  </si>
  <si>
    <t>Nombre</t>
  </si>
  <si>
    <t>Surfaces totales</t>
  </si>
  <si>
    <t>Type</t>
  </si>
  <si>
    <t>Cat.Fin.</t>
  </si>
  <si>
    <t>Localisation</t>
  </si>
  <si>
    <t>N°</t>
  </si>
  <si>
    <t>S.habitable intérieure</t>
  </si>
  <si>
    <t>S.Varangue</t>
  </si>
  <si>
    <t xml:space="preserve"> Sa1 </t>
  </si>
  <si>
    <t xml:space="preserve">Sa2 </t>
  </si>
  <si>
    <t>Sa</t>
  </si>
  <si>
    <t>Sg1</t>
  </si>
  <si>
    <t>Sg2</t>
  </si>
  <si>
    <t>Sg</t>
  </si>
  <si>
    <t>Surface utile</t>
  </si>
  <si>
    <t>Chauffe eau solaire</t>
  </si>
  <si>
    <t>S.T</t>
  </si>
  <si>
    <t>Sa/2.T</t>
  </si>
  <si>
    <t>SU.T</t>
  </si>
  <si>
    <t>SF.T</t>
  </si>
  <si>
    <t>moyenne</t>
  </si>
  <si>
    <t>9&lt;&gt;14</t>
  </si>
  <si>
    <t>total</t>
  </si>
  <si>
    <t>II</t>
  </si>
  <si>
    <t>T II +V a</t>
  </si>
  <si>
    <t>56 / 85</t>
  </si>
  <si>
    <t>III</t>
  </si>
  <si>
    <t>T III +V a</t>
  </si>
  <si>
    <t>66 / 100</t>
  </si>
  <si>
    <t>IV</t>
  </si>
  <si>
    <t>T IV + V a</t>
  </si>
  <si>
    <t>76 / 115</t>
  </si>
  <si>
    <t>V</t>
  </si>
  <si>
    <t>86 / 130</t>
  </si>
  <si>
    <t>VI</t>
  </si>
  <si>
    <t>COMMERCES</t>
  </si>
  <si>
    <t>COMMERCE 1</t>
  </si>
  <si>
    <t>COMMERCE 2</t>
  </si>
  <si>
    <t>COMMERCE 3</t>
  </si>
  <si>
    <t>COMMERCE 4</t>
  </si>
  <si>
    <t>surface réelle</t>
  </si>
  <si>
    <t>SHOB</t>
  </si>
  <si>
    <t>PARAMETRES</t>
  </si>
  <si>
    <t>LLS/TS</t>
  </si>
  <si>
    <t>PRG</t>
  </si>
  <si>
    <t>Prix de revient prévisionnel</t>
  </si>
  <si>
    <t>Financement</t>
  </si>
  <si>
    <t>valeur au</t>
  </si>
  <si>
    <t>PRP</t>
  </si>
  <si>
    <t>CFRéf</t>
  </si>
  <si>
    <t>ASC</t>
  </si>
  <si>
    <t>&lt; 5%</t>
  </si>
  <si>
    <t>IRL</t>
  </si>
  <si>
    <t>LM  Dom</t>
  </si>
  <si>
    <t>REV</t>
  </si>
  <si>
    <t>indicatif</t>
  </si>
  <si>
    <t>Com</t>
  </si>
  <si>
    <t>LBU - TS</t>
  </si>
  <si>
    <t>A max</t>
  </si>
  <si>
    <t>Taux de subvention</t>
  </si>
  <si>
    <t>Au m2/SF</t>
  </si>
  <si>
    <t>Subvention LBU</t>
  </si>
  <si>
    <t>REALISATION</t>
  </si>
  <si>
    <t>AU</t>
  </si>
  <si>
    <t>par log./équiv.</t>
  </si>
  <si>
    <t>au m2</t>
  </si>
  <si>
    <t>Calendrier travaux</t>
  </si>
  <si>
    <t>DF LLS</t>
  </si>
  <si>
    <t>DF LLTS</t>
  </si>
  <si>
    <t>Surcharge foncière</t>
  </si>
  <si>
    <t>LBU compl.</t>
  </si>
  <si>
    <t xml:space="preserve">PC    n°  </t>
  </si>
  <si>
    <t>Collectivité</t>
  </si>
  <si>
    <t>Achat</t>
  </si>
  <si>
    <t>Date</t>
  </si>
  <si>
    <t xml:space="preserve">Autres </t>
  </si>
  <si>
    <t>Surface</t>
  </si>
  <si>
    <t>DROC</t>
  </si>
  <si>
    <t xml:space="preserve">Assurance </t>
  </si>
  <si>
    <t>Prix</t>
  </si>
  <si>
    <t>OS n°1</t>
  </si>
  <si>
    <t>Prêt CDC</t>
  </si>
  <si>
    <t>Au m2/terrain</t>
  </si>
  <si>
    <t>Durée prév./mois</t>
  </si>
  <si>
    <t xml:space="preserve"> Coût Technique</t>
  </si>
  <si>
    <t>Au m2/SHON</t>
  </si>
  <si>
    <t>Réception</t>
  </si>
  <si>
    <t>Rém</t>
  </si>
  <si>
    <t>COS</t>
  </si>
  <si>
    <t>NR</t>
  </si>
  <si>
    <t>Mise en service</t>
  </si>
  <si>
    <t>IC immobilisés</t>
  </si>
  <si>
    <t>Autres Prêts</t>
  </si>
  <si>
    <t>DAT</t>
  </si>
  <si>
    <t>1%</t>
  </si>
  <si>
    <t>Conformité</t>
  </si>
  <si>
    <t xml:space="preserve"> Frais généraux</t>
  </si>
  <si>
    <t>Frais notaire défisc</t>
  </si>
  <si>
    <t xml:space="preserve">PRP </t>
  </si>
  <si>
    <t>Total Financement</t>
  </si>
  <si>
    <t>LOYERS</t>
  </si>
  <si>
    <t>Loyer plafond à la convention de financement</t>
  </si>
  <si>
    <t>Loyer plafond actualisé à la DAT</t>
  </si>
  <si>
    <t>Loyer retenu à la livraison</t>
  </si>
  <si>
    <t>Approche AL</t>
  </si>
  <si>
    <t>à compter du</t>
  </si>
  <si>
    <t>quittancement à la mise en service</t>
  </si>
  <si>
    <t xml:space="preserve">  xx TR xxxx</t>
  </si>
  <si>
    <t>date</t>
  </si>
  <si>
    <t>CS</t>
  </si>
  <si>
    <t>L.max /mois</t>
  </si>
  <si>
    <t>L.max /an</t>
  </si>
  <si>
    <t>Surface par type</t>
  </si>
  <si>
    <t>loyer annuel</t>
  </si>
  <si>
    <t>charges</t>
  </si>
  <si>
    <t>Loyer mensuel  (par type)</t>
  </si>
  <si>
    <t>provision</t>
  </si>
  <si>
    <t>estimation</t>
  </si>
  <si>
    <t xml:space="preserve">reste </t>
  </si>
  <si>
    <t>par type</t>
  </si>
  <si>
    <t>m2/SF</t>
  </si>
  <si>
    <t>m2/SU</t>
  </si>
  <si>
    <t>m2/S</t>
  </si>
  <si>
    <t>OPR</t>
  </si>
  <si>
    <t>an</t>
  </si>
  <si>
    <t xml:space="preserve"> m2/SF</t>
  </si>
  <si>
    <t xml:space="preserve"> m2/SU</t>
  </si>
  <si>
    <t>pour charges</t>
  </si>
  <si>
    <t>quittance</t>
  </si>
  <si>
    <t>AL</t>
  </si>
  <si>
    <t>à charge</t>
  </si>
  <si>
    <t>annuel</t>
  </si>
  <si>
    <t>Contrôle</t>
  </si>
  <si>
    <r>
      <t xml:space="preserve">total </t>
    </r>
    <r>
      <rPr>
        <sz val="10"/>
        <rFont val="Arial"/>
        <family val="2"/>
      </rPr>
      <t>/</t>
    </r>
    <r>
      <rPr>
        <b/>
        <sz val="10"/>
        <rFont val="Arial"/>
        <family val="2"/>
      </rPr>
      <t xml:space="preserve"> </t>
    </r>
    <r>
      <rPr>
        <b/>
        <i/>
        <sz val="10"/>
        <rFont val="Arial"/>
        <family val="2"/>
      </rPr>
      <t xml:space="preserve">moyenne  </t>
    </r>
    <r>
      <rPr>
        <b/>
        <sz val="10"/>
        <rFont val="Arial"/>
        <family val="2"/>
      </rPr>
      <t>LLS</t>
    </r>
  </si>
  <si>
    <r>
      <t xml:space="preserve">total </t>
    </r>
    <r>
      <rPr>
        <sz val="10"/>
        <rFont val="Arial"/>
        <family val="2"/>
      </rPr>
      <t>/</t>
    </r>
    <r>
      <rPr>
        <b/>
        <sz val="10"/>
        <rFont val="Arial"/>
        <family val="2"/>
      </rPr>
      <t xml:space="preserve"> </t>
    </r>
    <r>
      <rPr>
        <b/>
        <i/>
        <sz val="10"/>
        <rFont val="Arial"/>
        <family val="2"/>
      </rPr>
      <t xml:space="preserve">moyenne  </t>
    </r>
    <r>
      <rPr>
        <b/>
        <sz val="10"/>
        <rFont val="Arial"/>
        <family val="2"/>
      </rPr>
      <t>LLTS</t>
    </r>
  </si>
  <si>
    <r>
      <t xml:space="preserve">total </t>
    </r>
    <r>
      <rPr>
        <sz val="10"/>
        <rFont val="Arial"/>
        <family val="2"/>
      </rPr>
      <t>/</t>
    </r>
    <r>
      <rPr>
        <b/>
        <sz val="10"/>
        <rFont val="Arial"/>
        <family val="2"/>
      </rPr>
      <t xml:space="preserve"> </t>
    </r>
    <r>
      <rPr>
        <b/>
        <i/>
        <sz val="10"/>
        <rFont val="Arial"/>
        <family val="2"/>
      </rPr>
      <t xml:space="preserve">moyenne  </t>
    </r>
    <r>
      <rPr>
        <b/>
        <sz val="10"/>
        <rFont val="Arial"/>
        <family val="2"/>
      </rPr>
      <t>COMMERCES</t>
    </r>
  </si>
  <si>
    <r>
      <t xml:space="preserve">total </t>
    </r>
    <r>
      <rPr>
        <sz val="10"/>
        <color indexed="12"/>
        <rFont val="Arial"/>
        <family val="2"/>
      </rPr>
      <t>/</t>
    </r>
    <r>
      <rPr>
        <b/>
        <sz val="10"/>
        <color indexed="12"/>
        <rFont val="Arial"/>
        <family val="2"/>
      </rPr>
      <t xml:space="preserve"> </t>
    </r>
    <r>
      <rPr>
        <b/>
        <i/>
        <sz val="10"/>
        <color indexed="12"/>
        <rFont val="Arial"/>
        <family val="2"/>
      </rPr>
      <t xml:space="preserve">moyenne  </t>
    </r>
    <r>
      <rPr>
        <b/>
        <sz val="10"/>
        <color indexed="12"/>
        <rFont val="Arial"/>
        <family val="2"/>
      </rPr>
      <t>Groupe</t>
    </r>
  </si>
  <si>
    <r>
      <t xml:space="preserve">ICC </t>
    </r>
    <r>
      <rPr>
        <sz val="9"/>
        <rFont val="Arial"/>
        <family val="2"/>
      </rPr>
      <t>(moyenne)</t>
    </r>
  </si>
  <si>
    <r>
      <t xml:space="preserve">total </t>
    </r>
    <r>
      <rPr>
        <sz val="9"/>
        <rFont val="Arial"/>
        <family val="2"/>
      </rPr>
      <t>/</t>
    </r>
    <r>
      <rPr>
        <b/>
        <sz val="9"/>
        <rFont val="Arial"/>
        <family val="2"/>
      </rPr>
      <t xml:space="preserve"> </t>
    </r>
    <r>
      <rPr>
        <b/>
        <i/>
        <sz val="9"/>
        <rFont val="Arial"/>
        <family val="2"/>
      </rPr>
      <t>moyenne</t>
    </r>
  </si>
  <si>
    <t>démol</t>
  </si>
  <si>
    <t>Px Terrain</t>
  </si>
  <si>
    <t>LBU max</t>
  </si>
  <si>
    <t>amiante</t>
  </si>
  <si>
    <t>Fonds Propres</t>
  </si>
  <si>
    <t>Autres subventions</t>
  </si>
  <si>
    <t>Constat huissier</t>
  </si>
  <si>
    <t>imprévus travaux</t>
  </si>
  <si>
    <t>S plancher</t>
  </si>
  <si>
    <t>autres zones… (15K€)</t>
  </si>
  <si>
    <t>Détail du bilan  à compléter OBLIGATOIREMENT</t>
  </si>
  <si>
    <t>%</t>
  </si>
  <si>
    <t>FONCIER</t>
  </si>
  <si>
    <t>Réf. Cadastral</t>
  </si>
  <si>
    <t>Quantité</t>
  </si>
  <si>
    <t>ETUDES</t>
  </si>
  <si>
    <t>MONTAGE DE DOSSIER</t>
  </si>
  <si>
    <t>FRAIS FINANCIERS</t>
  </si>
  <si>
    <t>Montant prévisionnel</t>
  </si>
  <si>
    <t>Domaine</t>
  </si>
  <si>
    <t>Moyen terme</t>
  </si>
  <si>
    <t>Acquisitions</t>
  </si>
  <si>
    <t>Court terme</t>
  </si>
  <si>
    <t>Frais de notaire</t>
  </si>
  <si>
    <t>Commission bancaire</t>
  </si>
  <si>
    <t>TRAVAUX</t>
  </si>
  <si>
    <t>Terrassements</t>
  </si>
  <si>
    <t>Eaux usées</t>
  </si>
  <si>
    <t>HONORAIRES</t>
  </si>
  <si>
    <t>Eaux pluviales</t>
  </si>
  <si>
    <t>Assiette</t>
  </si>
  <si>
    <t>Unité</t>
  </si>
  <si>
    <t>Montant</t>
  </si>
  <si>
    <t>Eau potable</t>
  </si>
  <si>
    <t>Géomètre</t>
  </si>
  <si>
    <t>Ft</t>
  </si>
  <si>
    <t>Réseau téléphone</t>
  </si>
  <si>
    <t>Sondages</t>
  </si>
  <si>
    <t>Éclairage public</t>
  </si>
  <si>
    <t>Étude d'impact</t>
  </si>
  <si>
    <t>Électricité</t>
  </si>
  <si>
    <t>Suivi</t>
  </si>
  <si>
    <t>Espaces verts</t>
  </si>
  <si>
    <t>Acoustique</t>
  </si>
  <si>
    <t>Maquette</t>
  </si>
  <si>
    <t>tx</t>
  </si>
  <si>
    <t>SPS</t>
  </si>
  <si>
    <t>FRAIS GENERAUX</t>
  </si>
  <si>
    <t>Communication</t>
  </si>
  <si>
    <t xml:space="preserve">Aménageur </t>
  </si>
  <si>
    <t xml:space="preserve">Foncier </t>
  </si>
  <si>
    <t>Commercialisation</t>
  </si>
  <si>
    <t>Coût</t>
  </si>
  <si>
    <t>Commerces</t>
  </si>
  <si>
    <t>Activités</t>
  </si>
  <si>
    <t>Rémunération conduite opération</t>
  </si>
  <si>
    <t>Lots</t>
  </si>
  <si>
    <t>Honoraires fonciers</t>
  </si>
  <si>
    <t>Frais financiers</t>
  </si>
  <si>
    <t>CESSIONS EQUIPEMENTS</t>
  </si>
  <si>
    <t xml:space="preserve">Cession </t>
  </si>
  <si>
    <t>SOMME DES DEPENSES ELIGIBLES (a)</t>
  </si>
  <si>
    <t>S O M M E   R E C E T T E S   H O R S   L O G E M E N T  S O C I A L (b)</t>
  </si>
  <si>
    <t>CHARGES FONC. LIBRES</t>
  </si>
  <si>
    <t>Commerce</t>
  </si>
  <si>
    <t>Quantité (Nbre de logt)</t>
  </si>
  <si>
    <t>LES</t>
  </si>
  <si>
    <t>Cessions externes</t>
  </si>
  <si>
    <t>AUTRES RECETTES</t>
  </si>
  <si>
    <t>PLS</t>
  </si>
  <si>
    <t xml:space="preserve">Mesures Eau/Assainissement </t>
  </si>
  <si>
    <t>Participation Ville</t>
  </si>
  <si>
    <t>SUBVENTIONS</t>
  </si>
  <si>
    <t>Taux Subv.</t>
  </si>
  <si>
    <t>Incidence TVA</t>
  </si>
  <si>
    <r>
      <t xml:space="preserve">S O M M E   R E C E T T E S   L O G E M E N T  S O C I A L  </t>
    </r>
    <r>
      <rPr>
        <b/>
        <sz val="12"/>
        <color indexed="8"/>
        <rFont val="Times New Roman"/>
        <family val="1"/>
      </rPr>
      <t>(c)</t>
    </r>
  </si>
  <si>
    <t>Solde</t>
  </si>
  <si>
    <t>FRAFU "Les Réseaux Primaires"</t>
  </si>
  <si>
    <t>CHARGES FONC. LOGTS AIDES</t>
  </si>
  <si>
    <t>Locatifs</t>
  </si>
  <si>
    <t>Rappel sur les plafonds :</t>
  </si>
  <si>
    <t>SOMMES DES DEPENSES ELIGIBLES (a)</t>
  </si>
  <si>
    <r>
      <t>Sous-Mesure 1 - « Viabilisation du Foncier »</t>
    </r>
    <r>
      <rPr>
        <b/>
        <sz val="10"/>
        <color indexed="8"/>
        <rFont val="Arial Narrow"/>
        <family val="2"/>
      </rPr>
      <t xml:space="preserve"> :</t>
    </r>
    <r>
      <rPr>
        <sz val="10"/>
        <color indexed="8"/>
        <rFont val="Arial Narrow"/>
        <family val="2"/>
      </rPr>
      <t xml:space="preserve"> Opération composée au moins de </t>
    </r>
    <r>
      <rPr>
        <b/>
        <sz val="11"/>
        <color indexed="8"/>
        <rFont val="Arial Narrow"/>
        <family val="2"/>
      </rPr>
      <t>40% de logts aidés</t>
    </r>
    <r>
      <rPr>
        <sz val="10"/>
        <color indexed="8"/>
        <rFont val="Arial Narrow"/>
        <family val="2"/>
      </rPr>
      <t xml:space="preserve">) : </t>
    </r>
  </si>
  <si>
    <t>SOMMES DES RHLS (b)</t>
  </si>
  <si>
    <r>
      <t>Sous-Mesure 2  - «Réseaux Primaires en lien avec l'opération d'aménagement »</t>
    </r>
    <r>
      <rPr>
        <sz val="10"/>
        <color indexed="8"/>
        <rFont val="Arial Narrow"/>
        <family val="2"/>
      </rPr>
      <t> :</t>
    </r>
  </si>
  <si>
    <t>SUBVENTIONS D'EQUILIBRE</t>
  </si>
  <si>
    <t>MONTANT TOTAL DES RECETTES</t>
  </si>
  <si>
    <t>Urbaniste</t>
  </si>
  <si>
    <t>Locaux Comm / ERP</t>
  </si>
  <si>
    <t>€ TTC</t>
  </si>
  <si>
    <t>I</t>
  </si>
  <si>
    <t>VII</t>
  </si>
  <si>
    <t>Modèle de  bilan F R A F U  " Aménagement à vocation sociale " consolidé,  P r o t o c o l e   Eau et Aménagement  2 0 1 2 – ANNEXE 14 C validée au CTEA du 14 juin  2013</t>
  </si>
  <si>
    <r>
      <t xml:space="preserve">B I L A N   F R A F U </t>
    </r>
    <r>
      <rPr>
        <sz val="12"/>
        <color indexed="8"/>
        <rFont val="Arial Narrow"/>
        <family val="2"/>
      </rPr>
      <t xml:space="preserve"> (global ou par tranche financière ) </t>
    </r>
  </si>
  <si>
    <t>Opération :</t>
  </si>
  <si>
    <t xml:space="preserve">sur la commune de : </t>
  </si>
  <si>
    <t>Localisation du projet pour calculer les plafonds</t>
  </si>
  <si>
    <t>Hauts, Dents creuses,Label Eco-quartier (20K€)</t>
  </si>
  <si>
    <t>Dépenses éligibles au FRAFU Aménagement
" Viabilisation du Foncier "
 (HT)
Sous-mesure 1</t>
  </si>
  <si>
    <t>Dépenses éligibles au FRAFU " Réseaux Primaires " 
(si en lien avec l'opération d'aménagement)
(HT)
Sous-mesure 2</t>
  </si>
  <si>
    <t>Surface en m²</t>
  </si>
  <si>
    <t>Coût / m²</t>
  </si>
  <si>
    <t>terrains</t>
  </si>
  <si>
    <t>SURFACE TOTALE :</t>
  </si>
  <si>
    <t>TOTAL FONCIER :</t>
  </si>
  <si>
    <t>DUP</t>
  </si>
  <si>
    <t>TOTAL FRAIS FINANCIERS :</t>
  </si>
  <si>
    <t>Marché</t>
  </si>
  <si>
    <t>TOTAL HONORAIRES :</t>
  </si>
  <si>
    <t>détails</t>
  </si>
  <si>
    <t xml:space="preserve">   J /semaine</t>
  </si>
  <si>
    <t>Clôture</t>
  </si>
  <si>
    <t>IMPREVUS (inclus dans les autres postes)</t>
  </si>
  <si>
    <t>TOTAL FRAIS GENERAUX :</t>
  </si>
  <si>
    <t>REVISIONS (inclus dans les autres postes)</t>
  </si>
  <si>
    <t xml:space="preserve">CHARGES FONCIERES LIBRES </t>
  </si>
  <si>
    <t>Moyenne surface, alim,…</t>
  </si>
  <si>
    <t>m² surf planch</t>
  </si>
  <si>
    <t>Services, …</t>
  </si>
  <si>
    <t>Lots libres</t>
  </si>
  <si>
    <t>TOTAL CHARGES FONCIERES LIBRES :</t>
  </si>
  <si>
    <t>TOTAL CESSIONS EQUIPEMENTS :</t>
  </si>
  <si>
    <r>
      <t xml:space="preserve">CHARGES FONCIERES LOGEMENTS AIDES </t>
    </r>
    <r>
      <rPr>
        <sz val="10"/>
        <color indexed="8"/>
        <rFont val="Arial Narrow"/>
        <family val="2"/>
      </rPr>
      <t xml:space="preserve">(Fixées par l'Etat, </t>
    </r>
    <r>
      <rPr>
        <sz val="10"/>
        <color indexed="10"/>
        <rFont val="Arial Narrow"/>
        <family val="2"/>
      </rPr>
      <t xml:space="preserve">fixées par Région, </t>
    </r>
    <r>
      <rPr>
        <sz val="10"/>
        <color indexed="17"/>
        <rFont val="Arial Narrow"/>
        <family val="2"/>
      </rPr>
      <t>fixées par opérateurs</t>
    </r>
    <r>
      <rPr>
        <sz val="10"/>
        <color indexed="8"/>
        <rFont val="Arial Narrow"/>
        <family val="2"/>
      </rPr>
      <t>)</t>
    </r>
  </si>
  <si>
    <t>Coût/ m² (Surface de plancher)</t>
  </si>
  <si>
    <t>Quantité en m²</t>
  </si>
  <si>
    <t>AAH</t>
  </si>
  <si>
    <t>PSLA</t>
  </si>
  <si>
    <t>Nbr logt</t>
  </si>
  <si>
    <t>Montant éligible</t>
  </si>
  <si>
    <t>FRAFU " Aménagement "</t>
  </si>
  <si>
    <t>Plan de Relance Régional - LESG</t>
  </si>
  <si>
    <t>6000 € par logement</t>
  </si>
  <si>
    <t>Ville ou EPCI</t>
  </si>
  <si>
    <t>Accession /PTZ DOM</t>
  </si>
  <si>
    <t>SOMMES DES RLS (c)</t>
  </si>
  <si>
    <r>
      <t>MONTANT DU DIFFERENTIEL = (a)-(b)-</t>
    </r>
    <r>
      <rPr>
        <b/>
        <sz val="12"/>
        <color indexed="10"/>
        <rFont val="Times New Roman"/>
        <family val="1"/>
      </rPr>
      <t>(c)</t>
    </r>
  </si>
  <si>
    <t>* Plafonds de subvention de 15 000 € par logement aidé ;</t>
  </si>
  <si>
    <t>* Plafonds de subvention pouvant être relevé à  20 000 € par logement aidé, pour les quartiers existants notamment
les Hauts, les QDR ou "dents creuses" cf. Annexe 4 du " Protocole FRAFU  du 8 juin 2012 ".</t>
  </si>
  <si>
    <t>* Plafonds de subvention de  6 000 € par logement  pour des travaux dits " tertiaires " uniquements pour les constructions de logements aidés de type " LES ". Peut s'ajouter à la subvention FRAFU Aménagement  " Viabilisation du Foncier " du Plan de relance Régional</t>
  </si>
  <si>
    <r>
      <t xml:space="preserve"> - FRAFU " Aménagement " </t>
    </r>
    <r>
      <rPr>
        <sz val="10"/>
        <color indexed="18"/>
        <rFont val="Arial Narrow"/>
        <family val="2"/>
      </rPr>
      <t xml:space="preserve">= le montant du différentiel dans la limite du plafond de subvention (15K€ ou 20K€), 
- </t>
    </r>
    <r>
      <rPr>
        <b/>
        <sz val="10"/>
        <color indexed="18"/>
        <rFont val="Arial Narrow"/>
        <family val="2"/>
      </rPr>
      <t>Réseaux Primaires</t>
    </r>
    <r>
      <rPr>
        <sz val="10"/>
        <color indexed="18"/>
        <rFont val="Arial Narrow"/>
        <family val="2"/>
      </rPr>
      <t xml:space="preserve">  =  % dépenses éligibles (Plafond = 5 000 € par logt)</t>
    </r>
  </si>
  <si>
    <r>
      <t xml:space="preserve">Participation Ville  ou Opérateur ou EPCI = </t>
    </r>
    <r>
      <rPr>
        <sz val="10"/>
        <color indexed="53"/>
        <rFont val="Arial Narrow"/>
        <family val="2"/>
      </rPr>
      <t>le différentiel - Subvention FRAFU</t>
    </r>
  </si>
  <si>
    <t>* Plafond de subvention de 5 000 € par logement aidé.Taux 60 %. Co-financement Ville 40%</t>
  </si>
  <si>
    <r>
      <t xml:space="preserve">Plan de Relance Régional - LESG
Participation " Région "  =  </t>
    </r>
    <r>
      <rPr>
        <sz val="10"/>
        <color indexed="17"/>
        <rFont val="Arial Narrow"/>
        <family val="2"/>
      </rPr>
      <t>6 000 € par logement aidé de type LES</t>
    </r>
  </si>
  <si>
    <t xml:space="preserve">Lors d'un dépôt d’une demande au titre du FRAFU "Aménagement à vocation sociale" appelant des réseaux dits "Secondaires" et des réseaux dits "Primaires" (réseaux raccordant l'opération d'aménagement au réseau le plus proche) formuler deux demandes de subventions distinctes car les modes de calcul et  d'instruction des subventions sont différents. </t>
  </si>
  <si>
    <t>m²</t>
  </si>
  <si>
    <t xml:space="preserve">taux de tolérance </t>
  </si>
  <si>
    <t>Eve</t>
  </si>
  <si>
    <t>x</t>
  </si>
  <si>
    <t>Achat FRAFU</t>
  </si>
  <si>
    <t>Fiché liaisonné de dépôt de dossier de financement LBU</t>
  </si>
  <si>
    <t>Données d'entrées</t>
  </si>
  <si>
    <t>Nom de l'opération</t>
  </si>
  <si>
    <t xml:space="preserve">Nombre de logement </t>
  </si>
  <si>
    <t>Type de logement</t>
  </si>
  <si>
    <t>adresse</t>
  </si>
  <si>
    <t>places de parkings aériennes</t>
  </si>
  <si>
    <t>Adresse du siège de la SODEGIS</t>
  </si>
  <si>
    <t>nom du directeur général</t>
  </si>
  <si>
    <t>Prix de revient total TTC</t>
  </si>
  <si>
    <t>SF (Surface finançable)</t>
  </si>
  <si>
    <t>Observations</t>
  </si>
  <si>
    <t>Compromis ou acte de vente précisant :</t>
  </si>
  <si>
    <t>- l'origine de propriété</t>
  </si>
  <si>
    <t>- la date d'acquisition</t>
  </si>
  <si>
    <t>- le prix et le montant des frais notariés à exclure</t>
  </si>
  <si>
    <t>ou bail à construction ou bail emphytéotique ou tout document ayant valeur contractuelle justifiant la constitution, la nature et la durée des droits réels détenus par la structure de portage sur le terrain d'assiette des logements.</t>
  </si>
  <si>
    <t xml:space="preserve">DEPARTEMENT OPERATION ET PROGRAMME </t>
  </si>
  <si>
    <t>A l'attention de:</t>
  </si>
  <si>
    <t>BORDEREAU D'ENVOI</t>
  </si>
  <si>
    <t>DEAL SUD</t>
  </si>
  <si>
    <t>BP 341 N°1 Ravine Blanche</t>
  </si>
  <si>
    <t>97448 ST PIERRE CEDEX</t>
  </si>
  <si>
    <t>EXPEDITEUR:</t>
  </si>
  <si>
    <t>DEMANDE D'AGREMENT</t>
  </si>
  <si>
    <t>Nos réf:</t>
  </si>
  <si>
    <t>Vos réf:</t>
  </si>
  <si>
    <t>Objet : Opération "</t>
  </si>
  <si>
    <t>"</t>
  </si>
  <si>
    <t>Le</t>
  </si>
  <si>
    <t xml:space="preserve">Commune de </t>
  </si>
  <si>
    <t>Nous vous prions de bien vouloir trouver ci-joint,</t>
  </si>
  <si>
    <t xml:space="preserve">Financement d'un programme de </t>
  </si>
  <si>
    <t>Désignation des pièces</t>
  </si>
  <si>
    <t xml:space="preserve">Quantité </t>
  </si>
  <si>
    <t xml:space="preserve">l'Ile de la Réunion </t>
  </si>
  <si>
    <t>Dossier de demande d'agrément</t>
  </si>
  <si>
    <t>2 ex</t>
  </si>
  <si>
    <t>Pour instruction svp</t>
  </si>
  <si>
    <t>Dans le cadre</t>
  </si>
  <si>
    <t>Bonne réception,</t>
  </si>
  <si>
    <t xml:space="preserve">logements locatifs sociaux sur </t>
  </si>
  <si>
    <t xml:space="preserve">logements locatifs très sociaux sur </t>
  </si>
  <si>
    <t>1.7 Montant des loyers réglementaires applicables aux logements, montant du loyer d'équilibre, et montant du loyer de sortie prévisionnel (loyer notifié accompagnant l'arrêté LBU), en précisant les modalités de calcul de ce loyer de sortie</t>
  </si>
  <si>
    <t>1.4 Calendrier prévisionnel des différentes étapes du projet</t>
  </si>
  <si>
    <t>1.5 Tableau de l'architecte détaillant la surface habitable de chaque logement et des annexes</t>
  </si>
  <si>
    <t>1.6 Copie des plans</t>
  </si>
  <si>
    <t>1.7 Montant des loyers</t>
  </si>
  <si>
    <t>SODEGIS</t>
  </si>
  <si>
    <t xml:space="preserve">OPERATION : </t>
  </si>
  <si>
    <t>NOMBRE DE LOGEMENTS :</t>
  </si>
  <si>
    <t>Ouverture de chantier :</t>
  </si>
  <si>
    <t xml:space="preserve">ADRESSE : </t>
  </si>
  <si>
    <t>Achèvement fondations :</t>
  </si>
  <si>
    <t>MAITRE D'OUVRAGE :</t>
  </si>
  <si>
    <t>Le directeur Général</t>
  </si>
  <si>
    <t>Mise en location :</t>
  </si>
  <si>
    <t>Tél. :</t>
  </si>
  <si>
    <t>Nombre de logements :</t>
  </si>
  <si>
    <t>Surface Habitable :</t>
  </si>
  <si>
    <t>E.mail :</t>
  </si>
  <si>
    <t xml:space="preserve">Surface finançable : </t>
  </si>
  <si>
    <t>Montant loyer plafond applicable aux logements :</t>
  </si>
  <si>
    <r>
      <t>€/mois/m</t>
    </r>
    <r>
      <rPr>
        <sz val="11"/>
        <color theme="1"/>
        <rFont val="Calibri"/>
        <family val="2"/>
      </rPr>
      <t>² SH</t>
    </r>
  </si>
  <si>
    <t xml:space="preserve">Montant loyer plafond applicable aux logements :  </t>
  </si>
  <si>
    <r>
      <t>€/mois/m</t>
    </r>
    <r>
      <rPr>
        <sz val="11"/>
        <color theme="1"/>
        <rFont val="Calibri"/>
        <family val="2"/>
      </rPr>
      <t>² SF</t>
    </r>
  </si>
  <si>
    <t>Loyer d'équilibre :</t>
  </si>
  <si>
    <t xml:space="preserve">Loyer de sortie prévisionnelle : </t>
  </si>
  <si>
    <t>Modalité de calcul :</t>
  </si>
  <si>
    <t>Loyer de sortie prévisionnelle :</t>
  </si>
  <si>
    <t>€/mois/m² SF</t>
  </si>
  <si>
    <t>OPERATION</t>
  </si>
  <si>
    <t>NOMBRE DE LOGEMENTS</t>
  </si>
  <si>
    <t>TYPE DE FINANCEMENT</t>
  </si>
  <si>
    <t>ADRESSE</t>
  </si>
  <si>
    <t>SURFACE DU TERRAIN</t>
  </si>
  <si>
    <t>SURFACE PLANCHER</t>
  </si>
  <si>
    <t xml:space="preserve"> T2 +V</t>
  </si>
  <si>
    <t xml:space="preserve"> T3 +V</t>
  </si>
  <si>
    <t xml:space="preserve"> T4 +V</t>
  </si>
  <si>
    <t xml:space="preserve"> T5 +V</t>
  </si>
  <si>
    <t>Le dossier de financement FRAFU est en cours d'instruction, et se trouve en phase Programmation.</t>
  </si>
  <si>
    <t>Le Directeur Général</t>
  </si>
  <si>
    <t>Si intervention EPFR + FRAFU</t>
  </si>
  <si>
    <t>Si terrain hors FRAFU et hors EPFR</t>
  </si>
  <si>
    <t xml:space="preserve">Aussi, vous trouverez en Annexe 2.1. :
- Le projet correspondant de délibération de la Commune,
- Le projet de compromis.
</t>
  </si>
  <si>
    <t>Les autres pièces seront transmises ultérieurement.</t>
  </si>
  <si>
    <t>ou toute autre rédaction</t>
  </si>
  <si>
    <t>SANS OBJET</t>
  </si>
  <si>
    <t>Le calcul de la charge foncière se base d'une part sur le coût de la cession foncière (présentés ci-avant en 2.1) et d'autre part sur le montant des travaux de VRD, de concessionnaires (raccordement aux divers réseaux), des taxes et des frais divers (en l'occurrence l'étude de sol).</t>
  </si>
  <si>
    <t>OU</t>
  </si>
  <si>
    <t>Nous ne prévoyons pas pour le commerce de réaliser les prestations des postes suivants:</t>
  </si>
  <si>
    <t>Pour la SODEGIS</t>
  </si>
  <si>
    <t>Le montant HT du coût de revient du projet LLS est égal à</t>
  </si>
  <si>
    <t>Le montant HT du coût de revient du projet LLTS est égal à</t>
  </si>
  <si>
    <t>et est détaillé</t>
  </si>
  <si>
    <t xml:space="preserve"> dans le tableau ci-dessous</t>
  </si>
  <si>
    <t>Surface logements LLS :</t>
  </si>
  <si>
    <t>Surface logements LLTS :</t>
  </si>
  <si>
    <t>5.1 Plan de financement détaillé</t>
  </si>
  <si>
    <t>Subvention de l'Etat pour la construction, subvention forfaitaire LLTS, subvention pour surcharge foncière, subvention pour aquisition foncière anticipée, subvention des collectivités locales, de l'ADEME, du 1% CAF, autres financements</t>
  </si>
  <si>
    <t>Aucune autre aide ne sera demandée sur ce programme</t>
  </si>
  <si>
    <t>Les terrains d'assiette de l'opération seront acquis auprès de l'EPFR et de particuliers (les Consorts Ruets) et font l'objet d'un aménagement dans le cadre du FRAFU.</t>
  </si>
  <si>
    <r>
      <t>La cession foncière résultante de ce montage, et calculée suivant les règles du FRAFU (115 € / m</t>
    </r>
    <r>
      <rPr>
        <sz val="11"/>
        <color rgb="FF92D050"/>
        <rFont val="Calibri"/>
        <family val="2"/>
      </rPr>
      <t>² de SHON pour les LLTS) est de : 122 015 € (pour 1061 m² de SHON).</t>
    </r>
  </si>
  <si>
    <r>
      <t>Vous trouverez en Annexe 2.1. ci apès la copie de la convention EPFR</t>
    </r>
    <r>
      <rPr>
        <sz val="10"/>
        <color rgb="FF92D050"/>
        <rFont val="Arial"/>
        <family val="2"/>
      </rPr>
      <t xml:space="preserve"> pour les parcelles AV </t>
    </r>
    <r>
      <rPr>
        <sz val="11"/>
        <color rgb="FF92D050"/>
        <rFont val="Calibri"/>
        <family val="2"/>
        <scheme val="minor"/>
      </rPr>
      <t>961 - 964 - 966 - 967 - 969</t>
    </r>
    <r>
      <rPr>
        <sz val="10"/>
        <color rgb="FF92D050"/>
        <rFont val="Arial"/>
        <family val="2"/>
      </rPr>
      <t xml:space="preserve"> pour un montant de </t>
    </r>
    <r>
      <rPr>
        <sz val="11"/>
        <color rgb="FF92D050"/>
        <rFont val="Calibri"/>
        <family val="2"/>
        <scheme val="minor"/>
      </rPr>
      <t>169 325€</t>
    </r>
    <r>
      <rPr>
        <sz val="10"/>
        <color rgb="FF92D050"/>
        <rFont val="Arial"/>
        <family val="2"/>
      </rPr>
      <t xml:space="preserve"> hors frais EPFR, et du compromis de vente avec les</t>
    </r>
    <r>
      <rPr>
        <sz val="11"/>
        <color rgb="FF92D050"/>
        <rFont val="Calibri"/>
        <family val="2"/>
        <scheme val="minor"/>
      </rPr>
      <t xml:space="preserve"> Epoux Ruets</t>
    </r>
    <r>
      <rPr>
        <sz val="10"/>
        <color rgb="FF92D050"/>
        <rFont val="Arial"/>
        <family val="2"/>
      </rPr>
      <t xml:space="preserve"> pour la parcelles</t>
    </r>
    <r>
      <rPr>
        <sz val="11"/>
        <color rgb="FF92D050"/>
        <rFont val="Calibri"/>
        <family val="2"/>
        <scheme val="minor"/>
      </rPr>
      <t xml:space="preserve"> AV 965 - 968</t>
    </r>
    <r>
      <rPr>
        <sz val="10"/>
        <color rgb="FF92D050"/>
        <rFont val="Arial"/>
        <family val="2"/>
      </rPr>
      <t xml:space="preserve"> pour un montant de </t>
    </r>
    <r>
      <rPr>
        <sz val="11"/>
        <color rgb="FF92D050"/>
        <rFont val="Calibri"/>
        <family val="2"/>
        <scheme val="minor"/>
      </rPr>
      <t>125 000 €</t>
    </r>
    <r>
      <rPr>
        <sz val="10"/>
        <color rgb="FF92D050"/>
        <rFont val="Arial"/>
        <family val="2"/>
      </rPr>
      <t>.</t>
    </r>
  </si>
  <si>
    <t>Le terrain d’assiette de l’opération doit être acquis auprès de la Mairie du Tampon au prix global de 510 000 € (300 000 € pour la parcelle BX 873 et 210 000 € pour la parcelle BX 874).</t>
  </si>
  <si>
    <t xml:space="preserve">La Mairie du Tampon devait délibérer à ce sujet lors du Conseil Municipal du 25 mars 2013. </t>
  </si>
  <si>
    <t>Les pièces suivantes:</t>
  </si>
  <si>
    <t>a) Extrait K-bis,</t>
  </si>
  <si>
    <t xml:space="preserve">b) Statuts, </t>
  </si>
  <si>
    <t>Pour faire valoir ce que de droit.</t>
  </si>
  <si>
    <t>Agissant en qualité de Directeur Général de la Société SODEGIS, société d'économie</t>
  </si>
  <si>
    <t>de Saint-Pierre sous le numéro 380 177 170, rappelle que dans le cadre de l'article</t>
  </si>
  <si>
    <t>A ce titre, conformément à l’article 2-1 de l’arrêté du 20/02/1996 relatif aux prêts aidés de l’Etat et aux subventions de l’Etat aux organismes réalisant des logements locatifs sociaux et très sociaux (article R. 372-5 du Code de la construction et de l’habitation), la SODEGIS s’engage à ce que, pendant une durée minimale de quinze ans, les logements ne soient :</t>
  </si>
  <si>
    <t xml:space="preserve">1. Ni transformés en locaux commerciaux ou professionnels ; </t>
  </si>
  <si>
    <t xml:space="preserve">2. Ni affectés à la location en meublé, à l'exception des logements-foyers définis à l'article R. 372-1, ni affectés à la location saisonnière ; </t>
  </si>
  <si>
    <t xml:space="preserve">3. Ni utilisés comme résidence secondaire ; </t>
  </si>
  <si>
    <t xml:space="preserve">4. Ni occupés à titre d'accessoire d'un contrat de travail ou en raison de l'exercice d'une fonction ; </t>
  </si>
  <si>
    <t>5. Ni détruits sans qu'il soit procédé à leur reconstruction dans un délai de quatre ans à compter du sinistre.</t>
  </si>
  <si>
    <t>OPERATION :</t>
  </si>
  <si>
    <t xml:space="preserve">TYPE DE FINANCEMENT : </t>
  </si>
  <si>
    <t>ATTESTATION SUR LA SITUATION DU PROJET AU REGARD DES OBLIGATIONS LIEES A LA LOI SUR L’EAU</t>
  </si>
  <si>
    <t>NOTE JUSTIFICATIVE DE DEPASSEMENT DU PRIX DE REVIENT DE REFERENCE</t>
  </si>
  <si>
    <t>CONTINGENT PREFECTORAL</t>
  </si>
  <si>
    <t>Sans objet.</t>
  </si>
  <si>
    <t>NOMBRE DE LOGEMENT :</t>
  </si>
  <si>
    <t>version 2.00</t>
  </si>
  <si>
    <t xml:space="preserve">Objet : Opération </t>
  </si>
  <si>
    <t>MAÎTRE D'OUVRAGE :</t>
  </si>
  <si>
    <t>N° d'IDENTIFICATION :</t>
  </si>
  <si>
    <t>OPÉRATION :</t>
  </si>
  <si>
    <t xml:space="preserve">MAITRE D'OUVRAGE : </t>
  </si>
  <si>
    <t>ADRESSE :</t>
  </si>
  <si>
    <t>Le prix de revient est supérieur au prix de revient de référence de fait des contraintes suivantes :</t>
  </si>
  <si>
    <t>COMMUNE :</t>
  </si>
  <si>
    <t>ATTESTATION DE NON COMMENCEMENT DE TRAVAUX</t>
  </si>
  <si>
    <t>N° de cette TRANCHE :</t>
  </si>
  <si>
    <t>TOTAL de cette TRANCHE</t>
  </si>
  <si>
    <t>, l'objet d'aucun commencement</t>
  </si>
  <si>
    <t xml:space="preserve">Certifie par la présente que, suivant les dispositions du décret 93-743 du 29 mars 1993 relatif à la nomenclature des opérations soumises à autorisation ou à déclaration en application de l’article 10 de la loi n°92-3 du 3 janvier 1992 sur l’eau, modifié par le Décret n°2006-881 du 17 juillet 2006 et codifiées aux articles R214-1 du Code de l’Environnement, le présent projet :
</t>
  </si>
  <si>
    <t>I bis</t>
  </si>
  <si>
    <t>II + v</t>
  </si>
  <si>
    <t xml:space="preserve">n’est pas soumis à autorisation ou déclaration en application des articles L. 214-1 à L. 214-3 du code de l'environnement </t>
  </si>
  <si>
    <t>Attestation établie pour servir et valoir ce que de droit.</t>
  </si>
  <si>
    <t>III + v</t>
  </si>
  <si>
    <t xml:space="preserve">est soumis à autorisation en application des articles L. 214-1 à L. 214-3 du code de l'environnement </t>
  </si>
  <si>
    <t>IV + v</t>
  </si>
  <si>
    <t>est soumis à déclaration en application des articles L. 214-1 à L. 214-3 du code de l'environnement</t>
  </si>
  <si>
    <t>V + v</t>
  </si>
  <si>
    <t>VI + v</t>
  </si>
  <si>
    <t>Dans le cas où le projet est soumis à autorisation ou déclaration, je certifie que le stade d’avancement de la procédure est le suivant :</t>
  </si>
  <si>
    <t>VII + v</t>
  </si>
  <si>
    <t>VIII</t>
  </si>
  <si>
    <t>TOTAL</t>
  </si>
  <si>
    <t>dossier de déclaration déposé</t>
  </si>
  <si>
    <t>dossier d’autorisation déposé</t>
  </si>
  <si>
    <t>retour du récépissé de déclaration</t>
  </si>
  <si>
    <t>accord du Préfet</t>
  </si>
  <si>
    <t>Frais de démolition</t>
  </si>
  <si>
    <t>places de parkings couvertes</t>
  </si>
  <si>
    <t>Ainsi, pour cette opération, voici le détail de la charge foncière en € HT :</t>
  </si>
  <si>
    <t>Cession foncière LLS</t>
  </si>
  <si>
    <t>VRD (y/c Espaces verts)</t>
  </si>
  <si>
    <t>Taxes d'urbanismes</t>
  </si>
  <si>
    <t>Branchements</t>
  </si>
  <si>
    <t>Cession foncière LLTS</t>
  </si>
  <si>
    <t>de l'Aide Fiscale à l'Investissement Outre-Mer</t>
  </si>
  <si>
    <t xml:space="preserve">2.1 
</t>
  </si>
  <si>
    <t>CONVENTION PLS ou PSLA</t>
  </si>
  <si>
    <t>h (handicapable)
H (équipé de barres d'appui)</t>
  </si>
  <si>
    <t>T I</t>
  </si>
  <si>
    <t>16 / 30</t>
  </si>
  <si>
    <t>T I Bis a</t>
  </si>
  <si>
    <t>30 / 50</t>
  </si>
  <si>
    <t>I Bis</t>
  </si>
  <si>
    <t>T I Bis a + V</t>
  </si>
  <si>
    <t xml:space="preserve">T II </t>
  </si>
  <si>
    <t>46 / 70</t>
  </si>
  <si>
    <t>T III a</t>
  </si>
  <si>
    <t>T IV</t>
  </si>
  <si>
    <t>T V</t>
  </si>
  <si>
    <t>T V +V a</t>
  </si>
  <si>
    <t>T VI</t>
  </si>
  <si>
    <t>T VI + V a</t>
  </si>
  <si>
    <t>96 / 145</t>
  </si>
  <si>
    <t>0</t>
  </si>
  <si>
    <t>Crédit d'impôt</t>
  </si>
  <si>
    <t>CAF</t>
  </si>
  <si>
    <t>Achèvement logements :</t>
  </si>
  <si>
    <t>19 juin</t>
  </si>
  <si>
    <t>19 juillet</t>
  </si>
  <si>
    <t>Min 5% BE</t>
  </si>
  <si>
    <t>LAVOIR - LA FONTAINE</t>
  </si>
  <si>
    <t xml:space="preserve">PRZA </t>
  </si>
  <si>
    <t>Budget prévisionnel à terminaison</t>
  </si>
  <si>
    <t>Affectation</t>
  </si>
  <si>
    <t>TVA prorata</t>
  </si>
  <si>
    <t>Cession</t>
  </si>
  <si>
    <t>AS</t>
  </si>
  <si>
    <t>VE</t>
  </si>
  <si>
    <t xml:space="preserve">Nbre </t>
  </si>
  <si>
    <t>SHON</t>
  </si>
  <si>
    <t>S du lot</t>
  </si>
  <si>
    <t>F ou euro</t>
  </si>
  <si>
    <t>Francs</t>
  </si>
  <si>
    <t>CPT</t>
  </si>
  <si>
    <t>PDG</t>
  </si>
  <si>
    <t>NBL</t>
  </si>
  <si>
    <t>m2/SHFUT</t>
  </si>
  <si>
    <t>Cr</t>
  </si>
  <si>
    <t>33 2</t>
  </si>
  <si>
    <t xml:space="preserve">Frais d'actes </t>
  </si>
  <si>
    <t>122</t>
  </si>
  <si>
    <t>Honoraires commercialisation et intermédiaires</t>
  </si>
  <si>
    <t>Autres frais d'acquisition</t>
  </si>
  <si>
    <t>Autres frais sur terrain</t>
  </si>
  <si>
    <t xml:space="preserve">Frais commercialisation </t>
  </si>
  <si>
    <t>Géomètre (topo, bornage...)</t>
  </si>
  <si>
    <t>Taxes et redevances</t>
  </si>
  <si>
    <t>158</t>
  </si>
  <si>
    <t>Autres taxes: FNB…</t>
  </si>
  <si>
    <t>2005 et 2006</t>
  </si>
  <si>
    <t>A18</t>
  </si>
  <si>
    <t>180</t>
  </si>
  <si>
    <t>Divers (sur terrain)</t>
  </si>
  <si>
    <t>33 4</t>
  </si>
  <si>
    <t>Travaux FRAFU</t>
  </si>
  <si>
    <t>Préparation des terrains, défrichage,démolition, terrassements généraux</t>
  </si>
  <si>
    <t>Raccordement aux reseaux sous rue st Louis</t>
  </si>
  <si>
    <t>pluvial</t>
  </si>
  <si>
    <t>223</t>
  </si>
  <si>
    <t>Epuration/Refoulement/Fosses septiques</t>
  </si>
  <si>
    <t>eaux usées</t>
  </si>
  <si>
    <t>potable</t>
  </si>
  <si>
    <t>Courants faibles / télécom-télévision</t>
  </si>
  <si>
    <t>accé local poubelle</t>
  </si>
  <si>
    <t>EDF-MT/BT</t>
  </si>
  <si>
    <t>Aménagements de proximité</t>
  </si>
  <si>
    <t>242</t>
  </si>
  <si>
    <t xml:space="preserve">Soutènements </t>
  </si>
  <si>
    <t>Maître d'œuvre / BET  VRD</t>
  </si>
  <si>
    <t>256</t>
  </si>
  <si>
    <t>Sondages - études de sol</t>
  </si>
  <si>
    <t>A28</t>
  </si>
  <si>
    <t>280</t>
  </si>
  <si>
    <t>Provision pour imprévus et révisions</t>
  </si>
  <si>
    <t>281</t>
  </si>
  <si>
    <t>282</t>
  </si>
  <si>
    <t>Actualisation/Révisions</t>
  </si>
  <si>
    <t>Pénalités et retenues définitives</t>
  </si>
  <si>
    <t>33 6</t>
  </si>
  <si>
    <t>Produits annexes (Subventions en déduction du prix de revient)</t>
  </si>
  <si>
    <t>péréquation</t>
  </si>
  <si>
    <t>499</t>
  </si>
  <si>
    <t>492</t>
  </si>
  <si>
    <t>498</t>
  </si>
  <si>
    <t>Autres produits annexes</t>
  </si>
  <si>
    <t>445510 -445670</t>
  </si>
  <si>
    <t xml:space="preserve">TVA résiduelle </t>
  </si>
  <si>
    <t>insuffisance ou excédent de financement - marge</t>
  </si>
  <si>
    <t>F3</t>
  </si>
  <si>
    <t>Cessions ou affectations</t>
  </si>
  <si>
    <t>Ventes de terrains aménagés - ZA</t>
  </si>
  <si>
    <t>Ventes de droits de construire - ZA</t>
  </si>
  <si>
    <t>231 200 - 231 400</t>
  </si>
  <si>
    <t>Affectation OPR locatives SODEGIS</t>
  </si>
  <si>
    <t>332 000 - 334 000</t>
  </si>
  <si>
    <t>Affectation OPR ventes SODEGIS</t>
  </si>
  <si>
    <t>PRAS-PRVE</t>
  </si>
  <si>
    <t>FRAFU Etat</t>
  </si>
  <si>
    <t>RECALCULEE</t>
  </si>
  <si>
    <t>Participation du concédant</t>
  </si>
  <si>
    <t>Partcipation Commune</t>
  </si>
  <si>
    <t>Participation opérateur</t>
  </si>
  <si>
    <t>TYPE D'OPERATION</t>
  </si>
  <si>
    <t>Mise hors d'eau</t>
  </si>
  <si>
    <t>Livraison des logements</t>
  </si>
  <si>
    <t>Taxe aménagement logements</t>
  </si>
  <si>
    <t>Taxe aménagement commerces</t>
  </si>
  <si>
    <t>attention exonération LLS sur certaines communes</t>
  </si>
  <si>
    <t>sauf si pris en charge par FRAFU</t>
  </si>
  <si>
    <t>2.4 Permis de construire, ou à défaut, récépissé de dépôt de la demande de permis de construire</t>
  </si>
  <si>
    <t>2.3 Si mutation dans les 24 derniers mois précédant l'agrément : actes des cessions antérieures du terrain</t>
  </si>
  <si>
    <t xml:space="preserve">2.3 Actes des cessions antérieures du terrain, si celui-ci a fait l'objet de plusieurs mutations intervenues dans un court délai précédant la demande d'agrément </t>
  </si>
  <si>
    <t xml:space="preserve">3.1 Montant HT du coût total du projet et la TVA correspondante , et montant HT des postes selon décret 15/01/2010 </t>
  </si>
  <si>
    <t xml:space="preserve">5.4 Lettre d'intention des établissements bancaires </t>
  </si>
  <si>
    <t>5.3 Décision d'octroi des subventions et des aides locales éventuelles</t>
  </si>
  <si>
    <t>5.2 Note justificative du mandat SIEG et fichier de calcul de l'absence de surcompensation</t>
  </si>
  <si>
    <t>mixte au capital de 9 014 400 €, dont le siège social est situé à 7, rue Jean Couturier</t>
  </si>
  <si>
    <t>97 430 LE TAMPON, immatriculée au Registre du Commerce et des Sociétés</t>
  </si>
  <si>
    <t xml:space="preserve"> dans le secteur social.</t>
  </si>
  <si>
    <t>0262 59 75 97</t>
  </si>
  <si>
    <t>15 février</t>
  </si>
  <si>
    <t>15 juin</t>
  </si>
  <si>
    <t>15 novembre</t>
  </si>
  <si>
    <t>Au Tampon, le</t>
  </si>
  <si>
    <t>Au Tampon</t>
  </si>
  <si>
    <t>le</t>
  </si>
  <si>
    <t>Le Tampon</t>
  </si>
  <si>
    <t>5.3 Décision d'octroi des subventions et des aides locales éventuelles :</t>
  </si>
  <si>
    <t>Au Tampon      Le</t>
  </si>
  <si>
    <t>A ce titre, conformément aux articles 199 undecies C et 244 quater X du CGI, la SODEGIS prend l’engagement de donner en location nue ou meublée les logements ci-dessous rappelés, au minimum pendant 5 ans à compter de leur date d’achèvement, à des personnes qui en feront leur habitation principale et dont les ressources n’excédent pas les plafonds fixés par décret à la date de la signature des baux, conformément à l’article précité.</t>
  </si>
  <si>
    <t>4 TR 2017</t>
  </si>
  <si>
    <r>
      <t xml:space="preserve">Agissant en qualité de Directeur Général de la Société SODEGIS, Société d'Economie Mixte au capital de 9 014 400 € dont le siège social est situé à 7 rue Jean Couturier CS 40030, 97 831 LE TAMPON CEDEX, immatriculée au Registre du Commerce et des Sociétés de Saint-Pierre sous le numéro 380 177 170, rappelle que dans le cadre de l'article précité, la SODEGIS initie un programme immobilier totalisant </t>
    </r>
    <r>
      <rPr>
        <sz val="11"/>
        <color rgb="FFFF0000"/>
        <rFont val="Calibri"/>
        <family val="2"/>
        <scheme val="minor"/>
      </rPr>
      <t/>
    </r>
  </si>
  <si>
    <t xml:space="preserve">Agissant en qualité de Directeur Général de la Société SODEGIS, Société d'Economie Mixte au capital de 9 014 400 € dont le siège social est situé à 7 rue Jean Couturier CS 40030, 97 831 LE TAMPON CEDEX, immatriculée au Registre du Commerce et des Sociétés de Saint-Pierre sous le numéro 380 177 170, rappelle que dans le cadre de l'article précité, la SODEGIS </t>
  </si>
  <si>
    <t>CS 40030 97 831 LE TAMPON CEDEX, immatriculée au RCS de Saint-Pierre sous</t>
  </si>
  <si>
    <t xml:space="preserve"> le numéro 380 177 170, rappelle que dans le cadre de l'article précité, la SODEGIS initie</t>
  </si>
  <si>
    <t>7, rue Jean Couturier 97831 CS 40030  LE TAMPON CEDEX</t>
  </si>
  <si>
    <t>Etude de sol</t>
  </si>
  <si>
    <t>Min 10% BE</t>
  </si>
  <si>
    <t>SP</t>
  </si>
  <si>
    <t>Taxe RAP</t>
  </si>
  <si>
    <t>(article 244 quater X du CGI)</t>
  </si>
  <si>
    <t xml:space="preserve"> T1 bis +V</t>
  </si>
  <si>
    <t>PRP hors int préfi</t>
  </si>
  <si>
    <t xml:space="preserve">Révisions </t>
  </si>
  <si>
    <t>Etude Hydraulique / Loi sur l'eau</t>
  </si>
  <si>
    <t>2.1 Compromis ou acte de vente valide du terrain d'assiette des logements valide à la date du dépôt du dossier à la DEAL et à la DGFiP (directions des finances publiques territoriales ou bureau des agréments et rescrits) précisant l'origine de propriété, la date d'acquisition, le prix, le montant des frais notariés à exclure, bail à construction ou bail emphytéotique</t>
  </si>
  <si>
    <t>3.5 Justification des dépenses de viabilisation du terrain ou coût de la charge foncière</t>
  </si>
  <si>
    <t>Patrick CORRE</t>
  </si>
  <si>
    <t xml:space="preserve">Je soussigné, M. Patrick CORRE, </t>
  </si>
  <si>
    <t>2 TR 2016</t>
  </si>
  <si>
    <t>(V157-V167-V176)/V157*V187</t>
  </si>
  <si>
    <t>3.5 Justification des dépenses de viabilisation du terrain ou, le cas échéant, du coût de la charge foncière</t>
  </si>
  <si>
    <t>Au Tampon    Le</t>
  </si>
  <si>
    <t>y/c révisions</t>
  </si>
  <si>
    <t>A ce titre, conformément à l'article 244 quater X du code général des impôts, la SODEGIS certifie qu'à l'occasion de la réalisation du programme de logements sociaux précité, n'a perçu ou ne recevra, directement ou indirectement, aucune rémunération, aucune remise, rabais ou ristourne de la part de ses fournisseurs et prestataires. Et que par ailleurs, ellle ne percevra aucune commission ou aucun frais autres que ceux figurant dans le dossier de demande d'agrément ne seront versés.</t>
  </si>
  <si>
    <r>
      <t xml:space="preserve">Je reconnais par ailleurs être informé de ce </t>
    </r>
    <r>
      <rPr>
        <sz val="11"/>
        <rFont val="Arial"/>
        <family val="2"/>
      </rPr>
      <t>que la présente attestation sera produite au Ministère du Budget, des Comptes Publics et de la Fonction Public dans le cadre de l'instruction de la demande d'éligibilité dudit investissement au dispositif fiscal visé à l'article 244 quater X du CGI.</t>
    </r>
  </si>
  <si>
    <t>Agissant en qualité de Directeur Général de la Société SODEGIS, m’engage à déposer les comptes annuels auprès du greffe du Tribunal de Commerce dès la clôture de l’exercice 2016, et ce sur toute la période de portage de l’opération.</t>
  </si>
  <si>
    <t>2 TR 2017</t>
  </si>
  <si>
    <t>coef. 2018/2017</t>
  </si>
  <si>
    <t>6. Montage juridique et financier</t>
  </si>
  <si>
    <t>6. Si recours à une VEFA promoteur : contrat de réservation ou contrat de VEFA</t>
  </si>
  <si>
    <t>SANS OBJET - PAS DE VEFA</t>
  </si>
  <si>
    <t xml:space="preserve">7 OLS </t>
  </si>
  <si>
    <t>a. dossier unique</t>
  </si>
  <si>
    <t>b. engagement sur location</t>
  </si>
  <si>
    <t>c. engagement article R 372-5</t>
  </si>
  <si>
    <t>7  Le Promoteur</t>
  </si>
  <si>
    <t xml:space="preserve"> Statuts enregistrés</t>
  </si>
  <si>
    <t xml:space="preserve"> Extrait K-bis</t>
  </si>
  <si>
    <t>c) résultats déclarés au cours des trois derniers exercices</t>
  </si>
  <si>
    <t>d) attestations fiscales et sociales</t>
  </si>
  <si>
    <t>e) Comptes de résultats prévisionnels</t>
  </si>
  <si>
    <t>ont déjà été transmises à vos services en date du …………………….. ( voir bordereau d'envoi ci-joint).</t>
  </si>
  <si>
    <t>ENGAGEMENT SUR LA LOCATION</t>
  </si>
  <si>
    <t>A ce titre, conformément à l'article 244 quater X du CGI, la SODEGIS prend l’engagement de donner en location nue ou meublée les logements ci-dessous rappelés, au minimum pendant 5 ans à compter de leur date d’achèvement, à des personnes qui en feront leur habitation principale et dont les ressources n’excédent pas les plafonds fixés par décret à la date de la signature des baux, conformément à l’article précité.</t>
  </si>
  <si>
    <t>Je reconnais par ailleurs être informé de ce que la présente attestation sera produite au Ministère du Budget, des Comptes Publics et de la Fonction Publique dans le cadre de l’instruction de la demande d’éligibilité dudit investissement au dispositif fiscal visé à l’article  244 quater X du CGI.</t>
  </si>
  <si>
    <t>ENGAGEMENTS DE L'ARTICLE R372-5 CCH</t>
  </si>
  <si>
    <t>Je reconnais par ailleurs être informé de ce que la présente attestation sera produite au Ministère du Budget, des Comptes Publics et de la Fonction Publique dans le cadre de l’instruction de la demande d’éligibilité dudit investissement au dispositif fiscal visé à l'article 244 quater X du CGI.</t>
  </si>
  <si>
    <t>Je reconnais par ailleurs être informé de ce que la présente attestation sera produite au Ministère du Budget, des Comptes Publics et de la Fonction Publique dans le cadre de l’instruction de la demande d’éligibilité dudit investissement au dispositif fiscal visé à l'article  244 quater X du CGI.</t>
  </si>
  <si>
    <t>Je reconnais par ailleurs être informé de ce que la présente attestation sera produite au Ministère du Budget, des Comptes Publics et de la Fonction Publique dans le cadre de l’instruction de la demande d’éligibilité dudit investissement au dispositif fiscal visé aux à l'article 244 quater X du CGI.</t>
  </si>
  <si>
    <t>8 Engagement des bénéficiaires directs et indirects de l'aide que puissent être vérifiées sur place les modalités de réalisation des investissements</t>
  </si>
  <si>
    <t>1.1 Nom de l'opération et des programmes</t>
  </si>
  <si>
    <t>PUBLIC AUQUEL EST DESTINEE L'OPERATION</t>
  </si>
  <si>
    <t>ORGANISME OLS AUQUEL LES LOGEMENTS SONT DESTINES</t>
  </si>
  <si>
    <t>sodegis@sodegis.re</t>
  </si>
  <si>
    <t>Crédit d'impôt 244 quater X CGI</t>
  </si>
  <si>
    <t>LOCALISATION</t>
  </si>
  <si>
    <t>TYPOLOGIE</t>
  </si>
  <si>
    <t>PARKINGS</t>
  </si>
  <si>
    <t>2.2 Clé de répartition du coût de revient du terrain d'assiette du projet utilisée, le cas échéant, pour déterminer le coût de revient de ce terrain affecté aux seuls logements
Pour les bâtiments à usage mixte : clé de répartition des dépenses</t>
  </si>
  <si>
    <t>2.2 Clé de répartition du coût de revient du terrain d'assiette du projet utilisée, le cas échéant, pour déterminer le coût de revient de ce terrain affecté aux seuls logements
Pour les bâtiments à usage mixte : clé de répartition des dépenses</t>
  </si>
  <si>
    <t>Surface logements Commerce :</t>
  </si>
  <si>
    <t>* Devis du maître d'œuvre accepté par l'OLS au titre des énergies renouvelables (arrêté du 29/10/2010)</t>
  </si>
  <si>
    <t xml:space="preserve">* Devis du maître d'œuvre accepté par l'OLS ou actes d'engagement ou marchés justifiant les dépenses éligibles et le calcul de la base éligible selon le décret du 15/01/2010 </t>
  </si>
  <si>
    <t xml:space="preserve">3.1 </t>
  </si>
  <si>
    <t>3.6 Tableau déterminant le montant de la base éligible du crédit d'impôt</t>
  </si>
  <si>
    <r>
      <t xml:space="preserve">SHmini  / </t>
    </r>
    <r>
      <rPr>
        <sz val="9"/>
        <color indexed="10"/>
        <rFont val="Arial"/>
        <family val="2"/>
      </rPr>
      <t>SF maxi
DEAL</t>
    </r>
  </si>
  <si>
    <r>
      <t xml:space="preserve">SHmini  / </t>
    </r>
    <r>
      <rPr>
        <sz val="9"/>
        <color indexed="10"/>
        <rFont val="Arial"/>
        <family val="2"/>
      </rPr>
      <t>SF maxi
CRATE</t>
    </r>
  </si>
  <si>
    <t>30 / 30</t>
  </si>
  <si>
    <t>46 / 46</t>
  </si>
  <si>
    <t>66 / 70</t>
  </si>
  <si>
    <t>76 / 80</t>
  </si>
  <si>
    <t>86 / 90</t>
  </si>
  <si>
    <t>46 / 85</t>
  </si>
  <si>
    <t>56 / 100</t>
  </si>
  <si>
    <t>66 / 115</t>
  </si>
  <si>
    <t>76 / 130</t>
  </si>
  <si>
    <t>GRILLES LOYERS</t>
  </si>
  <si>
    <t>loyer demandé</t>
  </si>
  <si>
    <t>GL hors charges</t>
  </si>
  <si>
    <t>GL y/c charges</t>
  </si>
  <si>
    <t>INDEX(Max!B3:D7;EQUIV(A49;Max!A3:A7;0);1)</t>
  </si>
</sst>
</file>

<file path=xl/styles.xml><?xml version="1.0" encoding="utf-8"?>
<styleSheet xmlns="http://schemas.openxmlformats.org/spreadsheetml/2006/main" xmlns:mc="http://schemas.openxmlformats.org/markup-compatibility/2006" xmlns:x14ac="http://schemas.microsoft.com/office/spreadsheetml/2009/9/ac" mc:Ignorable="x14ac">
  <numFmts count="52">
    <numFmt numFmtId="44" formatCode="_-* #,##0.00\ &quot;€&quot;_-;\-* #,##0.00\ &quot;€&quot;_-;_-* &quot;-&quot;??\ &quot;€&quot;_-;_-@_-"/>
    <numFmt numFmtId="43" formatCode="_-* #,##0.00\ _€_-;\-* #,##0.00\ _€_-;_-* &quot;-&quot;??\ _€_-;_-@_-"/>
    <numFmt numFmtId="164" formatCode="_(&quot;$&quot;* #,##0_);_(&quot;$&quot;* \(#,##0\);_(&quot;$&quot;* &quot;-&quot;_);_(@_)"/>
    <numFmt numFmtId="165" formatCode="_(* #,##0_);_(* \(#,##0\);_(* &quot;-&quot;_);_(@_)"/>
    <numFmt numFmtId="166" formatCode="_(&quot;$&quot;* #,##0.00_);_(&quot;$&quot;* \(#,##0.00\);_(&quot;$&quot;* &quot;-&quot;??_);_(@_)"/>
    <numFmt numFmtId="167" formatCode="_(* #,##0.00_);_(* \(#,##0.00\);_(* &quot;-&quot;??_);_(@_)"/>
    <numFmt numFmtId="168" formatCode="d/mm/yy"/>
    <numFmt numFmtId="169" formatCode="d/m/yy"/>
    <numFmt numFmtId="170" formatCode="0.0%"/>
    <numFmt numFmtId="171" formatCode="#,##0_ ;[Red]\-#,##0\ "/>
    <numFmt numFmtId="172" formatCode="0_ ;[Red]\-0\ "/>
    <numFmt numFmtId="173" formatCode="0.000_ ;[Red]\-0.000\ "/>
    <numFmt numFmtId="174" formatCode="#,##0.00_ ;[Red]\-#,##0.00\ "/>
    <numFmt numFmtId="175" formatCode="0.00_ ;[Red]\-0.00\ "/>
    <numFmt numFmtId="176" formatCode="dd/mm/yy;@"/>
    <numFmt numFmtId="177" formatCode="[$-40C]mmmm\-yy;@"/>
    <numFmt numFmtId="178" formatCode="#,##0\ _€"/>
    <numFmt numFmtId="179" formatCode="_-* #,##0.00\ [$€]_-;\-* #,##0.00\ [$€]_-;_-* &quot;-&quot;??\ [$€]_-;_-@_-"/>
    <numFmt numFmtId="180" formatCode="[Blue]#,##0.00_);[Red]\(#,##0.00\);_-* &quot;-&quot;??_)"/>
    <numFmt numFmtId="181" formatCode="0.00&quot; m²&quot;"/>
    <numFmt numFmtId="182" formatCode="\+\ 0%;&quot;SHT min. !&quot;"/>
    <numFmt numFmtId="183" formatCode="#,##0\ &quot;€&quot;"/>
    <numFmt numFmtId="184" formatCode="#,##0\ &quot;FB&quot;;[Red]\-#,##0\ &quot;FB&quot;"/>
    <numFmt numFmtId="185" formatCode="_-* #,##0\ _F_B_-;\-* #,##0\ _F_B_-;_-* &quot;-&quot;\ _F_B_-;_-@_-"/>
    <numFmt numFmtId="186" formatCode="&quot;$&quot;#,##0_);\(&quot;$&quot;#,##0\)"/>
    <numFmt numFmtId="187" formatCode="&quot;$&quot;#,##0.00_);\(&quot;$&quot;#,##0.00\)"/>
    <numFmt numFmtId="188" formatCode="#,##0.00000000"/>
    <numFmt numFmtId="190" formatCode="#,##0\ &quot;F&quot;"/>
    <numFmt numFmtId="191" formatCode="#,###,##0.00&quot; €&quot;"/>
    <numFmt numFmtId="192" formatCode="#,###,##0&quot; €&quot;"/>
    <numFmt numFmtId="193" formatCode="0.000"/>
    <numFmt numFmtId="194" formatCode="#,##0.000"/>
    <numFmt numFmtId="195" formatCode="#,##0.00\ &quot;€&quot;"/>
    <numFmt numFmtId="196" formatCode="[$-40C]d\-mmm\-yy;@"/>
    <numFmt numFmtId="197" formatCode="0.0000"/>
    <numFmt numFmtId="198" formatCode="#,##0.0000"/>
    <numFmt numFmtId="199" formatCode="_-* #,##0.00\ [$€-1]_-;\-* #,##0.00\ [$€-1]_-;_-* &quot;-&quot;??\ [$€-1]_-"/>
    <numFmt numFmtId="200" formatCode="#,##0.00\ [$€-40C];[Red]\-#,##0.00\ [$€-40C]"/>
    <numFmt numFmtId="201" formatCode="_-* #,##0.00&quot; €&quot;_-;\-* #,##0.00&quot; €&quot;_-;_-* \-??&quot; €&quot;_-;_-@_-"/>
    <numFmt numFmtId="202" formatCode="\ #,##0.00&quot; € &quot;;\-#,##0.00&quot; € &quot;;&quot; -&quot;#&quot; € &quot;;@\ "/>
    <numFmt numFmtId="203" formatCode="\ #,##0&quot; € &quot;;\-#,##0&quot; € &quot;;&quot; -&quot;#&quot; € &quot;;@\ "/>
    <numFmt numFmtId="204" formatCode="#,##0&quot; €&quot;"/>
    <numFmt numFmtId="205" formatCode="\ #,##0.00\ [$€-40C]\ ;\-#,##0.00\ [$€-40C]\ ;&quot; -&quot;#\ [$€-40C]\ ;@\ "/>
    <numFmt numFmtId="206" formatCode="#,##0\ [$€-40C];[Red]\-#,##0\ [$€-40C]"/>
    <numFmt numFmtId="207" formatCode="#,##0\ [$€-40C];\-#,##0\ [$€-40C]"/>
    <numFmt numFmtId="208" formatCode="\ #,##0\ [$€-40C]\ ;\-#,##0\ [$€-40C]\ ;&quot; -&quot;#\ [$€-40C]\ ;@\ "/>
    <numFmt numFmtId="209" formatCode="General\ &quot;m²&quot;"/>
    <numFmt numFmtId="210" formatCode="&quot;CONTINGENT : &quot;0%"/>
    <numFmt numFmtId="215" formatCode="#,##0.00\ _€"/>
    <numFmt numFmtId="217" formatCode="&quot;PRLC&quot;\ @"/>
    <numFmt numFmtId="218" formatCode="_-* #,##0.00_-;\-* #,##0.00_-;_-* &quot;-&quot;??_-;_-@_-"/>
    <numFmt numFmtId="219" formatCode="&quot;Le&quot;\ dd/mm/yyyy"/>
  </numFmts>
  <fonts count="205">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family val="2"/>
    </font>
    <font>
      <b/>
      <i/>
      <sz val="10"/>
      <name val="Arial"/>
      <family val="2"/>
    </font>
    <font>
      <sz val="10"/>
      <name val="Arial"/>
      <family val="2"/>
    </font>
    <font>
      <sz val="10"/>
      <name val="Geneva"/>
      <family val="2"/>
    </font>
    <font>
      <b/>
      <sz val="10"/>
      <name val="Geneva"/>
      <family val="2"/>
    </font>
    <font>
      <i/>
      <sz val="10"/>
      <name val="Geneva"/>
      <family val="2"/>
    </font>
    <font>
      <sz val="8"/>
      <color indexed="81"/>
      <name val="Tahoma"/>
      <family val="2"/>
    </font>
    <font>
      <b/>
      <sz val="8"/>
      <color indexed="81"/>
      <name val="Tahoma"/>
      <family val="2"/>
    </font>
    <font>
      <sz val="10"/>
      <name val="Arial"/>
      <family val="2"/>
    </font>
    <font>
      <sz val="8"/>
      <name val="Arial"/>
      <family val="2"/>
    </font>
    <font>
      <sz val="11"/>
      <color indexed="8"/>
      <name val="Calibri"/>
      <family val="2"/>
    </font>
    <font>
      <sz val="11"/>
      <color indexed="9"/>
      <name val="Calibri"/>
      <family val="2"/>
    </font>
    <font>
      <sz val="18"/>
      <name val="Tms Rmn"/>
    </font>
    <font>
      <sz val="8"/>
      <name val="Times"/>
      <family val="1"/>
    </font>
    <font>
      <sz val="11"/>
      <color indexed="10"/>
      <name val="Calibri"/>
      <family val="2"/>
    </font>
    <font>
      <b/>
      <sz val="14"/>
      <name val="Times New Roman"/>
      <family val="1"/>
    </font>
    <font>
      <sz val="12"/>
      <name val="Times New Roman"/>
      <family val="1"/>
    </font>
    <font>
      <b/>
      <sz val="11"/>
      <color indexed="52"/>
      <name val="Calibri"/>
      <family val="2"/>
    </font>
    <font>
      <sz val="11"/>
      <color indexed="52"/>
      <name val="Calibri"/>
      <family val="2"/>
    </font>
    <font>
      <b/>
      <sz val="10"/>
      <name val="Tms Rmn"/>
    </font>
    <font>
      <sz val="11"/>
      <color indexed="62"/>
      <name val="Calibri"/>
      <family val="2"/>
    </font>
    <font>
      <sz val="9"/>
      <name val="Geneva"/>
      <family val="2"/>
    </font>
    <font>
      <sz val="11"/>
      <color indexed="20"/>
      <name val="Calibri"/>
      <family val="2"/>
    </font>
    <font>
      <sz val="8"/>
      <name val="Arial"/>
      <family val="2"/>
    </font>
    <font>
      <sz val="11"/>
      <color indexed="60"/>
      <name val="Calibri"/>
      <family val="2"/>
    </font>
    <font>
      <sz val="10"/>
      <name val="Helv"/>
    </font>
    <font>
      <sz val="8.5"/>
      <name val="LinePrinter"/>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0"/>
      <name val="Arial"/>
      <family val="2"/>
    </font>
    <font>
      <b/>
      <sz val="12"/>
      <name val="Arial"/>
      <family val="2"/>
    </font>
    <font>
      <b/>
      <sz val="16"/>
      <name val="Arial"/>
      <family val="2"/>
    </font>
    <font>
      <b/>
      <sz val="8"/>
      <name val="Arial"/>
      <family val="2"/>
    </font>
    <font>
      <i/>
      <sz val="8"/>
      <name val="Arial"/>
      <family val="2"/>
    </font>
    <font>
      <b/>
      <i/>
      <sz val="8"/>
      <name val="Arial"/>
      <family val="2"/>
    </font>
    <font>
      <sz val="8"/>
      <color indexed="10"/>
      <name val="Arial"/>
      <family val="2"/>
    </font>
    <font>
      <b/>
      <sz val="10"/>
      <color indexed="18"/>
      <name val="Arial"/>
      <family val="2"/>
    </font>
    <font>
      <sz val="10"/>
      <color indexed="18"/>
      <name val="Arial"/>
      <family val="2"/>
    </font>
    <font>
      <i/>
      <sz val="10"/>
      <name val="Arial"/>
      <family val="2"/>
    </font>
    <font>
      <b/>
      <i/>
      <sz val="10"/>
      <name val="Arial"/>
      <family val="2"/>
    </font>
    <font>
      <b/>
      <sz val="10"/>
      <color indexed="10"/>
      <name val="Arial"/>
      <family val="2"/>
    </font>
    <font>
      <b/>
      <sz val="9"/>
      <name val="Arial"/>
      <family val="2"/>
    </font>
    <font>
      <i/>
      <sz val="8"/>
      <name val="Arial"/>
      <family val="2"/>
    </font>
    <font>
      <sz val="10"/>
      <color indexed="10"/>
      <name val="Arial"/>
      <family val="2"/>
    </font>
    <font>
      <b/>
      <sz val="11"/>
      <name val="Arial"/>
      <family val="2"/>
    </font>
    <font>
      <b/>
      <sz val="10"/>
      <color indexed="10"/>
      <name val="Arial"/>
      <family val="2"/>
    </font>
    <font>
      <i/>
      <sz val="10"/>
      <color indexed="10"/>
      <name val="Arial"/>
      <family val="2"/>
    </font>
    <font>
      <b/>
      <i/>
      <sz val="10"/>
      <color indexed="10"/>
      <name val="Arial"/>
      <family val="2"/>
    </font>
    <font>
      <b/>
      <shadow/>
      <sz val="10"/>
      <color indexed="18"/>
      <name val="Arial"/>
      <family val="2"/>
    </font>
    <font>
      <b/>
      <sz val="9"/>
      <name val="Arial"/>
      <family val="2"/>
    </font>
    <font>
      <sz val="9"/>
      <name val="Arial"/>
      <family val="2"/>
    </font>
    <font>
      <b/>
      <i/>
      <sz val="9"/>
      <name val="Arial"/>
      <family val="2"/>
    </font>
    <font>
      <b/>
      <sz val="10"/>
      <color indexed="12"/>
      <name val="Arial"/>
      <family val="2"/>
    </font>
    <font>
      <b/>
      <i/>
      <sz val="10"/>
      <color indexed="12"/>
      <name val="Arial"/>
      <family val="2"/>
    </font>
    <font>
      <b/>
      <sz val="10"/>
      <color indexed="48"/>
      <name val="Arial"/>
      <family val="2"/>
    </font>
    <font>
      <sz val="10"/>
      <color indexed="12"/>
      <name val="Arial"/>
      <family val="2"/>
    </font>
    <font>
      <b/>
      <sz val="10"/>
      <color indexed="8"/>
      <name val="Arial"/>
      <family val="2"/>
    </font>
    <font>
      <sz val="10"/>
      <name val="Tahoma"/>
      <family val="2"/>
    </font>
    <font>
      <sz val="10"/>
      <name val="Times New Roman"/>
      <family val="1"/>
    </font>
    <font>
      <b/>
      <sz val="14"/>
      <color indexed="12"/>
      <name val="Arial"/>
      <family val="2"/>
    </font>
    <font>
      <b/>
      <sz val="14"/>
      <name val="Times New Roman"/>
      <family val="1"/>
    </font>
    <font>
      <sz val="12"/>
      <name val="Times New Roman"/>
      <family val="1"/>
    </font>
    <font>
      <b/>
      <sz val="10"/>
      <color indexed="17"/>
      <name val="Arial"/>
      <family val="2"/>
    </font>
    <font>
      <b/>
      <sz val="14"/>
      <name val="Times New Roman"/>
      <family val="1"/>
    </font>
    <font>
      <sz val="12"/>
      <name val="Times New Roman"/>
      <family val="1"/>
    </font>
    <font>
      <sz val="10"/>
      <name val="Arial"/>
      <family val="2"/>
    </font>
    <font>
      <sz val="9"/>
      <color indexed="81"/>
      <name val="Tahoma"/>
      <family val="2"/>
    </font>
    <font>
      <b/>
      <sz val="9"/>
      <color indexed="81"/>
      <name val="Tahoma"/>
      <family val="2"/>
    </font>
    <font>
      <sz val="10"/>
      <name val="Geneva"/>
    </font>
    <font>
      <b/>
      <sz val="16"/>
      <color indexed="12"/>
      <name val="Arial"/>
      <family val="2"/>
    </font>
    <font>
      <i/>
      <sz val="9"/>
      <name val="Arial"/>
      <family val="2"/>
    </font>
    <font>
      <sz val="9"/>
      <color indexed="10"/>
      <name val="Arial"/>
      <family val="2"/>
    </font>
    <font>
      <b/>
      <sz val="9"/>
      <color indexed="8"/>
      <name val="Arial"/>
      <family val="2"/>
    </font>
    <font>
      <sz val="9"/>
      <color indexed="39"/>
      <name val="Arial"/>
      <family val="2"/>
    </font>
    <font>
      <b/>
      <i/>
      <sz val="9"/>
      <color indexed="12"/>
      <name val="Arial"/>
      <family val="2"/>
    </font>
    <font>
      <b/>
      <sz val="9"/>
      <color indexed="39"/>
      <name val="Arial"/>
      <family val="2"/>
    </font>
    <font>
      <b/>
      <sz val="9"/>
      <color indexed="12"/>
      <name val="Arial"/>
      <family val="2"/>
    </font>
    <font>
      <sz val="9"/>
      <color indexed="12"/>
      <name val="Arial"/>
      <family val="2"/>
    </font>
    <font>
      <i/>
      <sz val="9"/>
      <color indexed="12"/>
      <name val="Arial"/>
      <family val="2"/>
    </font>
    <font>
      <sz val="10"/>
      <color indexed="12"/>
      <name val="Arial Narrow"/>
      <family val="2"/>
    </font>
    <font>
      <b/>
      <sz val="10"/>
      <color indexed="12"/>
      <name val="Arial Narrow"/>
      <family val="2"/>
    </font>
    <font>
      <b/>
      <sz val="10"/>
      <name val="Arial Narrow"/>
      <family val="2"/>
    </font>
    <font>
      <b/>
      <i/>
      <sz val="9"/>
      <color indexed="10"/>
      <name val="Arial"/>
      <family val="2"/>
    </font>
    <font>
      <i/>
      <sz val="9"/>
      <color indexed="39"/>
      <name val="Arial"/>
      <family val="2"/>
    </font>
    <font>
      <i/>
      <sz val="9"/>
      <color indexed="10"/>
      <name val="Arial"/>
      <family val="2"/>
    </font>
    <font>
      <b/>
      <i/>
      <sz val="9"/>
      <color indexed="39"/>
      <name val="Arial"/>
      <family val="2"/>
    </font>
    <font>
      <i/>
      <sz val="8"/>
      <color indexed="10"/>
      <name val="Arial"/>
      <family val="2"/>
    </font>
    <font>
      <sz val="9"/>
      <color indexed="62"/>
      <name val="Arial"/>
      <family val="2"/>
    </font>
    <font>
      <sz val="9"/>
      <name val="Arial"/>
      <family val="2"/>
    </font>
    <font>
      <b/>
      <sz val="9"/>
      <color indexed="41"/>
      <name val="Arial"/>
      <family val="2"/>
    </font>
    <font>
      <b/>
      <i/>
      <sz val="9"/>
      <color indexed="41"/>
      <name val="Arial"/>
      <family val="2"/>
    </font>
    <font>
      <sz val="9"/>
      <color indexed="41"/>
      <name val="Arial"/>
      <family val="2"/>
    </font>
    <font>
      <sz val="12"/>
      <name val="Arial"/>
      <family val="2"/>
    </font>
    <font>
      <i/>
      <sz val="12"/>
      <name val="Arial"/>
      <family val="2"/>
    </font>
    <font>
      <b/>
      <i/>
      <sz val="10"/>
      <name val="Geneva"/>
    </font>
    <font>
      <b/>
      <i/>
      <sz val="10"/>
      <name val="Geneva"/>
      <family val="2"/>
    </font>
    <font>
      <b/>
      <sz val="10"/>
      <name val="Geneva"/>
    </font>
    <font>
      <b/>
      <i/>
      <sz val="12"/>
      <name val="Arial"/>
      <family val="2"/>
    </font>
    <font>
      <sz val="18"/>
      <name val="Times"/>
    </font>
    <font>
      <b/>
      <sz val="10"/>
      <name val="Times"/>
    </font>
    <font>
      <b/>
      <sz val="11"/>
      <color indexed="18"/>
      <name val="Arial Narrow"/>
      <family val="2"/>
    </font>
    <font>
      <b/>
      <sz val="12"/>
      <color indexed="8"/>
      <name val="Arial Narrow"/>
      <family val="2"/>
    </font>
    <font>
      <sz val="12"/>
      <color indexed="8"/>
      <name val="Arial Narrow"/>
      <family val="2"/>
    </font>
    <font>
      <sz val="10"/>
      <color indexed="8"/>
      <name val="Arial Narrow"/>
      <family val="2"/>
    </font>
    <font>
      <b/>
      <sz val="10"/>
      <color indexed="8"/>
      <name val="Arial Narrow"/>
      <family val="2"/>
    </font>
    <font>
      <b/>
      <sz val="10"/>
      <color indexed="52"/>
      <name val="Arial Narrow"/>
      <family val="2"/>
    </font>
    <font>
      <b/>
      <sz val="10"/>
      <color indexed="18"/>
      <name val="Arial Narrow"/>
      <family val="2"/>
    </font>
    <font>
      <b/>
      <sz val="10"/>
      <color indexed="17"/>
      <name val="Arial Narrow"/>
      <family val="2"/>
    </font>
    <font>
      <sz val="10"/>
      <name val="Arial Narrow"/>
      <family val="2"/>
    </font>
    <font>
      <b/>
      <sz val="12"/>
      <color indexed="8"/>
      <name val="Times New Roman"/>
      <family val="1"/>
    </font>
    <font>
      <b/>
      <u/>
      <sz val="10"/>
      <color indexed="18"/>
      <name val="Arial Narrow"/>
      <family val="2"/>
    </font>
    <font>
      <b/>
      <u/>
      <sz val="10"/>
      <color indexed="8"/>
      <name val="Arial Narrow"/>
      <family val="2"/>
    </font>
    <font>
      <b/>
      <sz val="11"/>
      <color indexed="8"/>
      <name val="Arial Narrow"/>
      <family val="2"/>
    </font>
    <font>
      <sz val="10"/>
      <color indexed="10"/>
      <name val="Arial Narrow"/>
      <family val="2"/>
    </font>
    <font>
      <b/>
      <sz val="10"/>
      <color indexed="10"/>
      <name val="Arial Narrow"/>
      <family val="2"/>
    </font>
    <font>
      <b/>
      <sz val="12"/>
      <color indexed="10"/>
      <name val="Times New Roman"/>
      <family val="1"/>
    </font>
    <font>
      <sz val="10"/>
      <color indexed="18"/>
      <name val="Arial Narrow"/>
      <family val="2"/>
    </font>
    <font>
      <b/>
      <sz val="11"/>
      <color indexed="10"/>
      <name val="Arial Narrow"/>
      <family val="2"/>
    </font>
    <font>
      <b/>
      <sz val="10"/>
      <color rgb="FFFF0000"/>
      <name val="Arial"/>
      <family val="2"/>
    </font>
    <font>
      <sz val="10"/>
      <color rgb="FFFF0000"/>
      <name val="Arial"/>
      <family val="2"/>
    </font>
    <font>
      <sz val="10"/>
      <color indexed="62"/>
      <name val="Arial Narrow"/>
      <family val="2"/>
    </font>
    <font>
      <b/>
      <sz val="14"/>
      <color indexed="8"/>
      <name val="Arial Narrow"/>
      <family val="2"/>
    </font>
    <font>
      <b/>
      <sz val="9"/>
      <color indexed="8"/>
      <name val="Arial Greek"/>
      <family val="2"/>
    </font>
    <font>
      <sz val="9"/>
      <color indexed="8"/>
      <name val="Arial Greek"/>
      <family val="2"/>
    </font>
    <font>
      <i/>
      <sz val="9"/>
      <color indexed="8"/>
      <name val="Arial Greek"/>
      <family val="2"/>
    </font>
    <font>
      <b/>
      <sz val="11"/>
      <color indexed="62"/>
      <name val="Arial Narrow"/>
      <family val="2"/>
    </font>
    <font>
      <b/>
      <sz val="11"/>
      <color indexed="17"/>
      <name val="Arial Narrow"/>
      <family val="2"/>
    </font>
    <font>
      <sz val="10"/>
      <color indexed="17"/>
      <name val="Arial Narrow"/>
      <family val="2"/>
    </font>
    <font>
      <b/>
      <sz val="10"/>
      <color indexed="53"/>
      <name val="Arial Narrow"/>
      <family val="2"/>
    </font>
    <font>
      <sz val="10"/>
      <color indexed="53"/>
      <name val="Arial Narrow"/>
      <family val="2"/>
    </font>
    <font>
      <b/>
      <u/>
      <sz val="10"/>
      <name val="Arial Narrow"/>
      <family val="2"/>
    </font>
    <font>
      <sz val="11"/>
      <color rgb="FFFF0000"/>
      <name val="Calibri"/>
      <family val="2"/>
      <scheme val="minor"/>
    </font>
    <font>
      <b/>
      <sz val="11"/>
      <color rgb="FF00B050"/>
      <name val="Calibri"/>
      <family val="2"/>
      <scheme val="minor"/>
    </font>
    <font>
      <sz val="11"/>
      <name val="Calibri"/>
      <family val="2"/>
      <scheme val="minor"/>
    </font>
    <font>
      <sz val="11"/>
      <color theme="1"/>
      <name val="Calibri"/>
      <family val="2"/>
    </font>
    <font>
      <sz val="10"/>
      <color theme="1"/>
      <name val="Arial"/>
      <family val="2"/>
    </font>
    <font>
      <b/>
      <sz val="11"/>
      <color theme="1"/>
      <name val="Calibri"/>
      <family val="2"/>
      <scheme val="minor"/>
    </font>
    <font>
      <sz val="14"/>
      <color theme="1"/>
      <name val="Calibri"/>
      <family val="2"/>
      <scheme val="minor"/>
    </font>
    <font>
      <b/>
      <u/>
      <sz val="11"/>
      <color theme="1"/>
      <name val="Calibri"/>
      <family val="2"/>
      <scheme val="minor"/>
    </font>
    <font>
      <u/>
      <sz val="11"/>
      <color theme="10"/>
      <name val="Calibri"/>
      <family val="2"/>
      <scheme val="minor"/>
    </font>
    <font>
      <b/>
      <sz val="11"/>
      <color theme="1"/>
      <name val="ScalaSansPro-Regular"/>
      <family val="3"/>
    </font>
    <font>
      <sz val="11"/>
      <color theme="1"/>
      <name val="ScalaSansPro-Regular"/>
      <family val="3"/>
    </font>
    <font>
      <b/>
      <i/>
      <sz val="11"/>
      <color rgb="FFFF0000"/>
      <name val="Calibri"/>
      <family val="2"/>
      <scheme val="minor"/>
    </font>
    <font>
      <sz val="12"/>
      <color theme="1"/>
      <name val="Calibri"/>
      <family val="2"/>
      <scheme val="minor"/>
    </font>
    <font>
      <sz val="10"/>
      <color rgb="FF92D050"/>
      <name val="Arial"/>
      <family val="2"/>
    </font>
    <font>
      <sz val="11"/>
      <color rgb="FF92D050"/>
      <name val="Calibri"/>
      <family val="2"/>
    </font>
    <font>
      <sz val="11"/>
      <color rgb="FF92D050"/>
      <name val="Calibri"/>
      <family val="2"/>
      <scheme val="minor"/>
    </font>
    <font>
      <b/>
      <shadow/>
      <sz val="18"/>
      <name val="Helv"/>
    </font>
    <font>
      <sz val="9"/>
      <name val="Helv"/>
    </font>
    <font>
      <i/>
      <sz val="9"/>
      <name val="Tms Rmn"/>
    </font>
    <font>
      <sz val="11"/>
      <color theme="1"/>
      <name val="Helv"/>
    </font>
    <font>
      <sz val="11"/>
      <color rgb="FF92D050"/>
      <name val="Helv"/>
    </font>
    <font>
      <b/>
      <sz val="10"/>
      <color indexed="10"/>
      <name val="Helv"/>
    </font>
    <font>
      <b/>
      <sz val="10"/>
      <name val="Helv"/>
    </font>
    <font>
      <b/>
      <sz val="9"/>
      <name val="Helv"/>
    </font>
    <font>
      <sz val="10"/>
      <color theme="1"/>
      <name val="Helv"/>
    </font>
    <font>
      <b/>
      <sz val="11"/>
      <color theme="1"/>
      <name val="Helv"/>
    </font>
    <font>
      <sz val="11"/>
      <name val="Calibri"/>
      <family val="2"/>
    </font>
    <font>
      <sz val="11"/>
      <name val="Helv"/>
    </font>
    <font>
      <u/>
      <sz val="10"/>
      <color indexed="12"/>
      <name val="Arial"/>
      <family val="2"/>
    </font>
    <font>
      <sz val="9"/>
      <name val="Geneva"/>
    </font>
    <font>
      <i/>
      <sz val="10"/>
      <name val="Geneva"/>
    </font>
    <font>
      <b/>
      <sz val="10"/>
      <color indexed="62"/>
      <name val="Arial"/>
      <family val="2"/>
    </font>
    <font>
      <b/>
      <sz val="10"/>
      <color indexed="53"/>
      <name val="Arial"/>
      <family val="2"/>
    </font>
    <font>
      <shadow/>
      <sz val="10"/>
      <color indexed="18"/>
      <name val="Arial"/>
      <family val="2"/>
    </font>
    <font>
      <b/>
      <shadow/>
      <sz val="10"/>
      <name val="Arial"/>
      <family val="2"/>
    </font>
    <font>
      <shadow/>
      <sz val="10"/>
      <name val="Arial"/>
      <family val="2"/>
    </font>
    <font>
      <sz val="9"/>
      <color indexed="8"/>
      <name val="Arial"/>
      <family val="2"/>
    </font>
    <font>
      <sz val="14"/>
      <name val="Calibri"/>
      <family val="2"/>
      <scheme val="minor"/>
    </font>
    <font>
      <sz val="11"/>
      <name val="Arial"/>
      <family val="2"/>
    </font>
    <font>
      <b/>
      <u/>
      <sz val="10"/>
      <color theme="1"/>
      <name val="Calibri"/>
      <family val="2"/>
      <scheme val="minor"/>
    </font>
    <font>
      <sz val="12"/>
      <name val="Geneva"/>
    </font>
    <font>
      <b/>
      <u/>
      <sz val="10"/>
      <name val="Arial"/>
      <family val="2"/>
    </font>
    <font>
      <sz val="12"/>
      <color indexed="8"/>
      <name val="Arial"/>
      <family val="2"/>
    </font>
    <font>
      <b/>
      <sz val="12"/>
      <color theme="1"/>
      <name val="Calibri"/>
      <family val="2"/>
      <scheme val="minor"/>
    </font>
    <font>
      <b/>
      <u/>
      <sz val="11"/>
      <color indexed="8"/>
      <name val="Calibri"/>
      <family val="2"/>
    </font>
    <font>
      <b/>
      <sz val="11"/>
      <color indexed="10"/>
      <name val="Calibri"/>
      <family val="2"/>
    </font>
  </fonts>
  <fills count="84">
    <fill>
      <patternFill patternType="none"/>
    </fill>
    <fill>
      <patternFill patternType="gray125"/>
    </fill>
    <fill>
      <patternFill patternType="solid">
        <fgColor indexed="13"/>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darkGrid"/>
    </fill>
    <fill>
      <patternFill patternType="solid">
        <fgColor indexed="55"/>
      </patternFill>
    </fill>
    <fill>
      <patternFill patternType="solid">
        <fgColor indexed="15"/>
        <bgColor indexed="64"/>
      </patternFill>
    </fill>
    <fill>
      <patternFill patternType="gray0625">
        <bgColor indexed="43"/>
      </patternFill>
    </fill>
    <fill>
      <patternFill patternType="solid">
        <fgColor indexed="22"/>
        <bgColor indexed="64"/>
      </patternFill>
    </fill>
    <fill>
      <patternFill patternType="solid">
        <fgColor indexed="26"/>
        <bgColor indexed="64"/>
      </patternFill>
    </fill>
    <fill>
      <patternFill patternType="solid">
        <fgColor indexed="47"/>
        <bgColor indexed="64"/>
      </patternFill>
    </fill>
    <fill>
      <patternFill patternType="solid">
        <fgColor indexed="43"/>
        <bgColor indexed="64"/>
      </patternFill>
    </fill>
    <fill>
      <patternFill patternType="gray0625">
        <bgColor indexed="26"/>
      </patternFill>
    </fill>
    <fill>
      <patternFill patternType="gray0625"/>
    </fill>
    <fill>
      <patternFill patternType="gray0625">
        <bgColor indexed="42"/>
      </patternFill>
    </fill>
    <fill>
      <patternFill patternType="solid">
        <fgColor indexed="44"/>
        <bgColor indexed="64"/>
      </patternFill>
    </fill>
    <fill>
      <patternFill patternType="solid">
        <fgColor indexed="42"/>
        <bgColor indexed="64"/>
      </patternFill>
    </fill>
    <fill>
      <patternFill patternType="solid">
        <fgColor indexed="65"/>
        <bgColor indexed="8"/>
      </patternFill>
    </fill>
    <fill>
      <patternFill patternType="solid">
        <fgColor indexed="41"/>
        <bgColor indexed="64"/>
      </patternFill>
    </fill>
    <fill>
      <patternFill patternType="solid">
        <fgColor indexed="9"/>
        <bgColor indexed="64"/>
      </patternFill>
    </fill>
    <fill>
      <patternFill patternType="solid">
        <fgColor indexed="45"/>
        <bgColor indexed="64"/>
      </patternFill>
    </fill>
    <fill>
      <patternFill patternType="solid">
        <fgColor indexed="51"/>
        <bgColor indexed="64"/>
      </patternFill>
    </fill>
    <fill>
      <patternFill patternType="gray0625">
        <bgColor indexed="9"/>
      </patternFill>
    </fill>
    <fill>
      <patternFill patternType="solid">
        <fgColor indexed="65"/>
        <bgColor indexed="64"/>
      </patternFill>
    </fill>
    <fill>
      <patternFill patternType="solid">
        <fgColor indexed="13"/>
        <bgColor indexed="64"/>
      </patternFill>
    </fill>
    <fill>
      <patternFill patternType="solid">
        <fgColor indexed="43"/>
        <bgColor indexed="43"/>
      </patternFill>
    </fill>
    <fill>
      <patternFill patternType="gray0625">
        <fgColor indexed="8"/>
        <bgColor indexed="22"/>
      </patternFill>
    </fill>
    <fill>
      <patternFill patternType="solid">
        <fgColor indexed="31"/>
        <bgColor indexed="64"/>
      </patternFill>
    </fill>
    <fill>
      <patternFill patternType="gray0625">
        <fgColor indexed="8"/>
      </patternFill>
    </fill>
    <fill>
      <patternFill patternType="gray0625">
        <fgColor indexed="8"/>
        <bgColor indexed="9"/>
      </patternFill>
    </fill>
    <fill>
      <patternFill patternType="solid">
        <fgColor indexed="43"/>
        <bgColor indexed="8"/>
      </patternFill>
    </fill>
    <fill>
      <patternFill patternType="solid">
        <fgColor indexed="22"/>
        <bgColor indexed="8"/>
      </patternFill>
    </fill>
    <fill>
      <patternFill patternType="solid">
        <fgColor indexed="26"/>
        <bgColor indexed="8"/>
      </patternFill>
    </fill>
    <fill>
      <patternFill patternType="solid">
        <fgColor indexed="42"/>
        <bgColor indexed="8"/>
      </patternFill>
    </fill>
    <fill>
      <patternFill patternType="solid">
        <fgColor indexed="15"/>
        <bgColor indexed="8"/>
      </patternFill>
    </fill>
    <fill>
      <patternFill patternType="solid">
        <fgColor indexed="47"/>
        <bgColor indexed="8"/>
      </patternFill>
    </fill>
    <fill>
      <patternFill patternType="solid">
        <fgColor indexed="13"/>
        <bgColor indexed="8"/>
      </patternFill>
    </fill>
    <fill>
      <patternFill patternType="solid">
        <fgColor rgb="FF92D050"/>
        <bgColor indexed="64"/>
      </patternFill>
    </fill>
    <fill>
      <patternFill patternType="solid">
        <fgColor rgb="FFFFFF00"/>
        <bgColor indexed="64"/>
      </patternFill>
    </fill>
    <fill>
      <patternFill patternType="solid">
        <fgColor indexed="22"/>
        <bgColor indexed="31"/>
      </patternFill>
    </fill>
    <fill>
      <patternFill patternType="solid">
        <fgColor indexed="27"/>
        <bgColor indexed="41"/>
      </patternFill>
    </fill>
    <fill>
      <patternFill patternType="solid">
        <fgColor indexed="42"/>
        <bgColor indexed="27"/>
      </patternFill>
    </fill>
    <fill>
      <patternFill patternType="solid">
        <fgColor indexed="43"/>
        <bgColor indexed="42"/>
      </patternFill>
    </fill>
    <fill>
      <patternFill patternType="solid">
        <fgColor indexed="47"/>
        <bgColor indexed="22"/>
      </patternFill>
    </fill>
    <fill>
      <patternFill patternType="solid">
        <fgColor indexed="9"/>
        <bgColor indexed="26"/>
      </patternFill>
    </fill>
    <fill>
      <patternFill patternType="solid">
        <fgColor rgb="FFFFC000"/>
        <bgColor indexed="64"/>
      </patternFill>
    </fill>
    <fill>
      <patternFill patternType="solid">
        <fgColor theme="0" tint="-0.249977111117893"/>
        <bgColor indexed="64"/>
      </patternFill>
    </fill>
    <fill>
      <patternFill patternType="solid">
        <fgColor theme="0"/>
        <bgColor indexed="64"/>
      </patternFill>
    </fill>
    <fill>
      <patternFill patternType="gray0625">
        <bgColor indexed="22"/>
      </patternFill>
    </fill>
    <fill>
      <patternFill patternType="solid">
        <fgColor indexed="9"/>
        <bgColor indexed="8"/>
      </patternFill>
    </fill>
    <fill>
      <patternFill patternType="solid">
        <fgColor theme="2" tint="-0.249977111117893"/>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rgb="FF00B0F0"/>
        <bgColor indexed="64"/>
      </patternFill>
    </fill>
    <fill>
      <patternFill patternType="solid">
        <fgColor theme="9" tint="0.59999389629810485"/>
        <bgColor indexed="64"/>
      </patternFill>
    </fill>
    <fill>
      <patternFill patternType="solid">
        <fgColor theme="7" tint="0.39997558519241921"/>
        <bgColor indexed="64"/>
      </patternFill>
    </fill>
    <fill>
      <patternFill patternType="gray0625">
        <bgColor theme="7" tint="0.39997558519241921"/>
      </patternFill>
    </fill>
    <fill>
      <patternFill patternType="gray0625">
        <bgColor theme="2" tint="-0.249977111117893"/>
      </patternFill>
    </fill>
    <fill>
      <patternFill patternType="gray0625">
        <bgColor theme="3" tint="0.79998168889431442"/>
      </patternFill>
    </fill>
    <fill>
      <patternFill patternType="gray0625">
        <bgColor theme="5" tint="0.39997558519241921"/>
      </patternFill>
    </fill>
    <fill>
      <patternFill patternType="gray0625">
        <bgColor rgb="FF92D050"/>
      </patternFill>
    </fill>
    <fill>
      <patternFill patternType="gray0625">
        <bgColor rgb="FF00B0F0"/>
      </patternFill>
    </fill>
    <fill>
      <patternFill patternType="gray0625">
        <bgColor rgb="FFFFC000"/>
      </patternFill>
    </fill>
    <fill>
      <patternFill patternType="solid">
        <fgColor theme="1" tint="0.499984740745262"/>
        <bgColor indexed="64"/>
      </patternFill>
    </fill>
  </fills>
  <borders count="198">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ck">
        <color indexed="64"/>
      </left>
      <right style="thick">
        <color indexed="64"/>
      </right>
      <top style="thick">
        <color indexed="64"/>
      </top>
      <bottom style="thick">
        <color indexed="64"/>
      </bottom>
      <diagonal/>
    </border>
    <border>
      <left style="double">
        <color indexed="64"/>
      </left>
      <right style="double">
        <color indexed="64"/>
      </right>
      <top style="double">
        <color indexed="64"/>
      </top>
      <bottom style="double">
        <color indexed="64"/>
      </bottom>
      <diagonal/>
    </border>
    <border>
      <left style="medium">
        <color indexed="64"/>
      </left>
      <right style="thin">
        <color indexed="64"/>
      </right>
      <top/>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medium">
        <color indexed="64"/>
      </left>
      <right style="double">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double">
        <color indexed="64"/>
      </right>
      <top style="medium">
        <color indexed="64"/>
      </top>
      <bottom/>
      <diagonal/>
    </border>
    <border>
      <left/>
      <right style="double">
        <color indexed="64"/>
      </right>
      <top style="medium">
        <color indexed="64"/>
      </top>
      <bottom style="medium">
        <color indexed="64"/>
      </bottom>
      <diagonal/>
    </border>
    <border>
      <left style="double">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medium">
        <color indexed="64"/>
      </left>
      <right style="double">
        <color indexed="64"/>
      </right>
      <top/>
      <bottom/>
      <diagonal/>
    </border>
    <border>
      <left style="double">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style="dashed">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right/>
      <top/>
      <bottom style="medium">
        <color indexed="64"/>
      </bottom>
      <diagonal/>
    </border>
    <border>
      <left style="dashed">
        <color indexed="64"/>
      </left>
      <right style="medium">
        <color indexed="64"/>
      </right>
      <top/>
      <bottom style="medium">
        <color indexed="64"/>
      </bottom>
      <diagonal/>
    </border>
    <border>
      <left style="double">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double">
        <color indexed="64"/>
      </left>
      <right style="double">
        <color indexed="64"/>
      </right>
      <top style="thin">
        <color indexed="64"/>
      </top>
      <bottom style="thin">
        <color indexed="64"/>
      </bottom>
      <diagonal/>
    </border>
    <border>
      <left style="double">
        <color indexed="64"/>
      </left>
      <right style="double">
        <color indexed="64"/>
      </right>
      <top/>
      <bottom/>
      <diagonal/>
    </border>
    <border>
      <left/>
      <right style="thin">
        <color indexed="64"/>
      </right>
      <top/>
      <bottom/>
      <diagonal/>
    </border>
    <border>
      <left/>
      <right style="medium">
        <color indexed="64"/>
      </right>
      <top/>
      <bottom/>
      <diagonal/>
    </border>
    <border>
      <left style="double">
        <color indexed="64"/>
      </left>
      <right style="thin">
        <color indexed="64"/>
      </right>
      <top style="thin">
        <color indexed="64"/>
      </top>
      <bottom/>
      <diagonal/>
    </border>
    <border>
      <left style="double">
        <color indexed="64"/>
      </left>
      <right style="double">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double">
        <color indexed="64"/>
      </right>
      <top/>
      <bottom style="thin">
        <color indexed="64"/>
      </bottom>
      <diagonal/>
    </border>
    <border>
      <left style="medium">
        <color indexed="64"/>
      </left>
      <right/>
      <top/>
      <bottom style="thin">
        <color indexed="64"/>
      </bottom>
      <diagonal/>
    </border>
    <border>
      <left style="thin">
        <color indexed="64"/>
      </left>
      <right style="thin">
        <color indexed="64"/>
      </right>
      <top/>
      <bottom/>
      <diagonal/>
    </border>
    <border>
      <left style="medium">
        <color indexed="64"/>
      </left>
      <right style="double">
        <color indexed="64"/>
      </right>
      <top style="thin">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double">
        <color indexed="64"/>
      </left>
      <right style="medium">
        <color indexed="64"/>
      </right>
      <top/>
      <bottom/>
      <diagonal/>
    </border>
    <border>
      <left style="medium">
        <color indexed="64"/>
      </left>
      <right style="thin">
        <color indexed="64"/>
      </right>
      <top/>
      <bottom style="medium">
        <color indexed="64"/>
      </bottom>
      <diagonal/>
    </border>
    <border>
      <left/>
      <right style="medium">
        <color indexed="64"/>
      </right>
      <top/>
      <bottom style="medium">
        <color indexed="64"/>
      </bottom>
      <diagonal/>
    </border>
    <border>
      <left style="medium">
        <color indexed="64"/>
      </left>
      <right style="double">
        <color indexed="64"/>
      </right>
      <top/>
      <bottom style="medium">
        <color indexed="64"/>
      </bottom>
      <diagonal/>
    </border>
    <border>
      <left style="double">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double">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double">
        <color indexed="64"/>
      </right>
      <top style="thin">
        <color indexed="64"/>
      </top>
      <bottom/>
      <diagonal/>
    </border>
    <border>
      <left style="double">
        <color indexed="64"/>
      </left>
      <right/>
      <top style="thin">
        <color indexed="64"/>
      </top>
      <bottom/>
      <diagonal/>
    </border>
    <border>
      <left style="thin">
        <color indexed="64"/>
      </left>
      <right style="medium">
        <color indexed="64"/>
      </right>
      <top style="thin">
        <color indexed="64"/>
      </top>
      <bottom/>
      <diagonal/>
    </border>
    <border>
      <left style="thin">
        <color indexed="64"/>
      </left>
      <right style="double">
        <color indexed="64"/>
      </right>
      <top/>
      <bottom/>
      <diagonal/>
    </border>
    <border>
      <left style="double">
        <color indexed="64"/>
      </left>
      <right/>
      <top/>
      <bottom style="thin">
        <color indexed="64"/>
      </bottom>
      <diagonal/>
    </border>
    <border>
      <left style="thin">
        <color indexed="64"/>
      </left>
      <right style="medium">
        <color indexed="64"/>
      </right>
      <top/>
      <bottom style="thin">
        <color indexed="64"/>
      </bottom>
      <diagonal/>
    </border>
    <border>
      <left/>
      <right style="double">
        <color indexed="64"/>
      </right>
      <top/>
      <bottom style="thin">
        <color indexed="64"/>
      </bottom>
      <diagonal/>
    </border>
    <border>
      <left style="thin">
        <color indexed="64"/>
      </left>
      <right style="double">
        <color indexed="64"/>
      </right>
      <top/>
      <bottom style="thin">
        <color indexed="64"/>
      </bottom>
      <diagonal/>
    </border>
    <border>
      <left/>
      <right style="double">
        <color indexed="64"/>
      </right>
      <top/>
      <bottom/>
      <diagonal/>
    </border>
    <border>
      <left style="thin">
        <color indexed="64"/>
      </left>
      <right style="double">
        <color indexed="64"/>
      </right>
      <top style="thin">
        <color indexed="64"/>
      </top>
      <bottom/>
      <diagonal/>
    </border>
    <border>
      <left style="medium">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right style="double">
        <color indexed="64"/>
      </right>
      <top style="thin">
        <color indexed="64"/>
      </top>
      <bottom/>
      <diagonal/>
    </border>
    <border>
      <left/>
      <right/>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top style="thin">
        <color indexed="64"/>
      </top>
      <bottom/>
      <diagonal/>
    </border>
    <border>
      <left style="double">
        <color indexed="64"/>
      </left>
      <right style="thin">
        <color indexed="64"/>
      </right>
      <top style="medium">
        <color indexed="64"/>
      </top>
      <bottom style="medium">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thin">
        <color indexed="64"/>
      </left>
      <right style="double">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right style="medium">
        <color indexed="64"/>
      </right>
      <top style="medium">
        <color indexed="64"/>
      </top>
      <bottom/>
      <diagonal/>
    </border>
    <border>
      <left style="double">
        <color indexed="64"/>
      </left>
      <right style="medium">
        <color indexed="64"/>
      </right>
      <top style="thin">
        <color indexed="64"/>
      </top>
      <bottom/>
      <diagonal/>
    </border>
    <border>
      <left style="double">
        <color indexed="64"/>
      </left>
      <right style="medium">
        <color indexed="64"/>
      </right>
      <top style="medium">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hair">
        <color indexed="64"/>
      </left>
      <right style="hair">
        <color indexed="64"/>
      </right>
      <top style="hair">
        <color indexed="64"/>
      </top>
      <bottom/>
      <diagonal/>
    </border>
    <border>
      <left style="hair">
        <color indexed="64"/>
      </left>
      <right style="medium">
        <color indexed="64"/>
      </right>
      <top style="hair">
        <color indexed="64"/>
      </top>
      <bottom/>
      <diagonal/>
    </border>
    <border>
      <left style="thin">
        <color indexed="64"/>
      </left>
      <right/>
      <top/>
      <bottom/>
      <diagonal/>
    </border>
    <border>
      <left style="dashed">
        <color indexed="64"/>
      </left>
      <right/>
      <top/>
      <bottom/>
      <diagonal/>
    </border>
    <border>
      <left/>
      <right style="dashed">
        <color indexed="64"/>
      </right>
      <top/>
      <bottom/>
      <diagonal/>
    </border>
    <border>
      <left/>
      <right style="double">
        <color indexed="64"/>
      </right>
      <top style="medium">
        <color indexed="64"/>
      </top>
      <bottom/>
      <diagonal/>
    </border>
    <border>
      <left style="double">
        <color indexed="64"/>
      </left>
      <right style="thin">
        <color indexed="64"/>
      </right>
      <top style="medium">
        <color indexed="64"/>
      </top>
      <bottom/>
      <diagonal/>
    </border>
    <border>
      <left style="double">
        <color indexed="64"/>
      </left>
      <right style="thin">
        <color indexed="64"/>
      </right>
      <top/>
      <bottom style="medium">
        <color indexed="64"/>
      </bottom>
      <diagonal/>
    </border>
    <border>
      <left/>
      <right style="thin">
        <color indexed="64"/>
      </right>
      <top style="medium">
        <color indexed="64"/>
      </top>
      <bottom/>
      <diagonal/>
    </border>
    <border>
      <left style="thin">
        <color indexed="64"/>
      </left>
      <right style="double">
        <color indexed="64"/>
      </right>
      <top style="medium">
        <color indexed="64"/>
      </top>
      <bottom/>
      <diagonal/>
    </border>
    <border>
      <left/>
      <right style="medium">
        <color indexed="64"/>
      </right>
      <top style="thin">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style="double">
        <color indexed="64"/>
      </right>
      <top/>
      <bottom style="medium">
        <color indexed="64"/>
      </bottom>
      <diagonal/>
    </border>
    <border>
      <left style="double">
        <color indexed="64"/>
      </left>
      <right style="double">
        <color indexed="64"/>
      </right>
      <top style="medium">
        <color indexed="64"/>
      </top>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medium">
        <color indexed="64"/>
      </right>
      <top/>
      <bottom style="thin">
        <color indexed="64"/>
      </bottom>
      <diagonal/>
    </border>
    <border>
      <left style="thick">
        <color indexed="10"/>
      </left>
      <right style="thick">
        <color indexed="10"/>
      </right>
      <top style="thick">
        <color indexed="10"/>
      </top>
      <bottom style="thick">
        <color indexed="10"/>
      </bottom>
      <diagonal/>
    </border>
    <border>
      <left style="medium">
        <color indexed="8"/>
      </left>
      <right style="medium">
        <color indexed="8"/>
      </right>
      <top style="thick">
        <color indexed="10"/>
      </top>
      <bottom style="medium">
        <color indexed="8"/>
      </bottom>
      <diagonal/>
    </border>
    <border>
      <left style="medium">
        <color indexed="8"/>
      </left>
      <right/>
      <top/>
      <bottom/>
      <diagonal/>
    </border>
    <border>
      <left style="medium">
        <color indexed="8"/>
      </left>
      <right style="medium">
        <color indexed="8"/>
      </right>
      <top style="medium">
        <color indexed="8"/>
      </top>
      <bottom style="medium">
        <color indexed="8"/>
      </bottom>
      <diagonal/>
    </border>
    <border>
      <left style="thick">
        <color indexed="52"/>
      </left>
      <right style="thick">
        <color indexed="52"/>
      </right>
      <top style="thick">
        <color indexed="52"/>
      </top>
      <bottom/>
      <diagonal/>
    </border>
    <border>
      <left style="thin">
        <color indexed="8"/>
      </left>
      <right style="thin">
        <color indexed="8"/>
      </right>
      <top style="thin">
        <color indexed="8"/>
      </top>
      <bottom/>
      <diagonal/>
    </border>
    <border>
      <left style="thick">
        <color indexed="52"/>
      </left>
      <right/>
      <top/>
      <bottom/>
      <diagonal/>
    </border>
    <border>
      <left/>
      <right style="thick">
        <color indexed="52"/>
      </right>
      <top/>
      <bottom/>
      <diagonal/>
    </border>
    <border>
      <left/>
      <right/>
      <top style="thin">
        <color indexed="8"/>
      </top>
      <bottom/>
      <diagonal/>
    </border>
    <border>
      <left/>
      <right style="thin">
        <color indexed="8"/>
      </right>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top style="thin">
        <color indexed="8"/>
      </top>
      <bottom style="thin">
        <color indexed="8"/>
      </bottom>
      <diagonal/>
    </border>
    <border>
      <left style="thin">
        <color indexed="8"/>
      </left>
      <right/>
      <top style="thin">
        <color indexed="8"/>
      </top>
      <bottom/>
      <diagonal/>
    </border>
    <border>
      <left/>
      <right style="thin">
        <color indexed="8"/>
      </right>
      <top style="thin">
        <color indexed="8"/>
      </top>
      <bottom/>
      <diagonal/>
    </border>
    <border>
      <left style="thin">
        <color indexed="8"/>
      </left>
      <right/>
      <top/>
      <bottom/>
      <diagonal/>
    </border>
    <border>
      <left/>
      <right style="thin">
        <color indexed="8"/>
      </right>
      <top/>
      <bottom/>
      <diagonal/>
    </border>
    <border>
      <left style="thin">
        <color indexed="8"/>
      </left>
      <right/>
      <top/>
      <bottom style="thin">
        <color indexed="8"/>
      </bottom>
      <diagonal/>
    </border>
    <border>
      <left/>
      <right/>
      <top/>
      <bottom style="thin">
        <color indexed="8"/>
      </bottom>
      <diagonal/>
    </border>
    <border>
      <left/>
      <right/>
      <top style="thin">
        <color indexed="8"/>
      </top>
      <bottom style="thin">
        <color indexed="8"/>
      </bottom>
      <diagonal/>
    </border>
    <border>
      <left style="thick">
        <color auto="1"/>
      </left>
      <right style="thick">
        <color auto="1"/>
      </right>
      <top style="thick">
        <color auto="1"/>
      </top>
      <bottom style="thick">
        <color auto="1"/>
      </bottom>
      <diagonal/>
    </border>
    <border>
      <left style="double">
        <color indexed="64"/>
      </left>
      <right style="medium">
        <color indexed="64"/>
      </right>
      <top style="medium">
        <color indexed="64"/>
      </top>
      <bottom style="thin">
        <color indexed="64"/>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8"/>
      </left>
      <right style="thin">
        <color indexed="8"/>
      </right>
      <top/>
      <bottom style="medium">
        <color indexed="8"/>
      </bottom>
      <diagonal/>
    </border>
    <border>
      <left style="thin">
        <color indexed="8"/>
      </left>
      <right style="thin">
        <color indexed="8"/>
      </right>
      <top/>
      <bottom style="medium">
        <color indexed="8"/>
      </bottom>
      <diagonal/>
    </border>
    <border>
      <left style="thin">
        <color indexed="8"/>
      </left>
      <right style="medium">
        <color indexed="8"/>
      </right>
      <top/>
      <bottom style="medium">
        <color indexed="8"/>
      </bottom>
      <diagonal/>
    </border>
    <border>
      <left style="thin">
        <color indexed="8"/>
      </left>
      <right style="thin">
        <color indexed="8"/>
      </right>
      <top style="thin">
        <color indexed="8"/>
      </top>
      <bottom style="thick">
        <color indexed="8"/>
      </bottom>
      <diagonal/>
    </border>
    <border>
      <left style="thin">
        <color indexed="8"/>
      </left>
      <right/>
      <top style="thick">
        <color indexed="8"/>
      </top>
      <bottom style="thin">
        <color indexed="8"/>
      </bottom>
      <diagonal/>
    </border>
    <border>
      <left style="thin">
        <color indexed="8"/>
      </left>
      <right style="thin">
        <color indexed="8"/>
      </right>
      <top style="thick">
        <color indexed="8"/>
      </top>
      <bottom style="thin">
        <color indexed="8"/>
      </bottom>
      <diagonal/>
    </border>
    <border>
      <left/>
      <right style="thin">
        <color indexed="8"/>
      </right>
      <top style="thick">
        <color indexed="8"/>
      </top>
      <bottom style="thin">
        <color indexed="8"/>
      </bottom>
      <diagonal/>
    </border>
    <border>
      <left style="thin">
        <color indexed="8"/>
      </left>
      <right style="thin">
        <color indexed="8"/>
      </right>
      <top style="thin">
        <color indexed="8"/>
      </top>
      <bottom style="medium">
        <color indexed="8"/>
      </bottom>
      <diagonal/>
    </border>
    <border>
      <left style="thin">
        <color indexed="8"/>
      </left>
      <right/>
      <top style="medium">
        <color indexed="8"/>
      </top>
      <bottom/>
      <diagonal/>
    </border>
    <border>
      <left style="hair">
        <color indexed="8"/>
      </left>
      <right style="hair">
        <color indexed="8"/>
      </right>
      <top style="hair">
        <color indexed="8"/>
      </top>
      <bottom style="hair">
        <color indexed="8"/>
      </bottom>
      <diagonal/>
    </border>
    <border>
      <left style="medium">
        <color indexed="8"/>
      </left>
      <right style="thin">
        <color indexed="8"/>
      </right>
      <top style="medium">
        <color indexed="8"/>
      </top>
      <bottom style="medium">
        <color indexed="8"/>
      </bottom>
      <diagonal/>
    </border>
    <border>
      <left style="thin">
        <color indexed="8"/>
      </left>
      <right style="thin">
        <color indexed="8"/>
      </right>
      <top style="medium">
        <color indexed="8"/>
      </top>
      <bottom style="medium">
        <color indexed="8"/>
      </bottom>
      <diagonal/>
    </border>
    <border>
      <left style="thin">
        <color indexed="8"/>
      </left>
      <right style="medium">
        <color indexed="8"/>
      </right>
      <top style="medium">
        <color indexed="8"/>
      </top>
      <bottom style="medium">
        <color indexed="8"/>
      </bottom>
      <diagonal/>
    </border>
    <border>
      <left style="medium">
        <color auto="1"/>
      </left>
      <right style="medium">
        <color auto="1"/>
      </right>
      <top/>
      <bottom style="medium">
        <color auto="1"/>
      </bottom>
      <diagonal/>
    </border>
    <border>
      <left/>
      <right/>
      <top style="thin">
        <color auto="1"/>
      </top>
      <bottom/>
      <diagonal/>
    </border>
    <border>
      <left style="thin">
        <color auto="1"/>
      </left>
      <right style="thin">
        <color auto="1"/>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double">
        <color indexed="64"/>
      </right>
      <top/>
      <bottom style="medium">
        <color indexed="64"/>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double">
        <color indexed="64"/>
      </right>
      <top/>
      <bottom style="medium">
        <color indexed="64"/>
      </bottom>
      <diagonal/>
    </border>
    <border>
      <left style="thin">
        <color indexed="64"/>
      </left>
      <right style="medium">
        <color indexed="64"/>
      </right>
      <top/>
      <bottom style="medium">
        <color indexed="64"/>
      </bottom>
      <diagonal/>
    </border>
  </borders>
  <cellStyleXfs count="274">
    <xf numFmtId="0" fontId="0" fillId="0" borderId="0"/>
    <xf numFmtId="0" fontId="25" fillId="0" borderId="0" applyNumberFormat="0" applyFill="0" applyBorder="0" applyAlignment="0" applyProtection="0"/>
    <xf numFmtId="0" fontId="21" fillId="0" borderId="0" applyNumberFormat="0" applyFill="0" applyBorder="0" applyAlignment="0" applyProtection="0"/>
    <xf numFmtId="0" fontId="26" fillId="0" borderId="0" applyNumberFormat="0" applyFill="0" applyBorder="0" applyAlignment="0" applyProtection="0"/>
    <xf numFmtId="0" fontId="66" fillId="0" borderId="0" applyNumberFormat="0" applyFill="0" applyBorder="0" applyAlignment="0" applyProtection="0"/>
    <xf numFmtId="0" fontId="24" fillId="0" borderId="0" applyNumberFormat="0" applyFill="0" applyBorder="0" applyAlignment="0" applyProtection="0"/>
    <xf numFmtId="165" fontId="23" fillId="2" borderId="1" applyFill="0" applyBorder="0" applyAlignment="0" applyProtection="0">
      <alignment horizontal="right" vertical="center"/>
    </xf>
    <xf numFmtId="164" fontId="23" fillId="2" borderId="1" applyFill="0" applyBorder="0" applyAlignment="0" applyProtection="0">
      <alignment horizontal="right" vertical="center"/>
    </xf>
    <xf numFmtId="167" fontId="23" fillId="2" borderId="1" applyFill="0" applyBorder="0" applyAlignment="0" applyProtection="0">
      <alignment horizontal="right" vertical="center"/>
    </xf>
    <xf numFmtId="0" fontId="31" fillId="3" borderId="0" applyNumberFormat="0" applyBorder="0" applyAlignment="0" applyProtection="0"/>
    <xf numFmtId="0" fontId="31" fillId="4" borderId="0" applyNumberFormat="0" applyBorder="0" applyAlignment="0" applyProtection="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6" borderId="0" applyNumberFormat="0" applyBorder="0" applyAlignment="0" applyProtection="0"/>
    <xf numFmtId="0" fontId="31" fillId="9" borderId="0" applyNumberFormat="0" applyBorder="0" applyAlignment="0" applyProtection="0"/>
    <xf numFmtId="0" fontId="31" fillId="12" borderId="0" applyNumberFormat="0" applyBorder="0" applyAlignment="0" applyProtection="0"/>
    <xf numFmtId="0" fontId="32" fillId="13"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16" borderId="0" applyNumberFormat="0" applyBorder="0" applyAlignment="0" applyProtection="0"/>
    <xf numFmtId="0" fontId="33" fillId="0" borderId="0" applyNumberFormat="0" applyFill="0" applyBorder="0" applyAlignment="0" applyProtection="0"/>
    <xf numFmtId="0" fontId="33" fillId="0" borderId="0" applyNumberFormat="0" applyFill="0" applyBorder="0" applyAlignment="0" applyProtection="0"/>
    <xf numFmtId="0" fontId="126" fillId="0" borderId="0" applyNumberFormat="0" applyFill="0" applyBorder="0" applyAlignment="0" applyProtection="0"/>
    <xf numFmtId="3" fontId="34" fillId="0" borderId="0" applyFill="0" applyBorder="0" applyProtection="0">
      <alignment horizontal="center"/>
    </xf>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20" borderId="0" applyNumberFormat="0" applyBorder="0" applyAlignment="0" applyProtection="0"/>
    <xf numFmtId="0" fontId="35"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1" fillId="0" borderId="0" applyNumberFormat="0" applyFill="0" applyBorder="0" applyAlignment="0" applyProtection="0"/>
    <xf numFmtId="0" fontId="8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1"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88"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1"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91" fillId="0" borderId="0" applyNumberFormat="0" applyFill="0" applyBorder="0" applyAlignment="0" applyProtection="0"/>
    <xf numFmtId="0" fontId="88" fillId="0" borderId="0" applyNumberFormat="0" applyFill="0" applyBorder="0" applyAlignment="0" applyProtection="0"/>
    <xf numFmtId="0" fontId="91"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91"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89"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89"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89"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92"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8" fillId="21" borderId="2" applyNumberFormat="0" applyAlignment="0" applyProtection="0"/>
    <xf numFmtId="0" fontId="39" fillId="0" borderId="3" applyNumberFormat="0" applyFill="0" applyAlignment="0" applyProtection="0"/>
    <xf numFmtId="165" fontId="23" fillId="0" borderId="0" applyFont="0" applyFill="0" applyBorder="0" applyAlignment="0" applyProtection="0"/>
    <xf numFmtId="167" fontId="23" fillId="0" borderId="0" applyFont="0" applyFill="0" applyBorder="0" applyAlignment="0" applyProtection="0"/>
    <xf numFmtId="0" fontId="29" fillId="22" borderId="4" applyNumberFormat="0" applyFont="0" applyAlignment="0" applyProtection="0"/>
    <xf numFmtId="164" fontId="23" fillId="0" borderId="0" applyFont="0" applyFill="0" applyBorder="0" applyAlignment="0" applyProtection="0"/>
    <xf numFmtId="166" fontId="23" fillId="0" borderId="0" applyFont="0" applyFill="0" applyBorder="0" applyAlignment="0" applyProtection="0"/>
    <xf numFmtId="3" fontId="40" fillId="0" borderId="5" applyFill="0">
      <alignment horizontal="right"/>
    </xf>
    <xf numFmtId="3" fontId="40" fillId="0" borderId="5" applyFill="0">
      <alignment horizontal="right"/>
    </xf>
    <xf numFmtId="3" fontId="127" fillId="0" borderId="5" applyFill="0">
      <alignment horizontal="right"/>
    </xf>
    <xf numFmtId="0" fontId="23" fillId="2" borderId="1" applyNumberFormat="0" applyProtection="0">
      <alignment horizontal="right" vertical="center"/>
    </xf>
    <xf numFmtId="2" fontId="40" fillId="0" borderId="5" applyFill="0" applyProtection="0">
      <alignment horizontal="right"/>
    </xf>
    <xf numFmtId="2" fontId="40" fillId="0" borderId="5" applyFill="0" applyProtection="0">
      <alignment horizontal="right"/>
    </xf>
    <xf numFmtId="2" fontId="127" fillId="0" borderId="5" applyFill="0" applyProtection="0">
      <alignment horizontal="right"/>
    </xf>
    <xf numFmtId="0" fontId="41" fillId="8" borderId="2" applyNumberFormat="0" applyAlignment="0" applyProtection="0"/>
    <xf numFmtId="179" fontId="23" fillId="0" borderId="0" applyFont="0" applyFill="0" applyBorder="0" applyAlignment="0" applyProtection="0"/>
    <xf numFmtId="182" fontId="29" fillId="0" borderId="0" applyFont="0" applyFill="0" applyBorder="0" applyAlignment="0" applyProtection="0"/>
    <xf numFmtId="199" fontId="23" fillId="0" borderId="0" applyFont="0" applyFill="0" applyBorder="0" applyAlignment="0" applyProtection="0"/>
    <xf numFmtId="0" fontId="40" fillId="0" borderId="6" applyNumberFormat="0" applyAlignment="0" applyProtection="0">
      <alignment horizontal="right"/>
    </xf>
    <xf numFmtId="0" fontId="40" fillId="0" borderId="6" applyNumberFormat="0" applyAlignment="0" applyProtection="0">
      <alignment horizontal="right"/>
    </xf>
    <xf numFmtId="0" fontId="127" fillId="0" borderId="6" applyNumberFormat="0" applyAlignment="0" applyProtection="0">
      <alignment horizontal="right"/>
    </xf>
    <xf numFmtId="3" fontId="40" fillId="0" borderId="6" applyProtection="0">
      <alignment horizontal="right"/>
    </xf>
    <xf numFmtId="3" fontId="40" fillId="0" borderId="6" applyProtection="0">
      <alignment horizontal="right"/>
    </xf>
    <xf numFmtId="3" fontId="127" fillId="0" borderId="6" applyProtection="0">
      <alignment horizontal="right"/>
    </xf>
    <xf numFmtId="2" fontId="42" fillId="21" borderId="7">
      <alignment horizontal="center"/>
    </xf>
    <xf numFmtId="10" fontId="40" fillId="0" borderId="5" applyFill="0" applyProtection="0">
      <alignment horizontal="center"/>
    </xf>
    <xf numFmtId="187" fontId="23" fillId="0" borderId="1" applyFill="0" applyBorder="0" applyAlignment="0" applyProtection="0"/>
    <xf numFmtId="10" fontId="40" fillId="0" borderId="5" applyFill="0" applyProtection="0">
      <alignment horizontal="center"/>
    </xf>
    <xf numFmtId="10" fontId="127" fillId="0" borderId="5" applyFill="0" applyProtection="0">
      <alignment horizontal="center"/>
    </xf>
    <xf numFmtId="186" fontId="23" fillId="0" borderId="1" applyFill="0" applyBorder="0" applyAlignment="0" applyProtection="0"/>
    <xf numFmtId="0" fontId="43" fillId="4" borderId="0" applyNumberFormat="0" applyBorder="0" applyAlignment="0" applyProtection="0"/>
    <xf numFmtId="185" fontId="23" fillId="2" borderId="1" applyFill="0" applyBorder="0" applyAlignment="0" applyProtection="0">
      <alignment horizontal="center"/>
    </xf>
    <xf numFmtId="181" fontId="29" fillId="0" borderId="0" applyFont="0" applyFill="0" applyBorder="0" applyAlignment="0" applyProtection="0"/>
    <xf numFmtId="181" fontId="29" fillId="0" borderId="0" applyFont="0" applyFill="0" applyBorder="0" applyAlignment="0" applyProtection="0"/>
    <xf numFmtId="43" fontId="23"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1" fontId="29" fillId="0" borderId="0" applyFont="0" applyFill="0" applyBorder="0" applyAlignment="0" applyProtection="0"/>
    <xf numFmtId="184" fontId="23" fillId="2" borderId="1" applyFill="0" applyBorder="0" applyAlignment="0" applyProtection="0">
      <alignment horizontal="center"/>
    </xf>
    <xf numFmtId="166" fontId="23" fillId="0" borderId="0" applyFont="0" applyFill="0" applyBorder="0" applyAlignment="0" applyProtection="0"/>
    <xf numFmtId="180" fontId="29" fillId="0" borderId="0" applyFont="0" applyFill="0" applyBorder="0" applyAlignment="0" applyProtection="0"/>
    <xf numFmtId="180" fontId="29" fillId="0" borderId="0" applyFont="0" applyFill="0" applyBorder="0" applyAlignment="0" applyProtection="0"/>
    <xf numFmtId="180" fontId="29" fillId="0" borderId="0" applyFont="0" applyFill="0" applyBorder="0" applyAlignment="0" applyProtection="0"/>
    <xf numFmtId="180" fontId="29" fillId="0" borderId="0" applyFont="0" applyFill="0" applyBorder="0" applyAlignment="0" applyProtection="0"/>
    <xf numFmtId="180" fontId="29" fillId="0" borderId="0" applyFont="0" applyFill="0" applyBorder="0" applyAlignment="0" applyProtection="0"/>
    <xf numFmtId="180" fontId="29" fillId="0" borderId="0" applyFont="0" applyFill="0" applyBorder="0" applyAlignment="0" applyProtection="0"/>
    <xf numFmtId="0" fontId="45" fillId="23" borderId="0" applyNumberFormat="0" applyBorder="0" applyAlignment="0" applyProtection="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23" fillId="0" borderId="0"/>
    <xf numFmtId="0" fontId="29" fillId="0" borderId="0"/>
    <xf numFmtId="0" fontId="29" fillId="0" borderId="0"/>
    <xf numFmtId="0" fontId="23" fillId="0" borderId="0"/>
    <xf numFmtId="0" fontId="23" fillId="0" borderId="0"/>
    <xf numFmtId="0" fontId="23" fillId="0" borderId="0"/>
    <xf numFmtId="0" fontId="23" fillId="0" borderId="0"/>
    <xf numFmtId="0" fontId="86" fillId="0" borderId="0"/>
    <xf numFmtId="0" fontId="24" fillId="0" borderId="0"/>
    <xf numFmtId="0" fontId="24" fillId="0" borderId="0"/>
    <xf numFmtId="0" fontId="96" fillId="0" borderId="0"/>
    <xf numFmtId="9" fontId="23" fillId="0" borderId="0" applyFont="0" applyFill="0" applyBorder="0" applyAlignment="0" applyProtection="0"/>
    <xf numFmtId="9" fontId="29" fillId="0" borderId="0" applyFont="0" applyFill="0" applyBorder="0" applyAlignment="0" applyProtection="0"/>
    <xf numFmtId="9" fontId="23" fillId="0" borderId="0" applyFont="0" applyFill="0" applyBorder="0" applyAlignment="0" applyProtection="0"/>
    <xf numFmtId="9" fontId="29" fillId="0" borderId="0" applyFont="0" applyFill="0" applyBorder="0" applyAlignment="0" applyProtection="0"/>
    <xf numFmtId="0" fontId="47" fillId="0" borderId="0" applyNumberFormat="0" applyFill="0" applyBorder="0" applyAlignment="0" applyProtection="0"/>
    <xf numFmtId="0" fontId="23" fillId="24" borderId="1"/>
    <xf numFmtId="0" fontId="48" fillId="5" borderId="0" applyNumberFormat="0" applyBorder="0" applyAlignment="0" applyProtection="0"/>
    <xf numFmtId="0" fontId="49" fillId="21" borderId="8" applyNumberFormat="0" applyAlignment="0" applyProtection="0"/>
    <xf numFmtId="0" fontId="50" fillId="0" borderId="0" applyNumberFormat="0" applyFill="0" applyBorder="0" applyAlignment="0" applyProtection="0"/>
    <xf numFmtId="0" fontId="51" fillId="0" borderId="0" applyNumberFormat="0" applyFill="0" applyBorder="0" applyAlignment="0" applyProtection="0"/>
    <xf numFmtId="0" fontId="52" fillId="0" borderId="9" applyNumberFormat="0" applyFill="0" applyAlignment="0" applyProtection="0"/>
    <xf numFmtId="0" fontId="53" fillId="0" borderId="10" applyNumberFormat="0" applyFill="0" applyAlignment="0" applyProtection="0"/>
    <xf numFmtId="0" fontId="54" fillId="0" borderId="11" applyNumberFormat="0" applyFill="0" applyAlignment="0" applyProtection="0"/>
    <xf numFmtId="0" fontId="54" fillId="0" borderId="0" applyNumberFormat="0" applyFill="0" applyBorder="0" applyAlignment="0" applyProtection="0"/>
    <xf numFmtId="0" fontId="55" fillId="0" borderId="12" applyNumberFormat="0" applyFill="0" applyAlignment="0" applyProtection="0"/>
    <xf numFmtId="0" fontId="56" fillId="25" borderId="13" applyNumberFormat="0" applyAlignment="0" applyProtection="0"/>
    <xf numFmtId="0" fontId="12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6" fillId="0" borderId="0" applyNumberFormat="0" applyFill="0" applyBorder="0" applyAlignment="0" applyProtection="0"/>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0" fontId="37" fillId="0" borderId="0" applyNumberFormat="0" applyFill="0" applyBorder="0" applyAlignment="0" applyProtection="0">
      <alignment horizontal="right"/>
    </xf>
    <xf numFmtId="3" fontId="127" fillId="0" borderId="161" applyFill="0">
      <alignment horizontal="right"/>
    </xf>
    <xf numFmtId="2" fontId="127" fillId="0" borderId="161" applyFill="0" applyProtection="0">
      <alignment horizontal="right"/>
    </xf>
    <xf numFmtId="201" fontId="23" fillId="0" borderId="0" applyFill="0" applyBorder="0" applyAlignment="0" applyProtection="0"/>
    <xf numFmtId="0" fontId="127" fillId="0" borderId="6" applyNumberFormat="0" applyAlignment="0" applyProtection="0">
      <alignment horizontal="right"/>
    </xf>
    <xf numFmtId="3" fontId="127" fillId="0" borderId="6" applyProtection="0">
      <alignment horizontal="right"/>
    </xf>
    <xf numFmtId="10" fontId="127" fillId="0" borderId="161" applyFill="0" applyProtection="0">
      <alignment horizontal="center"/>
    </xf>
    <xf numFmtId="201" fontId="23" fillId="0" borderId="0" applyFill="0" applyBorder="0" applyAlignment="0" applyProtection="0"/>
    <xf numFmtId="166" fontId="23" fillId="0" borderId="0" applyFont="0" applyFill="0" applyBorder="0" applyAlignment="0" applyProtection="0"/>
    <xf numFmtId="202" fontId="23" fillId="0" borderId="0" applyFill="0" applyBorder="0" applyAlignment="0" applyProtection="0"/>
    <xf numFmtId="202" fontId="23" fillId="0" borderId="0" applyFill="0" applyBorder="0" applyAlignment="0" applyProtection="0"/>
    <xf numFmtId="0" fontId="20" fillId="0" borderId="0"/>
    <xf numFmtId="0" fontId="167" fillId="0" borderId="0" applyNumberFormat="0" applyFill="0" applyBorder="0" applyAlignment="0" applyProtection="0"/>
    <xf numFmtId="0" fontId="19" fillId="0" borderId="0"/>
    <xf numFmtId="0" fontId="18" fillId="0" borderId="0"/>
    <xf numFmtId="0" fontId="17" fillId="0" borderId="0"/>
    <xf numFmtId="0" fontId="16" fillId="0" borderId="0"/>
    <xf numFmtId="0" fontId="187" fillId="0" borderId="0" applyNumberFormat="0" applyFill="0" applyBorder="0" applyAlignment="0" applyProtection="0">
      <alignment vertical="top"/>
      <protection locked="0"/>
    </xf>
    <xf numFmtId="44" fontId="23" fillId="0" borderId="0" applyFont="0" applyFill="0" applyBorder="0" applyAlignment="0" applyProtection="0"/>
    <xf numFmtId="218" fontId="23" fillId="0" borderId="0" applyFont="0" applyFill="0" applyBorder="0" applyAlignment="0" applyProtection="0"/>
    <xf numFmtId="2" fontId="188" fillId="21" borderId="7">
      <alignment horizontal="center"/>
    </xf>
    <xf numFmtId="167" fontId="23" fillId="0" borderId="0" applyFont="0" applyFill="0" applyBorder="0" applyAlignment="0" applyProtection="0"/>
    <xf numFmtId="0" fontId="96" fillId="0" borderId="0"/>
    <xf numFmtId="0" fontId="124" fillId="0" borderId="0" applyNumberFormat="0" applyFill="0" applyBorder="0" applyAlignment="0" applyProtection="0"/>
    <xf numFmtId="167" fontId="23" fillId="0" borderId="0" applyFont="0" applyFill="0" applyBorder="0" applyAlignment="0" applyProtection="0"/>
    <xf numFmtId="0" fontId="189" fillId="0" borderId="0" applyNumberFormat="0" applyFill="0" applyBorder="0" applyAlignment="0" applyProtection="0"/>
    <xf numFmtId="0" fontId="96" fillId="0" borderId="0"/>
  </cellStyleXfs>
  <cellXfs count="3511">
    <xf numFmtId="0" fontId="0" fillId="0" borderId="0" xfId="0"/>
    <xf numFmtId="49" fontId="19" fillId="0" borderId="179" xfId="258" applyNumberFormat="1" applyFont="1" applyBorder="1" applyAlignment="1">
      <alignment horizontal="center" vertical="center" wrapText="1"/>
    </xf>
    <xf numFmtId="49" fontId="20" fillId="0" borderId="21" xfId="258" applyNumberFormat="1" applyBorder="1" applyAlignment="1">
      <alignment horizontal="center" vertical="center" wrapText="1"/>
    </xf>
    <xf numFmtId="49" fontId="19" fillId="0" borderId="21" xfId="258" applyNumberFormat="1" applyFont="1" applyBorder="1" applyAlignment="1">
      <alignment horizontal="center" vertical="center" wrapText="1"/>
    </xf>
    <xf numFmtId="49" fontId="19" fillId="0" borderId="15" xfId="258" applyNumberFormat="1" applyFont="1" applyBorder="1" applyAlignment="1">
      <alignment horizontal="center" vertical="center" wrapText="1"/>
    </xf>
    <xf numFmtId="49" fontId="16" fillId="0" borderId="15" xfId="258" applyNumberFormat="1" applyFont="1" applyBorder="1" applyAlignment="1">
      <alignment horizontal="center" vertical="center" wrapText="1"/>
    </xf>
    <xf numFmtId="3" fontId="25" fillId="26" borderId="14" xfId="1" applyNumberFormat="1" applyFill="1" applyBorder="1" applyAlignment="1" applyProtection="1">
      <alignment horizontal="right" vertical="center"/>
    </xf>
    <xf numFmtId="0" fontId="29" fillId="0" borderId="16" xfId="0" applyFont="1" applyBorder="1" applyProtection="1">
      <protection locked="0"/>
    </xf>
    <xf numFmtId="0" fontId="58" fillId="28" borderId="17" xfId="0" applyFont="1" applyFill="1" applyBorder="1" applyAlignment="1" applyProtection="1">
      <alignment horizontal="centerContinuous"/>
    </xf>
    <xf numFmtId="0" fontId="29" fillId="0" borderId="18" xfId="216" applyFont="1" applyBorder="1" applyAlignment="1" applyProtection="1"/>
    <xf numFmtId="0" fontId="29" fillId="0" borderId="19" xfId="0" applyFont="1" applyBorder="1" applyAlignment="1" applyProtection="1"/>
    <xf numFmtId="0" fontId="29" fillId="0" borderId="0" xfId="0" applyFont="1" applyFill="1" applyProtection="1"/>
    <xf numFmtId="0" fontId="71" fillId="0" borderId="20" xfId="0" applyFont="1" applyBorder="1" applyProtection="1"/>
    <xf numFmtId="0" fontId="29" fillId="0" borderId="0" xfId="216" applyFont="1" applyBorder="1" applyAlignment="1" applyProtection="1">
      <alignment horizontal="center"/>
    </xf>
    <xf numFmtId="49" fontId="57" fillId="0" borderId="0" xfId="216" applyNumberFormat="1" applyFont="1" applyBorder="1" applyAlignment="1" applyProtection="1">
      <alignment horizontal="right"/>
    </xf>
    <xf numFmtId="1" fontId="29" fillId="0" borderId="0" xfId="0" applyNumberFormat="1" applyFont="1" applyFill="1" applyBorder="1" applyAlignment="1" applyProtection="1">
      <alignment horizontal="center"/>
    </xf>
    <xf numFmtId="0" fontId="72" fillId="29" borderId="21" xfId="216" applyFont="1" applyFill="1" applyBorder="1" applyAlignment="1" applyProtection="1">
      <alignment horizontal="centerContinuous"/>
      <protection locked="0"/>
    </xf>
    <xf numFmtId="1" fontId="29" fillId="0" borderId="22" xfId="216" applyNumberFormat="1" applyFont="1" applyFill="1" applyBorder="1" applyAlignment="1" applyProtection="1">
      <protection locked="0"/>
    </xf>
    <xf numFmtId="1" fontId="29" fillId="0" borderId="0" xfId="0" applyNumberFormat="1" applyFont="1" applyBorder="1" applyAlignment="1" applyProtection="1">
      <alignment horizontal="center"/>
    </xf>
    <xf numFmtId="0" fontId="29" fillId="0" borderId="23" xfId="216" applyFont="1" applyBorder="1" applyAlignment="1" applyProtection="1"/>
    <xf numFmtId="0" fontId="71" fillId="0" borderId="24" xfId="0" applyFont="1" applyBorder="1" applyProtection="1"/>
    <xf numFmtId="0" fontId="57" fillId="0" borderId="0" xfId="216" applyFont="1" applyBorder="1" applyAlignment="1" applyProtection="1">
      <alignment horizontal="center"/>
    </xf>
    <xf numFmtId="0" fontId="29" fillId="0" borderId="0" xfId="0" applyFont="1" applyFill="1" applyBorder="1" applyAlignment="1" applyProtection="1">
      <alignment horizontal="center"/>
    </xf>
    <xf numFmtId="2" fontId="29" fillId="0" borderId="0" xfId="0" applyNumberFormat="1" applyFont="1" applyBorder="1" applyProtection="1"/>
    <xf numFmtId="0" fontId="57" fillId="0" borderId="23" xfId="216" applyFont="1" applyBorder="1" applyAlignment="1" applyProtection="1">
      <alignment horizontal="centerContinuous"/>
    </xf>
    <xf numFmtId="0" fontId="29" fillId="0" borderId="0" xfId="0" applyFont="1" applyBorder="1" applyAlignment="1" applyProtection="1">
      <alignment horizontal="center"/>
    </xf>
    <xf numFmtId="49" fontId="57" fillId="0" borderId="15" xfId="216" applyNumberFormat="1" applyFont="1" applyBorder="1" applyAlignment="1" applyProtection="1">
      <alignment horizontal="center"/>
    </xf>
    <xf numFmtId="49" fontId="57" fillId="0" borderId="25" xfId="216" applyNumberFormat="1" applyFont="1" applyBorder="1" applyAlignment="1" applyProtection="1">
      <alignment horizontal="center"/>
    </xf>
    <xf numFmtId="0" fontId="29" fillId="0" borderId="19" xfId="0" applyFont="1" applyBorder="1" applyAlignment="1" applyProtection="1">
      <alignment horizontal="right"/>
    </xf>
    <xf numFmtId="14" fontId="57" fillId="0" borderId="26" xfId="216" applyNumberFormat="1" applyFont="1" applyFill="1" applyBorder="1" applyAlignment="1" applyProtection="1">
      <alignment horizontal="centerContinuous"/>
      <protection locked="0"/>
    </xf>
    <xf numFmtId="0" fontId="57" fillId="0" borderId="16" xfId="216" applyFont="1" applyFill="1" applyBorder="1" applyAlignment="1" applyProtection="1">
      <alignment horizontal="centerContinuous"/>
      <protection locked="0"/>
    </xf>
    <xf numFmtId="169" fontId="29" fillId="28" borderId="0" xfId="0" applyNumberFormat="1" applyFont="1" applyFill="1" applyBorder="1" applyAlignment="1" applyProtection="1">
      <alignment horizontal="center"/>
    </xf>
    <xf numFmtId="0" fontId="57" fillId="0" borderId="0" xfId="0" applyFont="1" applyFill="1" applyProtection="1"/>
    <xf numFmtId="0" fontId="73" fillId="0" borderId="27" xfId="0" applyFont="1" applyBorder="1" applyProtection="1"/>
    <xf numFmtId="0" fontId="57" fillId="0" borderId="24" xfId="216" applyFont="1" applyFill="1" applyBorder="1" applyAlignment="1" applyProtection="1">
      <alignment horizontal="center"/>
    </xf>
    <xf numFmtId="49" fontId="57" fillId="0" borderId="28" xfId="216" applyNumberFormat="1" applyFont="1" applyFill="1" applyBorder="1" applyAlignment="1" applyProtection="1">
      <alignment horizontal="center"/>
    </xf>
    <xf numFmtId="0" fontId="57" fillId="0" borderId="29" xfId="0" applyFont="1" applyBorder="1" applyAlignment="1" applyProtection="1">
      <alignment horizontal="right"/>
    </xf>
    <xf numFmtId="14" fontId="73" fillId="0" borderId="30" xfId="216" applyNumberFormat="1" applyFont="1" applyFill="1" applyBorder="1" applyAlignment="1" applyProtection="1">
      <alignment horizontal="center"/>
      <protection locked="0"/>
    </xf>
    <xf numFmtId="0" fontId="57" fillId="0" borderId="14" xfId="0" applyFont="1" applyBorder="1" applyAlignment="1" applyProtection="1">
      <alignment horizontal="center"/>
    </xf>
    <xf numFmtId="168" fontId="57" fillId="30" borderId="31" xfId="216" applyNumberFormat="1" applyFont="1" applyFill="1" applyBorder="1" applyAlignment="1" applyProtection="1">
      <alignment horizontal="center"/>
    </xf>
    <xf numFmtId="0" fontId="57" fillId="0" borderId="32" xfId="0" applyFont="1" applyBorder="1" applyAlignment="1" applyProtection="1">
      <alignment horizontal="center"/>
    </xf>
    <xf numFmtId="0" fontId="57" fillId="0" borderId="33" xfId="216" applyFont="1" applyBorder="1" applyAlignment="1" applyProtection="1">
      <alignment horizontal="center"/>
    </xf>
    <xf numFmtId="3" fontId="57" fillId="0" borderId="34" xfId="1" applyNumberFormat="1" applyFont="1" applyBorder="1" applyAlignment="1" applyProtection="1">
      <alignment horizontal="center"/>
    </xf>
    <xf numFmtId="3" fontId="57" fillId="29" borderId="35" xfId="1" applyNumberFormat="1" applyFont="1" applyFill="1" applyBorder="1" applyAlignment="1" applyProtection="1">
      <alignment horizontal="center" vertical="center"/>
    </xf>
    <xf numFmtId="0" fontId="57" fillId="29" borderId="36" xfId="1" applyFont="1" applyFill="1" applyBorder="1" applyAlignment="1" applyProtection="1">
      <alignment horizontal="centerContinuous" vertical="center"/>
    </xf>
    <xf numFmtId="0" fontId="57" fillId="29" borderId="37" xfId="1" applyFont="1" applyFill="1" applyBorder="1" applyAlignment="1" applyProtection="1">
      <alignment horizontal="centerContinuous" vertical="center"/>
      <protection locked="0"/>
    </xf>
    <xf numFmtId="0" fontId="57" fillId="0" borderId="36" xfId="1" applyFont="1" applyBorder="1" applyAlignment="1" applyProtection="1">
      <alignment vertical="center"/>
      <protection locked="0"/>
    </xf>
    <xf numFmtId="3" fontId="57" fillId="31" borderId="38" xfId="1" applyNumberFormat="1" applyFont="1" applyFill="1" applyBorder="1" applyAlignment="1" applyProtection="1">
      <alignment vertical="center"/>
    </xf>
    <xf numFmtId="0" fontId="57" fillId="28" borderId="39" xfId="1" applyFont="1" applyFill="1" applyBorder="1" applyAlignment="1" applyProtection="1">
      <alignment vertical="center"/>
    </xf>
    <xf numFmtId="3" fontId="57" fillId="28" borderId="38" xfId="1" applyNumberFormat="1" applyFont="1" applyFill="1" applyBorder="1" applyAlignment="1" applyProtection="1">
      <alignment vertical="center"/>
    </xf>
    <xf numFmtId="3" fontId="57" fillId="31" borderId="35" xfId="1" applyNumberFormat="1" applyFont="1" applyFill="1" applyBorder="1" applyAlignment="1" applyProtection="1">
      <alignment vertical="center"/>
    </xf>
    <xf numFmtId="0" fontId="57" fillId="0" borderId="0" xfId="1" applyFont="1" applyFill="1" applyAlignment="1" applyProtection="1">
      <alignment vertical="center"/>
    </xf>
    <xf numFmtId="0" fontId="65" fillId="0" borderId="0" xfId="0" applyFont="1" applyFill="1" applyAlignment="1" applyProtection="1">
      <alignment vertical="center"/>
    </xf>
    <xf numFmtId="0" fontId="66" fillId="0" borderId="20" xfId="3" applyFont="1" applyBorder="1" applyAlignment="1" applyProtection="1">
      <alignment horizontal="center"/>
    </xf>
    <xf numFmtId="49" fontId="66" fillId="0" borderId="40" xfId="3" applyNumberFormat="1" applyFont="1" applyBorder="1" applyAlignment="1" applyProtection="1">
      <alignment horizontal="right"/>
    </xf>
    <xf numFmtId="0" fontId="66" fillId="0" borderId="0" xfId="3" applyFont="1" applyBorder="1" applyAlignment="1" applyProtection="1">
      <alignment horizontal="centerContinuous"/>
    </xf>
    <xf numFmtId="0" fontId="66" fillId="0" borderId="41" xfId="3" applyFont="1" applyBorder="1" applyAlignment="1" applyProtection="1">
      <alignment horizontal="centerContinuous"/>
      <protection locked="0"/>
    </xf>
    <xf numFmtId="0" fontId="66" fillId="0" borderId="0" xfId="3" applyFont="1" applyBorder="1" applyProtection="1">
      <protection locked="0"/>
    </xf>
    <xf numFmtId="3" fontId="66" fillId="0" borderId="20" xfId="3" applyNumberFormat="1" applyFont="1" applyFill="1" applyBorder="1" applyProtection="1"/>
    <xf numFmtId="0" fontId="66" fillId="0" borderId="0" xfId="3" applyFont="1" applyFill="1" applyProtection="1"/>
    <xf numFmtId="0" fontId="29" fillId="0" borderId="20" xfId="0" applyFont="1" applyBorder="1" applyAlignment="1" applyProtection="1">
      <alignment horizontal="center"/>
    </xf>
    <xf numFmtId="0" fontId="66" fillId="0" borderId="20" xfId="216" applyFont="1" applyBorder="1" applyAlignment="1" applyProtection="1">
      <alignment horizontal="center"/>
    </xf>
    <xf numFmtId="49" fontId="29" fillId="0" borderId="40" xfId="216" applyNumberFormat="1" applyFont="1" applyBorder="1" applyAlignment="1" applyProtection="1">
      <alignment horizontal="right"/>
    </xf>
    <xf numFmtId="0" fontId="29" fillId="0" borderId="0" xfId="0" applyFont="1" applyBorder="1" applyProtection="1"/>
    <xf numFmtId="0" fontId="66" fillId="0" borderId="41" xfId="216" applyFont="1" applyBorder="1" applyProtection="1">
      <protection locked="0"/>
    </xf>
    <xf numFmtId="0" fontId="29" fillId="0" borderId="0" xfId="0" applyFont="1" applyBorder="1" applyProtection="1">
      <protection locked="0"/>
    </xf>
    <xf numFmtId="3" fontId="29" fillId="32" borderId="42" xfId="0" applyNumberFormat="1" applyFont="1" applyFill="1" applyBorder="1" applyProtection="1"/>
    <xf numFmtId="3" fontId="29" fillId="33" borderId="43" xfId="216" applyNumberFormat="1" applyFont="1" applyFill="1" applyBorder="1" applyAlignment="1" applyProtection="1"/>
    <xf numFmtId="3" fontId="29" fillId="32" borderId="44" xfId="0" applyNumberFormat="1" applyFont="1" applyFill="1" applyBorder="1" applyProtection="1"/>
    <xf numFmtId="3" fontId="29" fillId="0" borderId="0" xfId="0" applyNumberFormat="1" applyFont="1" applyFill="1" applyBorder="1" applyProtection="1"/>
    <xf numFmtId="0" fontId="29" fillId="0" borderId="20" xfId="216" applyFont="1" applyBorder="1" applyAlignment="1" applyProtection="1">
      <alignment horizontal="center"/>
    </xf>
    <xf numFmtId="3" fontId="29" fillId="32" borderId="45" xfId="0" applyNumberFormat="1" applyFont="1" applyFill="1" applyBorder="1" applyProtection="1"/>
    <xf numFmtId="0" fontId="66" fillId="0" borderId="7" xfId="3" applyFont="1" applyBorder="1" applyAlignment="1" applyProtection="1">
      <alignment horizontal="center"/>
    </xf>
    <xf numFmtId="3" fontId="66" fillId="0" borderId="39" xfId="3" applyNumberFormat="1" applyFont="1" applyFill="1" applyBorder="1" applyProtection="1"/>
    <xf numFmtId="0" fontId="29" fillId="0" borderId="7" xfId="0" applyFont="1" applyBorder="1" applyAlignment="1" applyProtection="1">
      <alignment horizontal="center"/>
    </xf>
    <xf numFmtId="0" fontId="29" fillId="0" borderId="41" xfId="216" applyFont="1" applyBorder="1" applyProtection="1">
      <protection locked="0"/>
    </xf>
    <xf numFmtId="0" fontId="29" fillId="0" borderId="0" xfId="0" applyFont="1" applyBorder="1" applyAlignment="1" applyProtection="1">
      <alignment horizontal="left"/>
    </xf>
    <xf numFmtId="0" fontId="29" fillId="0" borderId="41" xfId="216" applyFont="1" applyBorder="1" applyAlignment="1" applyProtection="1">
      <alignment horizontal="left"/>
      <protection locked="0"/>
    </xf>
    <xf numFmtId="0" fontId="29" fillId="0" borderId="20" xfId="216" applyFont="1" applyFill="1" applyBorder="1" applyAlignment="1" applyProtection="1">
      <alignment horizontal="center"/>
    </xf>
    <xf numFmtId="49" fontId="29" fillId="0" borderId="40" xfId="216" applyNumberFormat="1" applyFont="1" applyFill="1" applyBorder="1" applyAlignment="1" applyProtection="1">
      <alignment horizontal="right"/>
    </xf>
    <xf numFmtId="0" fontId="29" fillId="0" borderId="41" xfId="216" applyFont="1" applyBorder="1" applyAlignment="1" applyProtection="1">
      <alignment horizontal="center"/>
      <protection locked="0"/>
    </xf>
    <xf numFmtId="0" fontId="57" fillId="0" borderId="20" xfId="216" applyFont="1" applyBorder="1" applyAlignment="1" applyProtection="1">
      <alignment horizontal="center"/>
    </xf>
    <xf numFmtId="3" fontId="29" fillId="0" borderId="44" xfId="0" applyNumberFormat="1" applyFont="1" applyFill="1" applyBorder="1" applyProtection="1"/>
    <xf numFmtId="3" fontId="29" fillId="0" borderId="22" xfId="0" applyNumberFormat="1" applyFont="1" applyFill="1" applyBorder="1" applyProtection="1"/>
    <xf numFmtId="0" fontId="67" fillId="0" borderId="7" xfId="0" applyFont="1" applyBorder="1" applyAlignment="1" applyProtection="1">
      <alignment horizontal="center"/>
    </xf>
    <xf numFmtId="0" fontId="67" fillId="0" borderId="41" xfId="0" applyFont="1" applyFill="1" applyBorder="1" applyAlignment="1" applyProtection="1">
      <alignment horizontal="centerContinuous"/>
      <protection locked="0"/>
    </xf>
    <xf numFmtId="0" fontId="67" fillId="0" borderId="0" xfId="0" applyFont="1" applyBorder="1" applyProtection="1">
      <protection locked="0"/>
    </xf>
    <xf numFmtId="3" fontId="29" fillId="32" borderId="46" xfId="0" applyNumberFormat="1" applyFont="1" applyFill="1" applyBorder="1" applyProtection="1"/>
    <xf numFmtId="0" fontId="67" fillId="0" borderId="0" xfId="0" applyFont="1" applyFill="1" applyProtection="1"/>
    <xf numFmtId="0" fontId="29" fillId="0" borderId="0" xfId="0" applyFont="1" applyFill="1" applyBorder="1" applyProtection="1"/>
    <xf numFmtId="3" fontId="29" fillId="0" borderId="39" xfId="216" applyNumberFormat="1" applyFont="1" applyFill="1" applyBorder="1" applyAlignment="1" applyProtection="1"/>
    <xf numFmtId="3" fontId="29" fillId="0" borderId="20" xfId="0" applyNumberFormat="1" applyFont="1" applyFill="1" applyBorder="1" applyProtection="1"/>
    <xf numFmtId="3" fontId="57" fillId="0" borderId="47" xfId="1" applyNumberFormat="1" applyFont="1" applyBorder="1" applyAlignment="1" applyProtection="1">
      <alignment horizontal="center"/>
    </xf>
    <xf numFmtId="0" fontId="57" fillId="0" borderId="0" xfId="0" applyFont="1" applyFill="1" applyAlignment="1" applyProtection="1">
      <alignment vertical="center"/>
    </xf>
    <xf numFmtId="0" fontId="57" fillId="0" borderId="7" xfId="0" applyFont="1" applyBorder="1" applyAlignment="1" applyProtection="1">
      <alignment horizontal="center"/>
    </xf>
    <xf numFmtId="0" fontId="57" fillId="0" borderId="0" xfId="0" applyFont="1" applyBorder="1" applyAlignment="1" applyProtection="1">
      <alignment horizontal="centerContinuous"/>
    </xf>
    <xf numFmtId="0" fontId="57" fillId="0" borderId="41" xfId="216" applyFont="1" applyBorder="1" applyAlignment="1" applyProtection="1">
      <alignment horizontal="centerContinuous"/>
      <protection locked="0"/>
    </xf>
    <xf numFmtId="0" fontId="57" fillId="0" borderId="0" xfId="0" applyFont="1" applyBorder="1" applyProtection="1">
      <protection locked="0"/>
    </xf>
    <xf numFmtId="0" fontId="29" fillId="0" borderId="20" xfId="0" applyFont="1" applyBorder="1" applyProtection="1"/>
    <xf numFmtId="0" fontId="29" fillId="0" borderId="0" xfId="0" applyFont="1" applyBorder="1" applyAlignment="1" applyProtection="1"/>
    <xf numFmtId="0" fontId="29" fillId="0" borderId="41" xfId="216" applyFont="1" applyBorder="1" applyAlignment="1" applyProtection="1">
      <protection locked="0"/>
    </xf>
    <xf numFmtId="0" fontId="66" fillId="0" borderId="20" xfId="0" applyFont="1" applyFill="1" applyBorder="1" applyAlignment="1" applyProtection="1">
      <alignment horizontal="center"/>
    </xf>
    <xf numFmtId="49" fontId="29" fillId="0" borderId="40" xfId="0" applyNumberFormat="1" applyFont="1" applyFill="1" applyBorder="1" applyAlignment="1" applyProtection="1">
      <alignment horizontal="right"/>
    </xf>
    <xf numFmtId="10" fontId="29" fillId="0" borderId="41" xfId="216" applyNumberFormat="1" applyFont="1" applyBorder="1" applyAlignment="1" applyProtection="1">
      <alignment horizontal="right"/>
      <protection locked="0"/>
    </xf>
    <xf numFmtId="0" fontId="66" fillId="0" borderId="41" xfId="0" applyFont="1" applyFill="1" applyBorder="1" applyProtection="1">
      <protection locked="0"/>
    </xf>
    <xf numFmtId="0" fontId="29" fillId="0" borderId="41" xfId="216" applyFont="1" applyBorder="1" applyAlignment="1" applyProtection="1">
      <alignment horizontal="centerContinuous"/>
      <protection locked="0"/>
    </xf>
    <xf numFmtId="0" fontId="29" fillId="0" borderId="41" xfId="216" applyFont="1" applyBorder="1" applyAlignment="1" applyProtection="1">
      <alignment horizontal="right"/>
      <protection locked="0"/>
    </xf>
    <xf numFmtId="0" fontId="29" fillId="0" borderId="0" xfId="0" applyFont="1" applyFill="1" applyBorder="1" applyAlignment="1" applyProtection="1">
      <alignment horizontal="left"/>
    </xf>
    <xf numFmtId="0" fontId="29" fillId="0" borderId="41" xfId="0" applyFont="1" applyFill="1" applyBorder="1" applyAlignment="1" applyProtection="1">
      <alignment horizontal="left"/>
      <protection locked="0"/>
    </xf>
    <xf numFmtId="0" fontId="29" fillId="0" borderId="20" xfId="0" applyFont="1" applyFill="1" applyBorder="1" applyAlignment="1" applyProtection="1">
      <alignment horizontal="center"/>
    </xf>
    <xf numFmtId="0" fontId="29" fillId="0" borderId="7" xfId="0" applyFont="1" applyFill="1" applyBorder="1" applyAlignment="1" applyProtection="1">
      <alignment horizontal="center"/>
    </xf>
    <xf numFmtId="0" fontId="57" fillId="0" borderId="20" xfId="0" applyFont="1" applyFill="1" applyBorder="1" applyAlignment="1" applyProtection="1">
      <alignment horizontal="center"/>
    </xf>
    <xf numFmtId="49" fontId="57" fillId="0" borderId="40" xfId="0" applyNumberFormat="1" applyFont="1" applyFill="1" applyBorder="1" applyAlignment="1" applyProtection="1">
      <alignment horizontal="right"/>
    </xf>
    <xf numFmtId="0" fontId="67" fillId="0" borderId="20" xfId="0" applyFont="1" applyFill="1" applyBorder="1" applyAlignment="1" applyProtection="1">
      <alignment horizontal="center"/>
    </xf>
    <xf numFmtId="3" fontId="57" fillId="31" borderId="48" xfId="1" applyNumberFormat="1" applyFont="1" applyFill="1" applyBorder="1" applyAlignment="1" applyProtection="1">
      <alignment vertical="center"/>
    </xf>
    <xf numFmtId="3" fontId="57" fillId="31" borderId="49" xfId="1" applyNumberFormat="1" applyFont="1" applyFill="1" applyBorder="1" applyAlignment="1" applyProtection="1">
      <alignment vertical="center"/>
    </xf>
    <xf numFmtId="49" fontId="29" fillId="0" borderId="50" xfId="216" applyNumberFormat="1" applyFont="1" applyBorder="1" applyAlignment="1" applyProtection="1">
      <alignment horizontal="right"/>
    </xf>
    <xf numFmtId="49" fontId="57" fillId="0" borderId="50" xfId="216" applyNumberFormat="1" applyFont="1" applyBorder="1" applyAlignment="1" applyProtection="1">
      <alignment horizontal="right"/>
    </xf>
    <xf numFmtId="0" fontId="29" fillId="0" borderId="0" xfId="0" applyFont="1" applyBorder="1" applyAlignment="1" applyProtection="1">
      <alignment horizontal="centerContinuous"/>
    </xf>
    <xf numFmtId="0" fontId="67" fillId="0" borderId="41" xfId="0" applyFont="1" applyBorder="1" applyAlignment="1" applyProtection="1">
      <alignment horizontal="centerContinuous"/>
      <protection locked="0"/>
    </xf>
    <xf numFmtId="0" fontId="29" fillId="0" borderId="0" xfId="0" applyFont="1" applyFill="1" applyBorder="1" applyProtection="1">
      <protection locked="0"/>
    </xf>
    <xf numFmtId="0" fontId="29" fillId="0" borderId="0" xfId="0" applyFont="1" applyFill="1" applyBorder="1" applyAlignment="1" applyProtection="1"/>
    <xf numFmtId="0" fontId="66" fillId="0" borderId="41" xfId="216" applyFont="1" applyBorder="1" applyAlignment="1" applyProtection="1">
      <alignment horizontal="right"/>
      <protection locked="0"/>
    </xf>
    <xf numFmtId="0" fontId="57" fillId="28" borderId="39" xfId="1" applyFont="1" applyFill="1" applyBorder="1" applyProtection="1"/>
    <xf numFmtId="174" fontId="67" fillId="0" borderId="7" xfId="0" applyNumberFormat="1" applyFont="1" applyBorder="1" applyAlignment="1" applyProtection="1">
      <alignment horizontal="center"/>
    </xf>
    <xf numFmtId="174" fontId="67" fillId="0" borderId="20" xfId="0" applyNumberFormat="1" applyFont="1" applyBorder="1" applyAlignment="1" applyProtection="1">
      <alignment horizontal="center"/>
    </xf>
    <xf numFmtId="174" fontId="67" fillId="0" borderId="0" xfId="0" applyNumberFormat="1" applyFont="1" applyFill="1" applyProtection="1"/>
    <xf numFmtId="0" fontId="64" fillId="0" borderId="20" xfId="0" applyFont="1" applyBorder="1" applyAlignment="1" applyProtection="1">
      <alignment horizontal="center"/>
    </xf>
    <xf numFmtId="49" fontId="57" fillId="0" borderId="40" xfId="0" applyNumberFormat="1" applyFont="1" applyBorder="1" applyAlignment="1" applyProtection="1">
      <alignment horizontal="right"/>
    </xf>
    <xf numFmtId="0" fontId="64" fillId="0" borderId="41" xfId="0" applyFont="1" applyBorder="1" applyAlignment="1" applyProtection="1">
      <alignment horizontal="centerContinuous"/>
      <protection locked="0"/>
    </xf>
    <xf numFmtId="0" fontId="64" fillId="0" borderId="0" xfId="0" applyFont="1" applyBorder="1" applyProtection="1">
      <protection locked="0"/>
    </xf>
    <xf numFmtId="3" fontId="57" fillId="0" borderId="0" xfId="0" applyNumberFormat="1" applyFont="1" applyFill="1" applyBorder="1" applyProtection="1"/>
    <xf numFmtId="3" fontId="57" fillId="0" borderId="22" xfId="0" applyNumberFormat="1" applyFont="1" applyFill="1" applyBorder="1" applyProtection="1"/>
    <xf numFmtId="3" fontId="64" fillId="0" borderId="39" xfId="0" applyNumberFormat="1" applyFont="1" applyFill="1" applyBorder="1" applyAlignment="1" applyProtection="1"/>
    <xf numFmtId="3" fontId="29" fillId="0" borderId="7" xfId="0" applyNumberFormat="1" applyFont="1" applyBorder="1" applyAlignment="1" applyProtection="1">
      <alignment horizontal="center"/>
    </xf>
    <xf numFmtId="0" fontId="66" fillId="0" borderId="20" xfId="0" applyFont="1" applyBorder="1" applyAlignment="1" applyProtection="1">
      <alignment horizontal="center"/>
    </xf>
    <xf numFmtId="49" fontId="29" fillId="0" borderId="50" xfId="0" applyNumberFormat="1" applyFont="1" applyBorder="1" applyAlignment="1" applyProtection="1">
      <alignment horizontal="right"/>
    </xf>
    <xf numFmtId="0" fontId="66" fillId="0" borderId="41" xfId="0" applyFont="1" applyBorder="1" applyAlignment="1" applyProtection="1">
      <alignment horizontal="left"/>
      <protection locked="0"/>
    </xf>
    <xf numFmtId="0" fontId="66" fillId="0" borderId="0" xfId="0" applyFont="1" applyBorder="1" applyAlignment="1" applyProtection="1">
      <alignment horizontal="center"/>
      <protection locked="0"/>
    </xf>
    <xf numFmtId="3" fontId="29" fillId="33" borderId="38" xfId="216" applyNumberFormat="1" applyFont="1" applyFill="1" applyBorder="1" applyAlignment="1" applyProtection="1"/>
    <xf numFmtId="1" fontId="29" fillId="0" borderId="7" xfId="0" applyNumberFormat="1" applyFont="1" applyBorder="1" applyAlignment="1" applyProtection="1">
      <alignment horizontal="center"/>
    </xf>
    <xf numFmtId="171" fontId="29" fillId="34" borderId="51" xfId="0" applyNumberFormat="1" applyFont="1" applyFill="1" applyBorder="1" applyProtection="1"/>
    <xf numFmtId="49" fontId="57" fillId="0" borderId="52" xfId="216" applyNumberFormat="1" applyFont="1" applyBorder="1" applyAlignment="1" applyProtection="1">
      <alignment horizontal="right"/>
    </xf>
    <xf numFmtId="0" fontId="57" fillId="28" borderId="53" xfId="0" applyFont="1" applyFill="1" applyBorder="1" applyAlignment="1" applyProtection="1"/>
    <xf numFmtId="0" fontId="64" fillId="28" borderId="54" xfId="216" applyFont="1" applyFill="1" applyBorder="1" applyAlignment="1" applyProtection="1">
      <alignment horizontal="center" vertical="center"/>
    </xf>
    <xf numFmtId="49" fontId="64" fillId="28" borderId="55" xfId="216" applyNumberFormat="1" applyFont="1" applyFill="1" applyBorder="1" applyAlignment="1" applyProtection="1">
      <alignment horizontal="centerContinuous" vertical="center"/>
    </xf>
    <xf numFmtId="0" fontId="76" fillId="28" borderId="56" xfId="216" applyFont="1" applyFill="1" applyBorder="1" applyAlignment="1" applyProtection="1">
      <alignment horizontal="centerContinuous" vertical="center"/>
      <protection locked="0"/>
    </xf>
    <xf numFmtId="3" fontId="57" fillId="0" borderId="31" xfId="216" applyNumberFormat="1" applyFont="1" applyFill="1" applyBorder="1" applyAlignment="1" applyProtection="1">
      <alignment vertical="center"/>
    </xf>
    <xf numFmtId="0" fontId="29" fillId="0" borderId="20" xfId="0" applyFont="1" applyBorder="1" applyAlignment="1" applyProtection="1">
      <alignment horizontal="center" vertical="center"/>
    </xf>
    <xf numFmtId="49" fontId="57" fillId="0" borderId="0" xfId="0" applyNumberFormat="1" applyFont="1" applyBorder="1" applyAlignment="1" applyProtection="1">
      <alignment horizontal="right" vertical="center"/>
    </xf>
    <xf numFmtId="0" fontId="29" fillId="0" borderId="41" xfId="0" applyFont="1" applyBorder="1" applyAlignment="1" applyProtection="1">
      <alignment horizontal="centerContinuous" vertical="center"/>
    </xf>
    <xf numFmtId="0" fontId="75" fillId="0" borderId="41" xfId="0" applyFont="1" applyBorder="1" applyAlignment="1" applyProtection="1">
      <alignment horizontal="centerContinuous" vertical="center"/>
      <protection locked="0"/>
    </xf>
    <xf numFmtId="3" fontId="29" fillId="0" borderId="0" xfId="0" applyNumberFormat="1" applyFont="1" applyBorder="1" applyProtection="1"/>
    <xf numFmtId="3" fontId="29" fillId="0" borderId="0" xfId="217" applyNumberFormat="1" applyFont="1" applyBorder="1" applyProtection="1"/>
    <xf numFmtId="0" fontId="29" fillId="0" borderId="0" xfId="0" applyFont="1" applyProtection="1"/>
    <xf numFmtId="0" fontId="57" fillId="28" borderId="53" xfId="1" applyFont="1" applyFill="1" applyBorder="1" applyAlignment="1" applyProtection="1"/>
    <xf numFmtId="0" fontId="57" fillId="28" borderId="54" xfId="1" applyFont="1" applyFill="1" applyBorder="1" applyAlignment="1" applyProtection="1">
      <alignment horizontal="center" vertical="center"/>
    </xf>
    <xf numFmtId="0" fontId="57" fillId="28" borderId="54" xfId="1" applyFont="1" applyFill="1" applyBorder="1" applyAlignment="1" applyProtection="1">
      <alignment horizontal="centerContinuous" vertical="center"/>
    </xf>
    <xf numFmtId="49" fontId="57" fillId="28" borderId="55" xfId="1" applyNumberFormat="1" applyFont="1" applyFill="1" applyBorder="1" applyAlignment="1" applyProtection="1">
      <alignment horizontal="centerContinuous" vertical="center"/>
    </xf>
    <xf numFmtId="0" fontId="57" fillId="28" borderId="56" xfId="1" applyFont="1" applyFill="1" applyBorder="1" applyAlignment="1" applyProtection="1">
      <alignment horizontal="left" vertical="center"/>
    </xf>
    <xf numFmtId="0" fontId="57" fillId="28" borderId="55" xfId="1" applyFont="1" applyFill="1" applyBorder="1" applyAlignment="1" applyProtection="1">
      <alignment horizontal="centerContinuous" vertical="center"/>
    </xf>
    <xf numFmtId="0" fontId="57" fillId="28" borderId="56" xfId="1" applyFont="1" applyFill="1" applyBorder="1" applyAlignment="1" applyProtection="1">
      <alignment horizontal="centerContinuous" vertical="center"/>
      <protection locked="0"/>
    </xf>
    <xf numFmtId="0" fontId="57" fillId="28" borderId="14" xfId="1" applyFont="1" applyFill="1" applyBorder="1" applyAlignment="1" applyProtection="1">
      <alignment horizontal="left" vertical="center"/>
      <protection locked="0"/>
    </xf>
    <xf numFmtId="3" fontId="57" fillId="0" borderId="57" xfId="1" applyNumberFormat="1" applyFont="1" applyFill="1" applyBorder="1" applyAlignment="1" applyProtection="1">
      <alignment vertical="center"/>
    </xf>
    <xf numFmtId="0" fontId="29" fillId="0" borderId="0" xfId="0" applyFont="1" applyFill="1" applyAlignment="1" applyProtection="1">
      <alignment vertical="center"/>
    </xf>
    <xf numFmtId="0" fontId="57" fillId="0" borderId="0" xfId="2" applyFont="1" applyFill="1" applyBorder="1" applyProtection="1"/>
    <xf numFmtId="3" fontId="66" fillId="0" borderId="22" xfId="3" applyNumberFormat="1" applyFont="1" applyFill="1" applyBorder="1" applyAlignment="1" applyProtection="1">
      <alignment horizontal="right"/>
    </xf>
    <xf numFmtId="3" fontId="66" fillId="0" borderId="58" xfId="3" applyNumberFormat="1" applyFont="1" applyFill="1" applyBorder="1" applyAlignment="1" applyProtection="1"/>
    <xf numFmtId="3" fontId="66" fillId="0" borderId="0" xfId="3" applyNumberFormat="1" applyFont="1" applyFill="1" applyBorder="1" applyAlignment="1" applyProtection="1">
      <alignment horizontal="right"/>
    </xf>
    <xf numFmtId="3" fontId="66" fillId="0" borderId="39" xfId="3" applyNumberFormat="1" applyFont="1" applyFill="1" applyBorder="1" applyAlignment="1" applyProtection="1">
      <alignment horizontal="right"/>
    </xf>
    <xf numFmtId="0" fontId="29" fillId="0" borderId="40" xfId="216" applyFont="1" applyBorder="1" applyAlignment="1" applyProtection="1">
      <alignment horizontal="right"/>
    </xf>
    <xf numFmtId="3" fontId="29" fillId="34" borderId="22" xfId="0" applyNumberFormat="1" applyFont="1" applyFill="1" applyBorder="1" applyAlignment="1" applyProtection="1">
      <alignment horizontal="right"/>
    </xf>
    <xf numFmtId="3" fontId="29" fillId="0" borderId="58" xfId="216" applyNumberFormat="1" applyFont="1" applyFill="1" applyBorder="1" applyAlignment="1" applyProtection="1"/>
    <xf numFmtId="3" fontId="29" fillId="0" borderId="23" xfId="0" applyNumberFormat="1" applyFont="1" applyFill="1" applyBorder="1" applyProtection="1"/>
    <xf numFmtId="49" fontId="29" fillId="0" borderId="40" xfId="0" applyNumberFormat="1" applyFont="1" applyBorder="1" applyAlignment="1" applyProtection="1">
      <alignment horizontal="right"/>
    </xf>
    <xf numFmtId="0" fontId="29" fillId="0" borderId="41" xfId="0" applyFont="1" applyBorder="1" applyProtection="1">
      <protection locked="0"/>
    </xf>
    <xf numFmtId="0" fontId="29" fillId="0" borderId="40" xfId="0" applyFont="1" applyBorder="1" applyAlignment="1" applyProtection="1">
      <alignment horizontal="right"/>
    </xf>
    <xf numFmtId="0" fontId="29" fillId="0" borderId="22" xfId="0" applyFont="1" applyFill="1" applyBorder="1" applyProtection="1">
      <protection locked="0"/>
    </xf>
    <xf numFmtId="0" fontId="57" fillId="0" borderId="20" xfId="0" applyFont="1" applyBorder="1" applyAlignment="1" applyProtection="1">
      <alignment horizontal="center"/>
    </xf>
    <xf numFmtId="0" fontId="57" fillId="0" borderId="41" xfId="0" applyFont="1" applyBorder="1" applyAlignment="1" applyProtection="1">
      <alignment horizontal="centerContinuous"/>
      <protection locked="0"/>
    </xf>
    <xf numFmtId="3" fontId="57" fillId="0" borderId="58" xfId="0" applyNumberFormat="1" applyFont="1" applyFill="1" applyBorder="1" applyAlignment="1" applyProtection="1"/>
    <xf numFmtId="0" fontId="57" fillId="30" borderId="59" xfId="0" applyFont="1" applyFill="1" applyBorder="1" applyAlignment="1" applyProtection="1">
      <alignment horizontal="center"/>
    </xf>
    <xf numFmtId="0" fontId="57" fillId="30" borderId="24" xfId="0" applyFont="1" applyFill="1" applyBorder="1" applyAlignment="1" applyProtection="1">
      <alignment horizontal="center"/>
    </xf>
    <xf numFmtId="49" fontId="57" fillId="30" borderId="28" xfId="0" applyNumberFormat="1" applyFont="1" applyFill="1" applyBorder="1" applyAlignment="1" applyProtection="1">
      <alignment horizontal="right"/>
    </xf>
    <xf numFmtId="0" fontId="29" fillId="30" borderId="29" xfId="0" applyFont="1" applyFill="1" applyBorder="1" applyProtection="1"/>
    <xf numFmtId="0" fontId="57" fillId="30" borderId="60" xfId="0" applyFont="1" applyFill="1" applyBorder="1" applyProtection="1">
      <protection locked="0"/>
    </xf>
    <xf numFmtId="0" fontId="57" fillId="30" borderId="29" xfId="0" applyFont="1" applyFill="1" applyBorder="1" applyProtection="1">
      <protection locked="0"/>
    </xf>
    <xf numFmtId="3" fontId="29" fillId="30" borderId="61" xfId="0" applyNumberFormat="1" applyFont="1" applyFill="1" applyBorder="1" applyAlignment="1" applyProtection="1">
      <alignment horizontal="right"/>
    </xf>
    <xf numFmtId="3" fontId="57" fillId="30" borderId="62" xfId="0" applyNumberFormat="1" applyFont="1" applyFill="1" applyBorder="1" applyAlignment="1" applyProtection="1"/>
    <xf numFmtId="3" fontId="29" fillId="30" borderId="29" xfId="0" applyNumberFormat="1" applyFont="1" applyFill="1" applyBorder="1" applyAlignment="1" applyProtection="1">
      <alignment horizontal="right"/>
    </xf>
    <xf numFmtId="0" fontId="66" fillId="0" borderId="0" xfId="216" applyFont="1" applyFill="1" applyBorder="1" applyAlignment="1" applyProtection="1">
      <alignment horizontal="center"/>
    </xf>
    <xf numFmtId="0" fontId="66" fillId="0" borderId="0" xfId="0" applyFont="1" applyFill="1" applyBorder="1" applyAlignment="1" applyProtection="1"/>
    <xf numFmtId="49" fontId="29" fillId="0" borderId="0" xfId="216" applyNumberFormat="1" applyFont="1" applyFill="1" applyBorder="1" applyAlignment="1" applyProtection="1">
      <alignment horizontal="right"/>
    </xf>
    <xf numFmtId="0" fontId="29" fillId="0" borderId="0" xfId="216" applyFont="1" applyFill="1" applyBorder="1" applyProtection="1">
      <protection locked="0"/>
    </xf>
    <xf numFmtId="3" fontId="29" fillId="0" borderId="0" xfId="0" applyNumberFormat="1" applyFont="1" applyFill="1" applyBorder="1" applyAlignment="1" applyProtection="1">
      <alignment horizontal="right"/>
    </xf>
    <xf numFmtId="3" fontId="29" fillId="0" borderId="0" xfId="216" applyNumberFormat="1" applyFont="1" applyFill="1" applyBorder="1" applyAlignment="1" applyProtection="1"/>
    <xf numFmtId="3" fontId="29" fillId="0" borderId="0" xfId="0" applyNumberFormat="1" applyFont="1" applyFill="1" applyBorder="1" applyAlignment="1" applyProtection="1"/>
    <xf numFmtId="0" fontId="29" fillId="0" borderId="39" xfId="0" applyFont="1" applyFill="1" applyBorder="1" applyProtection="1"/>
    <xf numFmtId="0" fontId="71" fillId="0" borderId="0" xfId="0" applyFont="1" applyProtection="1"/>
    <xf numFmtId="0" fontId="29" fillId="0" borderId="0" xfId="0" applyFont="1" applyAlignment="1" applyProtection="1">
      <alignment horizontal="center"/>
    </xf>
    <xf numFmtId="0" fontId="57" fillId="0" borderId="0" xfId="0" applyFont="1" applyAlignment="1" applyProtection="1">
      <alignment horizontal="centerContinuous" vertical="center"/>
    </xf>
    <xf numFmtId="0" fontId="77" fillId="0" borderId="0" xfId="216" applyFont="1" applyAlignment="1" applyProtection="1">
      <alignment horizontal="centerContinuous" vertical="center"/>
      <protection locked="0"/>
    </xf>
    <xf numFmtId="0" fontId="78" fillId="0" borderId="0" xfId="216" applyFont="1" applyBorder="1" applyProtection="1">
      <protection locked="0"/>
    </xf>
    <xf numFmtId="0" fontId="57" fillId="0" borderId="0" xfId="2" applyFont="1" applyProtection="1"/>
    <xf numFmtId="0" fontId="77" fillId="0" borderId="0" xfId="216" applyFont="1" applyAlignment="1" applyProtection="1">
      <alignment horizontal="centerContinuous" vertical="center"/>
    </xf>
    <xf numFmtId="0" fontId="29" fillId="0" borderId="0" xfId="0" applyFont="1" applyAlignment="1" applyProtection="1">
      <alignment horizontal="centerContinuous" vertical="center"/>
    </xf>
    <xf numFmtId="0" fontId="57" fillId="0" borderId="0" xfId="2" applyFont="1" applyFill="1" applyProtection="1"/>
    <xf numFmtId="0" fontId="73" fillId="0" borderId="0" xfId="0" applyFont="1" applyProtection="1"/>
    <xf numFmtId="0" fontId="57" fillId="0" borderId="0" xfId="0" applyFont="1" applyAlignment="1" applyProtection="1">
      <alignment horizontal="center"/>
    </xf>
    <xf numFmtId="0" fontId="57" fillId="0" borderId="0" xfId="0" applyFont="1" applyProtection="1"/>
    <xf numFmtId="3" fontId="57" fillId="0" borderId="0" xfId="0" applyNumberFormat="1" applyFont="1" applyBorder="1" applyProtection="1"/>
    <xf numFmtId="3" fontId="78" fillId="0" borderId="0" xfId="217" applyNumberFormat="1" applyFont="1" applyBorder="1" applyAlignment="1" applyProtection="1">
      <alignment horizontal="centerContinuous"/>
      <protection locked="0"/>
    </xf>
    <xf numFmtId="3" fontId="78" fillId="0" borderId="0" xfId="0" applyNumberFormat="1" applyFont="1" applyBorder="1" applyProtection="1">
      <protection locked="0"/>
    </xf>
    <xf numFmtId="3" fontId="57" fillId="0" borderId="0" xfId="0" applyNumberFormat="1" applyFont="1" applyBorder="1" applyAlignment="1" applyProtection="1"/>
    <xf numFmtId="3" fontId="79" fillId="0" borderId="0" xfId="0" applyNumberFormat="1" applyFont="1" applyBorder="1" applyAlignment="1" applyProtection="1">
      <alignment horizontal="center"/>
      <protection locked="0"/>
    </xf>
    <xf numFmtId="3" fontId="77" fillId="0" borderId="0" xfId="0" applyNumberFormat="1" applyFont="1" applyBorder="1" applyAlignment="1" applyProtection="1">
      <protection locked="0"/>
    </xf>
    <xf numFmtId="3" fontId="77" fillId="0" borderId="0" xfId="0" applyNumberFormat="1" applyFont="1" applyBorder="1" applyProtection="1">
      <protection locked="0"/>
    </xf>
    <xf numFmtId="0" fontId="29" fillId="0" borderId="0" xfId="0" applyFont="1" applyProtection="1">
      <protection locked="0"/>
    </xf>
    <xf numFmtId="3" fontId="29" fillId="0" borderId="0" xfId="0" applyNumberFormat="1" applyFont="1" applyProtection="1"/>
    <xf numFmtId="0" fontId="29" fillId="0" borderId="0" xfId="216" applyFont="1" applyAlignment="1" applyProtection="1">
      <alignment horizontal="center"/>
    </xf>
    <xf numFmtId="49" fontId="57" fillId="0" borderId="0" xfId="216" applyNumberFormat="1" applyFont="1" applyAlignment="1" applyProtection="1">
      <alignment horizontal="right"/>
    </xf>
    <xf numFmtId="0" fontId="29" fillId="0" borderId="0" xfId="216" applyFont="1" applyProtection="1">
      <protection locked="0"/>
    </xf>
    <xf numFmtId="0" fontId="29" fillId="0" borderId="0" xfId="216" applyFont="1" applyAlignment="1" applyProtection="1"/>
    <xf numFmtId="0" fontId="29" fillId="0" borderId="0" xfId="216" applyFont="1" applyFill="1" applyBorder="1" applyProtection="1"/>
    <xf numFmtId="0" fontId="57" fillId="0" borderId="20" xfId="0" applyFont="1" applyBorder="1" applyProtection="1"/>
    <xf numFmtId="0" fontId="57" fillId="28" borderId="39" xfId="2" applyFont="1" applyFill="1" applyBorder="1" applyAlignment="1" applyProtection="1">
      <alignment horizontal="center"/>
    </xf>
    <xf numFmtId="0" fontId="29" fillId="0" borderId="19" xfId="216" applyFont="1" applyBorder="1" applyAlignment="1" applyProtection="1"/>
    <xf numFmtId="0" fontId="57" fillId="28" borderId="39" xfId="2" applyFont="1" applyFill="1" applyBorder="1" applyProtection="1"/>
    <xf numFmtId="3" fontId="29" fillId="0" borderId="53" xfId="0" applyNumberFormat="1" applyFont="1" applyFill="1" applyBorder="1" applyAlignment="1" applyProtection="1">
      <alignment horizontal="center"/>
    </xf>
    <xf numFmtId="0" fontId="67" fillId="0" borderId="20" xfId="3" applyFont="1" applyBorder="1" applyAlignment="1" applyProtection="1">
      <alignment horizontal="center"/>
    </xf>
    <xf numFmtId="0" fontId="67" fillId="0" borderId="0" xfId="3" applyFont="1" applyBorder="1" applyAlignment="1" applyProtection="1">
      <alignment horizontal="centerContinuous"/>
    </xf>
    <xf numFmtId="0" fontId="67" fillId="0" borderId="41" xfId="3" applyFont="1" applyBorder="1" applyAlignment="1" applyProtection="1">
      <alignment horizontal="centerContinuous"/>
      <protection locked="0"/>
    </xf>
    <xf numFmtId="3" fontId="67" fillId="0" borderId="20" xfId="3" applyNumberFormat="1" applyFont="1" applyFill="1" applyBorder="1" applyProtection="1"/>
    <xf numFmtId="0" fontId="67" fillId="0" borderId="0" xfId="3" applyFont="1" applyFill="1" applyProtection="1"/>
    <xf numFmtId="0" fontId="29" fillId="0" borderId="63" xfId="0" applyFont="1" applyFill="1" applyBorder="1" applyProtection="1"/>
    <xf numFmtId="0" fontId="29" fillId="0" borderId="7" xfId="0" applyFont="1" applyFill="1" applyBorder="1" applyProtection="1"/>
    <xf numFmtId="0" fontId="67" fillId="0" borderId="7" xfId="3" applyFont="1" applyBorder="1" applyAlignment="1" applyProtection="1">
      <alignment horizontal="center"/>
    </xf>
    <xf numFmtId="3" fontId="57" fillId="0" borderId="0" xfId="216" applyNumberFormat="1" applyFont="1" applyFill="1" applyBorder="1" applyProtection="1"/>
    <xf numFmtId="3" fontId="57" fillId="28" borderId="39" xfId="2" applyNumberFormat="1" applyFont="1" applyFill="1" applyBorder="1" applyProtection="1"/>
    <xf numFmtId="173" fontId="29" fillId="0" borderId="47" xfId="0" applyNumberFormat="1" applyFont="1" applyFill="1" applyBorder="1" applyProtection="1"/>
    <xf numFmtId="172" fontId="57" fillId="28" borderId="39" xfId="2" applyNumberFormat="1" applyFont="1" applyFill="1" applyBorder="1" applyProtection="1"/>
    <xf numFmtId="174" fontId="67" fillId="0" borderId="41" xfId="0" applyNumberFormat="1" applyFont="1" applyBorder="1" applyAlignment="1" applyProtection="1">
      <alignment horizontal="centerContinuous"/>
      <protection locked="0"/>
    </xf>
    <xf numFmtId="174" fontId="57" fillId="28" borderId="39" xfId="2" applyNumberFormat="1" applyFont="1" applyFill="1" applyBorder="1" applyProtection="1"/>
    <xf numFmtId="0" fontId="57" fillId="0" borderId="53" xfId="0" applyFont="1" applyFill="1" applyBorder="1" applyAlignment="1" applyProtection="1">
      <alignment vertical="center"/>
    </xf>
    <xf numFmtId="0" fontId="57" fillId="0" borderId="55" xfId="1" applyFont="1" applyFill="1" applyBorder="1" applyAlignment="1" applyProtection="1">
      <alignment vertical="center"/>
    </xf>
    <xf numFmtId="0" fontId="57" fillId="30" borderId="39" xfId="2" applyFont="1" applyFill="1" applyBorder="1" applyProtection="1"/>
    <xf numFmtId="0" fontId="57" fillId="0" borderId="0" xfId="2" applyFont="1" applyBorder="1" applyProtection="1"/>
    <xf numFmtId="0" fontId="57" fillId="0" borderId="39" xfId="2" applyFont="1" applyBorder="1" applyProtection="1"/>
    <xf numFmtId="0" fontId="57" fillId="0" borderId="23" xfId="0" applyFont="1" applyBorder="1" applyProtection="1"/>
    <xf numFmtId="0" fontId="57" fillId="0" borderId="0" xfId="0" applyFont="1" applyFill="1" applyBorder="1" applyProtection="1"/>
    <xf numFmtId="4" fontId="57" fillId="28" borderId="64" xfId="2" applyNumberFormat="1" applyFont="1" applyFill="1" applyBorder="1" applyAlignment="1" applyProtection="1">
      <alignment horizontal="centerContinuous"/>
    </xf>
    <xf numFmtId="0" fontId="57" fillId="28" borderId="55" xfId="0" applyFont="1" applyFill="1" applyBorder="1" applyAlignment="1" applyProtection="1">
      <alignment horizontal="centerContinuous"/>
    </xf>
    <xf numFmtId="4" fontId="57" fillId="28" borderId="55" xfId="2" applyNumberFormat="1" applyFont="1" applyFill="1" applyBorder="1" applyAlignment="1" applyProtection="1">
      <alignment horizontal="centerContinuous"/>
    </xf>
    <xf numFmtId="0" fontId="21" fillId="28" borderId="0" xfId="2" applyFill="1" applyBorder="1" applyAlignment="1" applyProtection="1">
      <alignment horizontal="center"/>
    </xf>
    <xf numFmtId="0" fontId="66" fillId="0" borderId="0" xfId="0" applyFont="1" applyFill="1" applyBorder="1" applyProtection="1"/>
    <xf numFmtId="0" fontId="29" fillId="0" borderId="0" xfId="0" applyFont="1"/>
    <xf numFmtId="49" fontId="57" fillId="0" borderId="0" xfId="2" applyNumberFormat="1" applyFont="1" applyBorder="1" applyProtection="1"/>
    <xf numFmtId="10" fontId="57" fillId="0" borderId="0" xfId="2" applyNumberFormat="1" applyFont="1" applyFill="1" applyBorder="1" applyAlignment="1" applyProtection="1"/>
    <xf numFmtId="0" fontId="21" fillId="28" borderId="0" xfId="2" applyFill="1" applyBorder="1" applyProtection="1"/>
    <xf numFmtId="0" fontId="66" fillId="0" borderId="19" xfId="0" applyFont="1" applyBorder="1" applyAlignment="1" applyProtection="1"/>
    <xf numFmtId="0" fontId="57" fillId="0" borderId="19" xfId="0" applyFont="1" applyBorder="1" applyProtection="1"/>
    <xf numFmtId="0" fontId="29" fillId="0" borderId="65" xfId="0" applyFont="1" applyBorder="1" applyProtection="1"/>
    <xf numFmtId="0" fontId="57" fillId="0" borderId="66" xfId="0" applyFont="1" applyBorder="1" applyAlignment="1" applyProtection="1">
      <alignment horizontal="centerContinuous"/>
    </xf>
    <xf numFmtId="0" fontId="57" fillId="0" borderId="0" xfId="2" applyFont="1" applyBorder="1" applyAlignment="1" applyProtection="1">
      <alignment horizontal="center"/>
    </xf>
    <xf numFmtId="0" fontId="57" fillId="0" borderId="22" xfId="216" applyFont="1" applyFill="1" applyBorder="1" applyAlignment="1" applyProtection="1">
      <alignment horizontal="center"/>
      <protection locked="0"/>
    </xf>
    <xf numFmtId="0" fontId="66" fillId="0" borderId="0" xfId="0" applyFont="1" applyBorder="1" applyAlignment="1" applyProtection="1">
      <alignment horizontal="left"/>
    </xf>
    <xf numFmtId="4" fontId="57" fillId="35" borderId="0" xfId="2" applyNumberFormat="1" applyFont="1" applyFill="1" applyBorder="1" applyAlignment="1" applyProtection="1">
      <alignment horizontal="center"/>
    </xf>
    <xf numFmtId="0" fontId="29" fillId="0" borderId="0" xfId="0" applyFont="1" applyFill="1" applyAlignment="1" applyProtection="1">
      <alignment horizontal="center"/>
    </xf>
    <xf numFmtId="10" fontId="57" fillId="0" borderId="0" xfId="2" applyNumberFormat="1" applyFont="1" applyFill="1" applyProtection="1"/>
    <xf numFmtId="2" fontId="29" fillId="0" borderId="0" xfId="0" applyNumberFormat="1" applyFont="1" applyFill="1" applyProtection="1"/>
    <xf numFmtId="0" fontId="29" fillId="0" borderId="29" xfId="0" applyFont="1" applyBorder="1" applyAlignment="1" applyProtection="1">
      <alignment horizontal="centerContinuous"/>
    </xf>
    <xf numFmtId="169" fontId="57" fillId="28" borderId="0" xfId="0" applyNumberFormat="1" applyFont="1" applyFill="1" applyBorder="1" applyAlignment="1" applyProtection="1">
      <alignment horizontal="center"/>
    </xf>
    <xf numFmtId="169" fontId="57" fillId="28" borderId="66" xfId="216" applyNumberFormat="1" applyFont="1" applyFill="1" applyBorder="1" applyAlignment="1" applyProtection="1">
      <alignment horizontal="center"/>
    </xf>
    <xf numFmtId="0" fontId="57" fillId="0" borderId="59" xfId="2" applyFont="1" applyFill="1" applyBorder="1" applyAlignment="1" applyProtection="1">
      <alignment horizontal="center"/>
    </xf>
    <xf numFmtId="0" fontId="57" fillId="0" borderId="67" xfId="2" applyFont="1" applyBorder="1" applyAlignment="1" applyProtection="1">
      <alignment horizontal="centerContinuous"/>
    </xf>
    <xf numFmtId="0" fontId="57" fillId="0" borderId="61" xfId="216" applyFont="1" applyFill="1" applyBorder="1" applyAlignment="1" applyProtection="1">
      <alignment horizontal="center"/>
      <protection locked="0"/>
    </xf>
    <xf numFmtId="4" fontId="57" fillId="0" borderId="55" xfId="2" applyNumberFormat="1" applyFont="1" applyFill="1" applyBorder="1" applyAlignment="1" applyProtection="1">
      <alignment horizontal="center"/>
    </xf>
    <xf numFmtId="168" fontId="57" fillId="30" borderId="55" xfId="0" applyNumberFormat="1" applyFont="1" applyFill="1" applyBorder="1" applyAlignment="1" applyProtection="1">
      <alignment horizontal="center"/>
    </xf>
    <xf numFmtId="0" fontId="21" fillId="28" borderId="39" xfId="2" applyFill="1" applyBorder="1" applyProtection="1"/>
    <xf numFmtId="0" fontId="66" fillId="0" borderId="32" xfId="0" applyFont="1" applyFill="1" applyBorder="1" applyAlignment="1" applyProtection="1">
      <alignment horizontal="center"/>
    </xf>
    <xf numFmtId="0" fontId="57" fillId="0" borderId="55" xfId="0" applyFont="1" applyBorder="1" applyAlignment="1" applyProtection="1">
      <alignment horizontal="center"/>
    </xf>
    <xf numFmtId="0" fontId="57" fillId="0" borderId="68" xfId="0" applyFont="1" applyBorder="1" applyAlignment="1" applyProtection="1">
      <alignment horizontal="center"/>
    </xf>
    <xf numFmtId="3" fontId="57" fillId="29" borderId="69" xfId="1" applyNumberFormat="1" applyFont="1" applyFill="1" applyBorder="1" applyAlignment="1" applyProtection="1">
      <alignment horizontal="centerContinuous" vertical="center"/>
    </xf>
    <xf numFmtId="4" fontId="57" fillId="31" borderId="46" xfId="1" applyNumberFormat="1" applyFont="1" applyFill="1" applyBorder="1" applyAlignment="1" applyProtection="1">
      <alignment vertical="center"/>
    </xf>
    <xf numFmtId="3" fontId="57" fillId="31" borderId="47" xfId="1" applyNumberFormat="1" applyFont="1" applyFill="1" applyBorder="1" applyAlignment="1" applyProtection="1">
      <alignment vertical="center"/>
    </xf>
    <xf numFmtId="4" fontId="57" fillId="31" borderId="36" xfId="1" applyNumberFormat="1" applyFont="1" applyFill="1" applyBorder="1" applyAlignment="1" applyProtection="1">
      <alignment vertical="center"/>
    </xf>
    <xf numFmtId="3" fontId="57" fillId="31" borderId="51" xfId="1" applyNumberFormat="1" applyFont="1" applyFill="1" applyBorder="1" applyAlignment="1" applyProtection="1">
      <alignment vertical="center"/>
    </xf>
    <xf numFmtId="3" fontId="57" fillId="31" borderId="36" xfId="1" applyNumberFormat="1" applyFont="1" applyFill="1" applyBorder="1" applyAlignment="1" applyProtection="1">
      <alignment vertical="center"/>
    </xf>
    <xf numFmtId="4" fontId="25" fillId="31" borderId="36" xfId="1" applyNumberFormat="1" applyFill="1" applyBorder="1" applyAlignment="1" applyProtection="1">
      <alignment vertical="center"/>
    </xf>
    <xf numFmtId="3" fontId="25" fillId="31" borderId="51" xfId="1" applyNumberFormat="1" applyFill="1" applyBorder="1" applyAlignment="1" applyProtection="1">
      <alignment vertical="center"/>
    </xf>
    <xf numFmtId="0" fontId="25" fillId="28" borderId="39" xfId="1" applyFill="1" applyBorder="1" applyAlignment="1" applyProtection="1">
      <alignment vertical="center"/>
    </xf>
    <xf numFmtId="4" fontId="57" fillId="31" borderId="70" xfId="1" applyNumberFormat="1" applyFont="1" applyFill="1" applyBorder="1" applyAlignment="1" applyProtection="1">
      <alignment vertical="center"/>
    </xf>
    <xf numFmtId="3" fontId="57" fillId="31" borderId="71" xfId="1" applyNumberFormat="1" applyFont="1" applyFill="1" applyBorder="1" applyAlignment="1" applyProtection="1">
      <alignment vertical="center"/>
    </xf>
    <xf numFmtId="3" fontId="57" fillId="31" borderId="72" xfId="1" applyNumberFormat="1" applyFont="1" applyFill="1" applyBorder="1" applyAlignment="1" applyProtection="1">
      <alignment vertical="center"/>
    </xf>
    <xf numFmtId="4" fontId="57" fillId="31" borderId="73" xfId="1" applyNumberFormat="1" applyFont="1" applyFill="1" applyBorder="1" applyAlignment="1" applyProtection="1">
      <alignment vertical="center"/>
    </xf>
    <xf numFmtId="0" fontId="57" fillId="0" borderId="0" xfId="1" applyFont="1"/>
    <xf numFmtId="0" fontId="57" fillId="0" borderId="7" xfId="2" applyFont="1" applyBorder="1" applyAlignment="1" applyProtection="1"/>
    <xf numFmtId="49" fontId="57" fillId="0" borderId="41" xfId="2" applyNumberFormat="1" applyFont="1" applyBorder="1" applyAlignment="1" applyProtection="1">
      <alignment horizontal="right"/>
    </xf>
    <xf numFmtId="4" fontId="57" fillId="0" borderId="0" xfId="2" applyNumberFormat="1" applyFont="1" applyFill="1" applyBorder="1" applyProtection="1"/>
    <xf numFmtId="3" fontId="66" fillId="0" borderId="66" xfId="3" applyNumberFormat="1" applyFont="1" applyFill="1" applyBorder="1" applyProtection="1"/>
    <xf numFmtId="0" fontId="67" fillId="28" borderId="39" xfId="2" applyFont="1" applyFill="1" applyBorder="1" applyProtection="1"/>
    <xf numFmtId="4" fontId="57" fillId="0" borderId="74" xfId="2" applyNumberFormat="1" applyFont="1" applyFill="1" applyBorder="1" applyProtection="1"/>
    <xf numFmtId="3" fontId="29" fillId="33" borderId="75" xfId="0" applyNumberFormat="1" applyFont="1" applyFill="1" applyBorder="1" applyAlignment="1" applyProtection="1"/>
    <xf numFmtId="3" fontId="44" fillId="0" borderId="43" xfId="0" applyNumberFormat="1" applyFont="1" applyFill="1" applyBorder="1" applyProtection="1"/>
    <xf numFmtId="3" fontId="29" fillId="32" borderId="76" xfId="0" applyNumberFormat="1" applyFont="1" applyFill="1" applyBorder="1" applyProtection="1"/>
    <xf numFmtId="3" fontId="66" fillId="0" borderId="77" xfId="0" applyNumberFormat="1" applyFont="1" applyFill="1" applyBorder="1" applyProtection="1"/>
    <xf numFmtId="3" fontId="29" fillId="34" borderId="74" xfId="216" applyNumberFormat="1" applyFont="1" applyFill="1" applyBorder="1" applyProtection="1"/>
    <xf numFmtId="3" fontId="29" fillId="33" borderId="76" xfId="0" applyNumberFormat="1" applyFont="1" applyFill="1" applyBorder="1" applyProtection="1"/>
    <xf numFmtId="3" fontId="29" fillId="32" borderId="77" xfId="0" applyNumberFormat="1" applyFont="1" applyFill="1" applyBorder="1" applyProtection="1"/>
    <xf numFmtId="3" fontId="44" fillId="0" borderId="39" xfId="0" applyNumberFormat="1" applyFont="1" applyFill="1" applyBorder="1" applyProtection="1"/>
    <xf numFmtId="3" fontId="29" fillId="32" borderId="23" xfId="0" applyNumberFormat="1" applyFont="1" applyFill="1" applyBorder="1" applyProtection="1"/>
    <xf numFmtId="3" fontId="66" fillId="0" borderId="66" xfId="0" applyNumberFormat="1" applyFont="1" applyFill="1" applyBorder="1" applyProtection="1"/>
    <xf numFmtId="3" fontId="29" fillId="34" borderId="0" xfId="216" applyNumberFormat="1" applyFont="1" applyFill="1" applyBorder="1" applyProtection="1"/>
    <xf numFmtId="3" fontId="29" fillId="33" borderId="23" xfId="0" applyNumberFormat="1" applyFont="1" applyFill="1" applyBorder="1" applyProtection="1"/>
    <xf numFmtId="3" fontId="29" fillId="32" borderId="78" xfId="0" applyNumberFormat="1" applyFont="1" applyFill="1" applyBorder="1" applyProtection="1"/>
    <xf numFmtId="3" fontId="44" fillId="0" borderId="48" xfId="0" applyNumberFormat="1" applyFont="1" applyFill="1" applyBorder="1" applyProtection="1"/>
    <xf numFmtId="3" fontId="29" fillId="32" borderId="79" xfId="0" applyNumberFormat="1" applyFont="1" applyFill="1" applyBorder="1" applyProtection="1"/>
    <xf numFmtId="3" fontId="66" fillId="0" borderId="80" xfId="0" applyNumberFormat="1" applyFont="1" applyFill="1" applyBorder="1" applyProtection="1"/>
    <xf numFmtId="3" fontId="29" fillId="34" borderId="81" xfId="216" applyNumberFormat="1" applyFont="1" applyFill="1" applyBorder="1" applyProtection="1"/>
    <xf numFmtId="3" fontId="29" fillId="33" borderId="79" xfId="0" applyNumberFormat="1" applyFont="1" applyFill="1" applyBorder="1" applyProtection="1"/>
    <xf numFmtId="3" fontId="29" fillId="32" borderId="82" xfId="0" applyNumberFormat="1" applyFont="1" applyFill="1" applyBorder="1" applyProtection="1"/>
    <xf numFmtId="3" fontId="29" fillId="0" borderId="43" xfId="216" applyNumberFormat="1" applyFont="1" applyFill="1" applyBorder="1" applyAlignment="1" applyProtection="1"/>
    <xf numFmtId="3" fontId="29" fillId="0" borderId="75" xfId="0" applyNumberFormat="1" applyFont="1" applyFill="1" applyBorder="1" applyAlignment="1" applyProtection="1"/>
    <xf numFmtId="3" fontId="66" fillId="0" borderId="83" xfId="3" applyNumberFormat="1" applyFont="1" applyFill="1" applyBorder="1" applyProtection="1"/>
    <xf numFmtId="9" fontId="29" fillId="0" borderId="0" xfId="0" applyNumberFormat="1" applyFont="1" applyBorder="1" applyProtection="1">
      <protection locked="0"/>
    </xf>
    <xf numFmtId="49" fontId="57" fillId="0" borderId="41" xfId="2" applyNumberFormat="1" applyFont="1" applyFill="1" applyBorder="1" applyAlignment="1" applyProtection="1">
      <alignment horizontal="right"/>
    </xf>
    <xf numFmtId="3" fontId="29" fillId="32" borderId="84" xfId="0" applyNumberFormat="1" applyFont="1" applyFill="1" applyBorder="1" applyProtection="1"/>
    <xf numFmtId="3" fontId="29" fillId="34" borderId="75" xfId="216" applyNumberFormat="1" applyFont="1" applyFill="1" applyBorder="1" applyProtection="1"/>
    <xf numFmtId="3" fontId="29" fillId="34" borderId="85" xfId="216" applyNumberFormat="1" applyFont="1" applyFill="1" applyBorder="1" applyProtection="1"/>
    <xf numFmtId="3" fontId="29" fillId="32" borderId="66" xfId="0" applyNumberFormat="1" applyFont="1" applyFill="1" applyBorder="1" applyProtection="1"/>
    <xf numFmtId="3" fontId="57" fillId="32" borderId="42" xfId="0" applyNumberFormat="1" applyFont="1" applyFill="1" applyBorder="1" applyProtection="1"/>
    <xf numFmtId="3" fontId="57" fillId="34" borderId="75" xfId="216" applyNumberFormat="1" applyFont="1" applyFill="1" applyBorder="1" applyProtection="1"/>
    <xf numFmtId="3" fontId="29" fillId="33" borderId="42" xfId="0" applyNumberFormat="1" applyFont="1" applyFill="1" applyBorder="1" applyProtection="1"/>
    <xf numFmtId="3" fontId="57" fillId="32" borderId="45" xfId="0" applyNumberFormat="1" applyFont="1" applyFill="1" applyBorder="1" applyProtection="1"/>
    <xf numFmtId="3" fontId="57" fillId="34" borderId="85" xfId="216" applyNumberFormat="1" applyFont="1" applyFill="1" applyBorder="1" applyProtection="1"/>
    <xf numFmtId="3" fontId="29" fillId="0" borderId="39" xfId="0" applyNumberFormat="1" applyFont="1" applyFill="1" applyBorder="1" applyProtection="1"/>
    <xf numFmtId="3" fontId="67" fillId="0" borderId="66" xfId="0" applyNumberFormat="1" applyFont="1" applyFill="1" applyBorder="1" applyProtection="1"/>
    <xf numFmtId="0" fontId="21" fillId="28" borderId="39" xfId="2" applyFill="1" applyBorder="1" applyAlignment="1" applyProtection="1">
      <alignment vertical="center"/>
    </xf>
    <xf numFmtId="3" fontId="29" fillId="34" borderId="22" xfId="216" applyNumberFormat="1" applyFont="1" applyFill="1" applyBorder="1" applyProtection="1"/>
    <xf numFmtId="0" fontId="57" fillId="0" borderId="7" xfId="2" applyFont="1" applyFill="1" applyBorder="1" applyAlignment="1" applyProtection="1"/>
    <xf numFmtId="49" fontId="29" fillId="0" borderId="50" xfId="0" applyNumberFormat="1" applyFont="1" applyFill="1" applyBorder="1" applyAlignment="1" applyProtection="1">
      <alignment horizontal="right"/>
    </xf>
    <xf numFmtId="49" fontId="57" fillId="0" borderId="66" xfId="2" applyNumberFormat="1" applyFont="1" applyFill="1" applyBorder="1" applyAlignment="1" applyProtection="1">
      <alignment horizontal="right"/>
    </xf>
    <xf numFmtId="0" fontId="29" fillId="0" borderId="41" xfId="0" applyFont="1" applyFill="1" applyBorder="1" applyProtection="1">
      <protection locked="0"/>
    </xf>
    <xf numFmtId="3" fontId="29" fillId="0" borderId="39" xfId="0" applyNumberFormat="1" applyFont="1" applyFill="1" applyBorder="1" applyAlignment="1" applyProtection="1"/>
    <xf numFmtId="3" fontId="29" fillId="0" borderId="20" xfId="0" applyNumberFormat="1" applyFont="1" applyFill="1" applyBorder="1" applyAlignment="1" applyProtection="1"/>
    <xf numFmtId="3" fontId="29" fillId="0" borderId="22" xfId="216" applyNumberFormat="1" applyFont="1" applyFill="1" applyBorder="1" applyProtection="1"/>
    <xf numFmtId="3" fontId="29" fillId="0" borderId="76" xfId="0" applyNumberFormat="1" applyFont="1" applyFill="1" applyBorder="1" applyProtection="1"/>
    <xf numFmtId="3" fontId="29" fillId="0" borderId="66" xfId="0" applyNumberFormat="1" applyFont="1" applyFill="1" applyBorder="1" applyProtection="1"/>
    <xf numFmtId="0" fontId="67" fillId="0" borderId="20" xfId="0" applyFont="1" applyBorder="1" applyAlignment="1" applyProtection="1">
      <alignment horizontal="center"/>
    </xf>
    <xf numFmtId="49" fontId="67" fillId="0" borderId="40" xfId="0" applyNumberFormat="1" applyFont="1" applyBorder="1" applyAlignment="1" applyProtection="1">
      <alignment horizontal="right"/>
    </xf>
    <xf numFmtId="0" fontId="67" fillId="0" borderId="0" xfId="0" applyFont="1" applyBorder="1" applyAlignment="1" applyProtection="1">
      <alignment horizontal="centerContinuous"/>
    </xf>
    <xf numFmtId="0" fontId="75" fillId="0" borderId="0" xfId="0" applyFont="1" applyBorder="1" applyAlignment="1" applyProtection="1">
      <alignment horizontal="center"/>
      <protection locked="0"/>
    </xf>
    <xf numFmtId="173" fontId="66" fillId="0" borderId="47" xfId="0" applyNumberFormat="1" applyFont="1" applyFill="1" applyBorder="1" applyProtection="1"/>
    <xf numFmtId="175" fontId="57" fillId="0" borderId="36" xfId="2" applyNumberFormat="1" applyFont="1" applyFill="1" applyBorder="1" applyProtection="1"/>
    <xf numFmtId="175" fontId="67" fillId="34" borderId="51" xfId="0" applyNumberFormat="1" applyFont="1" applyFill="1" applyBorder="1" applyProtection="1"/>
    <xf numFmtId="3" fontId="66" fillId="0" borderId="73" xfId="0" applyNumberFormat="1" applyFont="1" applyFill="1" applyBorder="1" applyProtection="1"/>
    <xf numFmtId="3" fontId="29" fillId="34" borderId="51" xfId="216" applyNumberFormat="1" applyFont="1" applyFill="1" applyBorder="1" applyProtection="1"/>
    <xf numFmtId="3" fontId="29" fillId="33" borderId="70" xfId="0" applyNumberFormat="1" applyFont="1" applyFill="1" applyBorder="1" applyProtection="1"/>
    <xf numFmtId="3" fontId="29" fillId="32" borderId="86" xfId="0" applyNumberFormat="1" applyFont="1" applyFill="1" applyBorder="1" applyProtection="1"/>
    <xf numFmtId="0" fontId="67" fillId="0" borderId="7" xfId="0" applyFont="1" applyFill="1" applyBorder="1" applyAlignment="1" applyProtection="1">
      <alignment horizontal="center"/>
    </xf>
    <xf numFmtId="49" fontId="67" fillId="0" borderId="50" xfId="216" applyNumberFormat="1" applyFont="1" applyFill="1" applyBorder="1" applyAlignment="1" applyProtection="1">
      <alignment horizontal="right"/>
    </xf>
    <xf numFmtId="0" fontId="67" fillId="0" borderId="0" xfId="0" applyFont="1" applyFill="1" applyBorder="1" applyAlignment="1" applyProtection="1">
      <alignment horizontal="center"/>
      <protection locked="0"/>
    </xf>
    <xf numFmtId="0" fontId="67" fillId="0" borderId="41" xfId="216" applyFont="1" applyFill="1" applyBorder="1" applyAlignment="1" applyProtection="1">
      <alignment horizontal="center"/>
      <protection locked="0"/>
    </xf>
    <xf numFmtId="0" fontId="75" fillId="0" borderId="0" xfId="0" applyFont="1" applyFill="1" applyBorder="1" applyAlignment="1" applyProtection="1">
      <alignment horizontal="center"/>
      <protection locked="0"/>
    </xf>
    <xf numFmtId="173" fontId="66" fillId="0" borderId="7" xfId="0" applyNumberFormat="1" applyFont="1" applyFill="1" applyBorder="1" applyProtection="1"/>
    <xf numFmtId="172" fontId="67" fillId="0" borderId="22" xfId="0" applyNumberFormat="1" applyFont="1" applyFill="1" applyBorder="1" applyProtection="1"/>
    <xf numFmtId="172" fontId="66" fillId="0" borderId="39" xfId="216" applyNumberFormat="1" applyFont="1" applyFill="1" applyBorder="1" applyAlignment="1" applyProtection="1"/>
    <xf numFmtId="172" fontId="66" fillId="0" borderId="20" xfId="0" applyNumberFormat="1" applyFont="1" applyFill="1" applyBorder="1" applyAlignment="1" applyProtection="1"/>
    <xf numFmtId="0" fontId="67" fillId="0" borderId="0" xfId="0" applyFont="1" applyFill="1" applyBorder="1" applyProtection="1"/>
    <xf numFmtId="3" fontId="57" fillId="29" borderId="47" xfId="1" applyNumberFormat="1" applyFont="1" applyFill="1" applyBorder="1" applyAlignment="1" applyProtection="1">
      <alignment horizontal="centerContinuous" vertical="center"/>
    </xf>
    <xf numFmtId="0" fontId="80" fillId="28" borderId="39" xfId="2" applyFont="1" applyFill="1" applyBorder="1" applyProtection="1"/>
    <xf numFmtId="0" fontId="25" fillId="28" borderId="39" xfId="1" applyFill="1" applyBorder="1" applyProtection="1"/>
    <xf numFmtId="3" fontId="29" fillId="31" borderId="46" xfId="0" applyNumberFormat="1" applyFont="1" applyFill="1" applyBorder="1" applyProtection="1"/>
    <xf numFmtId="3" fontId="66" fillId="31" borderId="73" xfId="0" applyNumberFormat="1" applyFont="1" applyFill="1" applyBorder="1" applyProtection="1"/>
    <xf numFmtId="3" fontId="29" fillId="31" borderId="51" xfId="216" applyNumberFormat="1" applyFont="1" applyFill="1" applyBorder="1" applyProtection="1"/>
    <xf numFmtId="3" fontId="29" fillId="31" borderId="70" xfId="0" applyNumberFormat="1" applyFont="1" applyFill="1" applyBorder="1" applyProtection="1"/>
    <xf numFmtId="3" fontId="29" fillId="31" borderId="86" xfId="0" applyNumberFormat="1" applyFont="1" applyFill="1" applyBorder="1" applyProtection="1"/>
    <xf numFmtId="3" fontId="67" fillId="0" borderId="22" xfId="3" applyNumberFormat="1" applyFont="1" applyFill="1" applyBorder="1" applyProtection="1"/>
    <xf numFmtId="3" fontId="29" fillId="0" borderId="79" xfId="0" applyNumberFormat="1" applyFont="1" applyFill="1" applyBorder="1" applyProtection="1"/>
    <xf numFmtId="0" fontId="66" fillId="0" borderId="0" xfId="3" applyFont="1"/>
    <xf numFmtId="3" fontId="29" fillId="34" borderId="87" xfId="216" applyNumberFormat="1" applyFont="1" applyFill="1" applyBorder="1" applyProtection="1"/>
    <xf numFmtId="3" fontId="29" fillId="34" borderId="83" xfId="216" applyNumberFormat="1" applyFont="1" applyFill="1" applyBorder="1" applyProtection="1"/>
    <xf numFmtId="3" fontId="67" fillId="0" borderId="73" xfId="0" applyNumberFormat="1" applyFont="1" applyFill="1" applyBorder="1" applyProtection="1"/>
    <xf numFmtId="0" fontId="29" fillId="0" borderId="0" xfId="0" applyFont="1" applyBorder="1"/>
    <xf numFmtId="3" fontId="66" fillId="0" borderId="77" xfId="3" applyNumberFormat="1" applyFont="1" applyFill="1" applyBorder="1" applyProtection="1"/>
    <xf numFmtId="0" fontId="57" fillId="28" borderId="7" xfId="2" applyFont="1" applyFill="1" applyBorder="1" applyAlignment="1" applyProtection="1">
      <alignment horizontal="center"/>
    </xf>
    <xf numFmtId="0" fontId="57" fillId="0" borderId="7" xfId="2" applyFont="1" applyFill="1" applyBorder="1" applyAlignment="1" applyProtection="1">
      <alignment horizontal="center"/>
    </xf>
    <xf numFmtId="3" fontId="66" fillId="0" borderId="0" xfId="0" applyNumberFormat="1" applyFont="1" applyFill="1" applyBorder="1" applyProtection="1"/>
    <xf numFmtId="3" fontId="66" fillId="0" borderId="73" xfId="3" applyNumberFormat="1" applyFont="1" applyFill="1" applyBorder="1" applyProtection="1"/>
    <xf numFmtId="172" fontId="21" fillId="28" borderId="39" xfId="2" applyNumberFormat="1" applyFill="1" applyBorder="1" applyProtection="1"/>
    <xf numFmtId="3" fontId="29" fillId="0" borderId="81" xfId="216" applyNumberFormat="1" applyFont="1" applyFill="1" applyBorder="1" applyProtection="1"/>
    <xf numFmtId="3" fontId="57" fillId="0" borderId="76" xfId="0" applyNumberFormat="1" applyFont="1" applyFill="1" applyBorder="1" applyProtection="1"/>
    <xf numFmtId="3" fontId="57" fillId="0" borderId="77" xfId="0" applyNumberFormat="1" applyFont="1" applyFill="1" applyBorder="1" applyProtection="1"/>
    <xf numFmtId="0" fontId="74" fillId="0" borderId="0" xfId="0" applyFont="1" applyBorder="1" applyAlignment="1" applyProtection="1">
      <alignment horizontal="center"/>
      <protection locked="0"/>
    </xf>
    <xf numFmtId="175" fontId="66" fillId="0" borderId="47" xfId="0" applyNumberFormat="1" applyFont="1" applyFill="1" applyBorder="1" applyProtection="1"/>
    <xf numFmtId="3" fontId="29" fillId="33" borderId="51" xfId="0" applyNumberFormat="1" applyFont="1" applyFill="1" applyBorder="1" applyAlignment="1" applyProtection="1"/>
    <xf numFmtId="49" fontId="67" fillId="0" borderId="0" xfId="0" applyNumberFormat="1" applyFont="1" applyFill="1" applyBorder="1" applyAlignment="1" applyProtection="1">
      <alignment horizontal="right"/>
    </xf>
    <xf numFmtId="49" fontId="57" fillId="0" borderId="80" xfId="2" applyNumberFormat="1" applyFont="1" applyFill="1" applyBorder="1" applyAlignment="1" applyProtection="1">
      <alignment horizontal="right"/>
    </xf>
    <xf numFmtId="0" fontId="67" fillId="0" borderId="0" xfId="0" applyFont="1" applyFill="1" applyBorder="1" applyAlignment="1" applyProtection="1">
      <alignment horizontal="centerContinuous"/>
    </xf>
    <xf numFmtId="175" fontId="67" fillId="0" borderId="51" xfId="0" applyNumberFormat="1" applyFont="1" applyFill="1" applyBorder="1" applyProtection="1"/>
    <xf numFmtId="175" fontId="67" fillId="0" borderId="48" xfId="216" applyNumberFormat="1" applyFont="1" applyFill="1" applyBorder="1" applyAlignment="1" applyProtection="1"/>
    <xf numFmtId="175" fontId="67" fillId="0" borderId="49" xfId="0" applyNumberFormat="1" applyFont="1" applyFill="1" applyBorder="1" applyAlignment="1" applyProtection="1"/>
    <xf numFmtId="3" fontId="66" fillId="0" borderId="88" xfId="3" applyNumberFormat="1" applyFont="1" applyFill="1" applyBorder="1" applyProtection="1"/>
    <xf numFmtId="3" fontId="66" fillId="0" borderId="80" xfId="3" applyNumberFormat="1" applyFont="1" applyFill="1" applyBorder="1" applyProtection="1"/>
    <xf numFmtId="3" fontId="66" fillId="0" borderId="36" xfId="3" applyNumberFormat="1" applyFont="1" applyFill="1" applyBorder="1" applyProtection="1"/>
    <xf numFmtId="3" fontId="66" fillId="0" borderId="36" xfId="3" applyNumberFormat="1" applyFont="1" applyFill="1" applyBorder="1" applyAlignment="1" applyProtection="1">
      <alignment vertical="center"/>
    </xf>
    <xf numFmtId="3" fontId="66" fillId="0" borderId="82" xfId="3" applyNumberFormat="1" applyFont="1" applyFill="1" applyBorder="1" applyProtection="1"/>
    <xf numFmtId="3" fontId="57" fillId="0" borderId="47" xfId="1" applyNumberFormat="1" applyFont="1" applyFill="1" applyBorder="1" applyAlignment="1" applyProtection="1">
      <alignment horizontal="center"/>
    </xf>
    <xf numFmtId="0" fontId="57" fillId="31" borderId="36" xfId="1" applyFont="1" applyFill="1" applyBorder="1" applyAlignment="1" applyProtection="1">
      <alignment vertical="center"/>
      <protection locked="0"/>
    </xf>
    <xf numFmtId="4" fontId="57" fillId="31" borderId="89" xfId="1" applyNumberFormat="1" applyFont="1" applyFill="1" applyBorder="1" applyAlignment="1" applyProtection="1">
      <alignment vertical="center"/>
    </xf>
    <xf numFmtId="0" fontId="57" fillId="0" borderId="7" xfId="3" applyFont="1" applyBorder="1" applyAlignment="1" applyProtection="1">
      <alignment horizontal="center"/>
    </xf>
    <xf numFmtId="0" fontId="57" fillId="0" borderId="20" xfId="3" applyFont="1" applyBorder="1" applyAlignment="1" applyProtection="1">
      <alignment horizontal="center"/>
    </xf>
    <xf numFmtId="49" fontId="57" fillId="0" borderId="66" xfId="2" applyNumberFormat="1" applyFont="1" applyBorder="1" applyAlignment="1" applyProtection="1">
      <alignment horizontal="right"/>
    </xf>
    <xf numFmtId="0" fontId="57" fillId="0" borderId="0" xfId="3" applyFont="1" applyBorder="1" applyAlignment="1" applyProtection="1">
      <alignment horizontal="centerContinuous"/>
    </xf>
    <xf numFmtId="0" fontId="57" fillId="0" borderId="41" xfId="3" applyFont="1" applyBorder="1" applyAlignment="1" applyProtection="1">
      <alignment horizontal="centerContinuous"/>
      <protection locked="0"/>
    </xf>
    <xf numFmtId="4" fontId="57" fillId="0" borderId="0" xfId="0" applyNumberFormat="1" applyFont="1" applyBorder="1" applyProtection="1">
      <protection locked="0"/>
    </xf>
    <xf numFmtId="3" fontId="57" fillId="0" borderId="88" xfId="0" applyNumberFormat="1" applyFont="1" applyFill="1" applyBorder="1" applyProtection="1"/>
    <xf numFmtId="3" fontId="57" fillId="0" borderId="81" xfId="0" applyNumberFormat="1" applyFont="1" applyFill="1" applyBorder="1" applyProtection="1"/>
    <xf numFmtId="0" fontId="57" fillId="0" borderId="0" xfId="3" applyFont="1" applyFill="1" applyProtection="1"/>
    <xf numFmtId="0" fontId="67" fillId="0" borderId="7" xfId="2" applyFont="1" applyBorder="1" applyAlignment="1" applyProtection="1"/>
    <xf numFmtId="0" fontId="29" fillId="28" borderId="39" xfId="2" applyFont="1" applyFill="1" applyBorder="1" applyProtection="1"/>
    <xf numFmtId="3" fontId="66" fillId="34" borderId="81" xfId="216" applyNumberFormat="1" applyFont="1" applyFill="1" applyBorder="1" applyProtection="1"/>
    <xf numFmtId="0" fontId="82" fillId="28" borderId="39" xfId="2" applyFont="1" applyFill="1" applyBorder="1" applyProtection="1"/>
    <xf numFmtId="3" fontId="66" fillId="32" borderId="44" xfId="0" applyNumberFormat="1" applyFont="1" applyFill="1" applyBorder="1" applyProtection="1"/>
    <xf numFmtId="3" fontId="66" fillId="34" borderId="22" xfId="216" applyNumberFormat="1" applyFont="1" applyFill="1" applyBorder="1" applyProtection="1"/>
    <xf numFmtId="3" fontId="29" fillId="0" borderId="75" xfId="0" applyNumberFormat="1" applyFont="1" applyFill="1" applyBorder="1" applyProtection="1"/>
    <xf numFmtId="3" fontId="67" fillId="0" borderId="42" xfId="0" applyNumberFormat="1" applyFont="1" applyFill="1" applyBorder="1" applyProtection="1"/>
    <xf numFmtId="3" fontId="67" fillId="0" borderId="77" xfId="0" applyNumberFormat="1" applyFont="1" applyFill="1" applyBorder="1" applyProtection="1"/>
    <xf numFmtId="3" fontId="67" fillId="0" borderId="75" xfId="216" applyNumberFormat="1" applyFont="1" applyFill="1" applyBorder="1" applyProtection="1"/>
    <xf numFmtId="3" fontId="67" fillId="0" borderId="76" xfId="0" applyNumberFormat="1" applyFont="1" applyFill="1" applyBorder="1" applyProtection="1"/>
    <xf numFmtId="3" fontId="67" fillId="0" borderId="84" xfId="0" applyNumberFormat="1" applyFont="1" applyFill="1" applyBorder="1" applyProtection="1"/>
    <xf numFmtId="3" fontId="57" fillId="0" borderId="22" xfId="3" applyNumberFormat="1" applyFont="1" applyFill="1" applyBorder="1" applyProtection="1"/>
    <xf numFmtId="3" fontId="57" fillId="0" borderId="39" xfId="3" applyNumberFormat="1" applyFont="1" applyFill="1" applyBorder="1" applyProtection="1"/>
    <xf numFmtId="3" fontId="29" fillId="0" borderId="83" xfId="216" applyNumberFormat="1" applyFont="1" applyFill="1" applyBorder="1" applyProtection="1"/>
    <xf numFmtId="3" fontId="67" fillId="0" borderId="45" xfId="0" applyNumberFormat="1" applyFont="1" applyFill="1" applyBorder="1" applyProtection="1"/>
    <xf numFmtId="3" fontId="67" fillId="0" borderId="80" xfId="0" applyNumberFormat="1" applyFont="1" applyFill="1" applyBorder="1" applyProtection="1"/>
    <xf numFmtId="3" fontId="67" fillId="0" borderId="85" xfId="216" applyNumberFormat="1" applyFont="1" applyFill="1" applyBorder="1" applyProtection="1"/>
    <xf numFmtId="3" fontId="57" fillId="33" borderId="76" xfId="0" applyNumberFormat="1" applyFont="1" applyFill="1" applyBorder="1" applyProtection="1"/>
    <xf numFmtId="178" fontId="29" fillId="0" borderId="0" xfId="0" applyNumberFormat="1" applyFont="1" applyBorder="1" applyProtection="1">
      <protection locked="0"/>
    </xf>
    <xf numFmtId="3" fontId="67" fillId="34" borderId="81" xfId="216" applyNumberFormat="1" applyFont="1" applyFill="1" applyBorder="1" applyProtection="1"/>
    <xf numFmtId="3" fontId="29" fillId="0" borderId="46" xfId="0" applyNumberFormat="1" applyFont="1" applyFill="1" applyBorder="1" applyProtection="1"/>
    <xf numFmtId="0" fontId="57" fillId="28" borderId="48" xfId="2" applyFont="1" applyFill="1" applyBorder="1" applyProtection="1"/>
    <xf numFmtId="3" fontId="66" fillId="0" borderId="90" xfId="3" applyNumberFormat="1" applyFont="1" applyFill="1" applyBorder="1" applyProtection="1"/>
    <xf numFmtId="3" fontId="66" fillId="0" borderId="87" xfId="3" applyNumberFormat="1" applyFont="1" applyFill="1" applyBorder="1" applyProtection="1"/>
    <xf numFmtId="3" fontId="29" fillId="0" borderId="77" xfId="3" applyNumberFormat="1" applyFont="1" applyFill="1" applyBorder="1" applyProtection="1"/>
    <xf numFmtId="0" fontId="57" fillId="33" borderId="7" xfId="2" applyFont="1" applyFill="1" applyBorder="1" applyAlignment="1" applyProtection="1"/>
    <xf numFmtId="0" fontId="71" fillId="0" borderId="85" xfId="0" applyFont="1" applyBorder="1" applyAlignment="1" applyProtection="1">
      <alignment horizontal="center"/>
      <protection locked="0"/>
    </xf>
    <xf numFmtId="175" fontId="57" fillId="34" borderId="51" xfId="0" applyNumberFormat="1" applyFont="1" applyFill="1" applyBorder="1" applyProtection="1"/>
    <xf numFmtId="3" fontId="29" fillId="34" borderId="72" xfId="216" applyNumberFormat="1" applyFont="1" applyFill="1" applyBorder="1" applyProtection="1"/>
    <xf numFmtId="3" fontId="66" fillId="31" borderId="80" xfId="0" applyNumberFormat="1" applyFont="1" applyFill="1" applyBorder="1" applyProtection="1"/>
    <xf numFmtId="3" fontId="29" fillId="31" borderId="81" xfId="216" applyNumberFormat="1" applyFont="1" applyFill="1" applyBorder="1" applyProtection="1"/>
    <xf numFmtId="3" fontId="57" fillId="31" borderId="70" xfId="0" applyNumberFormat="1" applyFont="1" applyFill="1" applyBorder="1" applyProtection="1"/>
    <xf numFmtId="3" fontId="67" fillId="0" borderId="39" xfId="3" applyNumberFormat="1" applyFont="1" applyFill="1" applyBorder="1" applyProtection="1"/>
    <xf numFmtId="0" fontId="66" fillId="0" borderId="7" xfId="0" applyFont="1" applyBorder="1" applyAlignment="1" applyProtection="1">
      <alignment horizontal="center"/>
    </xf>
    <xf numFmtId="4" fontId="57" fillId="0" borderId="41" xfId="2" applyNumberFormat="1" applyFont="1" applyFill="1" applyBorder="1" applyProtection="1"/>
    <xf numFmtId="0" fontId="67" fillId="0" borderId="7" xfId="0" applyFont="1" applyFill="1" applyBorder="1" applyProtection="1"/>
    <xf numFmtId="174" fontId="67" fillId="0" borderId="0" xfId="0" applyNumberFormat="1" applyFont="1" applyBorder="1" applyAlignment="1" applyProtection="1">
      <alignment horizontal="centerContinuous"/>
    </xf>
    <xf numFmtId="174" fontId="74" fillId="0" borderId="0" xfId="0" applyNumberFormat="1" applyFont="1" applyBorder="1" applyAlignment="1" applyProtection="1">
      <alignment horizontal="center"/>
      <protection locked="0"/>
    </xf>
    <xf numFmtId="0" fontId="57" fillId="26" borderId="47" xfId="1" applyFont="1" applyFill="1" applyBorder="1" applyAlignment="1" applyProtection="1"/>
    <xf numFmtId="0" fontId="57" fillId="26" borderId="35" xfId="1" applyFont="1" applyFill="1" applyBorder="1" applyAlignment="1" applyProtection="1">
      <alignment horizontal="center" vertical="center"/>
    </xf>
    <xf numFmtId="49" fontId="57" fillId="26" borderId="36" xfId="1" applyNumberFormat="1" applyFont="1" applyFill="1" applyBorder="1" applyAlignment="1" applyProtection="1">
      <alignment horizontal="right" vertical="center"/>
    </xf>
    <xf numFmtId="49" fontId="57" fillId="26" borderId="37" xfId="1" applyNumberFormat="1" applyFont="1" applyFill="1" applyBorder="1" applyAlignment="1" applyProtection="1">
      <alignment horizontal="right" vertical="center"/>
    </xf>
    <xf numFmtId="0" fontId="57" fillId="0" borderId="34" xfId="1" applyFont="1" applyFill="1" applyBorder="1" applyAlignment="1" applyProtection="1">
      <alignment vertical="center"/>
    </xf>
    <xf numFmtId="4" fontId="57" fillId="0" borderId="88" xfId="1" applyNumberFormat="1" applyFont="1" applyFill="1" applyBorder="1" applyAlignment="1" applyProtection="1">
      <alignment vertical="center"/>
    </xf>
    <xf numFmtId="3" fontId="57" fillId="0" borderId="85" xfId="1" applyNumberFormat="1" applyFont="1" applyFill="1" applyBorder="1" applyAlignment="1" applyProtection="1">
      <alignment vertical="center"/>
    </xf>
    <xf numFmtId="49" fontId="57" fillId="0" borderId="66" xfId="2" applyNumberFormat="1" applyFont="1" applyBorder="1" applyAlignment="1" applyProtection="1">
      <alignment horizontal="left"/>
    </xf>
    <xf numFmtId="3" fontId="57" fillId="0" borderId="20" xfId="0" applyNumberFormat="1" applyFont="1" applyFill="1" applyBorder="1" applyAlignment="1" applyProtection="1"/>
    <xf numFmtId="49" fontId="57" fillId="0" borderId="7" xfId="2" applyNumberFormat="1" applyFont="1" applyBorder="1" applyAlignment="1" applyProtection="1">
      <alignment horizontal="right"/>
    </xf>
    <xf numFmtId="4" fontId="57" fillId="0" borderId="66" xfId="2" applyNumberFormat="1" applyFont="1" applyFill="1" applyBorder="1" applyProtection="1"/>
    <xf numFmtId="4" fontId="57" fillId="33" borderId="73" xfId="2" applyNumberFormat="1" applyFont="1" applyFill="1" applyBorder="1" applyProtection="1"/>
    <xf numFmtId="49" fontId="57" fillId="0" borderId="59" xfId="2" applyNumberFormat="1" applyFont="1" applyBorder="1" applyAlignment="1" applyProtection="1">
      <alignment horizontal="right"/>
    </xf>
    <xf numFmtId="49" fontId="57" fillId="0" borderId="67" xfId="2" applyNumberFormat="1" applyFont="1" applyBorder="1" applyAlignment="1" applyProtection="1">
      <alignment horizontal="right"/>
    </xf>
    <xf numFmtId="0" fontId="57" fillId="28" borderId="23" xfId="2" applyFont="1" applyFill="1" applyBorder="1" applyProtection="1"/>
    <xf numFmtId="0" fontId="57" fillId="28" borderId="83" xfId="2" applyFont="1" applyFill="1" applyBorder="1" applyProtection="1"/>
    <xf numFmtId="0" fontId="57" fillId="28" borderId="54" xfId="2" applyFont="1" applyFill="1" applyBorder="1" applyAlignment="1" applyProtection="1">
      <alignment horizontal="centerContinuous" vertical="center"/>
    </xf>
    <xf numFmtId="0" fontId="57" fillId="28" borderId="56" xfId="2" applyFont="1" applyFill="1" applyBorder="1" applyAlignment="1" applyProtection="1">
      <alignment vertical="center"/>
    </xf>
    <xf numFmtId="4" fontId="57" fillId="31" borderId="91" xfId="2" applyNumberFormat="1" applyFont="1" applyFill="1" applyBorder="1" applyAlignment="1" applyProtection="1">
      <alignment vertical="center"/>
    </xf>
    <xf numFmtId="4" fontId="57" fillId="0" borderId="55" xfId="2" applyNumberFormat="1" applyFont="1" applyFill="1" applyBorder="1" applyAlignment="1" applyProtection="1">
      <alignment vertical="center"/>
    </xf>
    <xf numFmtId="4" fontId="57" fillId="36" borderId="14" xfId="0" applyNumberFormat="1" applyFont="1" applyFill="1" applyBorder="1" applyAlignment="1" applyProtection="1">
      <alignment vertical="center"/>
    </xf>
    <xf numFmtId="3" fontId="57" fillId="0" borderId="54" xfId="0" applyNumberFormat="1" applyFont="1" applyFill="1" applyBorder="1" applyAlignment="1" applyProtection="1">
      <alignment vertical="center"/>
    </xf>
    <xf numFmtId="4" fontId="57" fillId="31" borderId="91" xfId="0" applyNumberFormat="1" applyFont="1" applyFill="1" applyBorder="1" applyAlignment="1" applyProtection="1">
      <alignment vertical="center"/>
    </xf>
    <xf numFmtId="174" fontId="21" fillId="28" borderId="39" xfId="2" applyNumberFormat="1" applyFill="1" applyBorder="1" applyProtection="1"/>
    <xf numFmtId="3" fontId="44" fillId="0" borderId="31" xfId="0" applyNumberFormat="1" applyFont="1" applyFill="1" applyBorder="1" applyProtection="1"/>
    <xf numFmtId="4" fontId="57" fillId="0" borderId="0" xfId="0" applyNumberFormat="1" applyFont="1" applyFill="1" applyBorder="1" applyAlignment="1" applyProtection="1">
      <alignment vertical="center"/>
    </xf>
    <xf numFmtId="0" fontId="57" fillId="0" borderId="20" xfId="2" applyFont="1" applyBorder="1" applyAlignment="1" applyProtection="1">
      <alignment vertical="center"/>
    </xf>
    <xf numFmtId="0" fontId="57" fillId="0" borderId="41" xfId="2" applyFont="1" applyBorder="1" applyAlignment="1" applyProtection="1">
      <alignment vertical="center"/>
    </xf>
    <xf numFmtId="4" fontId="57" fillId="0" borderId="0" xfId="2" applyNumberFormat="1" applyFont="1" applyBorder="1" applyProtection="1"/>
    <xf numFmtId="4" fontId="57" fillId="0" borderId="56" xfId="1" applyNumberFormat="1" applyFont="1" applyFill="1" applyBorder="1" applyAlignment="1" applyProtection="1">
      <alignment vertical="center"/>
    </xf>
    <xf numFmtId="3" fontId="57" fillId="0" borderId="54" xfId="1" applyNumberFormat="1" applyFont="1" applyFill="1" applyBorder="1" applyAlignment="1" applyProtection="1">
      <alignment vertical="center"/>
    </xf>
    <xf numFmtId="0" fontId="57" fillId="28" borderId="23" xfId="1" applyFont="1" applyFill="1" applyBorder="1" applyProtection="1"/>
    <xf numFmtId="0" fontId="57" fillId="0" borderId="0" xfId="1" applyFont="1" applyFill="1" applyBorder="1" applyProtection="1"/>
    <xf numFmtId="0" fontId="57" fillId="28" borderId="83" xfId="1" applyFont="1" applyFill="1" applyBorder="1" applyProtection="1"/>
    <xf numFmtId="0" fontId="57" fillId="0" borderId="41" xfId="2" applyFont="1" applyBorder="1" applyAlignment="1" applyProtection="1">
      <alignment horizontal="centerContinuous"/>
    </xf>
    <xf numFmtId="0" fontId="66" fillId="0" borderId="0" xfId="3" applyFont="1" applyFill="1" applyBorder="1" applyProtection="1"/>
    <xf numFmtId="3" fontId="66" fillId="0" borderId="20" xfId="3" applyNumberFormat="1" applyFont="1" applyFill="1" applyBorder="1" applyAlignment="1" applyProtection="1"/>
    <xf numFmtId="0" fontId="57" fillId="0" borderId="41" xfId="2" applyFont="1" applyBorder="1" applyProtection="1"/>
    <xf numFmtId="0" fontId="73" fillId="28" borderId="39" xfId="2" applyFont="1" applyFill="1" applyBorder="1" applyProtection="1"/>
    <xf numFmtId="0" fontId="57" fillId="30" borderId="59" xfId="2" applyFont="1" applyFill="1" applyBorder="1" applyAlignment="1" applyProtection="1"/>
    <xf numFmtId="0" fontId="57" fillId="30" borderId="60" xfId="2" applyFont="1" applyFill="1" applyBorder="1" applyAlignment="1" applyProtection="1">
      <alignment horizontal="centerContinuous"/>
    </xf>
    <xf numFmtId="4" fontId="57" fillId="30" borderId="92" xfId="2" applyNumberFormat="1" applyFont="1" applyFill="1" applyBorder="1" applyAlignment="1" applyProtection="1">
      <alignment horizontal="right"/>
    </xf>
    <xf numFmtId="0" fontId="57" fillId="30" borderId="29" xfId="0" applyFont="1" applyFill="1" applyBorder="1" applyProtection="1"/>
    <xf numFmtId="4" fontId="57" fillId="30" borderId="60" xfId="2" applyNumberFormat="1" applyFont="1" applyFill="1" applyBorder="1" applyProtection="1"/>
    <xf numFmtId="3" fontId="29" fillId="30" borderId="24" xfId="0" applyNumberFormat="1" applyFont="1" applyFill="1" applyBorder="1" applyAlignment="1" applyProtection="1"/>
    <xf numFmtId="4" fontId="57" fillId="30" borderId="92" xfId="0" applyNumberFormat="1" applyFont="1" applyFill="1" applyBorder="1" applyAlignment="1" applyProtection="1">
      <alignment horizontal="right"/>
    </xf>
    <xf numFmtId="4" fontId="57" fillId="30" borderId="60" xfId="0" applyNumberFormat="1" applyFont="1" applyFill="1" applyBorder="1" applyProtection="1"/>
    <xf numFmtId="0" fontId="57" fillId="30" borderId="92" xfId="2" applyFont="1" applyFill="1" applyBorder="1" applyProtection="1"/>
    <xf numFmtId="0" fontId="57" fillId="30" borderId="93" xfId="0" applyFont="1" applyFill="1" applyBorder="1" applyProtection="1"/>
    <xf numFmtId="0" fontId="57" fillId="0" borderId="0" xfId="2" applyFont="1" applyFill="1" applyBorder="1" applyAlignment="1" applyProtection="1"/>
    <xf numFmtId="0" fontId="57" fillId="0" borderId="0" xfId="2" applyFont="1" applyFill="1" applyBorder="1" applyAlignment="1" applyProtection="1">
      <alignment horizontal="centerContinuous"/>
    </xf>
    <xf numFmtId="3" fontId="67" fillId="0" borderId="0" xfId="0" applyNumberFormat="1" applyFont="1" applyFill="1" applyBorder="1" applyProtection="1"/>
    <xf numFmtId="0" fontId="57" fillId="0" borderId="0" xfId="1" applyFont="1" applyFill="1" applyBorder="1" applyAlignment="1" applyProtection="1">
      <alignment horizontal="center"/>
    </xf>
    <xf numFmtId="0" fontId="57" fillId="0" borderId="0" xfId="1" applyFont="1" applyFill="1" applyBorder="1" applyAlignment="1" applyProtection="1"/>
    <xf numFmtId="49" fontId="57" fillId="0" borderId="0" xfId="1" applyNumberFormat="1" applyFont="1" applyFill="1" applyBorder="1" applyAlignment="1" applyProtection="1">
      <alignment horizontal="right"/>
    </xf>
    <xf numFmtId="0" fontId="57" fillId="0" borderId="0" xfId="1" applyFont="1" applyFill="1" applyBorder="1" applyAlignment="1" applyProtection="1">
      <alignment horizontal="centerContinuous"/>
    </xf>
    <xf numFmtId="0" fontId="57" fillId="0" borderId="0" xfId="1" applyFont="1" applyFill="1" applyBorder="1" applyProtection="1">
      <protection locked="0"/>
    </xf>
    <xf numFmtId="4" fontId="57" fillId="0" borderId="0" xfId="1" applyNumberFormat="1" applyFont="1" applyFill="1" applyBorder="1" applyProtection="1"/>
    <xf numFmtId="3" fontId="57" fillId="0" borderId="0" xfId="1" applyNumberFormat="1" applyFont="1" applyFill="1" applyBorder="1" applyAlignment="1" applyProtection="1">
      <alignment horizontal="right"/>
    </xf>
    <xf numFmtId="3" fontId="57" fillId="0" borderId="0" xfId="1" applyNumberFormat="1" applyFont="1" applyFill="1" applyBorder="1" applyAlignment="1" applyProtection="1"/>
    <xf numFmtId="3" fontId="57" fillId="0" borderId="0" xfId="1" applyNumberFormat="1" applyFont="1" applyFill="1" applyBorder="1" applyAlignment="1" applyProtection="1">
      <alignment vertical="center"/>
    </xf>
    <xf numFmtId="0" fontId="57" fillId="0" borderId="0" xfId="1" applyFont="1" applyFill="1" applyProtection="1"/>
    <xf numFmtId="4" fontId="57" fillId="0" borderId="0" xfId="2" applyNumberFormat="1" applyFont="1" applyProtection="1"/>
    <xf numFmtId="0" fontId="57" fillId="0" borderId="0" xfId="2" applyFont="1"/>
    <xf numFmtId="3" fontId="57" fillId="36" borderId="0" xfId="0" applyNumberFormat="1" applyFont="1" applyFill="1" applyBorder="1" applyAlignment="1" applyProtection="1">
      <alignment vertical="center"/>
    </xf>
    <xf numFmtId="3" fontId="77" fillId="36" borderId="0" xfId="217" applyNumberFormat="1" applyFont="1" applyFill="1" applyBorder="1" applyAlignment="1" applyProtection="1">
      <alignment horizontal="centerContinuous" vertical="center"/>
      <protection locked="0"/>
    </xf>
    <xf numFmtId="4" fontId="57" fillId="31" borderId="57" xfId="2" applyNumberFormat="1" applyFont="1" applyFill="1" applyBorder="1" applyAlignment="1" applyProtection="1">
      <alignment horizontal="centerContinuous" vertical="center"/>
    </xf>
    <xf numFmtId="0" fontId="29" fillId="0" borderId="54" xfId="0" applyFont="1" applyBorder="1"/>
    <xf numFmtId="4" fontId="57" fillId="0" borderId="56" xfId="2" applyNumberFormat="1" applyFont="1" applyBorder="1" applyAlignment="1" applyProtection="1">
      <alignment horizontal="center"/>
    </xf>
    <xf numFmtId="3" fontId="57" fillId="36" borderId="14" xfId="0" applyNumberFormat="1" applyFont="1" applyFill="1" applyBorder="1" applyAlignment="1" applyProtection="1">
      <alignment horizontal="centerContinuous" vertical="center"/>
    </xf>
    <xf numFmtId="168" fontId="57" fillId="30" borderId="91" xfId="216" applyNumberFormat="1" applyFont="1" applyFill="1" applyBorder="1" applyAlignment="1" applyProtection="1">
      <alignment horizontal="center"/>
    </xf>
    <xf numFmtId="168" fontId="57" fillId="30" borderId="94" xfId="0" applyNumberFormat="1" applyFont="1" applyFill="1" applyBorder="1" applyAlignment="1" applyProtection="1">
      <alignment horizontal="center"/>
    </xf>
    <xf numFmtId="4" fontId="57" fillId="31" borderId="57" xfId="0" applyNumberFormat="1" applyFont="1" applyFill="1" applyBorder="1" applyAlignment="1" applyProtection="1">
      <alignment horizontal="centerContinuous" vertical="center"/>
    </xf>
    <xf numFmtId="0" fontId="29" fillId="0" borderId="0" xfId="0" applyFont="1" applyFill="1" applyBorder="1"/>
    <xf numFmtId="0" fontId="29" fillId="0" borderId="20" xfId="0" applyFont="1" applyBorder="1"/>
    <xf numFmtId="4" fontId="57" fillId="28" borderId="41" xfId="2" applyNumberFormat="1" applyFont="1" applyFill="1" applyBorder="1" applyAlignment="1" applyProtection="1">
      <alignment horizontal="center"/>
    </xf>
    <xf numFmtId="3" fontId="57" fillId="0" borderId="22" xfId="0" applyNumberFormat="1" applyFont="1" applyBorder="1" applyAlignment="1" applyProtection="1">
      <alignment horizontal="center"/>
    </xf>
    <xf numFmtId="3" fontId="78" fillId="0" borderId="23" xfId="217" applyNumberFormat="1" applyFont="1" applyBorder="1" applyProtection="1"/>
    <xf numFmtId="3" fontId="29" fillId="0" borderId="83" xfId="0" applyNumberFormat="1" applyFont="1" applyBorder="1" applyAlignment="1" applyProtection="1">
      <alignment horizontal="centerContinuous"/>
    </xf>
    <xf numFmtId="4" fontId="57" fillId="28" borderId="41" xfId="0" applyNumberFormat="1" applyFont="1" applyFill="1" applyBorder="1" applyAlignment="1" applyProtection="1">
      <alignment horizontal="center"/>
    </xf>
    <xf numFmtId="4" fontId="29" fillId="0" borderId="0" xfId="0" applyNumberFormat="1" applyFont="1" applyProtection="1">
      <protection locked="0"/>
    </xf>
    <xf numFmtId="3" fontId="57" fillId="33" borderId="22" xfId="0" applyNumberFormat="1" applyFont="1" applyFill="1" applyBorder="1" applyProtection="1"/>
    <xf numFmtId="3" fontId="29" fillId="33" borderId="44" xfId="0" applyNumberFormat="1" applyFont="1" applyFill="1" applyBorder="1" applyProtection="1"/>
    <xf numFmtId="3" fontId="29" fillId="33" borderId="78" xfId="0" applyNumberFormat="1" applyFont="1" applyFill="1" applyBorder="1" applyProtection="1"/>
    <xf numFmtId="0" fontId="21" fillId="30" borderId="39" xfId="2" applyFill="1" applyBorder="1" applyProtection="1"/>
    <xf numFmtId="3" fontId="66" fillId="0" borderId="0" xfId="0" applyNumberFormat="1" applyFont="1" applyFill="1" applyBorder="1" applyAlignment="1" applyProtection="1">
      <alignment horizontal="right"/>
    </xf>
    <xf numFmtId="2" fontId="57" fillId="28" borderId="0" xfId="0" applyNumberFormat="1" applyFont="1" applyFill="1" applyBorder="1" applyAlignment="1" applyProtection="1"/>
    <xf numFmtId="4" fontId="57" fillId="0" borderId="0" xfId="0" applyNumberFormat="1" applyFont="1" applyFill="1" applyProtection="1"/>
    <xf numFmtId="0" fontId="29" fillId="0" borderId="35" xfId="0" applyFont="1" applyBorder="1"/>
    <xf numFmtId="4" fontId="57" fillId="0" borderId="37" xfId="2" applyNumberFormat="1" applyFont="1" applyFill="1" applyBorder="1" applyProtection="1"/>
    <xf numFmtId="3" fontId="57" fillId="0" borderId="51" xfId="0" applyNumberFormat="1" applyFont="1" applyBorder="1" applyProtection="1"/>
    <xf numFmtId="3" fontId="29" fillId="0" borderId="46" xfId="0" applyNumberFormat="1" applyFont="1" applyBorder="1" applyProtection="1"/>
    <xf numFmtId="3" fontId="29" fillId="0" borderId="86" xfId="0" applyNumberFormat="1" applyFont="1" applyBorder="1" applyProtection="1"/>
    <xf numFmtId="0" fontId="21" fillId="0" borderId="0" xfId="2" applyFill="1" applyBorder="1" applyProtection="1"/>
    <xf numFmtId="4" fontId="57" fillId="0" borderId="41" xfId="2" applyNumberFormat="1" applyFont="1" applyBorder="1" applyProtection="1"/>
    <xf numFmtId="3" fontId="57" fillId="0" borderId="22" xfId="0" applyNumberFormat="1" applyFont="1" applyBorder="1" applyProtection="1"/>
    <xf numFmtId="3" fontId="29" fillId="0" borderId="44" xfId="0" applyNumberFormat="1" applyFont="1" applyBorder="1" applyProtection="1"/>
    <xf numFmtId="3" fontId="29" fillId="0" borderId="78" xfId="0" applyNumberFormat="1" applyFont="1" applyBorder="1" applyProtection="1"/>
    <xf numFmtId="4" fontId="29" fillId="0" borderId="0" xfId="0" applyNumberFormat="1" applyFont="1" applyBorder="1" applyAlignment="1" applyProtection="1"/>
    <xf numFmtId="0" fontId="21" fillId="0" borderId="0" xfId="2" applyBorder="1" applyProtection="1"/>
    <xf numFmtId="0" fontId="21" fillId="0" borderId="39" xfId="2" applyBorder="1" applyProtection="1"/>
    <xf numFmtId="4" fontId="57" fillId="0" borderId="0" xfId="0" applyNumberFormat="1" applyFont="1" applyBorder="1" applyAlignment="1" applyProtection="1"/>
    <xf numFmtId="3" fontId="57" fillId="33" borderId="51" xfId="0" applyNumberFormat="1" applyFont="1" applyFill="1" applyBorder="1" applyProtection="1"/>
    <xf numFmtId="3" fontId="29" fillId="33" borderId="46" xfId="0" applyNumberFormat="1" applyFont="1" applyFill="1" applyBorder="1" applyProtection="1"/>
    <xf numFmtId="3" fontId="29" fillId="33" borderId="86" xfId="0" applyNumberFormat="1" applyFont="1" applyFill="1" applyBorder="1" applyProtection="1"/>
    <xf numFmtId="3" fontId="57" fillId="37" borderId="22" xfId="0" applyNumberFormat="1" applyFont="1" applyFill="1" applyBorder="1" applyProtection="1"/>
    <xf numFmtId="4" fontId="57" fillId="37" borderId="58" xfId="0" applyNumberFormat="1" applyFont="1" applyFill="1" applyBorder="1" applyProtection="1"/>
    <xf numFmtId="0" fontId="57" fillId="0" borderId="49" xfId="0" applyFont="1" applyBorder="1" applyProtection="1"/>
    <xf numFmtId="4" fontId="57" fillId="0" borderId="95" xfId="2" applyNumberFormat="1" applyFont="1" applyBorder="1" applyProtection="1"/>
    <xf numFmtId="4" fontId="57" fillId="0" borderId="51" xfId="0" applyNumberFormat="1" applyFont="1" applyBorder="1" applyProtection="1"/>
    <xf numFmtId="4" fontId="29" fillId="0" borderId="0" xfId="0" applyNumberFormat="1" applyFont="1" applyProtection="1"/>
    <xf numFmtId="0" fontId="57" fillId="36" borderId="0" xfId="0" applyFont="1" applyFill="1" applyProtection="1"/>
    <xf numFmtId="0" fontId="29" fillId="36" borderId="0" xfId="0" applyFont="1" applyFill="1" applyAlignment="1" applyProtection="1">
      <alignment horizontal="center"/>
      <protection locked="0"/>
    </xf>
    <xf numFmtId="177" fontId="29" fillId="0" borderId="0" xfId="0" applyNumberFormat="1" applyFont="1" applyProtection="1">
      <protection locked="0"/>
    </xf>
    <xf numFmtId="0" fontId="57" fillId="0" borderId="54" xfId="0" applyFont="1" applyBorder="1" applyProtection="1"/>
    <xf numFmtId="4" fontId="57" fillId="0" borderId="54" xfId="2" applyNumberFormat="1" applyFont="1" applyBorder="1" applyAlignment="1" applyProtection="1">
      <alignment horizontal="center"/>
    </xf>
    <xf numFmtId="0" fontId="29" fillId="0" borderId="64" xfId="0" applyFont="1" applyBorder="1" applyAlignment="1" applyProtection="1">
      <alignment horizontal="centerContinuous"/>
    </xf>
    <xf numFmtId="0" fontId="29" fillId="0" borderId="17" xfId="0" applyFont="1" applyBorder="1" applyAlignment="1" applyProtection="1">
      <alignment horizontal="centerContinuous"/>
    </xf>
    <xf numFmtId="0" fontId="29" fillId="0" borderId="0" xfId="0" applyFont="1" applyAlignment="1" applyProtection="1">
      <alignment horizontal="center"/>
      <protection locked="0"/>
    </xf>
    <xf numFmtId="176" fontId="29" fillId="0" borderId="0" xfId="0" applyNumberFormat="1" applyFont="1" applyProtection="1">
      <protection locked="0"/>
    </xf>
    <xf numFmtId="4" fontId="57" fillId="28" borderId="20" xfId="2" applyNumberFormat="1" applyFont="1" applyFill="1" applyBorder="1" applyAlignment="1" applyProtection="1">
      <alignment horizontal="center"/>
    </xf>
    <xf numFmtId="4" fontId="57" fillId="28" borderId="20" xfId="0" applyNumberFormat="1" applyFont="1" applyFill="1" applyBorder="1" applyAlignment="1" applyProtection="1">
      <alignment horizontal="center"/>
    </xf>
    <xf numFmtId="4" fontId="57" fillId="0" borderId="20" xfId="2" applyNumberFormat="1" applyFont="1" applyBorder="1" applyProtection="1"/>
    <xf numFmtId="4" fontId="57" fillId="0" borderId="22" xfId="0" applyNumberFormat="1" applyFont="1" applyFill="1" applyBorder="1" applyProtection="1"/>
    <xf numFmtId="0" fontId="67" fillId="0" borderId="0" xfId="0" applyFont="1" applyAlignment="1" applyProtection="1">
      <alignment horizontal="right"/>
    </xf>
    <xf numFmtId="4" fontId="57" fillId="0" borderId="20" xfId="2" applyNumberFormat="1" applyFont="1" applyBorder="1" applyAlignment="1" applyProtection="1">
      <alignment horizontal="center"/>
    </xf>
    <xf numFmtId="0" fontId="57" fillId="38" borderId="0" xfId="2" applyFont="1" applyFill="1" applyAlignment="1" applyProtection="1">
      <alignment horizontal="center"/>
    </xf>
    <xf numFmtId="0" fontId="29" fillId="0" borderId="22" xfId="0" applyFont="1" applyFill="1" applyBorder="1" applyProtection="1"/>
    <xf numFmtId="1" fontId="29" fillId="0" borderId="0" xfId="0" applyNumberFormat="1" applyFont="1" applyAlignment="1" applyProtection="1">
      <alignment horizontal="center"/>
    </xf>
    <xf numFmtId="0" fontId="57" fillId="0" borderId="1" xfId="2" applyFont="1" applyBorder="1" applyAlignment="1" applyProtection="1">
      <alignment horizontal="center"/>
    </xf>
    <xf numFmtId="0" fontId="57" fillId="0" borderId="1" xfId="0" applyFont="1" applyBorder="1" applyAlignment="1" applyProtection="1">
      <alignment horizontal="center"/>
    </xf>
    <xf numFmtId="0" fontId="29" fillId="0" borderId="1" xfId="0" applyFont="1" applyBorder="1" applyProtection="1"/>
    <xf numFmtId="9" fontId="57" fillId="0" borderId="35" xfId="219" applyFont="1" applyBorder="1" applyProtection="1"/>
    <xf numFmtId="4" fontId="57" fillId="0" borderId="51" xfId="0" applyNumberFormat="1" applyFont="1" applyFill="1" applyBorder="1" applyProtection="1"/>
    <xf numFmtId="4" fontId="29" fillId="0" borderId="0" xfId="0" applyNumberFormat="1" applyFont="1"/>
    <xf numFmtId="0" fontId="21" fillId="0" borderId="0" xfId="2" applyBorder="1" applyAlignment="1" applyProtection="1">
      <alignment horizontal="center"/>
    </xf>
    <xf numFmtId="3" fontId="29" fillId="0" borderId="0" xfId="0" applyNumberFormat="1" applyFont="1" applyFill="1" applyProtection="1"/>
    <xf numFmtId="3" fontId="57" fillId="0" borderId="0" xfId="2" applyNumberFormat="1" applyFont="1" applyFill="1" applyProtection="1"/>
    <xf numFmtId="0" fontId="21" fillId="0" borderId="0" xfId="2"/>
    <xf numFmtId="3" fontId="78" fillId="0" borderId="0" xfId="0" applyNumberFormat="1" applyFont="1" applyBorder="1" applyProtection="1"/>
    <xf numFmtId="4" fontId="57" fillId="0" borderId="0" xfId="2" applyNumberFormat="1" applyFont="1" applyFill="1" applyProtection="1"/>
    <xf numFmtId="4" fontId="84" fillId="0" borderId="0" xfId="2" applyNumberFormat="1" applyFont="1" applyFill="1" applyBorder="1" applyProtection="1"/>
    <xf numFmtId="0" fontId="66" fillId="0" borderId="0" xfId="0" applyFont="1" applyBorder="1" applyAlignment="1" applyProtection="1"/>
    <xf numFmtId="0" fontId="29" fillId="0" borderId="0" xfId="216" applyFont="1" applyBorder="1" applyAlignment="1" applyProtection="1"/>
    <xf numFmtId="0" fontId="57" fillId="0" borderId="0" xfId="0" applyFont="1" applyBorder="1" applyProtection="1"/>
    <xf numFmtId="0" fontId="29" fillId="0" borderId="66" xfId="0" applyFont="1" applyBorder="1" applyProtection="1"/>
    <xf numFmtId="4" fontId="29" fillId="0" borderId="0" xfId="0" applyNumberFormat="1" applyFont="1" applyBorder="1" applyProtection="1">
      <protection locked="0"/>
    </xf>
    <xf numFmtId="3" fontId="29" fillId="33" borderId="0" xfId="0" applyNumberFormat="1" applyFont="1" applyFill="1" applyBorder="1" applyAlignment="1" applyProtection="1">
      <alignment horizontal="right"/>
    </xf>
    <xf numFmtId="0" fontId="57" fillId="28" borderId="7" xfId="0" applyFont="1" applyFill="1" applyBorder="1" applyAlignment="1" applyProtection="1"/>
    <xf numFmtId="0" fontId="64" fillId="28" borderId="20" xfId="216" applyFont="1" applyFill="1" applyBorder="1" applyAlignment="1" applyProtection="1">
      <alignment horizontal="center" vertical="center"/>
    </xf>
    <xf numFmtId="0" fontId="57" fillId="28" borderId="20" xfId="2" applyFont="1" applyFill="1" applyBorder="1" applyAlignment="1" applyProtection="1">
      <alignment horizontal="centerContinuous" vertical="center"/>
    </xf>
    <xf numFmtId="49" fontId="64" fillId="28" borderId="0" xfId="216" applyNumberFormat="1" applyFont="1" applyFill="1" applyBorder="1" applyAlignment="1" applyProtection="1">
      <alignment horizontal="centerContinuous" vertical="center"/>
    </xf>
    <xf numFmtId="0" fontId="57" fillId="28" borderId="41" xfId="2" applyFont="1" applyFill="1" applyBorder="1" applyAlignment="1" applyProtection="1">
      <alignment vertical="center"/>
    </xf>
    <xf numFmtId="0" fontId="57" fillId="0" borderId="0" xfId="0" applyFont="1" applyFill="1" applyBorder="1" applyAlignment="1" applyProtection="1">
      <alignment vertical="center"/>
    </xf>
    <xf numFmtId="4" fontId="57" fillId="0" borderId="0" xfId="2" applyNumberFormat="1" applyFont="1" applyFill="1" applyBorder="1" applyAlignment="1" applyProtection="1">
      <alignment vertical="center"/>
    </xf>
    <xf numFmtId="4" fontId="57" fillId="36" borderId="0" xfId="0" applyNumberFormat="1" applyFont="1" applyFill="1" applyBorder="1" applyAlignment="1" applyProtection="1">
      <alignment vertical="center"/>
    </xf>
    <xf numFmtId="3" fontId="57" fillId="0" borderId="0" xfId="216" applyNumberFormat="1" applyFont="1" applyFill="1" applyBorder="1" applyAlignment="1" applyProtection="1">
      <alignment vertical="center"/>
    </xf>
    <xf numFmtId="3" fontId="57" fillId="0" borderId="0" xfId="0" applyNumberFormat="1" applyFont="1" applyFill="1" applyBorder="1" applyAlignment="1" applyProtection="1">
      <alignment vertical="center"/>
    </xf>
    <xf numFmtId="0" fontId="76" fillId="28" borderId="55" xfId="216" applyFont="1" applyFill="1" applyBorder="1" applyAlignment="1" applyProtection="1">
      <alignment horizontal="centerContinuous" vertical="center"/>
      <protection locked="0"/>
    </xf>
    <xf numFmtId="0" fontId="57" fillId="0" borderId="55" xfId="0" applyFont="1" applyFill="1" applyBorder="1" applyAlignment="1" applyProtection="1">
      <alignment vertical="center"/>
    </xf>
    <xf numFmtId="4" fontId="57" fillId="36" borderId="56" xfId="0" applyNumberFormat="1" applyFont="1" applyFill="1" applyBorder="1" applyAlignment="1" applyProtection="1">
      <alignment vertical="center"/>
    </xf>
    <xf numFmtId="2" fontId="57" fillId="29" borderId="0" xfId="0" applyNumberFormat="1" applyFont="1" applyFill="1" applyBorder="1" applyAlignment="1" applyProtection="1">
      <alignment horizontal="center"/>
    </xf>
    <xf numFmtId="4" fontId="57" fillId="39" borderId="0" xfId="2" applyNumberFormat="1" applyFont="1" applyFill="1" applyBorder="1" applyAlignment="1" applyProtection="1">
      <alignment vertical="center"/>
    </xf>
    <xf numFmtId="4" fontId="57" fillId="39" borderId="55" xfId="2" applyNumberFormat="1" applyFont="1" applyFill="1" applyBorder="1" applyAlignment="1" applyProtection="1">
      <alignment vertical="center"/>
    </xf>
    <xf numFmtId="9" fontId="57" fillId="0" borderId="37" xfId="219" applyFont="1" applyFill="1" applyBorder="1" applyProtection="1"/>
    <xf numFmtId="1" fontId="90" fillId="0" borderId="22" xfId="216" applyNumberFormat="1" applyFont="1" applyFill="1" applyBorder="1" applyAlignment="1" applyProtection="1">
      <alignment horizontal="center"/>
      <protection locked="0"/>
    </xf>
    <xf numFmtId="170" fontId="76" fillId="28" borderId="0" xfId="216" applyNumberFormat="1" applyFont="1" applyFill="1" applyBorder="1" applyAlignment="1" applyProtection="1">
      <alignment horizontal="centerContinuous" vertical="center"/>
      <protection locked="0"/>
    </xf>
    <xf numFmtId="9" fontId="57" fillId="40" borderId="41" xfId="219" applyFont="1" applyFill="1" applyBorder="1" applyProtection="1"/>
    <xf numFmtId="9" fontId="57" fillId="40" borderId="0" xfId="219" applyFont="1" applyFill="1" applyProtection="1"/>
    <xf numFmtId="0" fontId="23" fillId="0" borderId="0" xfId="0" applyFont="1" applyBorder="1" applyProtection="1">
      <protection locked="0"/>
    </xf>
    <xf numFmtId="4" fontId="57" fillId="26" borderId="14" xfId="1" applyNumberFormat="1" applyFont="1" applyFill="1" applyBorder="1" applyAlignment="1" applyProtection="1">
      <alignment horizontal="right" vertical="center"/>
    </xf>
    <xf numFmtId="4" fontId="84" fillId="41" borderId="0" xfId="0" applyNumberFormat="1" applyFont="1" applyFill="1" applyBorder="1" applyProtection="1"/>
    <xf numFmtId="3" fontId="66" fillId="0" borderId="58" xfId="216" applyNumberFormat="1" applyFont="1" applyFill="1" applyBorder="1" applyAlignment="1" applyProtection="1"/>
    <xf numFmtId="49" fontId="57" fillId="39" borderId="50" xfId="3" applyNumberFormat="1" applyFont="1" applyFill="1" applyBorder="1" applyAlignment="1" applyProtection="1">
      <alignment horizontal="right"/>
    </xf>
    <xf numFmtId="49" fontId="57" fillId="39" borderId="66" xfId="2" applyNumberFormat="1" applyFont="1" applyFill="1" applyBorder="1" applyAlignment="1" applyProtection="1">
      <alignment horizontal="right"/>
    </xf>
    <xf numFmtId="49" fontId="57" fillId="39" borderId="41" xfId="2" applyNumberFormat="1" applyFont="1" applyFill="1" applyBorder="1" applyAlignment="1" applyProtection="1">
      <alignment horizontal="right"/>
    </xf>
    <xf numFmtId="49" fontId="29" fillId="39" borderId="50" xfId="216" applyNumberFormat="1" applyFont="1" applyFill="1" applyBorder="1" applyAlignment="1" applyProtection="1">
      <alignment horizontal="right"/>
    </xf>
    <xf numFmtId="49" fontId="29" fillId="39" borderId="40" xfId="216" applyNumberFormat="1" applyFont="1" applyFill="1" applyBorder="1" applyAlignment="1" applyProtection="1">
      <alignment horizontal="right"/>
    </xf>
    <xf numFmtId="49" fontId="29" fillId="39" borderId="40" xfId="0" applyNumberFormat="1" applyFont="1" applyFill="1" applyBorder="1" applyAlignment="1" applyProtection="1">
      <alignment horizontal="right"/>
    </xf>
    <xf numFmtId="49" fontId="57" fillId="39" borderId="40" xfId="0" applyNumberFormat="1" applyFont="1" applyFill="1" applyBorder="1" applyAlignment="1" applyProtection="1">
      <alignment horizontal="right"/>
    </xf>
    <xf numFmtId="49" fontId="57" fillId="42" borderId="40" xfId="216" applyNumberFormat="1" applyFont="1" applyFill="1" applyBorder="1" applyAlignment="1" applyProtection="1">
      <alignment horizontal="right"/>
    </xf>
    <xf numFmtId="49" fontId="57" fillId="42" borderId="41" xfId="2" applyNumberFormat="1" applyFont="1" applyFill="1" applyBorder="1" applyAlignment="1" applyProtection="1">
      <alignment horizontal="right"/>
    </xf>
    <xf numFmtId="49" fontId="67" fillId="39" borderId="50" xfId="3" applyNumberFormat="1" applyFont="1" applyFill="1" applyBorder="1" applyAlignment="1" applyProtection="1">
      <alignment horizontal="right"/>
    </xf>
    <xf numFmtId="174" fontId="67" fillId="39" borderId="40" xfId="0" applyNumberFormat="1" applyFont="1" applyFill="1" applyBorder="1" applyAlignment="1" applyProtection="1">
      <alignment horizontal="right"/>
    </xf>
    <xf numFmtId="4" fontId="66" fillId="0" borderId="0" xfId="3" applyNumberFormat="1" applyFont="1" applyFill="1" applyBorder="1" applyProtection="1"/>
    <xf numFmtId="3" fontId="71" fillId="0" borderId="20" xfId="0" applyNumberFormat="1" applyFont="1" applyFill="1" applyBorder="1" applyAlignment="1" applyProtection="1"/>
    <xf numFmtId="4" fontId="71" fillId="0" borderId="20" xfId="0" applyNumberFormat="1" applyFont="1" applyFill="1" applyBorder="1" applyAlignment="1" applyProtection="1"/>
    <xf numFmtId="9" fontId="57" fillId="30" borderId="23" xfId="219" applyFont="1" applyFill="1" applyBorder="1" applyAlignment="1" applyProtection="1">
      <alignment horizontal="right"/>
    </xf>
    <xf numFmtId="0" fontId="83" fillId="0" borderId="0" xfId="0" applyFont="1" applyBorder="1" applyProtection="1">
      <protection locked="0"/>
    </xf>
    <xf numFmtId="9" fontId="29" fillId="0" borderId="0" xfId="219" applyFont="1" applyBorder="1" applyProtection="1">
      <protection locked="0"/>
    </xf>
    <xf numFmtId="0" fontId="23" fillId="0" borderId="0" xfId="0" applyFont="1" applyBorder="1" applyProtection="1"/>
    <xf numFmtId="0" fontId="57" fillId="0" borderId="0" xfId="0" applyFont="1"/>
    <xf numFmtId="0" fontId="29" fillId="0" borderId="0" xfId="0" applyFont="1" applyBorder="1" applyAlignment="1" applyProtection="1">
      <alignment horizontal="center"/>
      <protection locked="0"/>
    </xf>
    <xf numFmtId="4" fontId="29" fillId="36" borderId="22" xfId="0" applyNumberFormat="1" applyFont="1" applyFill="1" applyBorder="1" applyAlignment="1" applyProtection="1">
      <alignment horizontal="right"/>
    </xf>
    <xf numFmtId="3" fontId="29" fillId="36" borderId="22" xfId="0" applyNumberFormat="1" applyFont="1" applyFill="1" applyBorder="1" applyAlignment="1" applyProtection="1">
      <alignment horizontal="right"/>
    </xf>
    <xf numFmtId="3" fontId="66" fillId="43" borderId="22" xfId="3" applyNumberFormat="1" applyFont="1" applyFill="1" applyBorder="1" applyAlignment="1" applyProtection="1">
      <alignment horizontal="right"/>
    </xf>
    <xf numFmtId="3" fontId="83" fillId="36" borderId="22" xfId="0" applyNumberFormat="1" applyFont="1" applyFill="1" applyBorder="1" applyAlignment="1" applyProtection="1">
      <alignment horizontal="right"/>
    </xf>
    <xf numFmtId="3" fontId="26" fillId="43" borderId="22" xfId="3" applyNumberFormat="1" applyFill="1" applyBorder="1" applyAlignment="1" applyProtection="1">
      <alignment horizontal="right"/>
    </xf>
    <xf numFmtId="3" fontId="66" fillId="43" borderId="22" xfId="0" applyNumberFormat="1" applyFont="1" applyFill="1" applyBorder="1" applyAlignment="1" applyProtection="1">
      <alignment horizontal="right"/>
    </xf>
    <xf numFmtId="4" fontId="57" fillId="43" borderId="0" xfId="2" applyNumberFormat="1" applyFont="1" applyFill="1" applyBorder="1" applyAlignment="1" applyProtection="1">
      <alignment horizontal="center"/>
    </xf>
    <xf numFmtId="4" fontId="57" fillId="43" borderId="91" xfId="2" applyNumberFormat="1" applyFont="1" applyFill="1" applyBorder="1" applyAlignment="1" applyProtection="1">
      <alignment horizontal="center"/>
    </xf>
    <xf numFmtId="4" fontId="57" fillId="43" borderId="44" xfId="2" applyNumberFormat="1" applyFont="1" applyFill="1" applyBorder="1" applyProtection="1"/>
    <xf numFmtId="4" fontId="57" fillId="43" borderId="89" xfId="2" applyNumberFormat="1" applyFont="1" applyFill="1" applyBorder="1" applyProtection="1"/>
    <xf numFmtId="175" fontId="57" fillId="29" borderId="46" xfId="2" applyNumberFormat="1" applyFont="1" applyFill="1" applyBorder="1" applyProtection="1"/>
    <xf numFmtId="175" fontId="57" fillId="43" borderId="89" xfId="2" applyNumberFormat="1" applyFont="1" applyFill="1" applyBorder="1" applyProtection="1"/>
    <xf numFmtId="4" fontId="57" fillId="43" borderId="100" xfId="2" applyNumberFormat="1" applyFont="1" applyFill="1" applyBorder="1" applyProtection="1"/>
    <xf numFmtId="4" fontId="57" fillId="43" borderId="42" xfId="2" applyNumberFormat="1" applyFont="1" applyFill="1" applyBorder="1" applyProtection="1"/>
    <xf numFmtId="4" fontId="57" fillId="43" borderId="45" xfId="1" applyNumberFormat="1" applyFont="1" applyFill="1" applyBorder="1" applyAlignment="1" applyProtection="1">
      <alignment horizontal="center" vertical="center"/>
    </xf>
    <xf numFmtId="4" fontId="57" fillId="43" borderId="58" xfId="2" applyNumberFormat="1" applyFont="1" applyFill="1" applyBorder="1" applyProtection="1"/>
    <xf numFmtId="4" fontId="57" fillId="43" borderId="0" xfId="2" applyNumberFormat="1" applyFont="1" applyFill="1" applyBorder="1" applyProtection="1"/>
    <xf numFmtId="4" fontId="57" fillId="43" borderId="64" xfId="1" applyNumberFormat="1" applyFont="1" applyFill="1" applyBorder="1" applyAlignment="1" applyProtection="1">
      <alignment horizontal="right" vertical="center"/>
    </xf>
    <xf numFmtId="4" fontId="57" fillId="43" borderId="23" xfId="2" applyNumberFormat="1" applyFont="1" applyFill="1" applyBorder="1" applyAlignment="1" applyProtection="1">
      <alignment horizontal="right"/>
    </xf>
    <xf numFmtId="4" fontId="57" fillId="43" borderId="0" xfId="2" applyNumberFormat="1" applyFont="1" applyFill="1" applyBorder="1" applyAlignment="1" applyProtection="1">
      <alignment horizontal="right"/>
    </xf>
    <xf numFmtId="4" fontId="57" fillId="43" borderId="0" xfId="1" applyNumberFormat="1" applyFont="1" applyFill="1" applyBorder="1" applyAlignment="1" applyProtection="1">
      <alignment horizontal="right"/>
    </xf>
    <xf numFmtId="4" fontId="57" fillId="43" borderId="101" xfId="2" applyNumberFormat="1" applyFont="1" applyFill="1" applyBorder="1" applyAlignment="1" applyProtection="1">
      <alignment horizontal="center"/>
    </xf>
    <xf numFmtId="4" fontId="57" fillId="43" borderId="0" xfId="2" applyNumberFormat="1" applyFont="1" applyFill="1" applyProtection="1"/>
    <xf numFmtId="4" fontId="57" fillId="43" borderId="20" xfId="2" applyNumberFormat="1" applyFont="1" applyFill="1" applyBorder="1" applyProtection="1"/>
    <xf numFmtId="4" fontId="57" fillId="44" borderId="41" xfId="0" applyNumberFormat="1" applyFont="1" applyFill="1" applyBorder="1" applyProtection="1"/>
    <xf numFmtId="3" fontId="69" fillId="31" borderId="88" xfId="218" applyNumberFormat="1" applyFont="1" applyFill="1" applyBorder="1" applyAlignment="1" applyProtection="1">
      <alignment horizontal="center" vertical="center"/>
    </xf>
    <xf numFmtId="3" fontId="59" fillId="0" borderId="0" xfId="218" applyNumberFormat="1" applyFont="1" applyFill="1" applyBorder="1" applyAlignment="1" applyProtection="1">
      <alignment horizontal="center" vertical="center"/>
    </xf>
    <xf numFmtId="3" fontId="97" fillId="0" borderId="19" xfId="218" applyNumberFormat="1" applyFont="1" applyBorder="1" applyAlignment="1" applyProtection="1">
      <alignment horizontal="center" vertical="center"/>
    </xf>
    <xf numFmtId="3" fontId="69" fillId="0" borderId="0" xfId="218" applyNumberFormat="1" applyFont="1" applyFill="1" applyBorder="1" applyAlignment="1" applyProtection="1">
      <alignment horizontal="center" vertical="center"/>
      <protection locked="0"/>
    </xf>
    <xf numFmtId="3" fontId="78" fillId="0" borderId="19" xfId="218" applyNumberFormat="1" applyFont="1" applyFill="1" applyBorder="1" applyAlignment="1" applyProtection="1"/>
    <xf numFmtId="3" fontId="78" fillId="0" borderId="19" xfId="218" applyNumberFormat="1" applyFont="1" applyBorder="1" applyAlignment="1" applyProtection="1">
      <alignment horizontal="centerContinuous"/>
    </xf>
    <xf numFmtId="3" fontId="78" fillId="0" borderId="19" xfId="218" applyNumberFormat="1" applyFont="1" applyFill="1" applyBorder="1" applyAlignment="1" applyProtection="1">
      <alignment horizontal="centerContinuous"/>
    </xf>
    <xf numFmtId="0" fontId="78" fillId="0" borderId="19" xfId="218" applyFont="1" applyBorder="1" applyAlignment="1" applyProtection="1">
      <protection locked="0"/>
    </xf>
    <xf numFmtId="0" fontId="78" fillId="0" borderId="99" xfId="218" applyFont="1" applyBorder="1" applyAlignment="1" applyProtection="1">
      <protection locked="0"/>
    </xf>
    <xf numFmtId="0" fontId="78" fillId="0" borderId="0" xfId="0" applyFont="1" applyProtection="1">
      <protection locked="0"/>
    </xf>
    <xf numFmtId="3" fontId="78" fillId="0" borderId="20" xfId="218" applyNumberFormat="1" applyFont="1" applyBorder="1" applyAlignment="1" applyProtection="1">
      <alignment vertical="center"/>
    </xf>
    <xf numFmtId="3" fontId="78" fillId="0" borderId="0" xfId="218" applyNumberFormat="1" applyFont="1" applyBorder="1" applyAlignment="1" applyProtection="1">
      <alignment horizontal="center" vertical="center"/>
    </xf>
    <xf numFmtId="3" fontId="78" fillId="0" borderId="0" xfId="218" applyNumberFormat="1" applyFont="1" applyFill="1" applyBorder="1" applyAlignment="1" applyProtection="1">
      <alignment horizontal="center" vertical="center"/>
    </xf>
    <xf numFmtId="0" fontId="78" fillId="0" borderId="0" xfId="0" applyFont="1" applyAlignment="1" applyProtection="1">
      <alignment vertical="center"/>
      <protection locked="0"/>
    </xf>
    <xf numFmtId="0" fontId="78" fillId="0" borderId="0" xfId="0" applyFont="1" applyBorder="1" applyAlignment="1" applyProtection="1">
      <alignment vertical="center"/>
      <protection locked="0"/>
    </xf>
    <xf numFmtId="3" fontId="78" fillId="0" borderId="0" xfId="218" applyNumberFormat="1" applyFont="1" applyFill="1" applyBorder="1" applyAlignment="1" applyProtection="1">
      <alignment vertical="center"/>
    </xf>
    <xf numFmtId="3" fontId="78" fillId="0" borderId="0" xfId="218" applyNumberFormat="1" applyFont="1" applyFill="1" applyBorder="1" applyAlignment="1" applyProtection="1">
      <alignment horizontal="center" vertical="justify"/>
    </xf>
    <xf numFmtId="3" fontId="78" fillId="0" borderId="0" xfId="218" applyNumberFormat="1" applyFont="1" applyFill="1" applyBorder="1" applyAlignment="1" applyProtection="1">
      <alignment horizontal="centerContinuous" vertical="center"/>
    </xf>
    <xf numFmtId="3" fontId="78" fillId="0" borderId="0" xfId="218" applyNumberFormat="1" applyFont="1" applyBorder="1" applyAlignment="1" applyProtection="1">
      <alignment vertical="center"/>
    </xf>
    <xf numFmtId="3" fontId="78" fillId="0" borderId="20" xfId="218" applyNumberFormat="1" applyFont="1" applyBorder="1" applyAlignment="1" applyProtection="1"/>
    <xf numFmtId="3" fontId="78" fillId="0" borderId="0" xfId="218" applyNumberFormat="1" applyFont="1" applyBorder="1" applyAlignment="1" applyProtection="1">
      <alignment horizontal="center"/>
    </xf>
    <xf numFmtId="3" fontId="78" fillId="0" borderId="0" xfId="218" applyNumberFormat="1" applyFont="1" applyBorder="1" applyAlignment="1" applyProtection="1"/>
    <xf numFmtId="3" fontId="78" fillId="0" borderId="0" xfId="218" applyNumberFormat="1" applyFont="1" applyFill="1" applyBorder="1" applyAlignment="1" applyProtection="1"/>
    <xf numFmtId="17" fontId="98" fillId="30" borderId="1" xfId="218" applyNumberFormat="1" applyFont="1" applyFill="1" applyBorder="1" applyAlignment="1" applyProtection="1">
      <alignment horizontal="center"/>
      <protection locked="0"/>
    </xf>
    <xf numFmtId="17" fontId="98" fillId="30" borderId="1" xfId="218" applyNumberFormat="1" applyFont="1" applyFill="1" applyBorder="1" applyAlignment="1" applyProtection="1">
      <protection locked="0"/>
    </xf>
    <xf numFmtId="3" fontId="69" fillId="31" borderId="20" xfId="218" applyNumberFormat="1" applyFont="1" applyFill="1" applyBorder="1" applyAlignment="1" applyProtection="1">
      <alignment vertical="center"/>
    </xf>
    <xf numFmtId="3" fontId="69" fillId="31" borderId="0" xfId="218" applyNumberFormat="1" applyFont="1" applyFill="1" applyBorder="1" applyAlignment="1" applyProtection="1">
      <alignment horizontal="center" vertical="center"/>
    </xf>
    <xf numFmtId="3" fontId="69" fillId="31" borderId="0" xfId="218" applyNumberFormat="1" applyFont="1" applyFill="1" applyBorder="1" applyAlignment="1" applyProtection="1">
      <alignment vertical="center"/>
    </xf>
    <xf numFmtId="3" fontId="69" fillId="0" borderId="0" xfId="218" applyNumberFormat="1" applyFont="1" applyFill="1" applyBorder="1" applyAlignment="1" applyProtection="1">
      <alignment horizontal="centerContinuous" vertical="center"/>
    </xf>
    <xf numFmtId="3" fontId="69" fillId="44" borderId="0" xfId="218" applyNumberFormat="1" applyFont="1" applyFill="1" applyBorder="1" applyAlignment="1" applyProtection="1">
      <alignment horizontal="center" vertical="center"/>
    </xf>
    <xf numFmtId="3" fontId="69" fillId="38" borderId="0" xfId="218" applyNumberFormat="1" applyFont="1" applyFill="1" applyBorder="1" applyAlignment="1" applyProtection="1">
      <alignment horizontal="center" vertical="center"/>
    </xf>
    <xf numFmtId="3" fontId="69" fillId="0" borderId="47" xfId="218" applyNumberFormat="1" applyFont="1" applyBorder="1" applyAlignment="1" applyProtection="1">
      <alignment horizontal="center" vertical="justify"/>
    </xf>
    <xf numFmtId="3" fontId="78" fillId="0" borderId="1" xfId="218" applyNumberFormat="1" applyFont="1" applyBorder="1" applyAlignment="1" applyProtection="1">
      <alignment horizontal="center" vertical="justify"/>
    </xf>
    <xf numFmtId="3" fontId="78" fillId="0" borderId="103" xfId="218" applyNumberFormat="1" applyFont="1" applyBorder="1" applyAlignment="1" applyProtection="1">
      <alignment horizontal="center" vertical="justify"/>
    </xf>
    <xf numFmtId="3" fontId="78" fillId="0" borderId="47" xfId="218" applyNumberFormat="1" applyFont="1" applyFill="1" applyBorder="1" applyAlignment="1" applyProtection="1">
      <alignment horizontal="center" vertical="justify"/>
    </xf>
    <xf numFmtId="3" fontId="78" fillId="0" borderId="1" xfId="218" applyNumberFormat="1" applyFont="1" applyFill="1" applyBorder="1" applyAlignment="1" applyProtection="1">
      <alignment horizontal="center" vertical="justify"/>
    </xf>
    <xf numFmtId="3" fontId="69" fillId="0" borderId="102" xfId="218" applyNumberFormat="1" applyFont="1" applyFill="1" applyBorder="1" applyAlignment="1" applyProtection="1">
      <alignment horizontal="center" vertical="justify"/>
    </xf>
    <xf numFmtId="3" fontId="78" fillId="30" borderId="1" xfId="218" applyNumberFormat="1" applyFont="1" applyFill="1" applyBorder="1" applyAlignment="1" applyProtection="1">
      <alignment horizontal="center" vertical="justify"/>
    </xf>
    <xf numFmtId="3" fontId="69" fillId="30" borderId="51" xfId="218" applyNumberFormat="1" applyFont="1" applyFill="1" applyBorder="1" applyAlignment="1" applyProtection="1">
      <alignment horizontal="center" vertical="justify"/>
    </xf>
    <xf numFmtId="3" fontId="78" fillId="30" borderId="102" xfId="218" applyNumberFormat="1" applyFont="1" applyFill="1" applyBorder="1" applyAlignment="1" applyProtection="1">
      <alignment horizontal="center" vertical="justify"/>
    </xf>
    <xf numFmtId="3" fontId="78" fillId="0" borderId="102" xfId="218" applyNumberFormat="1" applyFont="1" applyFill="1" applyBorder="1" applyAlignment="1" applyProtection="1">
      <alignment horizontal="center" vertical="justify"/>
    </xf>
    <xf numFmtId="3" fontId="69" fillId="0" borderId="98" xfId="218" applyNumberFormat="1" applyFont="1" applyBorder="1" applyAlignment="1" applyProtection="1">
      <alignment horizontal="center" vertical="justify"/>
    </xf>
    <xf numFmtId="3" fontId="78" fillId="0" borderId="47" xfId="218" applyNumberFormat="1" applyFont="1" applyBorder="1" applyAlignment="1" applyProtection="1">
      <alignment horizontal="center" vertical="justify"/>
    </xf>
    <xf numFmtId="3" fontId="78" fillId="0" borderId="73" xfId="218" applyNumberFormat="1" applyFont="1" applyBorder="1" applyAlignment="1" applyProtection="1">
      <alignment horizontal="center" vertical="justify"/>
    </xf>
    <xf numFmtId="3" fontId="69" fillId="0" borderId="37" xfId="218" applyNumberFormat="1" applyFont="1" applyBorder="1" applyAlignment="1" applyProtection="1">
      <alignment horizontal="center" vertical="justify"/>
    </xf>
    <xf numFmtId="3" fontId="78" fillId="0" borderId="73" xfId="218" applyNumberFormat="1" applyFont="1" applyFill="1" applyBorder="1" applyAlignment="1" applyProtection="1">
      <alignment horizontal="center" vertical="justify"/>
    </xf>
    <xf numFmtId="3" fontId="69" fillId="0" borderId="102" xfId="218" applyNumberFormat="1" applyFont="1" applyBorder="1" applyAlignment="1" applyProtection="1">
      <alignment horizontal="center" vertical="justify"/>
    </xf>
    <xf numFmtId="0" fontId="78" fillId="0" borderId="0" xfId="0" applyFont="1" applyAlignment="1" applyProtection="1">
      <alignment vertical="justify"/>
      <protection locked="0"/>
    </xf>
    <xf numFmtId="3" fontId="69" fillId="0" borderId="7" xfId="218" applyNumberFormat="1" applyFont="1" applyBorder="1" applyAlignment="1" applyProtection="1"/>
    <xf numFmtId="3" fontId="69" fillId="0" borderId="104" xfId="218" applyNumberFormat="1" applyFont="1" applyBorder="1" applyAlignment="1" applyProtection="1">
      <alignment horizontal="center"/>
    </xf>
    <xf numFmtId="3" fontId="78" fillId="0" borderId="0" xfId="218" applyNumberFormat="1" applyFont="1" applyFill="1" applyBorder="1" applyAlignment="1" applyProtection="1">
      <alignment horizontal="center"/>
    </xf>
    <xf numFmtId="3" fontId="69" fillId="0" borderId="50" xfId="218" applyNumberFormat="1" applyFont="1" applyBorder="1" applyAlignment="1" applyProtection="1">
      <alignment horizontal="center"/>
    </xf>
    <xf numFmtId="3" fontId="78" fillId="0" borderId="50" xfId="218" applyNumberFormat="1" applyFont="1" applyBorder="1" applyAlignment="1" applyProtection="1">
      <alignment horizontal="center"/>
    </xf>
    <xf numFmtId="3" fontId="98" fillId="0" borderId="7" xfId="218" applyNumberFormat="1" applyFont="1" applyFill="1" applyBorder="1" applyAlignment="1" applyProtection="1">
      <alignment horizontal="center"/>
    </xf>
    <xf numFmtId="3" fontId="78" fillId="0" borderId="50" xfId="218" applyNumberFormat="1" applyFont="1" applyFill="1" applyBorder="1" applyAlignment="1" applyProtection="1">
      <alignment horizontal="center"/>
    </xf>
    <xf numFmtId="3" fontId="78" fillId="0" borderId="40" xfId="218" applyNumberFormat="1" applyFont="1" applyFill="1" applyBorder="1" applyAlignment="1" applyProtection="1">
      <alignment horizontal="center"/>
    </xf>
    <xf numFmtId="2" fontId="78" fillId="28" borderId="0" xfId="218" applyNumberFormat="1" applyFont="1" applyFill="1" applyAlignment="1" applyProtection="1">
      <alignment horizontal="center"/>
      <protection locked="0"/>
    </xf>
    <xf numFmtId="0" fontId="78" fillId="28" borderId="22" xfId="218" applyFont="1" applyFill="1" applyBorder="1" applyAlignment="1" applyProtection="1">
      <alignment horizontal="center"/>
      <protection locked="0"/>
    </xf>
    <xf numFmtId="4" fontId="78" fillId="28" borderId="40" xfId="218" applyNumberFormat="1" applyFont="1" applyFill="1" applyBorder="1" applyAlignment="1" applyProtection="1">
      <alignment horizontal="center"/>
    </xf>
    <xf numFmtId="3" fontId="69" fillId="0" borderId="21" xfId="218" applyNumberFormat="1" applyFont="1" applyBorder="1" applyAlignment="1" applyProtection="1">
      <alignment horizontal="center"/>
    </xf>
    <xf numFmtId="4" fontId="78" fillId="28" borderId="66" xfId="218" applyNumberFormat="1" applyFont="1" applyFill="1" applyBorder="1" applyAlignment="1" applyProtection="1">
      <alignment horizontal="center"/>
    </xf>
    <xf numFmtId="3" fontId="69" fillId="0" borderId="41" xfId="218" applyNumberFormat="1" applyFont="1" applyBorder="1" applyAlignment="1" applyProtection="1">
      <alignment horizontal="center"/>
    </xf>
    <xf numFmtId="3" fontId="78" fillId="0" borderId="7" xfId="218" applyNumberFormat="1" applyFont="1" applyBorder="1" applyAlignment="1" applyProtection="1">
      <alignment horizontal="center"/>
    </xf>
    <xf numFmtId="3" fontId="78" fillId="0" borderId="66" xfId="218" applyNumberFormat="1" applyFont="1" applyFill="1" applyBorder="1" applyAlignment="1" applyProtection="1">
      <alignment horizontal="center"/>
    </xf>
    <xf numFmtId="3" fontId="78" fillId="0" borderId="40" xfId="218" applyNumberFormat="1" applyFont="1" applyBorder="1" applyAlignment="1" applyProtection="1">
      <alignment horizontal="center"/>
    </xf>
    <xf numFmtId="3" fontId="69" fillId="0" borderId="7" xfId="218" applyNumberFormat="1" applyFont="1" applyBorder="1" applyAlignment="1" applyProtection="1">
      <protection locked="0"/>
    </xf>
    <xf numFmtId="3" fontId="78" fillId="0" borderId="50" xfId="218" applyNumberFormat="1" applyFont="1" applyFill="1" applyBorder="1" applyAlignment="1" applyProtection="1">
      <alignment horizontal="center"/>
      <protection locked="0"/>
    </xf>
    <xf numFmtId="3" fontId="78" fillId="0" borderId="40" xfId="218" applyNumberFormat="1" applyFont="1" applyFill="1" applyBorder="1" applyAlignment="1" applyProtection="1">
      <alignment horizontal="center"/>
      <protection locked="0"/>
    </xf>
    <xf numFmtId="3" fontId="78" fillId="0" borderId="50" xfId="218" applyNumberFormat="1" applyFont="1" applyBorder="1" applyAlignment="1" applyProtection="1">
      <alignment horizontal="center"/>
      <protection locked="0"/>
    </xf>
    <xf numFmtId="3" fontId="78" fillId="0" borderId="50" xfId="218" applyNumberFormat="1" applyFont="1" applyBorder="1" applyAlignment="1" applyProtection="1">
      <protection locked="0"/>
    </xf>
    <xf numFmtId="4" fontId="78" fillId="0" borderId="50" xfId="218" applyNumberFormat="1" applyFont="1" applyBorder="1" applyAlignment="1" applyProtection="1">
      <protection locked="0"/>
    </xf>
    <xf numFmtId="4" fontId="78" fillId="33" borderId="20" xfId="218" applyNumberFormat="1" applyFont="1" applyFill="1" applyBorder="1" applyAlignment="1" applyProtection="1">
      <protection locked="0"/>
    </xf>
    <xf numFmtId="4" fontId="78" fillId="33" borderId="50" xfId="218" applyNumberFormat="1" applyFont="1" applyFill="1" applyBorder="1" applyAlignment="1" applyProtection="1">
      <protection locked="0"/>
    </xf>
    <xf numFmtId="4" fontId="69" fillId="0" borderId="40" xfId="218" applyNumberFormat="1" applyFont="1" applyFill="1" applyBorder="1" applyAlignment="1" applyProtection="1"/>
    <xf numFmtId="4" fontId="78" fillId="30" borderId="40" xfId="218" applyNumberFormat="1" applyFont="1" applyFill="1" applyBorder="1" applyAlignment="1" applyProtection="1">
      <protection locked="0"/>
    </xf>
    <xf numFmtId="4" fontId="78" fillId="30" borderId="22" xfId="218" applyNumberFormat="1" applyFont="1" applyFill="1" applyBorder="1" applyAlignment="1" applyProtection="1">
      <protection locked="0"/>
    </xf>
    <xf numFmtId="4" fontId="78" fillId="30" borderId="50" xfId="218" applyNumberFormat="1" applyFont="1" applyFill="1" applyBorder="1" applyAlignment="1" applyProtection="1">
      <protection locked="0"/>
    </xf>
    <xf numFmtId="4" fontId="78" fillId="30" borderId="0" xfId="218" applyNumberFormat="1" applyFont="1" applyFill="1" applyBorder="1" applyAlignment="1" applyProtection="1">
      <protection locked="0"/>
    </xf>
    <xf numFmtId="4" fontId="78" fillId="0" borderId="40" xfId="218" applyNumberFormat="1" applyFont="1" applyFill="1" applyBorder="1" applyAlignment="1" applyProtection="1"/>
    <xf numFmtId="4" fontId="69" fillId="0" borderId="21" xfId="218" applyNumberFormat="1" applyFont="1" applyBorder="1" applyAlignment="1" applyProtection="1"/>
    <xf numFmtId="4" fontId="78" fillId="0" borderId="7" xfId="218" applyNumberFormat="1" applyFont="1" applyBorder="1" applyAlignment="1" applyProtection="1"/>
    <xf numFmtId="4" fontId="78" fillId="0" borderId="66" xfId="218" applyNumberFormat="1" applyFont="1" applyBorder="1" applyAlignment="1" applyProtection="1"/>
    <xf numFmtId="4" fontId="69" fillId="0" borderId="41" xfId="218" applyNumberFormat="1" applyFont="1" applyBorder="1" applyAlignment="1" applyProtection="1"/>
    <xf numFmtId="3" fontId="100" fillId="33" borderId="7" xfId="218" applyNumberFormat="1" applyFont="1" applyFill="1" applyBorder="1" applyAlignment="1" applyProtection="1">
      <protection locked="0"/>
    </xf>
    <xf numFmtId="3" fontId="78" fillId="33" borderId="66" xfId="218" applyNumberFormat="1" applyFont="1" applyFill="1" applyBorder="1" applyAlignment="1" applyProtection="1"/>
    <xf numFmtId="3" fontId="78" fillId="0" borderId="40" xfId="218" applyNumberFormat="1" applyFont="1" applyFill="1" applyBorder="1" applyAlignment="1" applyProtection="1"/>
    <xf numFmtId="3" fontId="69" fillId="0" borderId="41" xfId="218" applyNumberFormat="1" applyFont="1" applyBorder="1" applyAlignment="1" applyProtection="1"/>
    <xf numFmtId="0" fontId="69" fillId="0" borderId="0" xfId="0" applyFont="1" applyProtection="1">
      <protection locked="0"/>
    </xf>
    <xf numFmtId="3" fontId="78" fillId="0" borderId="36" xfId="218" applyNumberFormat="1" applyFont="1" applyFill="1" applyBorder="1" applyAlignment="1" applyProtection="1">
      <alignment horizontal="center"/>
    </xf>
    <xf numFmtId="3" fontId="78" fillId="0" borderId="36" xfId="218" applyNumberFormat="1" applyFont="1" applyBorder="1" applyAlignment="1" applyProtection="1">
      <alignment horizontal="center"/>
    </xf>
    <xf numFmtId="3" fontId="78" fillId="0" borderId="36" xfId="218" applyNumberFormat="1" applyFont="1" applyBorder="1" applyAlignment="1" applyProtection="1"/>
    <xf numFmtId="3" fontId="78" fillId="0" borderId="36" xfId="218" applyNumberFormat="1" applyFont="1" applyFill="1" applyBorder="1" applyAlignment="1" applyProtection="1"/>
    <xf numFmtId="4" fontId="79" fillId="0" borderId="36" xfId="218" applyNumberFormat="1" applyFont="1" applyFill="1" applyBorder="1" applyAlignment="1" applyProtection="1">
      <alignment horizontal="right"/>
    </xf>
    <xf numFmtId="4" fontId="78" fillId="30" borderId="36" xfId="218" applyNumberFormat="1" applyFont="1" applyFill="1" applyBorder="1" applyAlignment="1" applyProtection="1">
      <protection locked="0"/>
    </xf>
    <xf numFmtId="4" fontId="79" fillId="0" borderId="36" xfId="218" applyNumberFormat="1" applyFont="1" applyFill="1" applyBorder="1" applyAlignment="1" applyProtection="1"/>
    <xf numFmtId="3" fontId="69" fillId="0" borderId="36" xfId="218" applyNumberFormat="1" applyFont="1" applyFill="1" applyBorder="1" applyAlignment="1" applyProtection="1">
      <alignment horizontal="centerContinuous"/>
    </xf>
    <xf numFmtId="3" fontId="69" fillId="0" borderId="105" xfId="218" applyNumberFormat="1" applyFont="1" applyFill="1" applyBorder="1" applyAlignment="1" applyProtection="1"/>
    <xf numFmtId="3" fontId="69" fillId="0" borderId="106" xfId="218" applyNumberFormat="1" applyFont="1" applyFill="1" applyBorder="1" applyAlignment="1" applyProtection="1"/>
    <xf numFmtId="4" fontId="78" fillId="0" borderId="107" xfId="218" applyNumberFormat="1" applyFont="1" applyFill="1" applyBorder="1" applyAlignment="1" applyProtection="1"/>
    <xf numFmtId="4" fontId="78" fillId="0" borderId="108" xfId="218" applyNumberFormat="1" applyFont="1" applyFill="1" applyBorder="1" applyAlignment="1" applyProtection="1"/>
    <xf numFmtId="4" fontId="69" fillId="0" borderId="106" xfId="218" applyNumberFormat="1" applyFont="1" applyFill="1" applyBorder="1" applyAlignment="1" applyProtection="1"/>
    <xf numFmtId="0" fontId="78" fillId="0" borderId="0" xfId="0" applyFont="1" applyBorder="1" applyProtection="1">
      <protection locked="0"/>
    </xf>
    <xf numFmtId="3" fontId="69" fillId="38" borderId="24" xfId="218" applyNumberFormat="1" applyFont="1" applyFill="1" applyBorder="1" applyAlignment="1" applyProtection="1"/>
    <xf numFmtId="3" fontId="69" fillId="38" borderId="109" xfId="218" applyNumberFormat="1" applyFont="1" applyFill="1" applyBorder="1" applyAlignment="1" applyProtection="1">
      <alignment horizontal="center"/>
    </xf>
    <xf numFmtId="3" fontId="78" fillId="38" borderId="29" xfId="218" applyNumberFormat="1" applyFont="1" applyFill="1" applyBorder="1" applyAlignment="1" applyProtection="1">
      <alignment horizontal="center"/>
    </xf>
    <xf numFmtId="3" fontId="78" fillId="38" borderId="29" xfId="218" applyNumberFormat="1" applyFont="1" applyFill="1" applyBorder="1" applyAlignment="1" applyProtection="1"/>
    <xf numFmtId="3" fontId="78" fillId="30" borderId="109" xfId="218" applyNumberFormat="1" applyFont="1" applyFill="1" applyBorder="1" applyAlignment="1" applyProtection="1"/>
    <xf numFmtId="3" fontId="69" fillId="38" borderId="29" xfId="218" applyNumberFormat="1" applyFont="1" applyFill="1" applyBorder="1" applyAlignment="1" applyProtection="1"/>
    <xf numFmtId="3" fontId="78" fillId="38" borderId="28" xfId="218" applyNumberFormat="1" applyFont="1" applyFill="1" applyBorder="1" applyAlignment="1" applyProtection="1"/>
    <xf numFmtId="3" fontId="78" fillId="38" borderId="67" xfId="218" applyNumberFormat="1" applyFont="1" applyFill="1" applyBorder="1" applyAlignment="1" applyProtection="1"/>
    <xf numFmtId="4" fontId="78" fillId="38" borderId="29" xfId="218" applyNumberFormat="1" applyFont="1" applyFill="1" applyBorder="1" applyAlignment="1" applyProtection="1"/>
    <xf numFmtId="4" fontId="61" fillId="38" borderId="60" xfId="218" applyNumberFormat="1" applyFont="1" applyFill="1" applyBorder="1" applyAlignment="1" applyProtection="1"/>
    <xf numFmtId="3" fontId="69" fillId="0" borderId="110" xfId="218" applyNumberFormat="1" applyFont="1" applyBorder="1" applyAlignment="1" applyProtection="1">
      <alignment horizontal="center"/>
    </xf>
    <xf numFmtId="0" fontId="78" fillId="28" borderId="16" xfId="218" applyFont="1" applyFill="1" applyBorder="1" applyAlignment="1" applyProtection="1">
      <alignment horizontal="center"/>
      <protection locked="0"/>
    </xf>
    <xf numFmtId="3" fontId="69" fillId="0" borderId="15" xfId="218" applyNumberFormat="1" applyFont="1" applyBorder="1" applyAlignment="1" applyProtection="1">
      <alignment horizontal="center"/>
    </xf>
    <xf numFmtId="3" fontId="78" fillId="0" borderId="111" xfId="218" applyNumberFormat="1" applyFont="1" applyBorder="1" applyAlignment="1" applyProtection="1">
      <alignment horizontal="center"/>
    </xf>
    <xf numFmtId="3" fontId="78" fillId="0" borderId="66" xfId="218" applyNumberFormat="1" applyFont="1" applyBorder="1" applyAlignment="1" applyProtection="1">
      <alignment horizontal="center"/>
    </xf>
    <xf numFmtId="3" fontId="78" fillId="30" borderId="29" xfId="218" applyNumberFormat="1" applyFont="1" applyFill="1" applyBorder="1" applyAlignment="1" applyProtection="1"/>
    <xf numFmtId="3" fontId="101" fillId="0" borderId="55" xfId="218" applyNumberFormat="1" applyFont="1" applyFill="1" applyBorder="1" applyAlignment="1" applyProtection="1">
      <alignment horizontal="center"/>
    </xf>
    <xf numFmtId="3" fontId="101" fillId="0" borderId="55" xfId="218" applyNumberFormat="1" applyFont="1" applyBorder="1" applyAlignment="1" applyProtection="1">
      <alignment horizontal="center"/>
    </xf>
    <xf numFmtId="3" fontId="101" fillId="0" borderId="55" xfId="218" applyNumberFormat="1" applyFont="1" applyBorder="1" applyAlignment="1" applyProtection="1"/>
    <xf numFmtId="3" fontId="101" fillId="0" borderId="55" xfId="218" applyNumberFormat="1" applyFont="1" applyFill="1" applyBorder="1" applyAlignment="1" applyProtection="1"/>
    <xf numFmtId="4" fontId="102" fillId="0" borderId="55" xfId="218" applyNumberFormat="1" applyFont="1" applyFill="1" applyBorder="1" applyAlignment="1" applyProtection="1">
      <alignment horizontal="right"/>
    </xf>
    <xf numFmtId="4" fontId="102" fillId="30" borderId="55" xfId="218" applyNumberFormat="1" applyFont="1" applyFill="1" applyBorder="1" applyAlignment="1" applyProtection="1">
      <alignment horizontal="right"/>
    </xf>
    <xf numFmtId="4" fontId="102" fillId="0" borderId="56" xfId="218" applyNumberFormat="1" applyFont="1" applyFill="1" applyBorder="1" applyAlignment="1" applyProtection="1">
      <alignment horizontal="right"/>
    </xf>
    <xf numFmtId="3" fontId="103" fillId="0" borderId="32" xfId="218" applyNumberFormat="1" applyFont="1" applyFill="1" applyBorder="1" applyAlignment="1" applyProtection="1"/>
    <xf numFmtId="3" fontId="69" fillId="0" borderId="20" xfId="218" applyNumberFormat="1" applyFont="1" applyBorder="1" applyAlignment="1" applyProtection="1">
      <protection locked="0"/>
    </xf>
    <xf numFmtId="3" fontId="69" fillId="0" borderId="0" xfId="218" applyNumberFormat="1" applyFont="1" applyBorder="1" applyAlignment="1" applyProtection="1">
      <alignment horizontal="center"/>
      <protection locked="0"/>
    </xf>
    <xf numFmtId="3" fontId="78" fillId="0" borderId="0" xfId="218" applyNumberFormat="1" applyFont="1" applyFill="1" applyBorder="1" applyAlignment="1" applyProtection="1">
      <alignment horizontal="center"/>
      <protection locked="0"/>
    </xf>
    <xf numFmtId="3" fontId="78" fillId="0" borderId="0" xfId="218" applyNumberFormat="1" applyFont="1" applyBorder="1" applyAlignment="1" applyProtection="1">
      <alignment horizontal="center"/>
      <protection locked="0"/>
    </xf>
    <xf numFmtId="3" fontId="78" fillId="0" borderId="0" xfId="218" applyNumberFormat="1" applyFont="1" applyBorder="1" applyAlignment="1" applyProtection="1">
      <protection locked="0"/>
    </xf>
    <xf numFmtId="3" fontId="78" fillId="0" borderId="0" xfId="218" applyNumberFormat="1" applyFont="1" applyFill="1" applyBorder="1" applyAlignment="1" applyProtection="1">
      <protection locked="0"/>
    </xf>
    <xf numFmtId="3" fontId="78" fillId="30" borderId="0" xfId="218" applyNumberFormat="1" applyFont="1" applyFill="1" applyBorder="1" applyAlignment="1" applyProtection="1">
      <protection locked="0"/>
    </xf>
    <xf numFmtId="3" fontId="69" fillId="0" borderId="0" xfId="218" applyNumberFormat="1" applyFont="1" applyFill="1" applyBorder="1" applyAlignment="1" applyProtection="1">
      <protection locked="0"/>
    </xf>
    <xf numFmtId="0" fontId="78" fillId="0" borderId="0" xfId="218" applyFont="1" applyAlignment="1" applyProtection="1">
      <protection locked="0"/>
    </xf>
    <xf numFmtId="3" fontId="78" fillId="0" borderId="0" xfId="218" applyNumberFormat="1" applyFont="1" applyFill="1" applyBorder="1" applyAlignment="1" applyProtection="1">
      <alignment horizontal="center" vertical="center"/>
      <protection locked="0"/>
    </xf>
    <xf numFmtId="3" fontId="78" fillId="0" borderId="112" xfId="218" applyNumberFormat="1" applyFont="1" applyFill="1" applyBorder="1" applyAlignment="1" applyProtection="1">
      <protection locked="0"/>
    </xf>
    <xf numFmtId="3" fontId="104" fillId="0" borderId="19" xfId="218" applyNumberFormat="1" applyFont="1" applyFill="1" applyBorder="1" applyAlignment="1" applyProtection="1">
      <alignment horizontal="center" vertical="center"/>
      <protection locked="0"/>
    </xf>
    <xf numFmtId="3" fontId="105" fillId="0" borderId="0" xfId="218" applyNumberFormat="1" applyFont="1" applyFill="1" applyBorder="1" applyAlignment="1" applyProtection="1">
      <alignment horizontal="center"/>
      <protection locked="0"/>
    </xf>
    <xf numFmtId="0" fontId="69" fillId="33" borderId="113" xfId="218" applyFont="1" applyFill="1" applyBorder="1" applyAlignment="1" applyProtection="1">
      <protection locked="0"/>
    </xf>
    <xf numFmtId="3" fontId="104" fillId="0" borderId="0" xfId="218" applyNumberFormat="1" applyFont="1" applyFill="1" applyBorder="1" applyAlignment="1" applyProtection="1">
      <alignment horizontal="center"/>
    </xf>
    <xf numFmtId="0" fontId="78" fillId="33" borderId="114" xfId="218" applyFont="1" applyFill="1" applyBorder="1" applyAlignment="1" applyProtection="1">
      <protection locked="0"/>
    </xf>
    <xf numFmtId="3" fontId="78" fillId="0" borderId="1" xfId="218" applyNumberFormat="1" applyFont="1" applyFill="1" applyBorder="1" applyAlignment="1" applyProtection="1">
      <protection locked="0"/>
    </xf>
    <xf numFmtId="3" fontId="104" fillId="0" borderId="0" xfId="218" applyNumberFormat="1" applyFont="1" applyFill="1" applyBorder="1" applyAlignment="1" applyProtection="1">
      <alignment vertical="center"/>
      <protection locked="0"/>
    </xf>
    <xf numFmtId="0" fontId="105" fillId="0" borderId="0" xfId="218" applyFont="1" applyAlignment="1" applyProtection="1">
      <alignment horizontal="center"/>
      <protection locked="0"/>
    </xf>
    <xf numFmtId="3" fontId="106" fillId="0" borderId="115" xfId="218" applyNumberFormat="1" applyFont="1" applyFill="1" applyBorder="1" applyAlignment="1" applyProtection="1">
      <protection locked="0"/>
    </xf>
    <xf numFmtId="3" fontId="104" fillId="0" borderId="0" xfId="218" applyNumberFormat="1" applyFont="1" applyBorder="1" applyAlignment="1" applyProtection="1">
      <alignment horizontal="center"/>
    </xf>
    <xf numFmtId="3" fontId="78" fillId="33" borderId="116" xfId="218" applyNumberFormat="1" applyFont="1" applyFill="1" applyBorder="1" applyAlignment="1" applyProtection="1">
      <protection locked="0"/>
    </xf>
    <xf numFmtId="3" fontId="69" fillId="31" borderId="0" xfId="218" applyNumberFormat="1" applyFont="1" applyFill="1" applyBorder="1" applyAlignment="1" applyProtection="1">
      <alignment horizontal="centerContinuous" vertical="center"/>
    </xf>
    <xf numFmtId="3" fontId="78" fillId="31" borderId="0" xfId="218" applyNumberFormat="1" applyFont="1" applyFill="1" applyBorder="1" applyAlignment="1" applyProtection="1">
      <alignment horizontal="centerContinuous" vertical="center"/>
    </xf>
    <xf numFmtId="3" fontId="69" fillId="31" borderId="0" xfId="218" applyNumberFormat="1" applyFont="1" applyFill="1" applyBorder="1" applyAlignment="1" applyProtection="1">
      <alignment horizontal="left" vertical="center"/>
    </xf>
    <xf numFmtId="3" fontId="69" fillId="31" borderId="41" xfId="218" applyNumberFormat="1" applyFont="1" applyFill="1" applyBorder="1" applyAlignment="1" applyProtection="1">
      <alignment vertical="center"/>
    </xf>
    <xf numFmtId="0" fontId="69" fillId="0" borderId="0" xfId="218" applyFont="1" applyAlignment="1" applyProtection="1">
      <alignment horizontal="center"/>
      <protection locked="0"/>
    </xf>
    <xf numFmtId="0" fontId="69" fillId="0" borderId="88" xfId="218" applyFont="1" applyFill="1" applyBorder="1" applyAlignment="1" applyProtection="1">
      <alignment horizontal="center"/>
      <protection locked="0"/>
    </xf>
    <xf numFmtId="0" fontId="78" fillId="0" borderId="0" xfId="218" applyFont="1" applyAlignment="1" applyProtection="1">
      <alignment horizontal="center"/>
      <protection locked="0"/>
    </xf>
    <xf numFmtId="3" fontId="78" fillId="0" borderId="0" xfId="0" applyNumberFormat="1" applyFont="1" applyBorder="1" applyAlignment="1" applyProtection="1">
      <alignment horizontal="center" vertical="center"/>
    </xf>
    <xf numFmtId="0" fontId="78" fillId="0" borderId="88" xfId="218" applyFont="1" applyBorder="1" applyAlignment="1" applyProtection="1">
      <alignment horizontal="center"/>
      <protection locked="0"/>
    </xf>
    <xf numFmtId="0" fontId="78" fillId="0" borderId="0" xfId="218" applyFont="1" applyFill="1" applyAlignment="1" applyProtection="1">
      <alignment horizontal="center"/>
      <protection locked="0"/>
    </xf>
    <xf numFmtId="3" fontId="78" fillId="30" borderId="0" xfId="218" applyNumberFormat="1" applyFont="1" applyFill="1" applyBorder="1" applyAlignment="1" applyProtection="1">
      <alignment horizontal="center"/>
    </xf>
    <xf numFmtId="0" fontId="78" fillId="0" borderId="88" xfId="218" applyFont="1" applyFill="1" applyBorder="1" applyAlignment="1" applyProtection="1">
      <alignment horizontal="center"/>
      <protection locked="0"/>
    </xf>
    <xf numFmtId="0" fontId="78" fillId="0" borderId="0" xfId="218" applyFont="1" applyAlignment="1" applyProtection="1">
      <alignment horizontal="center"/>
    </xf>
    <xf numFmtId="0" fontId="78" fillId="0" borderId="0" xfId="218" applyFont="1" applyFill="1" applyAlignment="1" applyProtection="1">
      <protection locked="0"/>
    </xf>
    <xf numFmtId="0" fontId="69" fillId="0" borderId="0" xfId="218" applyFont="1" applyFill="1" applyAlignment="1" applyProtection="1">
      <alignment horizontal="center"/>
      <protection locked="0"/>
    </xf>
    <xf numFmtId="3" fontId="69" fillId="0" borderId="0" xfId="218" applyNumberFormat="1" applyFont="1" applyBorder="1" applyAlignment="1" applyProtection="1">
      <alignment horizontal="center"/>
    </xf>
    <xf numFmtId="3" fontId="78" fillId="0" borderId="41" xfId="218" applyNumberFormat="1" applyFont="1" applyBorder="1" applyAlignment="1" applyProtection="1"/>
    <xf numFmtId="192" fontId="107" fillId="0" borderId="1" xfId="218" applyNumberFormat="1" applyFont="1" applyBorder="1" applyAlignment="1" applyProtection="1">
      <alignment horizontal="center"/>
    </xf>
    <xf numFmtId="192" fontId="107" fillId="0" borderId="103" xfId="218" applyNumberFormat="1" applyFont="1" applyBorder="1" applyAlignment="1" applyProtection="1">
      <alignment horizontal="center"/>
    </xf>
    <xf numFmtId="192" fontId="107" fillId="0" borderId="102" xfId="218" applyNumberFormat="1" applyFont="1" applyBorder="1" applyAlignment="1" applyProtection="1">
      <alignment horizontal="center"/>
    </xf>
    <xf numFmtId="0" fontId="78" fillId="0" borderId="0" xfId="218" applyFont="1" applyFill="1" applyAlignment="1" applyProtection="1">
      <alignment horizontal="left"/>
      <protection locked="0"/>
    </xf>
    <xf numFmtId="191" fontId="98" fillId="0" borderId="1" xfId="218" applyNumberFormat="1" applyFont="1" applyBorder="1" applyAlignment="1" applyProtection="1">
      <alignment horizontal="right"/>
    </xf>
    <xf numFmtId="3" fontId="78" fillId="0" borderId="20" xfId="218" applyNumberFormat="1" applyFont="1" applyFill="1" applyBorder="1" applyAlignment="1" applyProtection="1"/>
    <xf numFmtId="0" fontId="78" fillId="0" borderId="41" xfId="218" applyNumberFormat="1" applyFont="1" applyFill="1" applyBorder="1" applyAlignment="1" applyProtection="1">
      <alignment horizontal="center"/>
      <protection locked="0"/>
    </xf>
    <xf numFmtId="192" fontId="108" fillId="0" borderId="1" xfId="218" applyNumberFormat="1" applyFont="1" applyBorder="1" applyAlignment="1" applyProtection="1">
      <alignment horizontal="center"/>
    </xf>
    <xf numFmtId="3" fontId="78" fillId="0" borderId="0" xfId="218" applyNumberFormat="1" applyFont="1" applyFill="1" applyBorder="1" applyAlignment="1" applyProtection="1">
      <alignment horizontal="left"/>
    </xf>
    <xf numFmtId="191" fontId="78" fillId="0" borderId="41" xfId="218" applyNumberFormat="1" applyFont="1" applyFill="1" applyBorder="1" applyAlignment="1" applyProtection="1">
      <alignment horizontal="center"/>
      <protection locked="0"/>
    </xf>
    <xf numFmtId="0" fontId="69" fillId="0" borderId="0" xfId="218" applyFont="1" applyAlignment="1" applyProtection="1">
      <protection locked="0"/>
    </xf>
    <xf numFmtId="197" fontId="69" fillId="28" borderId="0" xfId="218" applyNumberFormat="1" applyFont="1" applyFill="1" applyAlignment="1" applyProtection="1">
      <alignment horizontal="center"/>
      <protection locked="0"/>
    </xf>
    <xf numFmtId="0" fontId="69" fillId="0" borderId="1" xfId="218" applyFont="1" applyBorder="1" applyAlignment="1" applyProtection="1">
      <alignment horizontal="center"/>
      <protection locked="0"/>
    </xf>
    <xf numFmtId="9" fontId="109" fillId="46" borderId="1" xfId="219" applyFont="1" applyFill="1" applyBorder="1" applyAlignment="1" applyProtection="1">
      <alignment horizontal="center"/>
    </xf>
    <xf numFmtId="9" fontId="78" fillId="0" borderId="0" xfId="219" applyFont="1" applyFill="1" applyBorder="1" applyAlignment="1" applyProtection="1">
      <alignment horizontal="left" vertical="center"/>
    </xf>
    <xf numFmtId="3" fontId="78" fillId="0" borderId="0" xfId="218" applyNumberFormat="1" applyFont="1" applyFill="1" applyBorder="1" applyAlignment="1" applyProtection="1">
      <alignment horizontal="left" vertical="center"/>
    </xf>
    <xf numFmtId="0" fontId="98" fillId="0" borderId="0" xfId="218" applyFont="1" applyAlignment="1" applyProtection="1">
      <alignment horizontal="center"/>
      <protection locked="0"/>
    </xf>
    <xf numFmtId="3" fontId="78" fillId="0" borderId="0" xfId="0" applyNumberFormat="1" applyFont="1" applyBorder="1" applyAlignment="1" applyProtection="1"/>
    <xf numFmtId="0" fontId="78" fillId="0" borderId="0" xfId="0" applyFont="1" applyAlignment="1" applyProtection="1">
      <alignment horizontal="left"/>
      <protection locked="0"/>
    </xf>
    <xf numFmtId="0" fontId="78" fillId="0" borderId="1" xfId="0" applyFont="1" applyBorder="1" applyProtection="1">
      <protection locked="0"/>
    </xf>
    <xf numFmtId="14" fontId="23" fillId="0" borderId="1" xfId="0" applyNumberFormat="1" applyFont="1" applyBorder="1" applyAlignment="1">
      <alignment horizontal="center"/>
    </xf>
    <xf numFmtId="3" fontId="69" fillId="0" borderId="88" xfId="218" applyNumberFormat="1" applyFont="1" applyBorder="1" applyAlignment="1" applyProtection="1">
      <alignment horizontal="center"/>
    </xf>
    <xf numFmtId="191" fontId="69" fillId="0" borderId="1" xfId="0" applyNumberFormat="1" applyFont="1" applyBorder="1" applyProtection="1">
      <protection locked="0"/>
    </xf>
    <xf numFmtId="192" fontId="103" fillId="37" borderId="103" xfId="218" applyNumberFormat="1" applyFont="1" applyFill="1" applyBorder="1" applyAlignment="1" applyProtection="1">
      <alignment horizontal="centerContinuous"/>
    </xf>
    <xf numFmtId="192" fontId="103" fillId="37" borderId="103" xfId="218" applyNumberFormat="1" applyFont="1" applyFill="1" applyBorder="1" applyAlignment="1" applyProtection="1">
      <alignment horizontal="center"/>
    </xf>
    <xf numFmtId="192" fontId="103" fillId="0" borderId="1" xfId="218" applyNumberFormat="1" applyFont="1" applyFill="1" applyBorder="1" applyAlignment="1" applyProtection="1">
      <alignment horizontal="centerContinuous"/>
    </xf>
    <xf numFmtId="3" fontId="78" fillId="30" borderId="0" xfId="218" applyNumberFormat="1" applyFont="1" applyFill="1" applyBorder="1" applyAlignment="1" applyProtection="1"/>
    <xf numFmtId="0" fontId="78" fillId="0" borderId="0" xfId="0" applyFont="1" applyBorder="1" applyAlignment="1" applyProtection="1"/>
    <xf numFmtId="9" fontId="69" fillId="47" borderId="112" xfId="219" applyNumberFormat="1" applyFont="1" applyFill="1" applyBorder="1" applyAlignment="1" applyProtection="1">
      <alignment horizontal="center"/>
    </xf>
    <xf numFmtId="10" fontId="69" fillId="47" borderId="112" xfId="219" applyNumberFormat="1" applyFont="1" applyFill="1" applyBorder="1" applyAlignment="1" applyProtection="1">
      <alignment horizontal="center"/>
    </xf>
    <xf numFmtId="10" fontId="69" fillId="47" borderId="0" xfId="219" applyNumberFormat="1" applyFont="1" applyFill="1" applyBorder="1" applyAlignment="1" applyProtection="1">
      <alignment horizontal="center"/>
    </xf>
    <xf numFmtId="0" fontId="0" fillId="0" borderId="41" xfId="0" applyBorder="1"/>
    <xf numFmtId="3" fontId="78" fillId="0" borderId="20" xfId="0" applyNumberFormat="1" applyFont="1" applyBorder="1" applyAlignment="1" applyProtection="1"/>
    <xf numFmtId="193" fontId="79" fillId="28" borderId="0" xfId="218" applyNumberFormat="1" applyFont="1" applyFill="1" applyAlignment="1" applyProtection="1">
      <alignment horizontal="center"/>
      <protection locked="0"/>
    </xf>
    <xf numFmtId="191" fontId="78" fillId="0" borderId="1" xfId="218" applyNumberFormat="1" applyFont="1" applyBorder="1" applyAlignment="1" applyProtection="1">
      <alignment horizontal="centerContinuous"/>
    </xf>
    <xf numFmtId="191" fontId="78" fillId="0" borderId="1" xfId="218" applyNumberFormat="1" applyFont="1" applyBorder="1" applyAlignment="1" applyProtection="1">
      <alignment horizontal="center"/>
    </xf>
    <xf numFmtId="192" fontId="78" fillId="30" borderId="0" xfId="218" applyNumberFormat="1" applyFont="1" applyFill="1" applyBorder="1" applyAlignment="1" applyProtection="1"/>
    <xf numFmtId="198" fontId="78" fillId="0" borderId="0" xfId="218" applyNumberFormat="1" applyFont="1" applyBorder="1" applyAlignment="1" applyProtection="1"/>
    <xf numFmtId="3" fontId="69" fillId="0" borderId="0" xfId="218" applyNumberFormat="1" applyFont="1" applyFill="1" applyBorder="1" applyAlignment="1" applyProtection="1">
      <alignment horizontal="centerContinuous"/>
    </xf>
    <xf numFmtId="191" fontId="103" fillId="0" borderId="1" xfId="218" applyNumberFormat="1" applyFont="1" applyFill="1" applyBorder="1" applyAlignment="1" applyProtection="1">
      <alignment horizontal="right"/>
    </xf>
    <xf numFmtId="192" fontId="103" fillId="0" borderId="1" xfId="218" applyNumberFormat="1" applyFont="1" applyFill="1" applyBorder="1" applyAlignment="1" applyProtection="1">
      <alignment horizontal="center"/>
    </xf>
    <xf numFmtId="0" fontId="78" fillId="0" borderId="0" xfId="0" applyFont="1" applyAlignment="1" applyProtection="1">
      <alignment horizontal="center"/>
      <protection locked="0"/>
    </xf>
    <xf numFmtId="3" fontId="78" fillId="30" borderId="0" xfId="0" applyNumberFormat="1" applyFont="1" applyFill="1" applyBorder="1" applyAlignment="1" applyProtection="1"/>
    <xf numFmtId="0" fontId="78" fillId="0" borderId="117" xfId="218" applyFont="1" applyFill="1" applyBorder="1" applyAlignment="1" applyProtection="1">
      <protection locked="0"/>
    </xf>
    <xf numFmtId="0" fontId="78" fillId="0" borderId="40" xfId="218" applyFont="1" applyFill="1" applyBorder="1" applyAlignment="1" applyProtection="1">
      <protection locked="0"/>
    </xf>
    <xf numFmtId="0" fontId="78" fillId="0" borderId="40" xfId="218" applyFont="1" applyBorder="1" applyAlignment="1" applyProtection="1">
      <protection locked="0"/>
    </xf>
    <xf numFmtId="3" fontId="79" fillId="0" borderId="41" xfId="0" applyNumberFormat="1" applyFont="1" applyFill="1" applyBorder="1" applyAlignment="1" applyProtection="1">
      <alignment horizontal="center"/>
    </xf>
    <xf numFmtId="3" fontId="69" fillId="31" borderId="20" xfId="218" applyNumberFormat="1" applyFont="1" applyFill="1" applyBorder="1" applyAlignment="1" applyProtection="1">
      <alignment horizontal="center" vertical="center"/>
    </xf>
    <xf numFmtId="196" fontId="69" fillId="31" borderId="1" xfId="218" applyNumberFormat="1" applyFont="1" applyFill="1" applyBorder="1" applyAlignment="1" applyProtection="1">
      <alignment vertical="center"/>
    </xf>
    <xf numFmtId="3" fontId="69" fillId="31" borderId="1" xfId="218" applyNumberFormat="1" applyFont="1" applyFill="1" applyBorder="1" applyAlignment="1" applyProtection="1">
      <alignment horizontal="center" vertical="center"/>
    </xf>
    <xf numFmtId="3" fontId="69" fillId="31" borderId="117" xfId="218" applyNumberFormat="1" applyFont="1" applyFill="1" applyBorder="1" applyAlignment="1" applyProtection="1">
      <alignment horizontal="center" vertical="center"/>
    </xf>
    <xf numFmtId="3" fontId="69" fillId="30" borderId="117" xfId="218" applyNumberFormat="1" applyFont="1" applyFill="1" applyBorder="1" applyAlignment="1" applyProtection="1">
      <alignment horizontal="center" vertical="center"/>
    </xf>
    <xf numFmtId="3" fontId="69" fillId="30" borderId="50" xfId="218" applyNumberFormat="1" applyFont="1" applyFill="1" applyBorder="1" applyAlignment="1" applyProtection="1">
      <alignment horizontal="center" vertical="center"/>
    </xf>
    <xf numFmtId="0" fontId="78" fillId="30" borderId="0" xfId="218" applyFont="1" applyFill="1" applyAlignment="1" applyProtection="1">
      <protection locked="0"/>
    </xf>
    <xf numFmtId="0" fontId="78" fillId="30" borderId="0" xfId="0" applyFont="1" applyFill="1"/>
    <xf numFmtId="3" fontId="78" fillId="31" borderId="0" xfId="218" applyNumberFormat="1" applyFont="1" applyFill="1" applyBorder="1" applyAlignment="1" applyProtection="1">
      <alignment horizontal="center" vertical="center"/>
    </xf>
    <xf numFmtId="3" fontId="69" fillId="31" borderId="117" xfId="218" applyNumberFormat="1" applyFont="1" applyFill="1" applyBorder="1" applyAlignment="1" applyProtection="1">
      <alignment horizontal="centerContinuous" vertical="center"/>
    </xf>
    <xf numFmtId="3" fontId="69" fillId="31" borderId="40" xfId="218" applyNumberFormat="1" applyFont="1" applyFill="1" applyBorder="1" applyAlignment="1" applyProtection="1">
      <alignment horizontal="center" vertical="center"/>
    </xf>
    <xf numFmtId="3" fontId="79" fillId="0" borderId="41" xfId="218" applyNumberFormat="1" applyFont="1" applyFill="1" applyBorder="1" applyAlignment="1" applyProtection="1">
      <alignment horizontal="center" vertical="center"/>
    </xf>
    <xf numFmtId="3" fontId="78" fillId="0" borderId="112" xfId="218" applyNumberFormat="1" applyFont="1" applyBorder="1" applyAlignment="1" applyProtection="1"/>
    <xf numFmtId="3" fontId="78" fillId="30" borderId="112" xfId="218" applyNumberFormat="1" applyFont="1" applyFill="1" applyBorder="1" applyAlignment="1" applyProtection="1">
      <alignment horizontal="center"/>
    </xf>
    <xf numFmtId="3" fontId="78" fillId="0" borderId="112" xfId="0" applyNumberFormat="1" applyFont="1" applyBorder="1" applyAlignment="1" applyProtection="1"/>
    <xf numFmtId="0" fontId="78" fillId="0" borderId="117" xfId="218" applyFont="1" applyBorder="1" applyAlignment="1" applyProtection="1">
      <protection locked="0"/>
    </xf>
    <xf numFmtId="0" fontId="78" fillId="0" borderId="0" xfId="218" applyFont="1" applyBorder="1" applyAlignment="1" applyProtection="1">
      <protection locked="0"/>
    </xf>
    <xf numFmtId="3" fontId="78" fillId="0" borderId="41" xfId="218" applyNumberFormat="1" applyFont="1" applyFill="1" applyBorder="1" applyAlignment="1" applyProtection="1"/>
    <xf numFmtId="191" fontId="78" fillId="0" borderId="50" xfId="218" applyNumberFormat="1" applyFont="1" applyBorder="1" applyAlignment="1" applyProtection="1"/>
    <xf numFmtId="191" fontId="78" fillId="30" borderId="0" xfId="218" applyNumberFormat="1" applyFont="1" applyFill="1" applyBorder="1" applyAlignment="1" applyProtection="1"/>
    <xf numFmtId="191" fontId="98" fillId="0" borderId="40" xfId="0" applyNumberFormat="1" applyFont="1" applyBorder="1" applyAlignment="1" applyProtection="1"/>
    <xf numFmtId="191" fontId="98" fillId="0" borderId="0" xfId="0" applyNumberFormat="1" applyFont="1" applyBorder="1" applyAlignment="1" applyProtection="1"/>
    <xf numFmtId="3" fontId="78" fillId="0" borderId="117" xfId="218" applyNumberFormat="1" applyFont="1" applyBorder="1" applyAlignment="1" applyProtection="1"/>
    <xf numFmtId="0" fontId="78" fillId="33" borderId="0" xfId="218" applyNumberFormat="1" applyFont="1" applyFill="1" applyBorder="1" applyAlignment="1" applyProtection="1">
      <alignment horizontal="center"/>
      <protection locked="0"/>
    </xf>
    <xf numFmtId="14" fontId="78" fillId="0" borderId="0" xfId="218" applyNumberFormat="1" applyFont="1" applyFill="1" applyBorder="1" applyAlignment="1" applyProtection="1">
      <alignment horizontal="center"/>
      <protection locked="0"/>
    </xf>
    <xf numFmtId="3" fontId="69" fillId="0" borderId="0" xfId="218" applyNumberFormat="1" applyFont="1" applyBorder="1" applyAlignment="1" applyProtection="1">
      <alignment horizontal="centerContinuous"/>
    </xf>
    <xf numFmtId="3" fontId="78" fillId="0" borderId="0" xfId="218" applyNumberFormat="1" applyFont="1" applyBorder="1" applyAlignment="1" applyProtection="1">
      <alignment horizontal="centerContinuous"/>
    </xf>
    <xf numFmtId="191" fontId="103" fillId="0" borderId="50" xfId="218" applyNumberFormat="1" applyFont="1" applyBorder="1" applyAlignment="1" applyProtection="1"/>
    <xf numFmtId="3" fontId="78" fillId="0" borderId="41" xfId="218" applyNumberFormat="1" applyFont="1" applyFill="1" applyBorder="1" applyAlignment="1" applyProtection="1">
      <alignment horizontal="center"/>
    </xf>
    <xf numFmtId="3" fontId="78" fillId="0" borderId="20" xfId="218" applyNumberFormat="1" applyFont="1" applyBorder="1" applyAlignment="1" applyProtection="1">
      <protection locked="0"/>
    </xf>
    <xf numFmtId="190" fontId="78" fillId="30" borderId="0" xfId="218" applyNumberFormat="1" applyFont="1" applyFill="1" applyBorder="1" applyAlignment="1" applyProtection="1">
      <alignment horizontal="center"/>
      <protection locked="0"/>
    </xf>
    <xf numFmtId="3" fontId="69" fillId="0" borderId="0" xfId="218" applyNumberFormat="1" applyFont="1" applyBorder="1" applyAlignment="1" applyProtection="1"/>
    <xf numFmtId="3" fontId="98" fillId="0" borderId="0" xfId="218" applyNumberFormat="1" applyFont="1" applyBorder="1" applyAlignment="1" applyProtection="1"/>
    <xf numFmtId="10" fontId="110" fillId="0" borderId="41" xfId="219" applyNumberFormat="1" applyFont="1" applyFill="1" applyBorder="1" applyAlignment="1" applyProtection="1"/>
    <xf numFmtId="0" fontId="78" fillId="0" borderId="0" xfId="218" applyFont="1" applyFill="1" applyBorder="1" applyAlignment="1" applyProtection="1">
      <alignment horizontal="center"/>
      <protection locked="0"/>
    </xf>
    <xf numFmtId="3" fontId="78" fillId="0" borderId="0" xfId="0" applyNumberFormat="1" applyFont="1" applyBorder="1" applyAlignment="1" applyProtection="1">
      <alignment horizontal="right"/>
      <protection locked="0"/>
    </xf>
    <xf numFmtId="9" fontId="78" fillId="28" borderId="0" xfId="219" applyFont="1" applyFill="1" applyBorder="1" applyAlignment="1" applyProtection="1"/>
    <xf numFmtId="190" fontId="78" fillId="30" borderId="0" xfId="218" applyNumberFormat="1" applyFont="1" applyFill="1" applyBorder="1" applyAlignment="1" applyProtection="1">
      <protection locked="0"/>
    </xf>
    <xf numFmtId="190" fontId="98" fillId="0" borderId="40" xfId="0" applyNumberFormat="1" applyFont="1" applyBorder="1" applyAlignment="1" applyProtection="1"/>
    <xf numFmtId="190" fontId="98" fillId="0" borderId="0" xfId="0" applyNumberFormat="1" applyFont="1" applyBorder="1" applyAlignment="1" applyProtection="1"/>
    <xf numFmtId="14" fontId="78" fillId="0" borderId="0" xfId="218" applyNumberFormat="1" applyFont="1" applyBorder="1" applyAlignment="1" applyProtection="1">
      <protection locked="0"/>
    </xf>
    <xf numFmtId="191" fontId="78" fillId="30" borderId="0" xfId="218" applyNumberFormat="1" applyFont="1" applyFill="1" applyBorder="1" applyAlignment="1" applyProtection="1">
      <alignment horizontal="right"/>
    </xf>
    <xf numFmtId="191" fontId="111" fillId="0" borderId="40" xfId="0" applyNumberFormat="1" applyFont="1" applyBorder="1" applyAlignment="1" applyProtection="1"/>
    <xf numFmtId="192" fontId="102" fillId="0" borderId="0" xfId="218" applyNumberFormat="1" applyFont="1" applyBorder="1" applyAlignment="1" applyProtection="1">
      <alignment horizontal="center"/>
    </xf>
    <xf numFmtId="3" fontId="112" fillId="0" borderId="0" xfId="0" applyNumberFormat="1" applyFont="1" applyBorder="1" applyAlignment="1" applyProtection="1">
      <alignment horizontal="right"/>
      <protection locked="0"/>
    </xf>
    <xf numFmtId="9" fontId="78" fillId="0" borderId="0" xfId="218" applyNumberFormat="1" applyFont="1" applyBorder="1" applyAlignment="1" applyProtection="1">
      <alignment horizontal="left"/>
    </xf>
    <xf numFmtId="49" fontId="78" fillId="0" borderId="0" xfId="218" applyNumberFormat="1" applyFont="1" applyBorder="1" applyAlignment="1" applyProtection="1">
      <protection locked="0"/>
    </xf>
    <xf numFmtId="176" fontId="78" fillId="33" borderId="0" xfId="218" applyNumberFormat="1" applyFont="1" applyFill="1" applyBorder="1" applyAlignment="1" applyProtection="1">
      <alignment horizontal="center"/>
      <protection locked="0"/>
    </xf>
    <xf numFmtId="191" fontId="111" fillId="0" borderId="0" xfId="0" applyNumberFormat="1" applyFont="1" applyBorder="1" applyAlignment="1" applyProtection="1"/>
    <xf numFmtId="192" fontId="106" fillId="28" borderId="0" xfId="218" applyNumberFormat="1" applyFont="1" applyFill="1" applyBorder="1" applyAlignment="1" applyProtection="1">
      <alignment horizontal="center"/>
    </xf>
    <xf numFmtId="192" fontId="78" fillId="0" borderId="0" xfId="218" applyNumberFormat="1" applyFont="1" applyBorder="1" applyAlignment="1" applyProtection="1">
      <alignment horizontal="center"/>
    </xf>
    <xf numFmtId="3" fontId="78" fillId="33" borderId="0" xfId="218" applyNumberFormat="1" applyFont="1" applyFill="1" applyBorder="1" applyAlignment="1" applyProtection="1">
      <alignment horizontal="center"/>
      <protection locked="0"/>
    </xf>
    <xf numFmtId="176" fontId="69" fillId="33" borderId="0" xfId="218" applyNumberFormat="1" applyFont="1" applyFill="1" applyBorder="1" applyAlignment="1" applyProtection="1">
      <alignment horizontal="center"/>
      <protection locked="0"/>
    </xf>
    <xf numFmtId="3" fontId="78" fillId="0" borderId="41" xfId="218" applyNumberFormat="1" applyFont="1" applyFill="1" applyBorder="1" applyAlignment="1" applyProtection="1">
      <alignment horizontal="center"/>
      <protection locked="0"/>
    </xf>
    <xf numFmtId="183" fontId="78" fillId="33" borderId="0" xfId="218" applyNumberFormat="1" applyFont="1" applyFill="1" applyBorder="1" applyAlignment="1" applyProtection="1">
      <alignment horizontal="center"/>
      <protection locked="0"/>
    </xf>
    <xf numFmtId="3" fontId="78" fillId="0" borderId="41" xfId="218" applyNumberFormat="1" applyFont="1" applyFill="1" applyBorder="1" applyAlignment="1" applyProtection="1">
      <protection locked="0"/>
    </xf>
    <xf numFmtId="3" fontId="69" fillId="48" borderId="0" xfId="218" applyNumberFormat="1" applyFont="1" applyFill="1" applyBorder="1" applyAlignment="1" applyProtection="1">
      <alignment horizontal="center"/>
      <protection locked="0"/>
    </xf>
    <xf numFmtId="3" fontId="98" fillId="0" borderId="0" xfId="218" applyNumberFormat="1" applyFont="1" applyBorder="1" applyAlignment="1" applyProtection="1">
      <protection locked="0"/>
    </xf>
    <xf numFmtId="176" fontId="98" fillId="0" borderId="0" xfId="218" applyNumberFormat="1" applyFont="1" applyFill="1" applyBorder="1" applyAlignment="1" applyProtection="1">
      <alignment horizontal="center"/>
    </xf>
    <xf numFmtId="10" fontId="78" fillId="0" borderId="41" xfId="219" applyNumberFormat="1" applyFont="1" applyFill="1" applyBorder="1" applyAlignment="1" applyProtection="1">
      <alignment horizontal="center"/>
    </xf>
    <xf numFmtId="0" fontId="78" fillId="0" borderId="41" xfId="218" applyFont="1" applyFill="1" applyBorder="1" applyAlignment="1" applyProtection="1">
      <protection locked="0"/>
    </xf>
    <xf numFmtId="49" fontId="78" fillId="0" borderId="0" xfId="218" applyNumberFormat="1" applyFont="1" applyBorder="1" applyAlignment="1" applyProtection="1">
      <alignment horizontal="center"/>
      <protection locked="0"/>
    </xf>
    <xf numFmtId="14" fontId="78" fillId="0" borderId="0" xfId="218" applyNumberFormat="1" applyFont="1" applyBorder="1" applyAlignment="1" applyProtection="1"/>
    <xf numFmtId="195" fontId="103" fillId="0" borderId="112" xfId="218" applyNumberFormat="1" applyFont="1" applyBorder="1" applyAlignment="1" applyProtection="1"/>
    <xf numFmtId="191" fontId="103" fillId="0" borderId="1" xfId="218" applyNumberFormat="1" applyFont="1" applyBorder="1" applyAlignment="1" applyProtection="1"/>
    <xf numFmtId="191" fontId="113" fillId="0" borderId="102" xfId="0" applyNumberFormat="1" applyFont="1" applyBorder="1" applyAlignment="1" applyProtection="1"/>
    <xf numFmtId="191" fontId="113" fillId="0" borderId="0" xfId="0" applyNumberFormat="1" applyFont="1" applyBorder="1" applyAlignment="1" applyProtection="1"/>
    <xf numFmtId="2" fontId="114" fillId="0" borderId="117" xfId="218" applyNumberFormat="1" applyFont="1" applyFill="1" applyBorder="1" applyAlignment="1" applyProtection="1">
      <alignment horizontal="left"/>
    </xf>
    <xf numFmtId="4" fontId="78" fillId="0" borderId="0" xfId="218" applyNumberFormat="1" applyFont="1" applyBorder="1" applyAlignment="1" applyProtection="1">
      <alignment horizontal="center"/>
    </xf>
    <xf numFmtId="190" fontId="78" fillId="30" borderId="0" xfId="218" applyNumberFormat="1" applyFont="1" applyFill="1" applyBorder="1" applyAlignment="1" applyProtection="1">
      <alignment horizontal="centerContinuous"/>
    </xf>
    <xf numFmtId="190" fontId="78" fillId="30" borderId="0" xfId="218" applyNumberFormat="1" applyFont="1" applyFill="1" applyBorder="1" applyAlignment="1" applyProtection="1">
      <alignment horizontal="center"/>
    </xf>
    <xf numFmtId="190" fontId="78" fillId="0" borderId="0" xfId="0" applyNumberFormat="1" applyFont="1" applyBorder="1" applyAlignment="1" applyProtection="1"/>
    <xf numFmtId="190" fontId="103" fillId="0" borderId="0" xfId="218" applyNumberFormat="1" applyFont="1" applyBorder="1" applyAlignment="1" applyProtection="1"/>
    <xf numFmtId="191" fontId="115" fillId="0" borderId="0" xfId="218" applyNumberFormat="1" applyFont="1" applyBorder="1" applyAlignment="1" applyProtection="1"/>
    <xf numFmtId="191" fontId="115" fillId="0" borderId="0" xfId="0" applyNumberFormat="1" applyFont="1" applyProtection="1">
      <protection locked="0"/>
    </xf>
    <xf numFmtId="191" fontId="98" fillId="0" borderId="0" xfId="218" applyNumberFormat="1" applyFont="1" applyBorder="1" applyAlignment="1" applyProtection="1"/>
    <xf numFmtId="190" fontId="78" fillId="30" borderId="0" xfId="218" applyNumberFormat="1" applyFont="1" applyFill="1" applyBorder="1" applyAlignment="1" applyProtection="1"/>
    <xf numFmtId="190" fontId="78" fillId="0" borderId="0" xfId="218" applyNumberFormat="1" applyFont="1" applyBorder="1" applyAlignment="1" applyProtection="1"/>
    <xf numFmtId="3" fontId="57" fillId="31" borderId="20" xfId="218" applyNumberFormat="1" applyFont="1" applyFill="1" applyBorder="1" applyAlignment="1" applyProtection="1">
      <alignment horizontal="center" vertical="center"/>
    </xf>
    <xf numFmtId="3" fontId="57" fillId="31" borderId="118" xfId="218" applyNumberFormat="1" applyFont="1" applyFill="1" applyBorder="1" applyAlignment="1" applyProtection="1">
      <alignment horizontal="center" vertical="center"/>
    </xf>
    <xf numFmtId="3" fontId="57" fillId="31" borderId="0" xfId="218" applyNumberFormat="1" applyFont="1" applyFill="1" applyBorder="1" applyAlignment="1" applyProtection="1">
      <alignment horizontal="center" vertical="center"/>
    </xf>
    <xf numFmtId="3" fontId="57" fillId="31" borderId="119" xfId="218" applyNumberFormat="1" applyFont="1" applyFill="1" applyBorder="1" applyAlignment="1" applyProtection="1">
      <alignment vertical="center"/>
    </xf>
    <xf numFmtId="3" fontId="57" fillId="31" borderId="0" xfId="218" applyNumberFormat="1" applyFont="1" applyFill="1" applyBorder="1" applyAlignment="1" applyProtection="1">
      <alignment horizontal="centerContinuous" vertical="center"/>
    </xf>
    <xf numFmtId="3" fontId="57" fillId="31" borderId="118" xfId="218" applyNumberFormat="1" applyFont="1" applyFill="1" applyBorder="1" applyAlignment="1" applyProtection="1">
      <alignment horizontal="centerContinuous" vertical="center"/>
    </xf>
    <xf numFmtId="3" fontId="57" fillId="31" borderId="119" xfId="218" applyNumberFormat="1" applyFont="1" applyFill="1" applyBorder="1" applyAlignment="1" applyProtection="1">
      <alignment horizontal="centerContinuous" vertical="center"/>
    </xf>
    <xf numFmtId="14" fontId="57" fillId="31" borderId="118" xfId="218" applyNumberFormat="1" applyFont="1" applyFill="1" applyBorder="1" applyAlignment="1" applyProtection="1">
      <alignment horizontal="center" vertical="center"/>
    </xf>
    <xf numFmtId="0" fontId="23" fillId="0" borderId="0" xfId="0" applyFont="1"/>
    <xf numFmtId="3" fontId="69" fillId="0" borderId="20" xfId="218" applyNumberFormat="1" applyFont="1" applyBorder="1" applyAlignment="1" applyProtection="1"/>
    <xf numFmtId="0" fontId="69" fillId="0" borderId="0" xfId="0" applyFont="1" applyBorder="1" applyAlignment="1" applyProtection="1">
      <alignment horizontal="center"/>
      <protection locked="0"/>
    </xf>
    <xf numFmtId="4" fontId="69" fillId="33" borderId="29" xfId="218" applyNumberFormat="1" applyFont="1" applyFill="1" applyBorder="1" applyAlignment="1" applyProtection="1">
      <alignment horizontal="center"/>
      <protection locked="0"/>
    </xf>
    <xf numFmtId="0" fontId="78" fillId="0" borderId="0" xfId="0" applyFont="1" applyBorder="1" applyAlignment="1" applyProtection="1">
      <alignment horizontal="center"/>
      <protection locked="0"/>
    </xf>
    <xf numFmtId="0" fontId="61" fillId="0" borderId="0" xfId="0" applyFont="1" applyAlignment="1">
      <alignment horizontal="center"/>
    </xf>
    <xf numFmtId="14" fontId="116" fillId="0" borderId="0" xfId="0" applyNumberFormat="1" applyFont="1" applyAlignment="1">
      <alignment horizontal="center"/>
    </xf>
    <xf numFmtId="3" fontId="69" fillId="30" borderId="29" xfId="218" applyNumberFormat="1" applyFont="1" applyFill="1" applyBorder="1" applyAlignment="1" applyProtection="1">
      <alignment horizontal="center"/>
    </xf>
    <xf numFmtId="194" fontId="78" fillId="30" borderId="0" xfId="218" applyNumberFormat="1" applyFont="1" applyFill="1" applyBorder="1" applyAlignment="1" applyProtection="1">
      <alignment horizontal="center"/>
      <protection locked="0"/>
    </xf>
    <xf numFmtId="176" fontId="78" fillId="0" borderId="0" xfId="218" applyNumberFormat="1" applyFont="1" applyBorder="1" applyAlignment="1" applyProtection="1">
      <alignment horizontal="center"/>
      <protection locked="0"/>
    </xf>
    <xf numFmtId="14" fontId="116" fillId="0" borderId="0" xfId="0" applyNumberFormat="1" applyFont="1"/>
    <xf numFmtId="4" fontId="69" fillId="33" borderId="0" xfId="218" applyNumberFormat="1" applyFont="1" applyFill="1" applyBorder="1" applyAlignment="1" applyProtection="1">
      <alignment horizontal="center"/>
      <protection locked="0"/>
    </xf>
    <xf numFmtId="0" fontId="78" fillId="0" borderId="0" xfId="0" applyFont="1" applyFill="1" applyBorder="1" applyProtection="1">
      <protection locked="0"/>
    </xf>
    <xf numFmtId="4" fontId="79" fillId="0" borderId="0" xfId="218" applyNumberFormat="1" applyFont="1" applyFill="1" applyBorder="1" applyAlignment="1" applyProtection="1">
      <alignment horizontal="center"/>
      <protection locked="0"/>
    </xf>
    <xf numFmtId="3" fontId="69" fillId="0" borderId="25" xfId="218" applyNumberFormat="1" applyFont="1" applyBorder="1" applyAlignment="1" applyProtection="1">
      <alignment horizontal="center"/>
    </xf>
    <xf numFmtId="3" fontId="69" fillId="0" borderId="111" xfId="218" applyNumberFormat="1" applyFont="1" applyBorder="1" applyAlignment="1" applyProtection="1">
      <alignment horizontal="center"/>
    </xf>
    <xf numFmtId="3" fontId="69" fillId="0" borderId="65" xfId="218" applyNumberFormat="1" applyFont="1" applyFill="1" applyBorder="1" applyAlignment="1" applyProtection="1">
      <alignment horizontal="center"/>
    </xf>
    <xf numFmtId="3" fontId="78" fillId="30" borderId="111" xfId="218" applyNumberFormat="1" applyFont="1" applyFill="1" applyBorder="1" applyAlignment="1" applyProtection="1">
      <alignment horizontal="left"/>
    </xf>
    <xf numFmtId="3" fontId="78" fillId="30" borderId="110" xfId="218" applyNumberFormat="1" applyFont="1" applyFill="1" applyBorder="1" applyAlignment="1" applyProtection="1">
      <alignment horizontal="centerContinuous"/>
    </xf>
    <xf numFmtId="3" fontId="78" fillId="30" borderId="65" xfId="218" applyNumberFormat="1" applyFont="1" applyFill="1" applyBorder="1" applyAlignment="1" applyProtection="1">
      <alignment horizontal="centerContinuous"/>
    </xf>
    <xf numFmtId="0" fontId="69" fillId="0" borderId="111" xfId="218" applyFont="1" applyBorder="1" applyAlignment="1" applyProtection="1">
      <alignment horizontal="center"/>
      <protection locked="0"/>
    </xf>
    <xf numFmtId="0" fontId="57" fillId="0" borderId="120" xfId="0" applyFont="1" applyBorder="1" applyAlignment="1">
      <alignment horizontal="center"/>
    </xf>
    <xf numFmtId="0" fontId="0" fillId="0" borderId="121" xfId="0" applyBorder="1" applyAlignment="1">
      <alignment horizontal="center"/>
    </xf>
    <xf numFmtId="0" fontId="0" fillId="0" borderId="65" xfId="0" applyBorder="1" applyAlignment="1">
      <alignment horizontal="center"/>
    </xf>
    <xf numFmtId="3" fontId="69" fillId="0" borderId="24" xfId="218" applyNumberFormat="1" applyFont="1" applyBorder="1" applyAlignment="1" applyProtection="1">
      <alignment horizontal="center"/>
    </xf>
    <xf numFmtId="3" fontId="69" fillId="0" borderId="59" xfId="218" applyNumberFormat="1" applyFont="1" applyBorder="1" applyAlignment="1" applyProtection="1">
      <alignment horizontal="center"/>
    </xf>
    <xf numFmtId="3" fontId="69" fillId="0" borderId="122" xfId="218" applyNumberFormat="1" applyFont="1" applyFill="1" applyBorder="1" applyAlignment="1" applyProtection="1">
      <alignment horizontal="center"/>
    </xf>
    <xf numFmtId="0" fontId="78" fillId="0" borderId="40" xfId="218" applyFont="1" applyBorder="1" applyAlignment="1" applyProtection="1">
      <alignment horizontal="center"/>
      <protection locked="0"/>
    </xf>
    <xf numFmtId="0" fontId="78" fillId="0" borderId="50" xfId="218" applyFont="1" applyBorder="1" applyAlignment="1" applyProtection="1">
      <alignment horizontal="center"/>
      <protection locked="0"/>
    </xf>
    <xf numFmtId="3" fontId="78" fillId="0" borderId="67" xfId="218" applyNumberFormat="1" applyFont="1" applyBorder="1" applyAlignment="1" applyProtection="1">
      <alignment horizontal="center"/>
    </xf>
    <xf numFmtId="3" fontId="79" fillId="30" borderId="59" xfId="218" applyNumberFormat="1" applyFont="1" applyFill="1" applyBorder="1" applyAlignment="1" applyProtection="1">
      <alignment horizontal="center"/>
    </xf>
    <xf numFmtId="3" fontId="79" fillId="30" borderId="52" xfId="218" applyNumberFormat="1" applyFont="1" applyFill="1" applyBorder="1" applyAlignment="1" applyProtection="1">
      <alignment horizontal="center"/>
    </xf>
    <xf numFmtId="3" fontId="78" fillId="30" borderId="59" xfId="218" applyNumberFormat="1" applyFont="1" applyFill="1" applyBorder="1" applyAlignment="1" applyProtection="1">
      <alignment horizontal="center"/>
    </xf>
    <xf numFmtId="3" fontId="78" fillId="30" borderId="52" xfId="218" applyNumberFormat="1" applyFont="1" applyFill="1" applyBorder="1" applyAlignment="1" applyProtection="1">
      <alignment horizontal="center"/>
    </xf>
    <xf numFmtId="3" fontId="78" fillId="30" borderId="67" xfId="218" applyNumberFormat="1" applyFont="1" applyFill="1" applyBorder="1" applyAlignment="1" applyProtection="1">
      <alignment horizontal="center"/>
    </xf>
    <xf numFmtId="3" fontId="69" fillId="0" borderId="59" xfId="218" applyNumberFormat="1" applyFont="1" applyFill="1" applyBorder="1" applyAlignment="1" applyProtection="1">
      <alignment horizontal="center"/>
    </xf>
    <xf numFmtId="0" fontId="78" fillId="0" borderId="83" xfId="218" applyFont="1" applyBorder="1" applyAlignment="1" applyProtection="1">
      <alignment horizontal="center"/>
      <protection locked="0"/>
    </xf>
    <xf numFmtId="3" fontId="69" fillId="0" borderId="62" xfId="218" applyNumberFormat="1" applyFont="1" applyFill="1" applyBorder="1" applyAlignment="1" applyProtection="1">
      <alignment horizontal="center"/>
    </xf>
    <xf numFmtId="0" fontId="78" fillId="0" borderId="0" xfId="218" applyFont="1" applyBorder="1" applyAlignment="1" applyProtection="1">
      <alignment horizontal="center"/>
      <protection locked="0"/>
    </xf>
    <xf numFmtId="0" fontId="69" fillId="0" borderId="59" xfId="218" applyFont="1" applyBorder="1" applyAlignment="1" applyProtection="1">
      <alignment horizontal="center"/>
      <protection locked="0"/>
    </xf>
    <xf numFmtId="0" fontId="57" fillId="0" borderId="93" xfId="0" applyFont="1" applyBorder="1" applyAlignment="1">
      <alignment horizontal="center"/>
    </xf>
    <xf numFmtId="0" fontId="0" fillId="0" borderId="122" xfId="0" applyBorder="1" applyAlignment="1">
      <alignment horizontal="center"/>
    </xf>
    <xf numFmtId="0" fontId="0" fillId="0" borderId="67" xfId="0" applyBorder="1" applyAlignment="1">
      <alignment horizontal="center"/>
    </xf>
    <xf numFmtId="3" fontId="69" fillId="36" borderId="20" xfId="218" applyNumberFormat="1" applyFont="1" applyFill="1" applyBorder="1" applyAlignment="1" applyProtection="1">
      <alignment horizontal="center"/>
    </xf>
    <xf numFmtId="3" fontId="117" fillId="0" borderId="7" xfId="218" applyNumberFormat="1" applyFont="1" applyBorder="1" applyAlignment="1" applyProtection="1">
      <alignment horizontal="center"/>
    </xf>
    <xf numFmtId="0" fontId="78" fillId="0" borderId="40" xfId="218" applyFont="1" applyFill="1" applyBorder="1" applyAlignment="1" applyProtection="1">
      <alignment horizontal="center"/>
      <protection locked="0"/>
    </xf>
    <xf numFmtId="3" fontId="117" fillId="0" borderId="19" xfId="218" applyNumberFormat="1" applyFont="1" applyBorder="1" applyAlignment="1" applyProtection="1">
      <alignment horizontal="center"/>
    </xf>
    <xf numFmtId="0" fontId="78" fillId="0" borderId="44" xfId="218" applyFont="1" applyBorder="1" applyAlignment="1" applyProtection="1">
      <protection locked="0"/>
    </xf>
    <xf numFmtId="195" fontId="69" fillId="28" borderId="123" xfId="0" applyNumberFormat="1" applyFont="1" applyFill="1" applyBorder="1" applyAlignment="1" applyProtection="1">
      <alignment horizontal="center"/>
      <protection locked="0"/>
    </xf>
    <xf numFmtId="0" fontId="78" fillId="0" borderId="110" xfId="218" applyFont="1" applyFill="1" applyBorder="1" applyAlignment="1" applyProtection="1">
      <protection locked="0"/>
    </xf>
    <xf numFmtId="0" fontId="78" fillId="0" borderId="123" xfId="218" applyFont="1" applyBorder="1" applyAlignment="1" applyProtection="1">
      <protection locked="0"/>
    </xf>
    <xf numFmtId="9" fontId="57" fillId="36" borderId="65" xfId="219" applyFont="1" applyFill="1" applyBorder="1" applyAlignment="1" applyProtection="1">
      <alignment horizontal="center"/>
    </xf>
    <xf numFmtId="3" fontId="118" fillId="30" borderId="7" xfId="218" applyNumberFormat="1" applyFont="1" applyFill="1" applyBorder="1" applyAlignment="1" applyProtection="1">
      <alignment horizontal="center"/>
    </xf>
    <xf numFmtId="3" fontId="118" fillId="30" borderId="50" xfId="218" applyNumberFormat="1" applyFont="1" applyFill="1" applyBorder="1" applyAlignment="1" applyProtection="1">
      <alignment horizontal="center"/>
    </xf>
    <xf numFmtId="3" fontId="119" fillId="30" borderId="7" xfId="218" applyNumberFormat="1" applyFont="1" applyFill="1" applyBorder="1" applyAlignment="1" applyProtection="1"/>
    <xf numFmtId="3" fontId="119" fillId="30" borderId="50" xfId="218" applyNumberFormat="1" applyFont="1" applyFill="1" applyBorder="1" applyAlignment="1" applyProtection="1"/>
    <xf numFmtId="3" fontId="119" fillId="30" borderId="66" xfId="218" applyNumberFormat="1" applyFont="1" applyFill="1" applyBorder="1" applyAlignment="1" applyProtection="1"/>
    <xf numFmtId="0" fontId="78" fillId="0" borderId="7" xfId="218" applyFont="1" applyBorder="1" applyAlignment="1" applyProtection="1">
      <protection locked="0"/>
    </xf>
    <xf numFmtId="0" fontId="0" fillId="0" borderId="39" xfId="0" applyBorder="1"/>
    <xf numFmtId="0" fontId="78" fillId="0" borderId="58" xfId="218" applyFont="1" applyBorder="1" applyAlignment="1" applyProtection="1">
      <protection locked="0"/>
    </xf>
    <xf numFmtId="2" fontId="69" fillId="0" borderId="123" xfId="0" applyNumberFormat="1" applyFont="1" applyFill="1" applyBorder="1" applyAlignment="1" applyProtection="1">
      <alignment horizontal="center"/>
      <protection locked="0"/>
    </xf>
    <xf numFmtId="195" fontId="69" fillId="28" borderId="7" xfId="218" applyNumberFormat="1" applyFont="1" applyFill="1" applyBorder="1" applyAlignment="1" applyProtection="1">
      <alignment horizontal="center"/>
      <protection locked="0"/>
    </xf>
    <xf numFmtId="0" fontId="0" fillId="0" borderId="83" xfId="0" applyBorder="1"/>
    <xf numFmtId="0" fontId="0" fillId="0" borderId="121" xfId="0" applyBorder="1"/>
    <xf numFmtId="0" fontId="0" fillId="0" borderId="65" xfId="0" applyBorder="1"/>
    <xf numFmtId="3" fontId="69" fillId="0" borderId="7" xfId="218" applyNumberFormat="1" applyFont="1" applyBorder="1" applyAlignment="1" applyProtection="1">
      <alignment horizontal="center"/>
    </xf>
    <xf numFmtId="3" fontId="69" fillId="0" borderId="40" xfId="218" applyNumberFormat="1" applyFont="1" applyBorder="1" applyAlignment="1" applyProtection="1"/>
    <xf numFmtId="2" fontId="78" fillId="0" borderId="0" xfId="0" applyNumberFormat="1" applyFont="1" applyBorder="1" applyAlignment="1" applyProtection="1">
      <alignment horizontal="center"/>
      <protection locked="0"/>
    </xf>
    <xf numFmtId="191" fontId="69" fillId="0" borderId="44" xfId="218" applyNumberFormat="1" applyFont="1" applyBorder="1" applyAlignment="1" applyProtection="1"/>
    <xf numFmtId="2" fontId="78" fillId="0" borderId="40" xfId="218" applyNumberFormat="1" applyFont="1" applyBorder="1" applyAlignment="1" applyProtection="1">
      <alignment horizontal="center"/>
      <protection locked="0"/>
    </xf>
    <xf numFmtId="2" fontId="78" fillId="0" borderId="50" xfId="218" applyNumberFormat="1" applyFont="1" applyBorder="1" applyAlignment="1" applyProtection="1">
      <protection locked="0"/>
    </xf>
    <xf numFmtId="2" fontId="78" fillId="0" borderId="40" xfId="218" applyNumberFormat="1" applyFont="1" applyBorder="1" applyAlignment="1" applyProtection="1">
      <protection locked="0"/>
    </xf>
    <xf numFmtId="192" fontId="78" fillId="0" borderId="66" xfId="218" applyNumberFormat="1" applyFont="1" applyBorder="1" applyAlignment="1" applyProtection="1"/>
    <xf numFmtId="3" fontId="79" fillId="30" borderId="7" xfId="218" applyNumberFormat="1" applyFont="1" applyFill="1" applyBorder="1" applyAlignment="1" applyProtection="1"/>
    <xf numFmtId="3" fontId="79" fillId="30" borderId="50" xfId="218" applyNumberFormat="1" applyFont="1" applyFill="1" applyBorder="1" applyAlignment="1" applyProtection="1"/>
    <xf numFmtId="192" fontId="78" fillId="30" borderId="7" xfId="218" applyNumberFormat="1" applyFont="1" applyFill="1" applyBorder="1" applyAlignment="1" applyProtection="1"/>
    <xf numFmtId="192" fontId="78" fillId="30" borderId="50" xfId="218" applyNumberFormat="1" applyFont="1" applyFill="1" applyBorder="1" applyAlignment="1" applyProtection="1"/>
    <xf numFmtId="192" fontId="78" fillId="30" borderId="66" xfId="218" applyNumberFormat="1" applyFont="1" applyFill="1" applyBorder="1" applyAlignment="1" applyProtection="1"/>
    <xf numFmtId="191" fontId="69" fillId="0" borderId="7" xfId="218" applyNumberFormat="1" applyFont="1" applyBorder="1" applyAlignment="1" applyProtection="1"/>
    <xf numFmtId="2" fontId="78" fillId="0" borderId="0" xfId="218" applyNumberFormat="1" applyFont="1" applyBorder="1" applyAlignment="1" applyProtection="1">
      <alignment horizontal="center"/>
      <protection locked="0"/>
    </xf>
    <xf numFmtId="191" fontId="69" fillId="38" borderId="58" xfId="218" applyNumberFormat="1" applyFont="1" applyFill="1" applyBorder="1" applyAlignment="1" applyProtection="1"/>
    <xf numFmtId="195" fontId="78" fillId="0" borderId="7" xfId="218" applyNumberFormat="1" applyFont="1" applyBorder="1" applyAlignment="1" applyProtection="1">
      <alignment horizontal="center"/>
      <protection locked="0"/>
    </xf>
    <xf numFmtId="191" fontId="69" fillId="0" borderId="83" xfId="0" applyNumberFormat="1" applyFont="1" applyBorder="1" applyAlignment="1">
      <alignment horizontal="center"/>
    </xf>
    <xf numFmtId="0" fontId="0" fillId="0" borderId="44" xfId="0" applyBorder="1"/>
    <xf numFmtId="0" fontId="0" fillId="0" borderId="66" xfId="0" applyBorder="1"/>
    <xf numFmtId="3" fontId="69" fillId="0" borderId="35" xfId="218" applyNumberFormat="1" applyFont="1" applyBorder="1" applyAlignment="1" applyProtection="1">
      <alignment horizontal="center"/>
    </xf>
    <xf numFmtId="3" fontId="69" fillId="0" borderId="47" xfId="218" applyNumberFormat="1" applyFont="1" applyBorder="1" applyAlignment="1" applyProtection="1">
      <alignment horizontal="center"/>
    </xf>
    <xf numFmtId="3" fontId="69" fillId="0" borderId="102" xfId="218" applyNumberFormat="1" applyFont="1" applyBorder="1" applyAlignment="1" applyProtection="1"/>
    <xf numFmtId="2" fontId="78" fillId="0" borderId="86" xfId="0" applyNumberFormat="1" applyFont="1" applyBorder="1" applyAlignment="1" applyProtection="1">
      <alignment horizontal="center"/>
      <protection locked="0"/>
    </xf>
    <xf numFmtId="191" fontId="79" fillId="0" borderId="46" xfId="218" applyNumberFormat="1" applyFont="1" applyBorder="1" applyAlignment="1" applyProtection="1"/>
    <xf numFmtId="195" fontId="79" fillId="0" borderId="102" xfId="218" applyNumberFormat="1" applyFont="1" applyBorder="1" applyAlignment="1" applyProtection="1">
      <alignment horizontal="center"/>
      <protection locked="0"/>
    </xf>
    <xf numFmtId="195" fontId="98" fillId="0" borderId="1" xfId="218" applyNumberFormat="1" applyFont="1" applyBorder="1" applyAlignment="1" applyProtection="1">
      <alignment horizontal="center"/>
      <protection locked="0"/>
    </xf>
    <xf numFmtId="195" fontId="98" fillId="0" borderId="102" xfId="218" applyNumberFormat="1" applyFont="1" applyBorder="1" applyAlignment="1" applyProtection="1">
      <alignment horizontal="center"/>
      <protection locked="0"/>
    </xf>
    <xf numFmtId="192" fontId="78" fillId="0" borderId="73" xfId="218" applyNumberFormat="1" applyFont="1" applyBorder="1" applyAlignment="1" applyProtection="1"/>
    <xf numFmtId="3" fontId="79" fillId="30" borderId="47" xfId="218" applyNumberFormat="1" applyFont="1" applyFill="1" applyBorder="1" applyAlignment="1" applyProtection="1">
      <alignment horizontal="right"/>
    </xf>
    <xf numFmtId="3" fontId="79" fillId="30" borderId="1" xfId="218" applyNumberFormat="1" applyFont="1" applyFill="1" applyBorder="1" applyAlignment="1" applyProtection="1">
      <alignment horizontal="right"/>
    </xf>
    <xf numFmtId="3" fontId="79" fillId="30" borderId="1" xfId="218" applyNumberFormat="1" applyFont="1" applyFill="1" applyBorder="1" applyAlignment="1" applyProtection="1"/>
    <xf numFmtId="192" fontId="78" fillId="30" borderId="47" xfId="218" applyNumberFormat="1" applyFont="1" applyFill="1" applyBorder="1" applyAlignment="1" applyProtection="1"/>
    <xf numFmtId="192" fontId="78" fillId="30" borderId="1" xfId="218" applyNumberFormat="1" applyFont="1" applyFill="1" applyBorder="1" applyAlignment="1" applyProtection="1"/>
    <xf numFmtId="192" fontId="78" fillId="30" borderId="73" xfId="218" applyNumberFormat="1" applyFont="1" applyFill="1" applyBorder="1" applyAlignment="1" applyProtection="1"/>
    <xf numFmtId="191" fontId="79" fillId="0" borderId="47" xfId="218" applyNumberFormat="1" applyFont="1" applyBorder="1" applyAlignment="1" applyProtection="1"/>
    <xf numFmtId="195" fontId="98" fillId="0" borderId="36" xfId="218" applyNumberFormat="1" applyFont="1" applyBorder="1" applyAlignment="1" applyProtection="1">
      <alignment horizontal="center"/>
      <protection locked="0"/>
    </xf>
    <xf numFmtId="191" fontId="79" fillId="0" borderId="89" xfId="218" applyNumberFormat="1" applyFont="1" applyBorder="1" applyAlignment="1" applyProtection="1"/>
    <xf numFmtId="195" fontId="98" fillId="0" borderId="47" xfId="218" applyNumberFormat="1" applyFont="1" applyBorder="1" applyAlignment="1" applyProtection="1">
      <alignment horizontal="center"/>
      <protection locked="0"/>
    </xf>
    <xf numFmtId="191" fontId="79" fillId="0" borderId="72" xfId="0" applyNumberFormat="1" applyFont="1" applyBorder="1" applyAlignment="1">
      <alignment horizontal="center"/>
    </xf>
    <xf numFmtId="0" fontId="0" fillId="0" borderId="46" xfId="0" applyBorder="1"/>
    <xf numFmtId="0" fontId="0" fillId="0" borderId="73" xfId="0" applyBorder="1"/>
    <xf numFmtId="3" fontId="69" fillId="38" borderId="96" xfId="218" applyNumberFormat="1" applyFont="1" applyFill="1" applyBorder="1" applyAlignment="1" applyProtection="1">
      <alignment horizontal="center"/>
    </xf>
    <xf numFmtId="2" fontId="114" fillId="38" borderId="0" xfId="218" applyNumberFormat="1" applyFont="1" applyFill="1" applyBorder="1" applyAlignment="1" applyProtection="1">
      <alignment horizontal="right"/>
    </xf>
    <xf numFmtId="3" fontId="69" fillId="38" borderId="74" xfId="218" applyNumberFormat="1" applyFont="1" applyFill="1" applyBorder="1" applyAlignment="1" applyProtection="1"/>
    <xf numFmtId="192" fontId="69" fillId="38" borderId="74" xfId="218" applyNumberFormat="1" applyFont="1" applyFill="1" applyBorder="1" applyAlignment="1" applyProtection="1">
      <alignment horizontal="right"/>
    </xf>
    <xf numFmtId="3" fontId="69" fillId="38" borderId="74" xfId="218" applyNumberFormat="1" applyFont="1" applyFill="1" applyBorder="1" applyAlignment="1" applyProtection="1">
      <alignment horizontal="center"/>
    </xf>
    <xf numFmtId="3" fontId="69" fillId="30" borderId="74" xfId="218" applyNumberFormat="1" applyFont="1" applyFill="1" applyBorder="1" applyAlignment="1" applyProtection="1">
      <alignment horizontal="center"/>
    </xf>
    <xf numFmtId="190" fontId="69" fillId="30" borderId="109" xfId="218" applyNumberFormat="1" applyFont="1" applyFill="1" applyBorder="1" applyAlignment="1" applyProtection="1"/>
    <xf numFmtId="0" fontId="0" fillId="38" borderId="0" xfId="0" applyFill="1"/>
    <xf numFmtId="0" fontId="78" fillId="38" borderId="0" xfId="218" applyFont="1" applyFill="1" applyAlignment="1" applyProtection="1">
      <protection locked="0"/>
    </xf>
    <xf numFmtId="0" fontId="0" fillId="38" borderId="41" xfId="0" applyFill="1" applyBorder="1"/>
    <xf numFmtId="3" fontId="69" fillId="36" borderId="25" xfId="218" applyNumberFormat="1" applyFont="1" applyFill="1" applyBorder="1" applyAlignment="1" applyProtection="1">
      <alignment horizontal="center"/>
    </xf>
    <xf numFmtId="0" fontId="78" fillId="0" borderId="110" xfId="218" applyFont="1" applyFill="1" applyBorder="1" applyAlignment="1" applyProtection="1">
      <alignment horizontal="center"/>
      <protection locked="0"/>
    </xf>
    <xf numFmtId="3" fontId="117" fillId="0" borderId="124" xfId="218" applyNumberFormat="1" applyFont="1" applyBorder="1" applyAlignment="1" applyProtection="1">
      <alignment horizontal="center"/>
    </xf>
    <xf numFmtId="0" fontId="78" fillId="0" borderId="121" xfId="218" applyFont="1" applyBorder="1" applyAlignment="1" applyProtection="1">
      <protection locked="0"/>
    </xf>
    <xf numFmtId="3" fontId="118" fillId="30" borderId="111" xfId="218" applyNumberFormat="1" applyFont="1" applyFill="1" applyBorder="1" applyAlignment="1" applyProtection="1">
      <alignment horizontal="center"/>
    </xf>
    <xf numFmtId="3" fontId="118" fillId="30" borderId="110" xfId="218" applyNumberFormat="1" applyFont="1" applyFill="1" applyBorder="1" applyAlignment="1" applyProtection="1">
      <alignment horizontal="center"/>
    </xf>
    <xf numFmtId="0" fontId="78" fillId="0" borderId="111" xfId="218" applyFont="1" applyBorder="1" applyAlignment="1" applyProtection="1">
      <protection locked="0"/>
    </xf>
    <xf numFmtId="0" fontId="78" fillId="0" borderId="124" xfId="218" applyFont="1" applyBorder="1" applyAlignment="1" applyProtection="1">
      <protection locked="0"/>
    </xf>
    <xf numFmtId="0" fontId="78" fillId="0" borderId="101" xfId="218" applyFont="1" applyBorder="1" applyAlignment="1" applyProtection="1">
      <protection locked="0"/>
    </xf>
    <xf numFmtId="195" fontId="69" fillId="28" borderId="111" xfId="218" applyNumberFormat="1" applyFont="1" applyFill="1" applyBorder="1" applyAlignment="1" applyProtection="1">
      <alignment horizontal="center"/>
      <protection locked="0"/>
    </xf>
    <xf numFmtId="0" fontId="0" fillId="0" borderId="120" xfId="0" applyBorder="1"/>
    <xf numFmtId="3" fontId="69" fillId="0" borderId="50" xfId="218" applyNumberFormat="1" applyFont="1" applyBorder="1" applyAlignment="1" applyProtection="1"/>
    <xf numFmtId="2" fontId="78" fillId="0" borderId="78" xfId="0" applyNumberFormat="1" applyFont="1" applyBorder="1" applyAlignment="1" applyProtection="1">
      <alignment horizontal="center"/>
      <protection locked="0"/>
    </xf>
    <xf numFmtId="4" fontId="79" fillId="30" borderId="7" xfId="218" applyNumberFormat="1" applyFont="1" applyFill="1" applyBorder="1" applyAlignment="1" applyProtection="1"/>
    <xf numFmtId="4" fontId="79" fillId="30" borderId="50" xfId="218" applyNumberFormat="1" applyFont="1" applyFill="1" applyBorder="1" applyAlignment="1" applyProtection="1"/>
    <xf numFmtId="2" fontId="78" fillId="0" borderId="50" xfId="218" applyNumberFormat="1" applyFont="1" applyBorder="1" applyAlignment="1" applyProtection="1">
      <alignment horizontal="center"/>
      <protection locked="0"/>
    </xf>
    <xf numFmtId="2" fontId="78" fillId="0" borderId="78" xfId="218" applyNumberFormat="1" applyFont="1" applyBorder="1" applyAlignment="1" applyProtection="1">
      <alignment horizontal="center"/>
      <protection locked="0"/>
    </xf>
    <xf numFmtId="2" fontId="78" fillId="0" borderId="82" xfId="0" applyNumberFormat="1" applyFont="1" applyBorder="1" applyAlignment="1" applyProtection="1">
      <alignment horizontal="center"/>
      <protection locked="0"/>
    </xf>
    <xf numFmtId="3" fontId="69" fillId="0" borderId="1" xfId="218" applyNumberFormat="1" applyFont="1" applyBorder="1" applyAlignment="1" applyProtection="1"/>
    <xf numFmtId="4" fontId="79" fillId="30" borderId="47" xfId="218" applyNumberFormat="1" applyFont="1" applyFill="1" applyBorder="1" applyAlignment="1" applyProtection="1">
      <alignment horizontal="right"/>
    </xf>
    <xf numFmtId="4" fontId="79" fillId="30" borderId="1" xfId="218" applyNumberFormat="1" applyFont="1" applyFill="1" applyBorder="1" applyAlignment="1" applyProtection="1">
      <alignment horizontal="right"/>
    </xf>
    <xf numFmtId="4" fontId="79" fillId="30" borderId="1" xfId="218" applyNumberFormat="1" applyFont="1" applyFill="1" applyBorder="1" applyAlignment="1" applyProtection="1"/>
    <xf numFmtId="0" fontId="0" fillId="0" borderId="39" xfId="0" applyFill="1" applyBorder="1"/>
    <xf numFmtId="192" fontId="69" fillId="38" borderId="109" xfId="218" applyNumberFormat="1" applyFont="1" applyFill="1" applyBorder="1" applyAlignment="1" applyProtection="1">
      <alignment horizontal="right"/>
    </xf>
    <xf numFmtId="3" fontId="69" fillId="30" borderId="109" xfId="218" applyNumberFormat="1" applyFont="1" applyFill="1" applyBorder="1" applyAlignment="1" applyProtection="1">
      <alignment horizontal="center"/>
    </xf>
    <xf numFmtId="192" fontId="69" fillId="38" borderId="125" xfId="218" applyNumberFormat="1" applyFont="1" applyFill="1" applyBorder="1" applyAlignment="1" applyProtection="1">
      <alignment horizontal="right"/>
    </xf>
    <xf numFmtId="2" fontId="78" fillId="0" borderId="82" xfId="218" applyNumberFormat="1" applyFont="1" applyBorder="1" applyAlignment="1" applyProtection="1">
      <alignment horizontal="center"/>
      <protection locked="0"/>
    </xf>
    <xf numFmtId="3" fontId="69" fillId="38" borderId="24" xfId="218" applyNumberFormat="1" applyFont="1" applyFill="1" applyBorder="1" applyAlignment="1" applyProtection="1">
      <alignment horizontal="center"/>
    </xf>
    <xf numFmtId="3" fontId="69" fillId="38" borderId="29" xfId="218" applyNumberFormat="1" applyFont="1" applyFill="1" applyBorder="1" applyAlignment="1" applyProtection="1">
      <alignment horizontal="center"/>
    </xf>
    <xf numFmtId="192" fontId="69" fillId="38" borderId="29" xfId="218" applyNumberFormat="1" applyFont="1" applyFill="1" applyBorder="1" applyAlignment="1" applyProtection="1">
      <alignment horizontal="right"/>
    </xf>
    <xf numFmtId="192" fontId="69" fillId="38" borderId="0" xfId="218" applyNumberFormat="1" applyFont="1" applyFill="1" applyBorder="1" applyAlignment="1" applyProtection="1">
      <alignment horizontal="right"/>
    </xf>
    <xf numFmtId="3" fontId="69" fillId="30" borderId="0" xfId="218" applyNumberFormat="1" applyFont="1" applyFill="1" applyBorder="1" applyAlignment="1" applyProtection="1">
      <alignment horizontal="center"/>
    </xf>
    <xf numFmtId="190" fontId="69" fillId="30" borderId="29" xfId="218" applyNumberFormat="1" applyFont="1" applyFill="1" applyBorder="1" applyAlignment="1" applyProtection="1"/>
    <xf numFmtId="192" fontId="69" fillId="38" borderId="60" xfId="218" applyNumberFormat="1" applyFont="1" applyFill="1" applyBorder="1" applyAlignment="1" applyProtection="1">
      <alignment horizontal="right"/>
    </xf>
    <xf numFmtId="3" fontId="104" fillId="0" borderId="54" xfId="218" applyNumberFormat="1" applyFont="1" applyBorder="1" applyAlignment="1" applyProtection="1">
      <alignment horizontal="center"/>
    </xf>
    <xf numFmtId="3" fontId="104" fillId="0" borderId="53" xfId="218" applyNumberFormat="1" applyFont="1" applyBorder="1" applyAlignment="1" applyProtection="1">
      <alignment horizontal="center"/>
    </xf>
    <xf numFmtId="3" fontId="69" fillId="0" borderId="126" xfId="218" applyNumberFormat="1" applyFont="1" applyFill="1" applyBorder="1" applyAlignment="1" applyProtection="1">
      <alignment horizontal="right"/>
      <protection locked="0"/>
    </xf>
    <xf numFmtId="4" fontId="105" fillId="0" borderId="94" xfId="218" applyNumberFormat="1" applyFont="1" applyBorder="1" applyAlignment="1" applyProtection="1">
      <alignment horizontal="center"/>
    </xf>
    <xf numFmtId="191" fontId="102" fillId="0" borderId="91" xfId="218" applyNumberFormat="1" applyFont="1" applyBorder="1" applyAlignment="1" applyProtection="1"/>
    <xf numFmtId="191" fontId="102" fillId="0" borderId="126" xfId="218" applyNumberFormat="1" applyFont="1" applyFill="1" applyBorder="1" applyAlignment="1" applyProtection="1">
      <alignment horizontal="center"/>
    </xf>
    <xf numFmtId="191" fontId="106" fillId="0" borderId="32" xfId="218" applyNumberFormat="1" applyFont="1" applyFill="1" applyBorder="1" applyAlignment="1" applyProtection="1">
      <alignment horizontal="center"/>
    </xf>
    <xf numFmtId="191" fontId="106" fillId="0" borderId="126" xfId="218" applyNumberFormat="1" applyFont="1" applyFill="1" applyBorder="1" applyAlignment="1" applyProtection="1">
      <alignment horizontal="center"/>
    </xf>
    <xf numFmtId="192" fontId="104" fillId="0" borderId="56" xfId="218" applyNumberFormat="1" applyFont="1" applyBorder="1" applyAlignment="1" applyProtection="1">
      <alignment horizontal="right"/>
    </xf>
    <xf numFmtId="3" fontId="102" fillId="30" borderId="53" xfId="218" applyNumberFormat="1" applyFont="1" applyFill="1" applyBorder="1" applyAlignment="1" applyProtection="1"/>
    <xf numFmtId="3" fontId="102" fillId="30" borderId="126" xfId="218" applyNumberFormat="1" applyFont="1" applyFill="1" applyBorder="1" applyAlignment="1" applyProtection="1"/>
    <xf numFmtId="183" fontId="104" fillId="30" borderId="54" xfId="218" applyNumberFormat="1" applyFont="1" applyFill="1" applyBorder="1" applyAlignment="1" applyProtection="1">
      <alignment horizontal="right"/>
    </xf>
    <xf numFmtId="183" fontId="104" fillId="30" borderId="126" xfId="218" applyNumberFormat="1" applyFont="1" applyFill="1" applyBorder="1" applyAlignment="1" applyProtection="1">
      <alignment horizontal="right"/>
    </xf>
    <xf numFmtId="183" fontId="104" fillId="30" borderId="32" xfId="218" applyNumberFormat="1" applyFont="1" applyFill="1" applyBorder="1" applyAlignment="1" applyProtection="1">
      <alignment horizontal="right"/>
    </xf>
    <xf numFmtId="191" fontId="102" fillId="0" borderId="53" xfId="218" applyNumberFormat="1" applyFont="1" applyBorder="1" applyAlignment="1" applyProtection="1"/>
    <xf numFmtId="191" fontId="102" fillId="0" borderId="32" xfId="218" applyNumberFormat="1" applyFont="1" applyFill="1" applyBorder="1" applyAlignment="1" applyProtection="1">
      <alignment horizontal="center"/>
    </xf>
    <xf numFmtId="191" fontId="102" fillId="0" borderId="94" xfId="218" applyNumberFormat="1" applyFont="1" applyFill="1" applyBorder="1" applyAlignment="1" applyProtection="1">
      <alignment horizontal="center"/>
    </xf>
    <xf numFmtId="191" fontId="102" fillId="0" borderId="64" xfId="218" applyNumberFormat="1" applyFont="1" applyBorder="1" applyAlignment="1" applyProtection="1"/>
    <xf numFmtId="191" fontId="102" fillId="0" borderId="53" xfId="218" applyNumberFormat="1" applyFont="1" applyFill="1" applyBorder="1" applyAlignment="1" applyProtection="1">
      <alignment horizontal="center"/>
    </xf>
    <xf numFmtId="191" fontId="106" fillId="0" borderId="68" xfId="218" applyNumberFormat="1" applyFont="1" applyFill="1" applyBorder="1" applyAlignment="1" applyProtection="1">
      <alignment horizontal="center"/>
    </xf>
    <xf numFmtId="191" fontId="102" fillId="0" borderId="55" xfId="218" applyNumberFormat="1" applyFont="1" applyFill="1" applyBorder="1" applyAlignment="1" applyProtection="1">
      <alignment horizontal="center"/>
    </xf>
    <xf numFmtId="191" fontId="102" fillId="0" borderId="64" xfId="218" applyNumberFormat="1" applyFont="1" applyFill="1" applyBorder="1" applyAlignment="1" applyProtection="1">
      <alignment horizontal="center"/>
    </xf>
    <xf numFmtId="191" fontId="102" fillId="0" borderId="56" xfId="218" applyNumberFormat="1" applyFont="1" applyFill="1" applyBorder="1" applyAlignment="1" applyProtection="1">
      <alignment horizontal="center"/>
    </xf>
    <xf numFmtId="3" fontId="98" fillId="0" borderId="20" xfId="218" applyNumberFormat="1" applyFont="1" applyBorder="1" applyAlignment="1" applyProtection="1"/>
    <xf numFmtId="2" fontId="114" fillId="0" borderId="19" xfId="218" applyNumberFormat="1" applyFont="1" applyFill="1" applyBorder="1" applyAlignment="1" applyProtection="1">
      <alignment horizontal="center"/>
    </xf>
    <xf numFmtId="2" fontId="114" fillId="0" borderId="19" xfId="218" applyNumberFormat="1" applyFont="1" applyFill="1" applyBorder="1" applyAlignment="1" applyProtection="1">
      <alignment horizontal="right"/>
    </xf>
    <xf numFmtId="4" fontId="114" fillId="0" borderId="19" xfId="218" applyNumberFormat="1" applyFont="1" applyFill="1" applyBorder="1" applyAlignment="1" applyProtection="1">
      <alignment horizontal="right"/>
    </xf>
    <xf numFmtId="2" fontId="98" fillId="0" borderId="19" xfId="218" applyNumberFormat="1" applyFont="1" applyFill="1" applyBorder="1" applyAlignment="1" applyProtection="1"/>
    <xf numFmtId="2" fontId="69" fillId="0" borderId="19" xfId="218" applyNumberFormat="1" applyFont="1" applyFill="1" applyBorder="1" applyAlignment="1" applyProtection="1">
      <alignment horizontal="right"/>
    </xf>
    <xf numFmtId="192" fontId="69" fillId="0" borderId="0" xfId="218" applyNumberFormat="1" applyFont="1" applyFill="1" applyBorder="1" applyAlignment="1" applyProtection="1"/>
    <xf numFmtId="0" fontId="0" fillId="30" borderId="0" xfId="0" applyFill="1"/>
    <xf numFmtId="192" fontId="63" fillId="0" borderId="19" xfId="218" applyNumberFormat="1" applyFont="1" applyFill="1" applyBorder="1" applyAlignment="1" applyProtection="1">
      <alignment horizontal="right"/>
    </xf>
    <xf numFmtId="192" fontId="78" fillId="0" borderId="0" xfId="218" applyNumberFormat="1" applyFont="1" applyBorder="1" applyAlignment="1" applyProtection="1"/>
    <xf numFmtId="190" fontId="78" fillId="0" borderId="0" xfId="218" applyNumberFormat="1" applyFont="1" applyFill="1" applyBorder="1" applyAlignment="1" applyProtection="1">
      <protection locked="0"/>
    </xf>
    <xf numFmtId="190" fontId="78" fillId="0" borderId="0" xfId="218" applyNumberFormat="1" applyFont="1" applyBorder="1" applyAlignment="1" applyProtection="1">
      <protection locked="0"/>
    </xf>
    <xf numFmtId="190" fontId="69" fillId="0" borderId="0" xfId="218" applyNumberFormat="1" applyFont="1" applyFill="1" applyBorder="1" applyAlignment="1" applyProtection="1">
      <protection locked="0"/>
    </xf>
    <xf numFmtId="192" fontId="78" fillId="0" borderId="0" xfId="218" applyNumberFormat="1" applyFont="1" applyBorder="1" applyAlignment="1" applyProtection="1">
      <protection locked="0"/>
    </xf>
    <xf numFmtId="191" fontId="114" fillId="0" borderId="0" xfId="218" applyNumberFormat="1" applyFont="1" applyFill="1" applyBorder="1" applyAlignment="1" applyProtection="1">
      <alignment horizontal="right"/>
    </xf>
    <xf numFmtId="190" fontId="98" fillId="0" borderId="0" xfId="218" applyNumberFormat="1" applyFont="1" applyFill="1" applyBorder="1" applyAlignment="1" applyProtection="1">
      <protection locked="0"/>
    </xf>
    <xf numFmtId="170" fontId="98" fillId="0" borderId="0" xfId="219" applyNumberFormat="1" applyFont="1" applyBorder="1" applyAlignment="1" applyProtection="1">
      <protection locked="0"/>
    </xf>
    <xf numFmtId="190" fontId="98" fillId="0" borderId="0" xfId="218" applyNumberFormat="1" applyFont="1" applyBorder="1" applyAlignment="1" applyProtection="1">
      <protection locked="0"/>
    </xf>
    <xf numFmtId="190" fontId="98" fillId="0" borderId="41" xfId="218" applyNumberFormat="1" applyFont="1" applyBorder="1" applyAlignment="1" applyProtection="1">
      <protection locked="0"/>
    </xf>
    <xf numFmtId="3" fontId="69" fillId="31" borderId="24" xfId="218" applyNumberFormat="1" applyFont="1" applyFill="1" applyBorder="1" applyAlignment="1" applyProtection="1">
      <alignment vertical="center"/>
    </xf>
    <xf numFmtId="3" fontId="69" fillId="31" borderId="29" xfId="218" applyNumberFormat="1" applyFont="1" applyFill="1" applyBorder="1" applyAlignment="1" applyProtection="1">
      <alignment horizontal="center" vertical="center"/>
    </xf>
    <xf numFmtId="3" fontId="69" fillId="31" borderId="29" xfId="218" applyNumberFormat="1" applyFont="1" applyFill="1" applyBorder="1" applyAlignment="1" applyProtection="1">
      <alignment vertical="center"/>
    </xf>
    <xf numFmtId="3" fontId="69" fillId="31" borderId="29" xfId="218" applyNumberFormat="1" applyFont="1" applyFill="1" applyBorder="1" applyAlignment="1" applyProtection="1">
      <alignment horizontal="centerContinuous" vertical="center"/>
    </xf>
    <xf numFmtId="3" fontId="69" fillId="31" borderId="60" xfId="218" applyNumberFormat="1" applyFont="1" applyFill="1" applyBorder="1" applyAlignment="1" applyProtection="1">
      <alignment horizontal="centerContinuous" vertical="center"/>
    </xf>
    <xf numFmtId="3" fontId="57" fillId="29" borderId="0" xfId="0" applyNumberFormat="1" applyFont="1" applyFill="1" applyBorder="1" applyAlignment="1" applyProtection="1">
      <alignment horizontal="center"/>
    </xf>
    <xf numFmtId="2" fontId="72" fillId="29" borderId="21" xfId="216" applyNumberFormat="1" applyFont="1" applyFill="1" applyBorder="1" applyAlignment="1" applyProtection="1">
      <alignment horizontal="centerContinuous"/>
      <protection locked="0"/>
    </xf>
    <xf numFmtId="2" fontId="72" fillId="29" borderId="27" xfId="216" applyNumberFormat="1" applyFont="1" applyFill="1" applyBorder="1" applyAlignment="1" applyProtection="1">
      <alignment horizontal="centerContinuous"/>
      <protection locked="0"/>
    </xf>
    <xf numFmtId="3" fontId="57" fillId="31" borderId="31" xfId="1" applyNumberFormat="1" applyFont="1" applyFill="1" applyBorder="1" applyAlignment="1" applyProtection="1">
      <alignment vertical="center"/>
    </xf>
    <xf numFmtId="0" fontId="23" fillId="0" borderId="7" xfId="0" applyFont="1" applyFill="1" applyBorder="1" applyAlignment="1" applyProtection="1">
      <alignment horizontal="center"/>
    </xf>
    <xf numFmtId="0" fontId="23" fillId="0" borderId="20" xfId="216" applyFont="1" applyFill="1" applyBorder="1" applyAlignment="1" applyProtection="1">
      <alignment horizontal="center"/>
    </xf>
    <xf numFmtId="49" fontId="23" fillId="0" borderId="50" xfId="216" applyNumberFormat="1" applyFont="1" applyFill="1" applyBorder="1" applyAlignment="1" applyProtection="1">
      <alignment horizontal="right"/>
    </xf>
    <xf numFmtId="0" fontId="23" fillId="0" borderId="41" xfId="216" applyFont="1" applyFill="1" applyBorder="1" applyProtection="1">
      <protection locked="0"/>
    </xf>
    <xf numFmtId="0" fontId="23" fillId="0" borderId="0" xfId="0" applyFont="1" applyFill="1" applyBorder="1" applyProtection="1">
      <protection locked="0"/>
    </xf>
    <xf numFmtId="0" fontId="23" fillId="0" borderId="7" xfId="0" applyFont="1" applyFill="1" applyBorder="1" applyProtection="1"/>
    <xf numFmtId="3" fontId="23" fillId="0" borderId="22" xfId="0" applyNumberFormat="1" applyFont="1" applyFill="1" applyBorder="1" applyProtection="1"/>
    <xf numFmtId="3" fontId="23" fillId="0" borderId="39" xfId="216" applyNumberFormat="1" applyFont="1" applyFill="1" applyBorder="1" applyAlignment="1" applyProtection="1"/>
    <xf numFmtId="3" fontId="23" fillId="0" borderId="20" xfId="0" applyNumberFormat="1" applyFont="1" applyFill="1" applyBorder="1" applyAlignment="1" applyProtection="1"/>
    <xf numFmtId="3" fontId="23" fillId="0" borderId="45" xfId="0" applyNumberFormat="1" applyFont="1" applyFill="1" applyBorder="1" applyProtection="1"/>
    <xf numFmtId="3" fontId="23" fillId="0" borderId="85" xfId="216" applyNumberFormat="1" applyFont="1" applyFill="1" applyBorder="1" applyProtection="1"/>
    <xf numFmtId="3" fontId="23" fillId="0" borderId="76" xfId="0" applyNumberFormat="1" applyFont="1" applyFill="1" applyBorder="1" applyProtection="1"/>
    <xf numFmtId="3" fontId="23" fillId="0" borderId="80" xfId="0" applyNumberFormat="1" applyFont="1" applyFill="1" applyBorder="1" applyProtection="1"/>
    <xf numFmtId="0" fontId="23" fillId="28" borderId="39" xfId="2" applyFont="1" applyFill="1" applyBorder="1" applyProtection="1"/>
    <xf numFmtId="0" fontId="23" fillId="0" borderId="0" xfId="0" applyFont="1" applyFill="1" applyProtection="1"/>
    <xf numFmtId="1" fontId="23" fillId="0" borderId="0" xfId="0" applyNumberFormat="1" applyFont="1" applyBorder="1" applyProtection="1">
      <protection locked="0"/>
    </xf>
    <xf numFmtId="4" fontId="57" fillId="29" borderId="89" xfId="2" applyNumberFormat="1" applyFont="1" applyFill="1" applyBorder="1" applyProtection="1"/>
    <xf numFmtId="4" fontId="57" fillId="0" borderId="36" xfId="2" applyNumberFormat="1" applyFont="1" applyFill="1" applyBorder="1" applyProtection="1"/>
    <xf numFmtId="3" fontId="23" fillId="33" borderId="43" xfId="216" applyNumberFormat="1" applyFont="1" applyFill="1" applyBorder="1" applyAlignment="1" applyProtection="1"/>
    <xf numFmtId="3" fontId="23" fillId="33" borderId="75" xfId="0" applyNumberFormat="1" applyFont="1" applyFill="1" applyBorder="1" applyAlignment="1" applyProtection="1"/>
    <xf numFmtId="3" fontId="23" fillId="32" borderId="45" xfId="0" applyNumberFormat="1" applyFont="1" applyFill="1" applyBorder="1" applyProtection="1"/>
    <xf numFmtId="3" fontId="23" fillId="34" borderId="85" xfId="216" applyNumberFormat="1" applyFont="1" applyFill="1" applyBorder="1" applyProtection="1"/>
    <xf numFmtId="3" fontId="23" fillId="33" borderId="76" xfId="0" applyNumberFormat="1" applyFont="1" applyFill="1" applyBorder="1" applyProtection="1"/>
    <xf numFmtId="3" fontId="23" fillId="32" borderId="77" xfId="0" applyNumberFormat="1" applyFont="1" applyFill="1" applyBorder="1" applyProtection="1"/>
    <xf numFmtId="0" fontId="23" fillId="0" borderId="7" xfId="0" applyFont="1" applyBorder="1" applyAlignment="1" applyProtection="1">
      <alignment horizontal="center"/>
    </xf>
    <xf numFmtId="0" fontId="23" fillId="0" borderId="20" xfId="216" applyFont="1" applyBorder="1" applyAlignment="1" applyProtection="1">
      <alignment horizontal="center"/>
    </xf>
    <xf numFmtId="49" fontId="23" fillId="0" borderId="50" xfId="216" applyNumberFormat="1" applyFont="1" applyBorder="1" applyAlignment="1" applyProtection="1">
      <alignment horizontal="right"/>
    </xf>
    <xf numFmtId="0" fontId="23" fillId="0" borderId="41" xfId="216" applyFont="1" applyBorder="1" applyProtection="1">
      <protection locked="0"/>
    </xf>
    <xf numFmtId="0" fontId="23" fillId="0" borderId="34" xfId="0" applyFont="1" applyFill="1" applyBorder="1" applyProtection="1"/>
    <xf numFmtId="3" fontId="23" fillId="34" borderId="85" xfId="0" applyNumberFormat="1" applyFont="1" applyFill="1" applyBorder="1" applyProtection="1"/>
    <xf numFmtId="3" fontId="23" fillId="33" borderId="48" xfId="216" applyNumberFormat="1" applyFont="1" applyFill="1" applyBorder="1" applyAlignment="1" applyProtection="1"/>
    <xf numFmtId="3" fontId="23" fillId="33" borderId="85" xfId="0" applyNumberFormat="1" applyFont="1" applyFill="1" applyBorder="1" applyAlignment="1" applyProtection="1"/>
    <xf numFmtId="3" fontId="30" fillId="0" borderId="48" xfId="0" applyNumberFormat="1" applyFont="1" applyFill="1" applyBorder="1" applyProtection="1"/>
    <xf numFmtId="3" fontId="23" fillId="33" borderId="23" xfId="0" applyNumberFormat="1" applyFont="1" applyFill="1" applyBorder="1" applyProtection="1"/>
    <xf numFmtId="3" fontId="23" fillId="32" borderId="82" xfId="0" applyNumberFormat="1" applyFont="1" applyFill="1" applyBorder="1" applyProtection="1"/>
    <xf numFmtId="0" fontId="23" fillId="0" borderId="0" xfId="0" applyFont="1" applyBorder="1" applyAlignment="1" applyProtection="1"/>
    <xf numFmtId="4" fontId="23" fillId="0" borderId="41" xfId="216" applyNumberFormat="1" applyFont="1" applyBorder="1" applyProtection="1">
      <protection locked="0"/>
    </xf>
    <xf numFmtId="4" fontId="93" fillId="0" borderId="22" xfId="0" applyNumberFormat="1" applyFont="1" applyBorder="1" applyAlignment="1"/>
    <xf numFmtId="0" fontId="23" fillId="0" borderId="63" xfId="0" applyFont="1" applyFill="1" applyBorder="1" applyProtection="1"/>
    <xf numFmtId="3" fontId="23" fillId="34" borderId="75" xfId="0" applyNumberFormat="1" applyFont="1" applyFill="1" applyBorder="1" applyProtection="1"/>
    <xf numFmtId="0" fontId="21" fillId="28" borderId="39" xfId="2" applyFont="1" applyFill="1" applyBorder="1" applyProtection="1"/>
    <xf numFmtId="3" fontId="30" fillId="0" borderId="43" xfId="0" applyNumberFormat="1" applyFont="1" applyFill="1" applyBorder="1" applyProtection="1"/>
    <xf numFmtId="3" fontId="23" fillId="32" borderId="76" xfId="0" applyNumberFormat="1" applyFont="1" applyFill="1" applyBorder="1" applyProtection="1"/>
    <xf numFmtId="3" fontId="23" fillId="34" borderId="87" xfId="216" applyNumberFormat="1" applyFont="1" applyFill="1" applyBorder="1" applyProtection="1"/>
    <xf numFmtId="3" fontId="23" fillId="34" borderId="22" xfId="0" applyNumberFormat="1" applyFont="1" applyFill="1" applyBorder="1" applyProtection="1"/>
    <xf numFmtId="3" fontId="23" fillId="33" borderId="39" xfId="216" applyNumberFormat="1" applyFont="1" applyFill="1" applyBorder="1" applyAlignment="1" applyProtection="1"/>
    <xf numFmtId="3" fontId="23" fillId="33" borderId="22" xfId="0" applyNumberFormat="1" applyFont="1" applyFill="1" applyBorder="1" applyAlignment="1" applyProtection="1"/>
    <xf numFmtId="3" fontId="30" fillId="0" borderId="39" xfId="0" applyNumberFormat="1" applyFont="1" applyFill="1" applyBorder="1" applyProtection="1"/>
    <xf numFmtId="3" fontId="23" fillId="32" borderId="23" xfId="0" applyNumberFormat="1" applyFont="1" applyFill="1" applyBorder="1" applyProtection="1"/>
    <xf numFmtId="3" fontId="23" fillId="34" borderId="83" xfId="216" applyNumberFormat="1" applyFont="1" applyFill="1" applyBorder="1" applyProtection="1"/>
    <xf numFmtId="3" fontId="23" fillId="32" borderId="78" xfId="0" applyNumberFormat="1" applyFont="1" applyFill="1" applyBorder="1" applyProtection="1"/>
    <xf numFmtId="3" fontId="23" fillId="32" borderId="79" xfId="0" applyNumberFormat="1" applyFont="1" applyFill="1" applyBorder="1" applyProtection="1"/>
    <xf numFmtId="3" fontId="23" fillId="33" borderId="79" xfId="0" applyNumberFormat="1" applyFont="1" applyFill="1" applyBorder="1" applyProtection="1"/>
    <xf numFmtId="3" fontId="23" fillId="0" borderId="66" xfId="0" applyNumberFormat="1" applyFont="1" applyFill="1" applyBorder="1" applyProtection="1"/>
    <xf numFmtId="3" fontId="23" fillId="34" borderId="81" xfId="216" applyNumberFormat="1" applyFont="1" applyFill="1" applyBorder="1" applyProtection="1"/>
    <xf numFmtId="3" fontId="23" fillId="32" borderId="66" xfId="0" applyNumberFormat="1" applyFont="1" applyFill="1" applyBorder="1" applyProtection="1"/>
    <xf numFmtId="3" fontId="23" fillId="32" borderId="42" xfId="0" applyNumberFormat="1" applyFont="1" applyFill="1" applyBorder="1" applyProtection="1"/>
    <xf numFmtId="3" fontId="23" fillId="34" borderId="75" xfId="216" applyNumberFormat="1" applyFont="1" applyFill="1" applyBorder="1" applyProtection="1"/>
    <xf numFmtId="3" fontId="23" fillId="32" borderId="44" xfId="0" applyNumberFormat="1" applyFont="1" applyFill="1" applyBorder="1" applyProtection="1"/>
    <xf numFmtId="3" fontId="23" fillId="34" borderId="22" xfId="216" applyNumberFormat="1" applyFont="1" applyFill="1" applyBorder="1" applyProtection="1"/>
    <xf numFmtId="4" fontId="25" fillId="31" borderId="46" xfId="1" applyNumberFormat="1" applyFont="1" applyFill="1" applyBorder="1" applyAlignment="1" applyProtection="1">
      <alignment vertical="center"/>
    </xf>
    <xf numFmtId="4" fontId="57" fillId="44" borderId="23" xfId="0" applyNumberFormat="1" applyFont="1" applyFill="1" applyBorder="1" applyAlignment="1" applyProtection="1">
      <alignment horizontal="right"/>
    </xf>
    <xf numFmtId="3" fontId="29" fillId="33" borderId="83" xfId="0" applyNumberFormat="1" applyFont="1" applyFill="1" applyBorder="1" applyAlignment="1" applyProtection="1">
      <alignment horizontal="right"/>
    </xf>
    <xf numFmtId="3" fontId="29" fillId="0" borderId="83" xfId="0" applyNumberFormat="1" applyFont="1" applyFill="1" applyBorder="1" applyAlignment="1" applyProtection="1">
      <alignment horizontal="right"/>
    </xf>
    <xf numFmtId="0" fontId="29" fillId="0" borderId="83" xfId="0" applyFont="1" applyFill="1" applyBorder="1" applyProtection="1"/>
    <xf numFmtId="3" fontId="29" fillId="0" borderId="83" xfId="0" applyNumberFormat="1" applyFont="1" applyFill="1" applyBorder="1" applyProtection="1"/>
    <xf numFmtId="3" fontId="44" fillId="0" borderId="133" xfId="0" applyNumberFormat="1" applyFont="1" applyFill="1" applyBorder="1" applyProtection="1"/>
    <xf numFmtId="0" fontId="21" fillId="28" borderId="23" xfId="2" applyFill="1" applyBorder="1" applyProtection="1"/>
    <xf numFmtId="0" fontId="25" fillId="28" borderId="23" xfId="1" applyFill="1" applyBorder="1" applyAlignment="1" applyProtection="1">
      <alignment vertical="center"/>
    </xf>
    <xf numFmtId="0" fontId="21" fillId="28" borderId="23" xfId="2" applyFill="1" applyBorder="1" applyAlignment="1" applyProtection="1">
      <alignment vertical="center"/>
    </xf>
    <xf numFmtId="0" fontId="25" fillId="28" borderId="23" xfId="1" applyFill="1" applyBorder="1" applyProtection="1"/>
    <xf numFmtId="3" fontId="21" fillId="28" borderId="23" xfId="2" applyNumberFormat="1" applyFill="1" applyBorder="1" applyProtection="1"/>
    <xf numFmtId="172" fontId="21" fillId="28" borderId="23" xfId="2" applyNumberFormat="1" applyFill="1" applyBorder="1" applyProtection="1"/>
    <xf numFmtId="0" fontId="21" fillId="28" borderId="23" xfId="2" applyFont="1" applyFill="1" applyBorder="1" applyProtection="1"/>
    <xf numFmtId="174" fontId="21" fillId="28" borderId="23" xfId="2" applyNumberFormat="1" applyFill="1" applyBorder="1" applyProtection="1"/>
    <xf numFmtId="0" fontId="21" fillId="30" borderId="23" xfId="2" applyFill="1" applyBorder="1" applyProtection="1"/>
    <xf numFmtId="0" fontId="21" fillId="0" borderId="23" xfId="2" applyBorder="1" applyProtection="1"/>
    <xf numFmtId="0" fontId="29" fillId="0" borderId="83" xfId="0" applyFont="1" applyFill="1" applyBorder="1" applyAlignment="1" applyProtection="1"/>
    <xf numFmtId="0" fontId="29" fillId="0" borderId="120" xfId="0" applyFont="1" applyBorder="1" applyAlignment="1" applyProtection="1"/>
    <xf numFmtId="0" fontId="29" fillId="0" borderId="83" xfId="0" applyFont="1" applyBorder="1" applyAlignment="1" applyProtection="1"/>
    <xf numFmtId="0" fontId="29" fillId="0" borderId="83" xfId="0" applyFont="1" applyBorder="1" applyAlignment="1" applyProtection="1">
      <alignment horizontal="center"/>
    </xf>
    <xf numFmtId="169" fontId="29" fillId="28" borderId="93" xfId="0" applyNumberFormat="1" applyFont="1" applyFill="1" applyBorder="1" applyAlignment="1" applyProtection="1">
      <alignment horizontal="center"/>
    </xf>
    <xf numFmtId="1" fontId="29" fillId="0" borderId="17" xfId="0" applyNumberFormat="1" applyFont="1" applyFill="1" applyBorder="1" applyAlignment="1" applyProtection="1">
      <alignment horizontal="center"/>
    </xf>
    <xf numFmtId="4" fontId="57" fillId="31" borderId="72" xfId="1" applyNumberFormat="1" applyFont="1" applyFill="1" applyBorder="1" applyAlignment="1" applyProtection="1">
      <alignment vertical="center"/>
    </xf>
    <xf numFmtId="3" fontId="23" fillId="49" borderId="87" xfId="0" applyNumberFormat="1" applyFont="1" applyFill="1" applyBorder="1" applyProtection="1"/>
    <xf numFmtId="3" fontId="29" fillId="49" borderId="83" xfId="0" applyNumberFormat="1" applyFont="1" applyFill="1" applyBorder="1" applyProtection="1"/>
    <xf numFmtId="3" fontId="29" fillId="49" borderId="81" xfId="0" applyNumberFormat="1" applyFont="1" applyFill="1" applyBorder="1" applyProtection="1"/>
    <xf numFmtId="3" fontId="23" fillId="49" borderId="83" xfId="0" applyNumberFormat="1" applyFont="1" applyFill="1" applyBorder="1" applyProtection="1"/>
    <xf numFmtId="3" fontId="23" fillId="49" borderId="81" xfId="0" applyNumberFormat="1" applyFont="1" applyFill="1" applyBorder="1" applyProtection="1"/>
    <xf numFmtId="3" fontId="29" fillId="49" borderId="87" xfId="0" applyNumberFormat="1" applyFont="1" applyFill="1" applyBorder="1" applyProtection="1"/>
    <xf numFmtId="3" fontId="29" fillId="49" borderId="72" xfId="0" applyNumberFormat="1" applyFont="1" applyFill="1" applyBorder="1" applyProtection="1"/>
    <xf numFmtId="3" fontId="29" fillId="50" borderId="72" xfId="0" applyNumberFormat="1" applyFont="1" applyFill="1" applyBorder="1" applyProtection="1"/>
    <xf numFmtId="3" fontId="29" fillId="0" borderId="87" xfId="0" applyNumberFormat="1" applyFont="1" applyFill="1" applyBorder="1" applyProtection="1"/>
    <xf numFmtId="3" fontId="66" fillId="0" borderId="72" xfId="3" applyNumberFormat="1" applyFont="1" applyFill="1" applyBorder="1" applyProtection="1"/>
    <xf numFmtId="3" fontId="66" fillId="49" borderId="81" xfId="0" applyNumberFormat="1" applyFont="1" applyFill="1" applyBorder="1" applyProtection="1"/>
    <xf numFmtId="3" fontId="66" fillId="49" borderId="83" xfId="0" applyNumberFormat="1" applyFont="1" applyFill="1" applyBorder="1" applyProtection="1"/>
    <xf numFmtId="3" fontId="23" fillId="0" borderId="81" xfId="0" applyNumberFormat="1" applyFont="1" applyFill="1" applyBorder="1" applyProtection="1"/>
    <xf numFmtId="3" fontId="29" fillId="31" borderId="81" xfId="0" applyNumberFormat="1" applyFont="1" applyFill="1" applyBorder="1" applyProtection="1"/>
    <xf numFmtId="4" fontId="29" fillId="39" borderId="17" xfId="0" applyNumberFormat="1" applyFont="1" applyFill="1" applyBorder="1" applyAlignment="1" applyProtection="1">
      <alignment vertical="center"/>
    </xf>
    <xf numFmtId="4" fontId="29" fillId="39" borderId="83" xfId="0" applyNumberFormat="1" applyFont="1" applyFill="1" applyBorder="1" applyAlignment="1" applyProtection="1">
      <alignment vertical="center"/>
    </xf>
    <xf numFmtId="3" fontId="29" fillId="0" borderId="83" xfId="0" applyNumberFormat="1" applyFont="1" applyBorder="1" applyProtection="1"/>
    <xf numFmtId="0" fontId="57" fillId="0" borderId="17" xfId="1" applyFont="1" applyFill="1" applyBorder="1" applyAlignment="1" applyProtection="1">
      <alignment horizontal="right" vertical="center"/>
    </xf>
    <xf numFmtId="3" fontId="66" fillId="0" borderId="83" xfId="3" applyNumberFormat="1" applyFont="1" applyFill="1" applyBorder="1" applyAlignment="1" applyProtection="1">
      <alignment horizontal="right"/>
    </xf>
    <xf numFmtId="3" fontId="44" fillId="0" borderId="0" xfId="0" applyNumberFormat="1" applyFont="1" applyFill="1" applyBorder="1" applyProtection="1"/>
    <xf numFmtId="174" fontId="62" fillId="0" borderId="0" xfId="0" applyNumberFormat="1" applyFont="1" applyFill="1" applyBorder="1" applyProtection="1"/>
    <xf numFmtId="3" fontId="60" fillId="0" borderId="0" xfId="0" applyNumberFormat="1" applyFont="1" applyFill="1" applyBorder="1" applyProtection="1"/>
    <xf numFmtId="0" fontId="44" fillId="0" borderId="0" xfId="0" applyFont="1" applyFill="1" applyBorder="1" applyProtection="1"/>
    <xf numFmtId="0" fontId="44" fillId="0" borderId="134" xfId="216" applyFont="1" applyFill="1" applyBorder="1" applyAlignment="1" applyProtection="1"/>
    <xf numFmtId="0" fontId="44" fillId="0" borderId="39" xfId="216" applyFont="1" applyFill="1" applyBorder="1" applyAlignment="1" applyProtection="1"/>
    <xf numFmtId="0" fontId="57" fillId="28" borderId="0" xfId="2" applyFont="1" applyFill="1" applyBorder="1" applyProtection="1"/>
    <xf numFmtId="0" fontId="29" fillId="0" borderId="23" xfId="0" applyFont="1" applyFill="1" applyBorder="1" applyProtection="1"/>
    <xf numFmtId="3" fontId="66" fillId="0" borderId="29" xfId="0" applyNumberFormat="1" applyFont="1" applyFill="1" applyBorder="1" applyProtection="1"/>
    <xf numFmtId="3" fontId="66" fillId="0" borderId="67" xfId="0" applyNumberFormat="1" applyFont="1" applyFill="1" applyBorder="1" applyProtection="1"/>
    <xf numFmtId="3" fontId="29" fillId="34" borderId="135" xfId="216" applyNumberFormat="1" applyFont="1" applyFill="1" applyBorder="1" applyProtection="1"/>
    <xf numFmtId="0" fontId="57" fillId="28" borderId="133" xfId="2" applyFont="1" applyFill="1" applyBorder="1" applyProtection="1"/>
    <xf numFmtId="3" fontId="57" fillId="33" borderId="136" xfId="0" applyNumberFormat="1" applyFont="1" applyFill="1" applyBorder="1" applyProtection="1"/>
    <xf numFmtId="3" fontId="29" fillId="32" borderId="137" xfId="0" applyNumberFormat="1" applyFont="1" applyFill="1" applyBorder="1" applyProtection="1"/>
    <xf numFmtId="4" fontId="29" fillId="39" borderId="91" xfId="0" applyNumberFormat="1" applyFont="1" applyFill="1" applyBorder="1" applyAlignment="1" applyProtection="1">
      <alignment vertical="center"/>
    </xf>
    <xf numFmtId="4" fontId="57" fillId="0" borderId="18" xfId="0" applyNumberFormat="1" applyFont="1" applyFill="1" applyBorder="1" applyAlignment="1" applyProtection="1">
      <alignment vertical="center"/>
    </xf>
    <xf numFmtId="4" fontId="57" fillId="0" borderId="23" xfId="0" applyNumberFormat="1" applyFont="1" applyFill="1" applyBorder="1" applyAlignment="1" applyProtection="1">
      <alignment vertical="center"/>
    </xf>
    <xf numFmtId="3" fontId="29" fillId="30" borderId="93" xfId="0" applyNumberFormat="1" applyFont="1" applyFill="1" applyBorder="1" applyAlignment="1" applyProtection="1">
      <alignment horizontal="right"/>
    </xf>
    <xf numFmtId="0" fontId="57" fillId="0" borderId="91" xfId="1" applyFont="1" applyFill="1" applyBorder="1" applyAlignment="1" applyProtection="1">
      <alignment horizontal="right" vertical="center"/>
    </xf>
    <xf numFmtId="3" fontId="66" fillId="0" borderId="44" xfId="3" applyNumberFormat="1" applyFont="1" applyFill="1" applyBorder="1" applyAlignment="1" applyProtection="1">
      <alignment horizontal="right"/>
    </xf>
    <xf numFmtId="3" fontId="23" fillId="33" borderId="44" xfId="0" applyNumberFormat="1" applyFont="1" applyFill="1" applyBorder="1" applyProtection="1"/>
    <xf numFmtId="3" fontId="23" fillId="37" borderId="44" xfId="0" applyNumberFormat="1" applyFont="1" applyFill="1" applyBorder="1" applyProtection="1"/>
    <xf numFmtId="3" fontId="29" fillId="30" borderId="122" xfId="0" applyNumberFormat="1" applyFont="1" applyFill="1" applyBorder="1" applyAlignment="1" applyProtection="1">
      <alignment horizontal="right"/>
    </xf>
    <xf numFmtId="0" fontId="57" fillId="0" borderId="55" xfId="1" applyFont="1" applyFill="1" applyBorder="1" applyAlignment="1" applyProtection="1">
      <alignment horizontal="right" vertical="center"/>
    </xf>
    <xf numFmtId="3" fontId="29" fillId="43" borderId="0" xfId="0" applyNumberFormat="1" applyFont="1" applyFill="1" applyBorder="1" applyAlignment="1" applyProtection="1">
      <alignment horizontal="right"/>
    </xf>
    <xf numFmtId="3" fontId="66" fillId="43" borderId="0" xfId="3" applyNumberFormat="1" applyFont="1" applyFill="1" applyBorder="1" applyAlignment="1" applyProtection="1">
      <alignment horizontal="right"/>
    </xf>
    <xf numFmtId="0" fontId="57" fillId="0" borderId="14" xfId="1" applyFont="1" applyFill="1" applyBorder="1" applyAlignment="1" applyProtection="1">
      <alignment horizontal="right" vertical="center"/>
    </xf>
    <xf numFmtId="3" fontId="29" fillId="0" borderId="22" xfId="0" applyNumberFormat="1" applyFont="1" applyFill="1" applyBorder="1" applyAlignment="1" applyProtection="1">
      <alignment horizontal="right"/>
    </xf>
    <xf numFmtId="3" fontId="29" fillId="32" borderId="44" xfId="0" applyNumberFormat="1" applyFont="1" applyFill="1" applyBorder="1" applyAlignment="1" applyProtection="1">
      <alignment horizontal="right"/>
    </xf>
    <xf numFmtId="3" fontId="29" fillId="0" borderId="44" xfId="0" applyNumberFormat="1" applyFont="1" applyFill="1" applyBorder="1" applyAlignment="1" applyProtection="1">
      <alignment horizontal="right"/>
    </xf>
    <xf numFmtId="0" fontId="57" fillId="51" borderId="17" xfId="1" applyFont="1" applyFill="1" applyBorder="1" applyAlignment="1" applyProtection="1">
      <alignment horizontal="right" vertical="center"/>
    </xf>
    <xf numFmtId="3" fontId="66" fillId="51" borderId="83" xfId="3" applyNumberFormat="1" applyFont="1" applyFill="1" applyBorder="1" applyAlignment="1" applyProtection="1">
      <alignment horizontal="right"/>
    </xf>
    <xf numFmtId="3" fontId="29" fillId="51" borderId="83" xfId="0" applyNumberFormat="1" applyFont="1" applyFill="1" applyBorder="1" applyAlignment="1" applyProtection="1">
      <alignment horizontal="right"/>
    </xf>
    <xf numFmtId="3" fontId="29" fillId="51" borderId="133" xfId="0" applyNumberFormat="1" applyFont="1" applyFill="1" applyBorder="1" applyAlignment="1" applyProtection="1">
      <alignment horizontal="right"/>
    </xf>
    <xf numFmtId="3" fontId="23" fillId="34" borderId="74" xfId="216" applyNumberFormat="1" applyFont="1" applyFill="1" applyBorder="1" applyProtection="1"/>
    <xf numFmtId="3" fontId="23" fillId="33" borderId="70" xfId="0" applyNumberFormat="1" applyFont="1" applyFill="1" applyBorder="1" applyProtection="1"/>
    <xf numFmtId="3" fontId="66" fillId="32" borderId="76" xfId="0" applyNumberFormat="1" applyFont="1" applyFill="1" applyBorder="1" applyProtection="1"/>
    <xf numFmtId="3" fontId="66" fillId="34" borderId="87" xfId="216" applyNumberFormat="1" applyFont="1" applyFill="1" applyBorder="1" applyProtection="1"/>
    <xf numFmtId="3" fontId="66" fillId="32" borderId="23" xfId="0" applyNumberFormat="1" applyFont="1" applyFill="1" applyBorder="1" applyProtection="1"/>
    <xf numFmtId="3" fontId="66" fillId="34" borderId="83" xfId="216" applyNumberFormat="1" applyFont="1" applyFill="1" applyBorder="1" applyProtection="1"/>
    <xf numFmtId="3" fontId="66" fillId="32" borderId="79" xfId="0" applyNumberFormat="1" applyFont="1" applyFill="1" applyBorder="1" applyProtection="1"/>
    <xf numFmtId="3" fontId="23" fillId="32" borderId="70" xfId="0" applyNumberFormat="1" applyFont="1" applyFill="1" applyBorder="1" applyProtection="1"/>
    <xf numFmtId="4" fontId="23" fillId="29" borderId="100" xfId="2" applyNumberFormat="1" applyFont="1" applyFill="1" applyBorder="1" applyProtection="1"/>
    <xf numFmtId="4" fontId="23" fillId="29" borderId="44" xfId="2" applyNumberFormat="1" applyFont="1" applyFill="1" applyBorder="1" applyProtection="1"/>
    <xf numFmtId="4" fontId="23" fillId="0" borderId="0" xfId="2" applyNumberFormat="1" applyFont="1" applyFill="1" applyBorder="1" applyProtection="1"/>
    <xf numFmtId="4" fontId="23" fillId="29" borderId="45" xfId="2" applyNumberFormat="1" applyFont="1" applyFill="1" applyBorder="1" applyProtection="1"/>
    <xf numFmtId="4" fontId="23" fillId="0" borderId="88" xfId="2" applyNumberFormat="1" applyFont="1" applyFill="1" applyBorder="1" applyProtection="1"/>
    <xf numFmtId="4" fontId="23" fillId="29" borderId="42" xfId="2" applyNumberFormat="1" applyFont="1" applyFill="1" applyBorder="1" applyProtection="1"/>
    <xf numFmtId="4" fontId="23" fillId="0" borderId="74" xfId="2" applyNumberFormat="1" applyFont="1" applyFill="1" applyBorder="1" applyProtection="1"/>
    <xf numFmtId="0" fontId="23" fillId="28" borderId="39" xfId="1" applyFont="1" applyFill="1" applyBorder="1" applyAlignment="1" applyProtection="1">
      <alignment vertical="center"/>
    </xf>
    <xf numFmtId="0" fontId="23" fillId="28" borderId="39" xfId="2" applyFont="1" applyFill="1" applyBorder="1" applyAlignment="1" applyProtection="1">
      <alignment vertical="center"/>
    </xf>
    <xf numFmtId="4" fontId="23" fillId="29" borderId="58" xfId="2" applyNumberFormat="1" applyFont="1" applyFill="1" applyBorder="1" applyProtection="1"/>
    <xf numFmtId="0" fontId="83" fillId="28" borderId="39" xfId="2" applyFont="1" applyFill="1" applyBorder="1" applyProtection="1"/>
    <xf numFmtId="4" fontId="23" fillId="28" borderId="42" xfId="2" applyNumberFormat="1" applyFont="1" applyFill="1" applyBorder="1" applyProtection="1"/>
    <xf numFmtId="4" fontId="23" fillId="28" borderId="44" xfId="2" applyNumberFormat="1" applyFont="1" applyFill="1" applyBorder="1" applyProtection="1"/>
    <xf numFmtId="3" fontId="23" fillId="28" borderId="39" xfId="2" applyNumberFormat="1" applyFont="1" applyFill="1" applyBorder="1" applyProtection="1"/>
    <xf numFmtId="0" fontId="66" fillId="28" borderId="39" xfId="2" applyFont="1" applyFill="1" applyBorder="1" applyProtection="1"/>
    <xf numFmtId="4" fontId="23" fillId="29" borderId="138" xfId="2" applyNumberFormat="1" applyFont="1" applyFill="1" applyBorder="1" applyProtection="1"/>
    <xf numFmtId="4" fontId="23" fillId="28" borderId="58" xfId="2" applyNumberFormat="1" applyFont="1" applyFill="1" applyBorder="1" applyProtection="1"/>
    <xf numFmtId="4" fontId="23" fillId="0" borderId="129" xfId="2" applyNumberFormat="1" applyFont="1" applyFill="1" applyBorder="1" applyProtection="1"/>
    <xf numFmtId="4" fontId="23" fillId="0" borderId="117" xfId="2" applyNumberFormat="1" applyFont="1" applyFill="1" applyBorder="1" applyProtection="1"/>
    <xf numFmtId="4" fontId="23" fillId="28" borderId="45" xfId="2" applyNumberFormat="1" applyFont="1" applyFill="1" applyBorder="1" applyProtection="1"/>
    <xf numFmtId="172" fontId="23" fillId="28" borderId="39" xfId="2" applyNumberFormat="1" applyFont="1" applyFill="1" applyBorder="1" applyProtection="1"/>
    <xf numFmtId="4" fontId="23" fillId="0" borderId="41" xfId="2" applyNumberFormat="1" applyFont="1" applyFill="1" applyBorder="1" applyProtection="1"/>
    <xf numFmtId="0" fontId="67" fillId="0" borderId="0" xfId="3" applyFont="1" applyBorder="1" applyProtection="1">
      <protection locked="0"/>
    </xf>
    <xf numFmtId="3" fontId="57" fillId="0" borderId="70" xfId="0" applyNumberFormat="1" applyFont="1" applyFill="1" applyBorder="1" applyProtection="1"/>
    <xf numFmtId="3" fontId="57" fillId="0" borderId="72" xfId="216" applyNumberFormat="1" applyFont="1" applyFill="1" applyBorder="1" applyProtection="1"/>
    <xf numFmtId="3" fontId="67" fillId="0" borderId="46" xfId="3" applyNumberFormat="1" applyFont="1" applyFill="1" applyBorder="1" applyProtection="1"/>
    <xf numFmtId="0" fontId="67" fillId="0" borderId="0" xfId="3" applyFont="1"/>
    <xf numFmtId="3" fontId="57" fillId="0" borderId="44" xfId="0" applyNumberFormat="1" applyFont="1" applyFill="1" applyBorder="1" applyProtection="1"/>
    <xf numFmtId="3" fontId="57" fillId="0" borderId="22" xfId="216" applyNumberFormat="1" applyFont="1" applyFill="1" applyBorder="1" applyProtection="1"/>
    <xf numFmtId="3" fontId="57" fillId="0" borderId="79" xfId="0" applyNumberFormat="1" applyFont="1" applyFill="1" applyBorder="1" applyProtection="1"/>
    <xf numFmtId="3" fontId="57" fillId="0" borderId="72" xfId="0" applyNumberFormat="1" applyFont="1" applyFill="1" applyBorder="1" applyProtection="1"/>
    <xf numFmtId="3" fontId="67" fillId="0" borderId="87" xfId="3" applyNumberFormat="1" applyFont="1" applyFill="1" applyBorder="1" applyProtection="1"/>
    <xf numFmtId="3" fontId="67" fillId="0" borderId="77" xfId="3" applyNumberFormat="1" applyFont="1" applyFill="1" applyBorder="1" applyProtection="1"/>
    <xf numFmtId="49" fontId="57" fillId="0" borderId="40" xfId="3" applyNumberFormat="1" applyFont="1" applyBorder="1" applyAlignment="1" applyProtection="1">
      <alignment horizontal="right"/>
    </xf>
    <xf numFmtId="0" fontId="57" fillId="0" borderId="0" xfId="3" applyFont="1" applyFill="1" applyBorder="1" applyAlignment="1" applyProtection="1">
      <alignment horizontal="centerContinuous"/>
    </xf>
    <xf numFmtId="0" fontId="57" fillId="0" borderId="41" xfId="3" applyFont="1" applyFill="1" applyBorder="1" applyAlignment="1" applyProtection="1">
      <alignment horizontal="centerContinuous"/>
      <protection locked="0"/>
    </xf>
    <xf numFmtId="0" fontId="57" fillId="0" borderId="0" xfId="3" applyFont="1" applyBorder="1" applyProtection="1">
      <protection locked="0"/>
    </xf>
    <xf numFmtId="0" fontId="57" fillId="0" borderId="7" xfId="3" applyFont="1" applyFill="1" applyBorder="1" applyProtection="1"/>
    <xf numFmtId="3" fontId="57" fillId="0" borderId="39" xfId="3" applyNumberFormat="1" applyFont="1" applyFill="1" applyBorder="1" applyAlignment="1" applyProtection="1"/>
    <xf numFmtId="3" fontId="57" fillId="0" borderId="20" xfId="3" applyNumberFormat="1" applyFont="1" applyFill="1" applyBorder="1" applyAlignment="1" applyProtection="1"/>
    <xf numFmtId="3" fontId="57" fillId="0" borderId="73" xfId="0" applyNumberFormat="1" applyFont="1" applyFill="1" applyBorder="1" applyProtection="1"/>
    <xf numFmtId="3" fontId="57" fillId="0" borderId="46" xfId="3" applyNumberFormat="1" applyFont="1" applyFill="1" applyBorder="1" applyProtection="1"/>
    <xf numFmtId="0" fontId="57" fillId="0" borderId="0" xfId="3" applyFont="1"/>
    <xf numFmtId="3" fontId="57" fillId="0" borderId="87" xfId="3" applyNumberFormat="1" applyFont="1" applyFill="1" applyBorder="1" applyProtection="1"/>
    <xf numFmtId="3" fontId="57" fillId="0" borderId="76" xfId="3" applyNumberFormat="1" applyFont="1" applyFill="1" applyBorder="1" applyProtection="1"/>
    <xf numFmtId="3" fontId="57" fillId="0" borderId="77" xfId="3" applyNumberFormat="1" applyFont="1" applyFill="1" applyBorder="1" applyProtection="1"/>
    <xf numFmtId="3" fontId="57" fillId="0" borderId="74" xfId="3" applyNumberFormat="1" applyFont="1" applyFill="1" applyBorder="1" applyProtection="1"/>
    <xf numFmtId="3" fontId="57" fillId="0" borderId="74" xfId="0" applyNumberFormat="1" applyFont="1" applyFill="1" applyBorder="1" applyProtection="1"/>
    <xf numFmtId="0" fontId="22" fillId="28" borderId="39" xfId="2" applyFont="1" applyFill="1" applyBorder="1" applyProtection="1"/>
    <xf numFmtId="0" fontId="22" fillId="28" borderId="23" xfId="2" applyFont="1" applyFill="1" applyBorder="1" applyProtection="1"/>
    <xf numFmtId="3" fontId="67" fillId="0" borderId="72" xfId="0" applyNumberFormat="1" applyFont="1" applyFill="1" applyBorder="1" applyProtection="1"/>
    <xf numFmtId="3" fontId="67" fillId="0" borderId="70" xfId="0" applyNumberFormat="1" applyFont="1" applyFill="1" applyBorder="1" applyProtection="1"/>
    <xf numFmtId="3" fontId="67" fillId="0" borderId="72" xfId="216" applyNumberFormat="1" applyFont="1" applyFill="1" applyBorder="1" applyProtection="1"/>
    <xf numFmtId="0" fontId="67" fillId="0" borderId="0" xfId="0" applyFont="1"/>
    <xf numFmtId="3" fontId="67" fillId="0" borderId="81" xfId="0" applyNumberFormat="1" applyFont="1" applyFill="1" applyBorder="1" applyProtection="1"/>
    <xf numFmtId="3" fontId="67" fillId="0" borderId="79" xfId="0" applyNumberFormat="1" applyFont="1" applyFill="1" applyBorder="1" applyProtection="1"/>
    <xf numFmtId="0" fontId="57" fillId="0" borderId="20" xfId="5" applyFont="1" applyBorder="1" applyAlignment="1" applyProtection="1">
      <alignment horizontal="center"/>
    </xf>
    <xf numFmtId="0" fontId="57" fillId="0" borderId="0" xfId="5" applyFont="1" applyBorder="1" applyAlignment="1" applyProtection="1">
      <alignment horizontal="centerContinuous"/>
    </xf>
    <xf numFmtId="0" fontId="57" fillId="0" borderId="41" xfId="5" applyFont="1" applyBorder="1" applyAlignment="1" applyProtection="1">
      <alignment horizontal="centerContinuous"/>
      <protection locked="0"/>
    </xf>
    <xf numFmtId="3" fontId="57" fillId="0" borderId="22" xfId="5" applyNumberFormat="1" applyFont="1" applyFill="1" applyBorder="1" applyProtection="1"/>
    <xf numFmtId="3" fontId="57" fillId="0" borderId="43" xfId="5" applyNumberFormat="1" applyFont="1" applyFill="1" applyBorder="1" applyProtection="1"/>
    <xf numFmtId="3" fontId="57" fillId="0" borderId="20" xfId="5" applyNumberFormat="1" applyFont="1" applyFill="1" applyBorder="1" applyProtection="1"/>
    <xf numFmtId="0" fontId="57" fillId="0" borderId="0" xfId="5" applyFont="1" applyFill="1" applyProtection="1"/>
    <xf numFmtId="0" fontId="66" fillId="0" borderId="0" xfId="0" applyFont="1"/>
    <xf numFmtId="49" fontId="57" fillId="0" borderId="40" xfId="5" applyNumberFormat="1" applyFont="1" applyBorder="1" applyAlignment="1" applyProtection="1">
      <alignment horizontal="right"/>
    </xf>
    <xf numFmtId="0" fontId="57" fillId="0" borderId="0" xfId="5" applyFont="1" applyBorder="1" applyProtection="1">
      <protection locked="0"/>
    </xf>
    <xf numFmtId="3" fontId="57" fillId="0" borderId="7" xfId="5" applyNumberFormat="1" applyFont="1" applyFill="1" applyBorder="1" applyProtection="1"/>
    <xf numFmtId="3" fontId="57" fillId="0" borderId="83" xfId="3" applyNumberFormat="1" applyFont="1" applyFill="1" applyBorder="1" applyProtection="1"/>
    <xf numFmtId="3" fontId="57" fillId="0" borderId="0" xfId="3" applyNumberFormat="1" applyFont="1" applyFill="1" applyBorder="1" applyProtection="1"/>
    <xf numFmtId="3" fontId="57" fillId="0" borderId="66" xfId="3" applyNumberFormat="1" applyFont="1" applyFill="1" applyBorder="1" applyProtection="1"/>
    <xf numFmtId="0" fontId="57" fillId="0" borderId="0" xfId="5" applyFont="1"/>
    <xf numFmtId="3" fontId="57" fillId="0" borderId="43" xfId="216" applyNumberFormat="1" applyFont="1" applyFill="1" applyBorder="1" applyAlignment="1" applyProtection="1"/>
    <xf numFmtId="3" fontId="57" fillId="0" borderId="75" xfId="0" applyNumberFormat="1" applyFont="1" applyFill="1" applyBorder="1" applyAlignment="1" applyProtection="1"/>
    <xf numFmtId="3" fontId="57" fillId="0" borderId="20" xfId="3" applyNumberFormat="1" applyFont="1" applyFill="1" applyBorder="1" applyProtection="1"/>
    <xf numFmtId="3" fontId="57" fillId="0" borderId="70" xfId="3" applyNumberFormat="1" applyFont="1" applyFill="1" applyBorder="1" applyProtection="1"/>
    <xf numFmtId="3" fontId="57" fillId="0" borderId="86" xfId="3" applyNumberFormat="1" applyFont="1" applyFill="1" applyBorder="1" applyProtection="1"/>
    <xf numFmtId="3" fontId="57" fillId="0" borderId="45" xfId="0" applyNumberFormat="1" applyFont="1" applyFill="1" applyBorder="1" applyProtection="1"/>
    <xf numFmtId="3" fontId="57" fillId="0" borderId="80" xfId="0" applyNumberFormat="1" applyFont="1" applyFill="1" applyBorder="1" applyProtection="1"/>
    <xf numFmtId="3" fontId="57" fillId="0" borderId="85" xfId="216" applyNumberFormat="1" applyFont="1" applyFill="1" applyBorder="1" applyProtection="1"/>
    <xf numFmtId="3" fontId="57" fillId="0" borderId="86" xfId="0" applyNumberFormat="1" applyFont="1" applyFill="1" applyBorder="1" applyProtection="1"/>
    <xf numFmtId="3" fontId="57" fillId="0" borderId="83" xfId="0" applyNumberFormat="1" applyFont="1" applyFill="1" applyBorder="1" applyProtection="1"/>
    <xf numFmtId="3" fontId="57" fillId="0" borderId="20" xfId="0" applyNumberFormat="1" applyFont="1" applyFill="1" applyBorder="1" applyProtection="1"/>
    <xf numFmtId="3" fontId="57" fillId="0" borderId="66" xfId="0" applyNumberFormat="1" applyFont="1" applyFill="1" applyBorder="1" applyProtection="1"/>
    <xf numFmtId="3" fontId="57" fillId="0" borderId="51" xfId="0" applyNumberFormat="1" applyFont="1" applyFill="1" applyBorder="1" applyProtection="1"/>
    <xf numFmtId="4" fontId="25" fillId="31" borderId="70" xfId="1" applyNumberFormat="1" applyFont="1" applyFill="1" applyBorder="1" applyAlignment="1" applyProtection="1">
      <alignment vertical="center"/>
    </xf>
    <xf numFmtId="3" fontId="57" fillId="0" borderId="51" xfId="3" applyNumberFormat="1" applyFont="1" applyFill="1" applyBorder="1" applyProtection="1"/>
    <xf numFmtId="3" fontId="57" fillId="0" borderId="38" xfId="3" applyNumberFormat="1" applyFont="1" applyFill="1" applyBorder="1" applyAlignment="1" applyProtection="1"/>
    <xf numFmtId="3" fontId="57" fillId="0" borderId="51" xfId="3" applyNumberFormat="1" applyFont="1" applyFill="1" applyBorder="1" applyAlignment="1" applyProtection="1"/>
    <xf numFmtId="3" fontId="57" fillId="0" borderId="0" xfId="0" applyNumberFormat="1" applyFont="1" applyFill="1" applyProtection="1"/>
    <xf numFmtId="4" fontId="68" fillId="0" borderId="22" xfId="3" applyNumberFormat="1" applyFont="1" applyBorder="1" applyAlignment="1" applyProtection="1">
      <alignment wrapText="1"/>
      <protection locked="0"/>
    </xf>
    <xf numFmtId="0" fontId="57" fillId="0" borderId="47" xfId="3" applyFont="1" applyFill="1" applyBorder="1" applyProtection="1"/>
    <xf numFmtId="4" fontId="67" fillId="0" borderId="74" xfId="2" applyNumberFormat="1" applyFont="1" applyFill="1" applyBorder="1" applyProtection="1"/>
    <xf numFmtId="3" fontId="67" fillId="0" borderId="75" xfId="3" applyNumberFormat="1" applyFont="1" applyFill="1" applyBorder="1" applyProtection="1"/>
    <xf numFmtId="3" fontId="67" fillId="0" borderId="43" xfId="3" applyNumberFormat="1" applyFont="1" applyFill="1" applyBorder="1" applyProtection="1"/>
    <xf numFmtId="0" fontId="67" fillId="28" borderId="23" xfId="2" applyFont="1" applyFill="1" applyBorder="1" applyProtection="1"/>
    <xf numFmtId="3" fontId="70" fillId="0" borderId="43" xfId="0" applyNumberFormat="1" applyFont="1" applyFill="1" applyBorder="1" applyProtection="1"/>
    <xf numFmtId="3" fontId="57" fillId="0" borderId="48" xfId="3" applyNumberFormat="1" applyFont="1" applyFill="1" applyBorder="1" applyAlignment="1" applyProtection="1"/>
    <xf numFmtId="4" fontId="57" fillId="0" borderId="0" xfId="3" applyNumberFormat="1" applyFont="1" applyBorder="1" applyProtection="1">
      <protection locked="0"/>
    </xf>
    <xf numFmtId="3" fontId="57" fillId="0" borderId="23" xfId="0" applyNumberFormat="1" applyFont="1" applyFill="1" applyBorder="1" applyProtection="1"/>
    <xf numFmtId="3" fontId="57" fillId="0" borderId="7" xfId="5" applyNumberFormat="1" applyFont="1" applyBorder="1" applyAlignment="1" applyProtection="1">
      <alignment horizontal="center"/>
    </xf>
    <xf numFmtId="49" fontId="57" fillId="0" borderId="50" xfId="5" applyNumberFormat="1" applyFont="1" applyBorder="1" applyAlignment="1" applyProtection="1">
      <alignment horizontal="right"/>
    </xf>
    <xf numFmtId="0" fontId="57" fillId="0" borderId="0" xfId="5" applyFont="1" applyFill="1" applyBorder="1" applyAlignment="1" applyProtection="1">
      <alignment horizontal="centerContinuous"/>
    </xf>
    <xf numFmtId="0" fontId="57" fillId="0" borderId="41" xfId="5" applyFont="1" applyFill="1" applyBorder="1" applyAlignment="1" applyProtection="1">
      <alignment horizontal="centerContinuous"/>
      <protection locked="0"/>
    </xf>
    <xf numFmtId="0" fontId="57" fillId="0" borderId="47" xfId="0" applyFont="1" applyFill="1" applyBorder="1" applyProtection="1"/>
    <xf numFmtId="3" fontId="57" fillId="34" borderId="51" xfId="0" applyNumberFormat="1" applyFont="1" applyFill="1" applyBorder="1" applyProtection="1"/>
    <xf numFmtId="3" fontId="66" fillId="33" borderId="43" xfId="216" applyNumberFormat="1" applyFont="1" applyFill="1" applyBorder="1" applyAlignment="1" applyProtection="1"/>
    <xf numFmtId="3" fontId="66" fillId="33" borderId="75" xfId="0" applyNumberFormat="1" applyFont="1" applyFill="1" applyBorder="1" applyAlignment="1" applyProtection="1"/>
    <xf numFmtId="3" fontId="57" fillId="0" borderId="83" xfId="5" applyNumberFormat="1" applyFont="1" applyFill="1" applyBorder="1" applyProtection="1"/>
    <xf numFmtId="3" fontId="57" fillId="0" borderId="23" xfId="5" applyNumberFormat="1" applyFont="1" applyFill="1" applyBorder="1" applyProtection="1"/>
    <xf numFmtId="3" fontId="57" fillId="0" borderId="73" xfId="5" applyNumberFormat="1" applyFont="1" applyFill="1" applyBorder="1" applyProtection="1"/>
    <xf numFmtId="3" fontId="57" fillId="0" borderId="0" xfId="5" applyNumberFormat="1" applyFont="1" applyFill="1" applyBorder="1" applyProtection="1"/>
    <xf numFmtId="3" fontId="57" fillId="0" borderId="66" xfId="5" applyNumberFormat="1" applyFont="1" applyFill="1" applyBorder="1" applyProtection="1"/>
    <xf numFmtId="1" fontId="57" fillId="0" borderId="0" xfId="0" applyNumberFormat="1" applyFont="1" applyBorder="1" applyProtection="1">
      <protection locked="0"/>
    </xf>
    <xf numFmtId="3" fontId="57" fillId="33" borderId="43" xfId="216" applyNumberFormat="1" applyFont="1" applyFill="1" applyBorder="1" applyAlignment="1" applyProtection="1"/>
    <xf numFmtId="3" fontId="57" fillId="33" borderId="75" xfId="0" applyNumberFormat="1" applyFont="1" applyFill="1" applyBorder="1" applyAlignment="1" applyProtection="1"/>
    <xf numFmtId="3" fontId="60" fillId="0" borderId="43" xfId="0" applyNumberFormat="1" applyFont="1" applyFill="1" applyBorder="1" applyProtection="1"/>
    <xf numFmtId="3" fontId="57" fillId="49" borderId="83" xfId="0" applyNumberFormat="1" applyFont="1" applyFill="1" applyBorder="1" applyProtection="1"/>
    <xf numFmtId="3" fontId="57" fillId="32" borderId="77" xfId="0" applyNumberFormat="1" applyFont="1" applyFill="1" applyBorder="1" applyProtection="1"/>
    <xf numFmtId="49" fontId="67" fillId="39" borderId="66" xfId="2" applyNumberFormat="1" applyFont="1" applyFill="1" applyBorder="1" applyAlignment="1" applyProtection="1">
      <alignment horizontal="right"/>
    </xf>
    <xf numFmtId="49" fontId="57" fillId="39" borderId="40" xfId="3" applyNumberFormat="1" applyFont="1" applyFill="1" applyBorder="1" applyAlignment="1" applyProtection="1">
      <alignment horizontal="right"/>
    </xf>
    <xf numFmtId="3" fontId="57" fillId="0" borderId="87" xfId="0" applyNumberFormat="1" applyFont="1" applyFill="1" applyBorder="1" applyProtection="1"/>
    <xf numFmtId="3" fontId="57" fillId="0" borderId="46" xfId="0" applyNumberFormat="1" applyFont="1" applyFill="1" applyBorder="1" applyProtection="1"/>
    <xf numFmtId="4" fontId="67" fillId="43" borderId="42" xfId="2" applyNumberFormat="1" applyFont="1" applyFill="1" applyBorder="1" applyProtection="1"/>
    <xf numFmtId="3" fontId="57" fillId="0" borderId="90" xfId="3" applyNumberFormat="1" applyFont="1" applyFill="1" applyBorder="1" applyProtection="1"/>
    <xf numFmtId="3" fontId="57" fillId="0" borderId="73" xfId="3" applyNumberFormat="1" applyFont="1" applyFill="1" applyBorder="1" applyProtection="1"/>
    <xf numFmtId="0" fontId="67" fillId="0" borderId="63" xfId="3" applyFont="1" applyFill="1" applyBorder="1" applyProtection="1"/>
    <xf numFmtId="3" fontId="67" fillId="0" borderId="46" xfId="0" applyNumberFormat="1" applyFont="1" applyFill="1" applyBorder="1" applyProtection="1"/>
    <xf numFmtId="4" fontId="67" fillId="0" borderId="0" xfId="3" applyNumberFormat="1" applyFont="1" applyBorder="1" applyProtection="1">
      <protection locked="0"/>
    </xf>
    <xf numFmtId="3" fontId="67" fillId="0" borderId="73" xfId="3" applyNumberFormat="1" applyFont="1" applyFill="1" applyBorder="1" applyProtection="1"/>
    <xf numFmtId="0" fontId="125" fillId="0" borderId="7" xfId="3" applyFont="1" applyBorder="1" applyAlignment="1" applyProtection="1">
      <alignment horizontal="center"/>
    </xf>
    <xf numFmtId="0" fontId="125" fillId="0" borderId="20" xfId="3" applyFont="1" applyBorder="1" applyAlignment="1" applyProtection="1">
      <alignment horizontal="center"/>
    </xf>
    <xf numFmtId="0" fontId="125" fillId="0" borderId="7" xfId="2" applyFont="1" applyBorder="1" applyAlignment="1" applyProtection="1"/>
    <xf numFmtId="49" fontId="125" fillId="0" borderId="50" xfId="3" applyNumberFormat="1" applyFont="1" applyBorder="1" applyAlignment="1" applyProtection="1">
      <alignment horizontal="right"/>
    </xf>
    <xf numFmtId="49" fontId="125" fillId="0" borderId="66" xfId="2" applyNumberFormat="1" applyFont="1" applyBorder="1" applyAlignment="1" applyProtection="1">
      <alignment horizontal="right"/>
    </xf>
    <xf numFmtId="0" fontId="125" fillId="0" borderId="0" xfId="3" applyFont="1" applyBorder="1" applyAlignment="1" applyProtection="1">
      <alignment horizontal="centerContinuous"/>
    </xf>
    <xf numFmtId="0" fontId="125" fillId="0" borderId="41" xfId="3" applyFont="1" applyBorder="1" applyAlignment="1" applyProtection="1">
      <alignment horizontal="centerContinuous"/>
      <protection locked="0"/>
    </xf>
    <xf numFmtId="4" fontId="125" fillId="0" borderId="0" xfId="0" applyNumberFormat="1" applyFont="1" applyBorder="1" applyProtection="1">
      <protection locked="0"/>
    </xf>
    <xf numFmtId="4" fontId="125" fillId="43" borderId="100" xfId="2" applyNumberFormat="1" applyFont="1" applyFill="1" applyBorder="1" applyProtection="1"/>
    <xf numFmtId="0" fontId="125" fillId="0" borderId="63" xfId="0" applyFont="1" applyFill="1" applyBorder="1" applyProtection="1"/>
    <xf numFmtId="4" fontId="125" fillId="0" borderId="74" xfId="2" applyNumberFormat="1" applyFont="1" applyFill="1" applyBorder="1" applyProtection="1"/>
    <xf numFmtId="3" fontId="125" fillId="0" borderId="75" xfId="3" applyNumberFormat="1" applyFont="1" applyFill="1" applyBorder="1" applyProtection="1"/>
    <xf numFmtId="3" fontId="125" fillId="0" borderId="43" xfId="3" applyNumberFormat="1" applyFont="1" applyFill="1" applyBorder="1" applyProtection="1"/>
    <xf numFmtId="0" fontId="125" fillId="28" borderId="39" xfId="2" applyFont="1" applyFill="1" applyBorder="1" applyProtection="1"/>
    <xf numFmtId="0" fontId="125" fillId="28" borderId="23" xfId="2" applyFont="1" applyFill="1" applyBorder="1" applyProtection="1"/>
    <xf numFmtId="3" fontId="125" fillId="0" borderId="88" xfId="0" applyNumberFormat="1" applyFont="1" applyFill="1" applyBorder="1" applyProtection="1"/>
    <xf numFmtId="3" fontId="125" fillId="0" borderId="81" xfId="0" applyNumberFormat="1" applyFont="1" applyFill="1" applyBorder="1" applyProtection="1"/>
    <xf numFmtId="0" fontId="121" fillId="0" borderId="0" xfId="0" applyFont="1"/>
    <xf numFmtId="0" fontId="125" fillId="0" borderId="0" xfId="3" applyFont="1" applyFill="1" applyProtection="1"/>
    <xf numFmtId="0" fontId="125" fillId="0" borderId="0" xfId="0" applyFont="1" applyFill="1" applyProtection="1"/>
    <xf numFmtId="49" fontId="125" fillId="39" borderId="50" xfId="3" applyNumberFormat="1" applyFont="1" applyFill="1" applyBorder="1" applyAlignment="1" applyProtection="1">
      <alignment horizontal="right"/>
    </xf>
    <xf numFmtId="49" fontId="125" fillId="39" borderId="66" xfId="2" applyNumberFormat="1" applyFont="1" applyFill="1" applyBorder="1" applyAlignment="1" applyProtection="1">
      <alignment horizontal="right"/>
    </xf>
    <xf numFmtId="0" fontId="125" fillId="0" borderId="0" xfId="0" applyFont="1" applyBorder="1" applyProtection="1">
      <protection locked="0"/>
    </xf>
    <xf numFmtId="4" fontId="125" fillId="43" borderId="44" xfId="2" applyNumberFormat="1" applyFont="1" applyFill="1" applyBorder="1" applyProtection="1"/>
    <xf numFmtId="0" fontId="125" fillId="0" borderId="7" xfId="0" applyFont="1" applyFill="1" applyBorder="1" applyProtection="1"/>
    <xf numFmtId="4" fontId="125" fillId="0" borderId="0" xfId="2" applyNumberFormat="1" applyFont="1" applyFill="1" applyBorder="1" applyProtection="1"/>
    <xf numFmtId="3" fontId="125" fillId="0" borderId="22" xfId="3" applyNumberFormat="1" applyFont="1" applyFill="1" applyBorder="1" applyProtection="1"/>
    <xf numFmtId="3" fontId="125" fillId="0" borderId="39" xfId="3" applyNumberFormat="1" applyFont="1" applyFill="1" applyBorder="1" applyProtection="1"/>
    <xf numFmtId="3" fontId="121" fillId="0" borderId="83" xfId="0" applyNumberFormat="1" applyFont="1" applyFill="1" applyBorder="1" applyProtection="1"/>
    <xf numFmtId="3" fontId="121" fillId="0" borderId="23" xfId="0" applyNumberFormat="1" applyFont="1" applyFill="1" applyBorder="1" applyProtection="1"/>
    <xf numFmtId="3" fontId="121" fillId="0" borderId="66" xfId="0" applyNumberFormat="1" applyFont="1" applyFill="1" applyBorder="1" applyProtection="1"/>
    <xf numFmtId="3" fontId="121" fillId="0" borderId="83" xfId="216" applyNumberFormat="1" applyFont="1" applyFill="1" applyBorder="1" applyProtection="1"/>
    <xf numFmtId="3" fontId="121" fillId="0" borderId="78" xfId="0" applyNumberFormat="1" applyFont="1" applyFill="1" applyBorder="1" applyProtection="1"/>
    <xf numFmtId="3" fontId="57" fillId="0" borderId="81" xfId="216" applyNumberFormat="1" applyFont="1" applyFill="1" applyBorder="1" applyProtection="1"/>
    <xf numFmtId="174" fontId="67" fillId="0" borderId="7" xfId="2" applyNumberFormat="1" applyFont="1" applyBorder="1" applyAlignment="1" applyProtection="1"/>
    <xf numFmtId="174" fontId="67" fillId="39" borderId="41" xfId="2" applyNumberFormat="1" applyFont="1" applyFill="1" applyBorder="1" applyAlignment="1" applyProtection="1">
      <alignment horizontal="right"/>
    </xf>
    <xf numFmtId="175" fontId="67" fillId="29" borderId="46" xfId="2" applyNumberFormat="1" applyFont="1" applyFill="1" applyBorder="1" applyProtection="1"/>
    <xf numFmtId="175" fontId="67" fillId="0" borderId="36" xfId="2" applyNumberFormat="1" applyFont="1" applyFill="1" applyBorder="1" applyProtection="1"/>
    <xf numFmtId="3" fontId="66" fillId="49" borderId="72" xfId="0" applyNumberFormat="1" applyFont="1" applyFill="1" applyBorder="1" applyProtection="1"/>
    <xf numFmtId="3" fontId="66" fillId="32" borderId="70" xfId="0" applyNumberFormat="1" applyFont="1" applyFill="1" applyBorder="1" applyProtection="1"/>
    <xf numFmtId="3" fontId="66" fillId="34" borderId="72" xfId="216" applyNumberFormat="1" applyFont="1" applyFill="1" applyBorder="1" applyProtection="1"/>
    <xf numFmtId="3" fontId="66" fillId="33" borderId="70" xfId="0" applyNumberFormat="1" applyFont="1" applyFill="1" applyBorder="1" applyProtection="1"/>
    <xf numFmtId="3" fontId="66" fillId="32" borderId="86" xfId="0" applyNumberFormat="1" applyFont="1" applyFill="1" applyBorder="1" applyProtection="1"/>
    <xf numFmtId="174" fontId="67" fillId="28" borderId="39" xfId="2" applyNumberFormat="1" applyFont="1" applyFill="1" applyBorder="1" applyProtection="1"/>
    <xf numFmtId="49" fontId="23" fillId="52" borderId="19" xfId="0" applyNumberFormat="1" applyFont="1" applyFill="1" applyBorder="1" applyAlignment="1" applyProtection="1">
      <alignment horizontal="center"/>
    </xf>
    <xf numFmtId="49" fontId="29" fillId="43" borderId="19" xfId="0" applyNumberFormat="1" applyFont="1" applyFill="1" applyBorder="1" applyAlignment="1" applyProtection="1">
      <alignment horizontal="center"/>
    </xf>
    <xf numFmtId="0" fontId="29" fillId="43" borderId="120" xfId="216" applyFont="1" applyFill="1" applyBorder="1" applyAlignment="1" applyProtection="1"/>
    <xf numFmtId="0" fontId="57" fillId="43" borderId="0" xfId="0" applyFont="1" applyFill="1" applyBorder="1" applyAlignment="1" applyProtection="1">
      <alignment horizontal="center"/>
    </xf>
    <xf numFmtId="0" fontId="29" fillId="43" borderId="83" xfId="216" applyFont="1" applyFill="1" applyBorder="1" applyAlignment="1" applyProtection="1">
      <alignment horizontal="center"/>
    </xf>
    <xf numFmtId="0" fontId="29" fillId="43" borderId="83" xfId="216" applyFont="1" applyFill="1" applyBorder="1" applyAlignment="1" applyProtection="1"/>
    <xf numFmtId="0" fontId="23" fillId="43" borderId="0" xfId="0" applyFont="1" applyFill="1" applyBorder="1" applyAlignment="1" applyProtection="1">
      <alignment horizontal="center"/>
    </xf>
    <xf numFmtId="0" fontId="29" fillId="43" borderId="0" xfId="0" applyFont="1" applyFill="1" applyBorder="1" applyAlignment="1" applyProtection="1">
      <alignment horizontal="center"/>
    </xf>
    <xf numFmtId="188" fontId="57" fillId="43" borderId="83" xfId="216" applyNumberFormat="1" applyFont="1" applyFill="1" applyBorder="1" applyAlignment="1" applyProtection="1"/>
    <xf numFmtId="4" fontId="57" fillId="43" borderId="91" xfId="0" applyNumberFormat="1" applyFont="1" applyFill="1" applyBorder="1" applyAlignment="1" applyProtection="1">
      <alignment horizontal="center"/>
    </xf>
    <xf numFmtId="4" fontId="57" fillId="43" borderId="55" xfId="0" applyNumberFormat="1" applyFont="1" applyFill="1" applyBorder="1" applyAlignment="1" applyProtection="1">
      <alignment horizontal="center"/>
    </xf>
    <xf numFmtId="0" fontId="57" fillId="43" borderId="14" xfId="0" applyFont="1" applyFill="1" applyBorder="1" applyAlignment="1" applyProtection="1">
      <alignment horizontal="center"/>
    </xf>
    <xf numFmtId="4" fontId="124" fillId="43" borderId="44" xfId="5" applyNumberFormat="1" applyFont="1" applyFill="1" applyBorder="1" applyProtection="1"/>
    <xf numFmtId="4" fontId="25" fillId="43" borderId="0" xfId="5" applyNumberFormat="1" applyFont="1" applyFill="1" applyBorder="1" applyProtection="1"/>
    <xf numFmtId="3" fontId="25" fillId="43" borderId="22" xfId="5" applyNumberFormat="1" applyFont="1" applyFill="1" applyBorder="1" applyProtection="1"/>
    <xf numFmtId="4" fontId="23" fillId="29" borderId="42" xfId="0" applyNumberFormat="1" applyFont="1" applyFill="1" applyBorder="1" applyProtection="1"/>
    <xf numFmtId="4" fontId="23" fillId="43" borderId="74" xfId="0" applyNumberFormat="1" applyFont="1" applyFill="1" applyBorder="1" applyProtection="1"/>
    <xf numFmtId="3" fontId="23" fillId="36" borderId="75" xfId="0" applyNumberFormat="1" applyFont="1" applyFill="1" applyBorder="1" applyProtection="1"/>
    <xf numFmtId="4" fontId="23" fillId="29" borderId="44" xfId="0" applyNumberFormat="1" applyFont="1" applyFill="1" applyBorder="1" applyProtection="1"/>
    <xf numFmtId="4" fontId="23" fillId="43" borderId="66" xfId="0" applyNumberFormat="1" applyFont="1" applyFill="1" applyBorder="1" applyProtection="1"/>
    <xf numFmtId="3" fontId="23" fillId="36" borderId="22" xfId="0" applyNumberFormat="1" applyFont="1" applyFill="1" applyBorder="1" applyProtection="1"/>
    <xf numFmtId="4" fontId="23" fillId="29" borderId="45" xfId="0" applyNumberFormat="1" applyFont="1" applyFill="1" applyBorder="1" applyProtection="1"/>
    <xf numFmtId="4" fontId="23" fillId="43" borderId="80" xfId="0" applyNumberFormat="1" applyFont="1" applyFill="1" applyBorder="1" applyProtection="1"/>
    <xf numFmtId="3" fontId="23" fillId="36" borderId="85" xfId="0" applyNumberFormat="1" applyFont="1" applyFill="1" applyBorder="1" applyProtection="1"/>
    <xf numFmtId="4" fontId="23" fillId="43" borderId="0" xfId="0" applyNumberFormat="1" applyFont="1" applyFill="1" applyBorder="1" applyProtection="1"/>
    <xf numFmtId="4" fontId="25" fillId="43" borderId="44" xfId="5" applyNumberFormat="1" applyFont="1" applyFill="1" applyBorder="1" applyProtection="1"/>
    <xf numFmtId="4" fontId="25" fillId="43" borderId="73" xfId="5" applyNumberFormat="1" applyFont="1" applyFill="1" applyBorder="1" applyProtection="1"/>
    <xf numFmtId="4" fontId="29" fillId="29" borderId="42" xfId="0" applyNumberFormat="1" applyFont="1" applyFill="1" applyBorder="1" applyProtection="1"/>
    <xf numFmtId="4" fontId="29" fillId="29" borderId="44" xfId="0" applyNumberFormat="1" applyFont="1" applyFill="1" applyBorder="1" applyProtection="1"/>
    <xf numFmtId="4" fontId="29" fillId="29" borderId="45" xfId="0" applyNumberFormat="1" applyFont="1" applyFill="1" applyBorder="1" applyProtection="1"/>
    <xf numFmtId="4" fontId="57" fillId="43" borderId="44" xfId="0" applyNumberFormat="1" applyFont="1" applyFill="1" applyBorder="1" applyProtection="1"/>
    <xf numFmtId="4" fontId="57" fillId="43" borderId="0" xfId="0" applyNumberFormat="1" applyFont="1" applyFill="1" applyBorder="1" applyProtection="1"/>
    <xf numFmtId="3" fontId="29" fillId="43" borderId="22" xfId="0" applyNumberFormat="1" applyFont="1" applyFill="1" applyBorder="1" applyProtection="1"/>
    <xf numFmtId="175" fontId="57" fillId="29" borderId="46" xfId="0" applyNumberFormat="1" applyFont="1" applyFill="1" applyBorder="1" applyProtection="1"/>
    <xf numFmtId="175" fontId="57" fillId="43" borderId="36" xfId="0" applyNumberFormat="1" applyFont="1" applyFill="1" applyBorder="1" applyProtection="1"/>
    <xf numFmtId="175" fontId="67" fillId="36" borderId="51" xfId="0" applyNumberFormat="1" applyFont="1" applyFill="1" applyBorder="1" applyProtection="1"/>
    <xf numFmtId="172" fontId="67" fillId="43" borderId="22" xfId="0" applyNumberFormat="1" applyFont="1" applyFill="1" applyBorder="1" applyProtection="1"/>
    <xf numFmtId="4" fontId="124" fillId="43" borderId="44" xfId="3" applyNumberFormat="1" applyFont="1" applyFill="1" applyBorder="1" applyProtection="1"/>
    <xf numFmtId="4" fontId="25" fillId="43" borderId="0" xfId="3" applyNumberFormat="1" applyFont="1" applyFill="1" applyBorder="1" applyProtection="1"/>
    <xf numFmtId="3" fontId="25" fillId="43" borderId="22" xfId="3" applyNumberFormat="1" applyFont="1" applyFill="1" applyBorder="1" applyProtection="1"/>
    <xf numFmtId="4" fontId="124" fillId="43" borderId="46" xfId="3" applyNumberFormat="1" applyFont="1" applyFill="1" applyBorder="1" applyProtection="1"/>
    <xf numFmtId="4" fontId="25" fillId="43" borderId="44" xfId="3" applyNumberFormat="1" applyFont="1" applyFill="1" applyBorder="1" applyProtection="1"/>
    <xf numFmtId="4" fontId="23" fillId="28" borderId="42" xfId="0" applyNumberFormat="1" applyFont="1" applyFill="1" applyBorder="1" applyProtection="1"/>
    <xf numFmtId="4" fontId="23" fillId="28" borderId="44" xfId="0" applyNumberFormat="1" applyFont="1" applyFill="1" applyBorder="1" applyProtection="1"/>
    <xf numFmtId="175" fontId="57" fillId="43" borderId="70" xfId="0" applyNumberFormat="1" applyFont="1" applyFill="1" applyBorder="1" applyProtection="1"/>
    <xf numFmtId="175" fontId="57" fillId="43" borderId="73" xfId="0" applyNumberFormat="1" applyFont="1" applyFill="1" applyBorder="1" applyProtection="1"/>
    <xf numFmtId="175" fontId="67" fillId="43" borderId="51" xfId="0" applyNumberFormat="1" applyFont="1" applyFill="1" applyBorder="1" applyProtection="1"/>
    <xf numFmtId="4" fontId="125" fillId="43" borderId="76" xfId="0" applyNumberFormat="1" applyFont="1" applyFill="1" applyBorder="1" applyProtection="1"/>
    <xf numFmtId="4" fontId="125" fillId="43" borderId="77" xfId="0" applyNumberFormat="1" applyFont="1" applyFill="1" applyBorder="1" applyProtection="1"/>
    <xf numFmtId="3" fontId="125" fillId="43" borderId="75" xfId="0" applyNumberFormat="1" applyFont="1" applyFill="1" applyBorder="1" applyProtection="1"/>
    <xf numFmtId="4" fontId="25" fillId="43" borderId="70" xfId="3" applyNumberFormat="1" applyFont="1" applyFill="1" applyBorder="1" applyProtection="1"/>
    <xf numFmtId="4" fontId="25" fillId="43" borderId="73" xfId="3" applyNumberFormat="1" applyFont="1" applyFill="1" applyBorder="1" applyProtection="1"/>
    <xf numFmtId="3" fontId="25" fillId="43" borderId="51" xfId="3" applyNumberFormat="1" applyFont="1" applyFill="1" applyBorder="1" applyProtection="1"/>
    <xf numFmtId="4" fontId="25" fillId="43" borderId="46" xfId="3" applyNumberFormat="1" applyFont="1" applyFill="1" applyBorder="1" applyProtection="1"/>
    <xf numFmtId="4" fontId="23" fillId="43" borderId="129" xfId="0" applyNumberFormat="1" applyFont="1" applyFill="1" applyBorder="1" applyProtection="1"/>
    <xf numFmtId="4" fontId="23" fillId="43" borderId="117" xfId="0" applyNumberFormat="1" applyFont="1" applyFill="1" applyBorder="1" applyProtection="1"/>
    <xf numFmtId="3" fontId="23" fillId="43" borderId="22" xfId="0" applyNumberFormat="1" applyFont="1" applyFill="1" applyBorder="1" applyProtection="1"/>
    <xf numFmtId="4" fontId="57" fillId="43" borderId="36" xfId="0" applyNumberFormat="1" applyFont="1" applyFill="1" applyBorder="1" applyProtection="1"/>
    <xf numFmtId="3" fontId="57" fillId="36" borderId="51" xfId="0" applyNumberFormat="1" applyFont="1" applyFill="1" applyBorder="1" applyProtection="1"/>
    <xf numFmtId="4" fontId="57" fillId="43" borderId="42" xfId="0" applyNumberFormat="1" applyFont="1" applyFill="1" applyBorder="1" applyProtection="1"/>
    <xf numFmtId="4" fontId="57" fillId="43" borderId="74" xfId="0" applyNumberFormat="1" applyFont="1" applyFill="1" applyBorder="1" applyProtection="1"/>
    <xf numFmtId="3" fontId="29" fillId="43" borderId="75" xfId="0" applyNumberFormat="1" applyFont="1" applyFill="1" applyBorder="1" applyProtection="1"/>
    <xf numFmtId="4" fontId="125" fillId="43" borderId="44" xfId="0" applyNumberFormat="1" applyFont="1" applyFill="1" applyBorder="1" applyProtection="1"/>
    <xf numFmtId="4" fontId="125" fillId="43" borderId="0" xfId="0" applyNumberFormat="1" applyFont="1" applyFill="1" applyBorder="1" applyProtection="1"/>
    <xf numFmtId="3" fontId="125" fillId="43" borderId="22" xfId="0" applyNumberFormat="1" applyFont="1" applyFill="1" applyBorder="1" applyProtection="1"/>
    <xf numFmtId="4" fontId="124" fillId="43" borderId="45" xfId="3" applyNumberFormat="1" applyFont="1" applyFill="1" applyBorder="1" applyProtection="1"/>
    <xf numFmtId="4" fontId="123" fillId="43" borderId="74" xfId="3" applyNumberFormat="1" applyFont="1" applyFill="1" applyBorder="1" applyProtection="1"/>
    <xf numFmtId="3" fontId="123" fillId="43" borderId="75" xfId="3" applyNumberFormat="1" applyFont="1" applyFill="1" applyBorder="1" applyProtection="1"/>
    <xf numFmtId="4" fontId="23" fillId="43" borderId="77" xfId="0" applyNumberFormat="1" applyFont="1" applyFill="1" applyBorder="1" applyProtection="1"/>
    <xf numFmtId="4" fontId="122" fillId="43" borderId="46" xfId="3" applyNumberFormat="1" applyFont="1" applyFill="1" applyBorder="1" applyProtection="1"/>
    <xf numFmtId="4" fontId="123" fillId="43" borderId="46" xfId="3" applyNumberFormat="1" applyFont="1" applyFill="1" applyBorder="1" applyProtection="1"/>
    <xf numFmtId="4" fontId="23" fillId="43" borderId="88" xfId="0" applyNumberFormat="1" applyFont="1" applyFill="1" applyBorder="1" applyProtection="1"/>
    <xf numFmtId="175" fontId="57" fillId="36" borderId="51" xfId="0" applyNumberFormat="1" applyFont="1" applyFill="1" applyBorder="1" applyProtection="1"/>
    <xf numFmtId="4" fontId="23" fillId="43" borderId="41" xfId="0" applyNumberFormat="1" applyFont="1" applyFill="1" applyBorder="1" applyProtection="1"/>
    <xf numFmtId="4" fontId="57" fillId="43" borderId="46" xfId="0" applyNumberFormat="1" applyFont="1" applyFill="1" applyBorder="1" applyProtection="1"/>
    <xf numFmtId="3" fontId="67" fillId="43" borderId="22" xfId="0" applyNumberFormat="1" applyFont="1" applyFill="1" applyBorder="1" applyProtection="1"/>
    <xf numFmtId="4" fontId="67" fillId="29" borderId="46" xfId="0" applyNumberFormat="1" applyFont="1" applyFill="1" applyBorder="1" applyProtection="1"/>
    <xf numFmtId="175" fontId="67" fillId="43" borderId="36" xfId="0" applyNumberFormat="1" applyFont="1" applyFill="1" applyBorder="1" applyProtection="1"/>
    <xf numFmtId="4" fontId="25" fillId="43" borderId="45" xfId="1" applyNumberFormat="1" applyFont="1" applyFill="1" applyBorder="1" applyAlignment="1" applyProtection="1">
      <alignment vertical="center"/>
    </xf>
    <xf numFmtId="4" fontId="25" fillId="43" borderId="88" xfId="1" applyNumberFormat="1" applyFill="1" applyBorder="1" applyAlignment="1" applyProtection="1">
      <alignment vertical="center"/>
    </xf>
    <xf numFmtId="3" fontId="25" fillId="43" borderId="85" xfId="1" applyNumberFormat="1" applyFill="1" applyBorder="1" applyAlignment="1" applyProtection="1">
      <alignment vertical="center"/>
    </xf>
    <xf numFmtId="3" fontId="57" fillId="43" borderId="22" xfId="0" applyNumberFormat="1" applyFont="1" applyFill="1" applyBorder="1" applyProtection="1"/>
    <xf numFmtId="4" fontId="57" fillId="43" borderId="41" xfId="0" applyNumberFormat="1" applyFont="1" applyFill="1" applyBorder="1" applyProtection="1"/>
    <xf numFmtId="4" fontId="57" fillId="43" borderId="23" xfId="0" applyNumberFormat="1" applyFont="1" applyFill="1" applyBorder="1" applyProtection="1"/>
    <xf numFmtId="4" fontId="57" fillId="43" borderId="73" xfId="0" applyNumberFormat="1" applyFont="1" applyFill="1" applyBorder="1" applyProtection="1"/>
    <xf numFmtId="171" fontId="29" fillId="36" borderId="51" xfId="0" applyNumberFormat="1" applyFont="1" applyFill="1" applyBorder="1" applyProtection="1"/>
    <xf numFmtId="4" fontId="57" fillId="43" borderId="55" xfId="0" applyNumberFormat="1" applyFont="1" applyFill="1" applyBorder="1" applyAlignment="1" applyProtection="1">
      <alignment vertical="center"/>
    </xf>
    <xf numFmtId="0" fontId="93" fillId="43" borderId="0" xfId="0" applyFont="1" applyFill="1"/>
    <xf numFmtId="4" fontId="57" fillId="43" borderId="0" xfId="0" applyNumberFormat="1" applyFont="1" applyFill="1" applyBorder="1" applyAlignment="1" applyProtection="1">
      <alignment vertical="center"/>
    </xf>
    <xf numFmtId="0" fontId="57" fillId="43" borderId="0" xfId="0" applyFont="1" applyFill="1" applyAlignment="1">
      <alignment horizontal="center"/>
    </xf>
    <xf numFmtId="4" fontId="29" fillId="43" borderId="0" xfId="0" applyNumberFormat="1" applyFont="1" applyFill="1" applyBorder="1" applyProtection="1"/>
    <xf numFmtId="4" fontId="25" fillId="43" borderId="64" xfId="1" applyNumberFormat="1" applyFont="1" applyFill="1" applyBorder="1" applyAlignment="1" applyProtection="1">
      <alignment horizontal="right" vertical="center"/>
    </xf>
    <xf numFmtId="4" fontId="25" fillId="43" borderId="56" xfId="1" applyNumberFormat="1" applyFill="1" applyBorder="1" applyAlignment="1" applyProtection="1">
      <alignment vertical="center"/>
    </xf>
    <xf numFmtId="4" fontId="26" fillId="43" borderId="23" xfId="3" applyNumberFormat="1" applyFont="1" applyFill="1" applyBorder="1" applyAlignment="1" applyProtection="1">
      <alignment horizontal="right"/>
    </xf>
    <xf numFmtId="4" fontId="26" fillId="43" borderId="41" xfId="3" applyNumberFormat="1" applyFill="1" applyBorder="1" applyProtection="1"/>
    <xf numFmtId="4" fontId="80" fillId="43" borderId="41" xfId="0" applyNumberFormat="1" applyFont="1" applyFill="1" applyBorder="1" applyProtection="1"/>
    <xf numFmtId="4" fontId="57" fillId="43" borderId="23" xfId="0" applyNumberFormat="1" applyFont="1" applyFill="1" applyBorder="1" applyAlignment="1" applyProtection="1">
      <alignment horizontal="right"/>
    </xf>
    <xf numFmtId="3" fontId="71" fillId="36" borderId="22" xfId="0" applyNumberFormat="1" applyFont="1" applyFill="1" applyBorder="1" applyAlignment="1" applyProtection="1">
      <alignment horizontal="right"/>
    </xf>
    <xf numFmtId="4" fontId="57" fillId="43" borderId="0" xfId="0" applyNumberFormat="1" applyFont="1" applyFill="1" applyBorder="1" applyAlignment="1" applyProtection="1">
      <alignment horizontal="right"/>
    </xf>
    <xf numFmtId="4" fontId="25" fillId="43" borderId="0" xfId="1" applyNumberFormat="1" applyFont="1" applyFill="1" applyBorder="1" applyAlignment="1" applyProtection="1">
      <alignment horizontal="right"/>
    </xf>
    <xf numFmtId="4" fontId="25" fillId="43" borderId="0" xfId="1" applyNumberFormat="1" applyFill="1" applyBorder="1" applyProtection="1"/>
    <xf numFmtId="3" fontId="25" fillId="43" borderId="0" xfId="1" applyNumberFormat="1" applyFill="1" applyBorder="1" applyAlignment="1" applyProtection="1">
      <alignment horizontal="right"/>
    </xf>
    <xf numFmtId="4" fontId="57" fillId="43" borderId="0" xfId="0" applyNumberFormat="1" applyFont="1" applyFill="1" applyBorder="1" applyAlignment="1" applyProtection="1">
      <alignment horizontal="center"/>
    </xf>
    <xf numFmtId="4" fontId="57" fillId="43" borderId="0" xfId="0" applyNumberFormat="1" applyFont="1" applyFill="1" applyProtection="1"/>
    <xf numFmtId="0" fontId="29" fillId="43" borderId="0" xfId="0" applyFont="1" applyFill="1" applyProtection="1"/>
    <xf numFmtId="4" fontId="57" fillId="43" borderId="56" xfId="0" applyNumberFormat="1" applyFont="1" applyFill="1" applyBorder="1" applyAlignment="1" applyProtection="1">
      <alignment horizontal="center"/>
    </xf>
    <xf numFmtId="4" fontId="57" fillId="43" borderId="101" xfId="0" applyNumberFormat="1" applyFont="1" applyFill="1" applyBorder="1" applyAlignment="1" applyProtection="1">
      <alignment horizontal="center"/>
    </xf>
    <xf numFmtId="3" fontId="57" fillId="43" borderId="22" xfId="0" applyNumberFormat="1" applyFont="1" applyFill="1" applyBorder="1" applyAlignment="1" applyProtection="1">
      <alignment horizontal="center"/>
    </xf>
    <xf numFmtId="4" fontId="57" fillId="43" borderId="58" xfId="0" applyNumberFormat="1" applyFont="1" applyFill="1" applyBorder="1" applyProtection="1"/>
    <xf numFmtId="4" fontId="57" fillId="43" borderId="89" xfId="0" applyNumberFormat="1" applyFont="1" applyFill="1" applyBorder="1" applyProtection="1"/>
    <xf numFmtId="4" fontId="57" fillId="43" borderId="37" xfId="0" applyNumberFormat="1" applyFont="1" applyFill="1" applyBorder="1" applyProtection="1"/>
    <xf numFmtId="3" fontId="57" fillId="43" borderId="51" xfId="0" applyNumberFormat="1" applyFont="1" applyFill="1" applyBorder="1" applyProtection="1"/>
    <xf numFmtId="4" fontId="57" fillId="43" borderId="95" xfId="0" applyNumberFormat="1" applyFont="1" applyFill="1" applyBorder="1" applyProtection="1"/>
    <xf numFmtId="4" fontId="57" fillId="43" borderId="51" xfId="0" applyNumberFormat="1" applyFont="1" applyFill="1" applyBorder="1" applyProtection="1"/>
    <xf numFmtId="4" fontId="29" fillId="43" borderId="0" xfId="0" applyNumberFormat="1" applyFont="1" applyFill="1" applyProtection="1"/>
    <xf numFmtId="4" fontId="57" fillId="43" borderId="54" xfId="0" applyNumberFormat="1" applyFont="1" applyFill="1" applyBorder="1" applyAlignment="1" applyProtection="1">
      <alignment horizontal="center"/>
    </xf>
    <xf numFmtId="4" fontId="57" fillId="43" borderId="20" xfId="0" applyNumberFormat="1" applyFont="1" applyFill="1" applyBorder="1" applyProtection="1"/>
    <xf numFmtId="4" fontId="57" fillId="43" borderId="22" xfId="0" applyNumberFormat="1" applyFont="1" applyFill="1" applyBorder="1" applyProtection="1"/>
    <xf numFmtId="4" fontId="57" fillId="43" borderId="20" xfId="0" applyNumberFormat="1" applyFont="1" applyFill="1" applyBorder="1" applyAlignment="1" applyProtection="1">
      <alignment horizontal="center"/>
    </xf>
    <xf numFmtId="0" fontId="29" fillId="43" borderId="22" xfId="0" applyFont="1" applyFill="1" applyBorder="1" applyProtection="1"/>
    <xf numFmtId="9" fontId="57" fillId="43" borderId="35" xfId="219" applyFont="1" applyFill="1" applyBorder="1" applyProtection="1"/>
    <xf numFmtId="3" fontId="78" fillId="43" borderId="0" xfId="0" applyNumberFormat="1" applyFont="1" applyFill="1" applyBorder="1" applyProtection="1"/>
    <xf numFmtId="0" fontId="57" fillId="43" borderId="0" xfId="0" applyFont="1" applyFill="1" applyProtection="1"/>
    <xf numFmtId="49" fontId="23" fillId="52" borderId="76" xfId="0" applyNumberFormat="1" applyFont="1" applyFill="1" applyBorder="1" applyAlignment="1" applyProtection="1">
      <alignment horizontal="center"/>
    </xf>
    <xf numFmtId="49" fontId="29" fillId="37" borderId="74" xfId="0" applyNumberFormat="1" applyFont="1" applyFill="1" applyBorder="1" applyAlignment="1" applyProtection="1">
      <alignment horizontal="center"/>
    </xf>
    <xf numFmtId="0" fontId="29" fillId="37" borderId="87" xfId="216" applyFont="1" applyFill="1" applyBorder="1" applyAlignment="1" applyProtection="1"/>
    <xf numFmtId="0" fontId="21" fillId="51" borderId="0" xfId="2" applyFill="1" applyBorder="1" applyAlignment="1" applyProtection="1">
      <alignment horizontal="center"/>
    </xf>
    <xf numFmtId="49" fontId="29" fillId="52" borderId="76" xfId="0" applyNumberFormat="1" applyFont="1" applyFill="1" applyBorder="1" applyAlignment="1" applyProtection="1">
      <alignment horizontal="center"/>
    </xf>
    <xf numFmtId="0" fontId="57" fillId="37" borderId="23" xfId="0" applyFont="1" applyFill="1" applyBorder="1" applyAlignment="1" applyProtection="1">
      <alignment horizontal="center"/>
    </xf>
    <xf numFmtId="3" fontId="57" fillId="52" borderId="0" xfId="0" applyNumberFormat="1" applyFont="1" applyFill="1" applyBorder="1" applyAlignment="1" applyProtection="1">
      <alignment horizontal="center"/>
    </xf>
    <xf numFmtId="0" fontId="29" fillId="37" borderId="83" xfId="216" applyFont="1" applyFill="1" applyBorder="1" applyAlignment="1" applyProtection="1"/>
    <xf numFmtId="0" fontId="21" fillId="51" borderId="0" xfId="2" applyFill="1" applyBorder="1" applyProtection="1"/>
    <xf numFmtId="2" fontId="57" fillId="52" borderId="0" xfId="0" applyNumberFormat="1" applyFont="1" applyFill="1" applyBorder="1" applyAlignment="1" applyProtection="1">
      <alignment horizontal="center"/>
    </xf>
    <xf numFmtId="0" fontId="57" fillId="52" borderId="0" xfId="0" applyFont="1" applyFill="1" applyBorder="1" applyAlignment="1" applyProtection="1">
      <alignment horizontal="center"/>
    </xf>
    <xf numFmtId="0" fontId="73" fillId="37" borderId="83" xfId="216" quotePrefix="1" applyFont="1" applyFill="1" applyBorder="1" applyAlignment="1" applyProtection="1"/>
    <xf numFmtId="0" fontId="73" fillId="37" borderId="83" xfId="216" applyFont="1" applyFill="1" applyBorder="1" applyAlignment="1" applyProtection="1"/>
    <xf numFmtId="0" fontId="23" fillId="37" borderId="92" xfId="0" applyFont="1" applyFill="1" applyBorder="1" applyAlignment="1" applyProtection="1">
      <alignment horizontal="center"/>
    </xf>
    <xf numFmtId="0" fontId="29" fillId="37" borderId="29" xfId="0" applyFont="1" applyFill="1" applyBorder="1" applyAlignment="1" applyProtection="1">
      <alignment horizontal="center"/>
    </xf>
    <xf numFmtId="0" fontId="57" fillId="37" borderId="93" xfId="216" applyFont="1" applyFill="1" applyBorder="1" applyAlignment="1" applyProtection="1"/>
    <xf numFmtId="0" fontId="29" fillId="37" borderId="92" xfId="0" applyFont="1" applyFill="1" applyBorder="1" applyAlignment="1" applyProtection="1">
      <alignment horizontal="center"/>
    </xf>
    <xf numFmtId="4" fontId="57" fillId="37" borderId="91" xfId="0" applyNumberFormat="1" applyFont="1" applyFill="1" applyBorder="1" applyAlignment="1" applyProtection="1">
      <alignment horizontal="center"/>
    </xf>
    <xf numFmtId="4" fontId="57" fillId="37" borderId="55" xfId="0" applyNumberFormat="1" applyFont="1" applyFill="1" applyBorder="1" applyAlignment="1" applyProtection="1">
      <alignment horizontal="center"/>
    </xf>
    <xf numFmtId="0" fontId="57" fillId="37" borderId="14" xfId="0" applyFont="1" applyFill="1" applyBorder="1" applyAlignment="1" applyProtection="1">
      <alignment horizontal="center"/>
    </xf>
    <xf numFmtId="0" fontId="21" fillId="51" borderId="39" xfId="2" applyFill="1" applyBorder="1" applyProtection="1"/>
    <xf numFmtId="4" fontId="25" fillId="50" borderId="46" xfId="1" applyNumberFormat="1" applyFont="1" applyFill="1" applyBorder="1" applyAlignment="1" applyProtection="1">
      <alignment vertical="center"/>
    </xf>
    <xf numFmtId="4" fontId="25" fillId="50" borderId="36" xfId="1" applyNumberFormat="1" applyFill="1" applyBorder="1" applyAlignment="1" applyProtection="1">
      <alignment vertical="center"/>
    </xf>
    <xf numFmtId="3" fontId="25" fillId="50" borderId="51" xfId="1" applyNumberFormat="1" applyFill="1" applyBorder="1" applyAlignment="1" applyProtection="1">
      <alignment vertical="center"/>
    </xf>
    <xf numFmtId="0" fontId="25" fillId="51" borderId="39" xfId="1" applyFill="1" applyBorder="1" applyAlignment="1" applyProtection="1">
      <alignment vertical="center"/>
    </xf>
    <xf numFmtId="4" fontId="25" fillId="50" borderId="46" xfId="1" applyNumberFormat="1" applyFill="1" applyBorder="1" applyAlignment="1" applyProtection="1">
      <alignment vertical="center"/>
    </xf>
    <xf numFmtId="4" fontId="124" fillId="37" borderId="44" xfId="5" applyNumberFormat="1" applyFont="1" applyFill="1" applyBorder="1" applyProtection="1"/>
    <xf numFmtId="4" fontId="25" fillId="37" borderId="0" xfId="5" applyNumberFormat="1" applyFont="1" applyFill="1" applyBorder="1" applyProtection="1"/>
    <xf numFmtId="3" fontId="25" fillId="37" borderId="22" xfId="5" applyNumberFormat="1" applyFont="1" applyFill="1" applyBorder="1" applyProtection="1"/>
    <xf numFmtId="0" fontId="21" fillId="51" borderId="39" xfId="2" applyFont="1" applyFill="1" applyBorder="1" applyProtection="1"/>
    <xf numFmtId="4" fontId="25" fillId="37" borderId="44" xfId="5" applyNumberFormat="1" applyFont="1" applyFill="1" applyBorder="1" applyProtection="1"/>
    <xf numFmtId="4" fontId="23" fillId="52" borderId="42" xfId="0" applyNumberFormat="1" applyFont="1" applyFill="1" applyBorder="1" applyProtection="1"/>
    <xf numFmtId="4" fontId="23" fillId="37" borderId="74" xfId="0" applyNumberFormat="1" applyFont="1" applyFill="1" applyBorder="1" applyProtection="1"/>
    <xf numFmtId="3" fontId="23" fillId="53" borderId="75" xfId="0" applyNumberFormat="1" applyFont="1" applyFill="1" applyBorder="1" applyProtection="1"/>
    <xf numFmtId="0" fontId="23" fillId="51" borderId="39" xfId="2" applyFont="1" applyFill="1" applyBorder="1" applyProtection="1"/>
    <xf numFmtId="4" fontId="23" fillId="52" borderId="44" xfId="0" applyNumberFormat="1" applyFont="1" applyFill="1" applyBorder="1" applyProtection="1"/>
    <xf numFmtId="4" fontId="23" fillId="37" borderId="0" xfId="0" applyNumberFormat="1" applyFont="1" applyFill="1" applyBorder="1" applyProtection="1"/>
    <xf numFmtId="3" fontId="23" fillId="53" borderId="22" xfId="0" applyNumberFormat="1" applyFont="1" applyFill="1" applyBorder="1" applyProtection="1"/>
    <xf numFmtId="4" fontId="23" fillId="52" borderId="45" xfId="0" applyNumberFormat="1" applyFont="1" applyFill="1" applyBorder="1" applyProtection="1"/>
    <xf numFmtId="4" fontId="23" fillId="37" borderId="88" xfId="0" applyNumberFormat="1" applyFont="1" applyFill="1" applyBorder="1" applyProtection="1"/>
    <xf numFmtId="3" fontId="23" fillId="53" borderId="85" xfId="0" applyNumberFormat="1" applyFont="1" applyFill="1" applyBorder="1" applyProtection="1"/>
    <xf numFmtId="0" fontId="23" fillId="51" borderId="39" xfId="2" applyFont="1" applyFill="1" applyBorder="1" applyAlignment="1" applyProtection="1">
      <alignment vertical="center"/>
    </xf>
    <xf numFmtId="4" fontId="57" fillId="37" borderId="44" xfId="0" applyNumberFormat="1" applyFont="1" applyFill="1" applyBorder="1" applyProtection="1"/>
    <xf numFmtId="4" fontId="57" fillId="37" borderId="0" xfId="0" applyNumberFormat="1" applyFont="1" applyFill="1" applyBorder="1" applyProtection="1"/>
    <xf numFmtId="3" fontId="29" fillId="37" borderId="22" xfId="0" applyNumberFormat="1" applyFont="1" applyFill="1" applyBorder="1" applyProtection="1"/>
    <xf numFmtId="175" fontId="57" fillId="52" borderId="46" xfId="0" applyNumberFormat="1" applyFont="1" applyFill="1" applyBorder="1" applyProtection="1"/>
    <xf numFmtId="175" fontId="57" fillId="37" borderId="36" xfId="0" applyNumberFormat="1" applyFont="1" applyFill="1" applyBorder="1" applyProtection="1"/>
    <xf numFmtId="175" fontId="67" fillId="53" borderId="51" xfId="0" applyNumberFormat="1" applyFont="1" applyFill="1" applyBorder="1" applyProtection="1"/>
    <xf numFmtId="172" fontId="67" fillId="37" borderId="22" xfId="0" applyNumberFormat="1" applyFont="1" applyFill="1" applyBorder="1" applyProtection="1"/>
    <xf numFmtId="0" fontId="25" fillId="51" borderId="39" xfId="1" applyFill="1" applyBorder="1" applyProtection="1"/>
    <xf numFmtId="4" fontId="124" fillId="37" borderId="44" xfId="3" applyNumberFormat="1" applyFont="1" applyFill="1" applyBorder="1" applyProtection="1"/>
    <xf numFmtId="4" fontId="25" fillId="37" borderId="0" xfId="3" applyNumberFormat="1" applyFont="1" applyFill="1" applyBorder="1" applyProtection="1"/>
    <xf numFmtId="3" fontId="25" fillId="37" borderId="22" xfId="3" applyNumberFormat="1" applyFont="1" applyFill="1" applyBorder="1" applyProtection="1"/>
    <xf numFmtId="4" fontId="25" fillId="37" borderId="44" xfId="3" applyNumberFormat="1" applyFont="1" applyFill="1" applyBorder="1" applyProtection="1"/>
    <xf numFmtId="4" fontId="124" fillId="37" borderId="46" xfId="3" applyNumberFormat="1" applyFont="1" applyFill="1" applyBorder="1" applyProtection="1"/>
    <xf numFmtId="4" fontId="25" fillId="37" borderId="46" xfId="3" applyNumberFormat="1" applyFont="1" applyFill="1" applyBorder="1" applyProtection="1"/>
    <xf numFmtId="4" fontId="23" fillId="51" borderId="42" xfId="0" applyNumberFormat="1" applyFont="1" applyFill="1" applyBorder="1" applyProtection="1"/>
    <xf numFmtId="4" fontId="23" fillId="51" borderId="44" xfId="0" applyNumberFormat="1" applyFont="1" applyFill="1" applyBorder="1" applyProtection="1"/>
    <xf numFmtId="3" fontId="23" fillId="51" borderId="39" xfId="2" applyNumberFormat="1" applyFont="1" applyFill="1" applyBorder="1" applyProtection="1"/>
    <xf numFmtId="172" fontId="21" fillId="51" borderId="39" xfId="2" applyNumberFormat="1" applyFill="1" applyBorder="1" applyProtection="1"/>
    <xf numFmtId="0" fontId="21" fillId="51" borderId="39" xfId="2" applyFill="1" applyBorder="1" applyAlignment="1" applyProtection="1">
      <alignment vertical="center"/>
    </xf>
    <xf numFmtId="175" fontId="57" fillId="37" borderId="46" xfId="0" applyNumberFormat="1" applyFont="1" applyFill="1" applyBorder="1" applyProtection="1"/>
    <xf numFmtId="175" fontId="67" fillId="37" borderId="51" xfId="0" applyNumberFormat="1" applyFont="1" applyFill="1" applyBorder="1" applyProtection="1"/>
    <xf numFmtId="4" fontId="125" fillId="37" borderId="42" xfId="0" applyNumberFormat="1" applyFont="1" applyFill="1" applyBorder="1" applyProtection="1"/>
    <xf numFmtId="4" fontId="125" fillId="37" borderId="74" xfId="0" applyNumberFormat="1" applyFont="1" applyFill="1" applyBorder="1" applyProtection="1"/>
    <xf numFmtId="3" fontId="125" fillId="37" borderId="75" xfId="0" applyNumberFormat="1" applyFont="1" applyFill="1" applyBorder="1" applyProtection="1"/>
    <xf numFmtId="0" fontId="125" fillId="51" borderId="39" xfId="2" applyFont="1" applyFill="1" applyBorder="1" applyProtection="1"/>
    <xf numFmtId="4" fontId="25" fillId="37" borderId="36" xfId="3" applyNumberFormat="1" applyFont="1" applyFill="1" applyBorder="1" applyProtection="1"/>
    <xf numFmtId="3" fontId="25" fillId="37" borderId="51" xfId="3" applyNumberFormat="1" applyFont="1" applyFill="1" applyBorder="1" applyProtection="1"/>
    <xf numFmtId="4" fontId="23" fillId="37" borderId="129" xfId="0" applyNumberFormat="1" applyFont="1" applyFill="1" applyBorder="1" applyProtection="1"/>
    <xf numFmtId="4" fontId="23" fillId="37" borderId="117" xfId="0" applyNumberFormat="1" applyFont="1" applyFill="1" applyBorder="1" applyProtection="1"/>
    <xf numFmtId="4" fontId="23" fillId="51" borderId="45" xfId="0" applyNumberFormat="1" applyFont="1" applyFill="1" applyBorder="1" applyProtection="1"/>
    <xf numFmtId="3" fontId="23" fillId="37" borderId="22" xfId="0" applyNumberFormat="1" applyFont="1" applyFill="1" applyBorder="1" applyProtection="1"/>
    <xf numFmtId="0" fontId="57" fillId="51" borderId="39" xfId="2" applyFont="1" applyFill="1" applyBorder="1" applyProtection="1"/>
    <xf numFmtId="4" fontId="57" fillId="51" borderId="46" xfId="0" applyNumberFormat="1" applyFont="1" applyFill="1" applyBorder="1" applyProtection="1"/>
    <xf numFmtId="4" fontId="57" fillId="37" borderId="36" xfId="0" applyNumberFormat="1" applyFont="1" applyFill="1" applyBorder="1" applyProtection="1"/>
    <xf numFmtId="3" fontId="57" fillId="53" borderId="51" xfId="0" applyNumberFormat="1" applyFont="1" applyFill="1" applyBorder="1" applyProtection="1"/>
    <xf numFmtId="4" fontId="57" fillId="37" borderId="42" xfId="0" applyNumberFormat="1" applyFont="1" applyFill="1" applyBorder="1" applyProtection="1"/>
    <xf numFmtId="4" fontId="57" fillId="37" borderId="74" xfId="0" applyNumberFormat="1" applyFont="1" applyFill="1" applyBorder="1" applyProtection="1"/>
    <xf numFmtId="3" fontId="29" fillId="37" borderId="75" xfId="0" applyNumberFormat="1" applyFont="1" applyFill="1" applyBorder="1" applyProtection="1"/>
    <xf numFmtId="4" fontId="125" fillId="37" borderId="44" xfId="0" applyNumberFormat="1" applyFont="1" applyFill="1" applyBorder="1" applyProtection="1"/>
    <xf numFmtId="4" fontId="125" fillId="37" borderId="0" xfId="0" applyNumberFormat="1" applyFont="1" applyFill="1" applyBorder="1" applyProtection="1"/>
    <xf numFmtId="3" fontId="125" fillId="37" borderId="22" xfId="0" applyNumberFormat="1" applyFont="1" applyFill="1" applyBorder="1" applyProtection="1"/>
    <xf numFmtId="4" fontId="124" fillId="37" borderId="45" xfId="3" applyNumberFormat="1" applyFont="1" applyFill="1" applyBorder="1" applyProtection="1"/>
    <xf numFmtId="4" fontId="25" fillId="37" borderId="45" xfId="3" applyNumberFormat="1" applyFont="1" applyFill="1" applyBorder="1" applyProtection="1"/>
    <xf numFmtId="4" fontId="122" fillId="37" borderId="46" xfId="3" applyNumberFormat="1" applyFont="1" applyFill="1" applyBorder="1" applyProtection="1"/>
    <xf numFmtId="4" fontId="123" fillId="37" borderId="74" xfId="3" applyNumberFormat="1" applyFont="1" applyFill="1" applyBorder="1" applyProtection="1"/>
    <xf numFmtId="3" fontId="123" fillId="37" borderId="75" xfId="3" applyNumberFormat="1" applyFont="1" applyFill="1" applyBorder="1" applyProtection="1"/>
    <xf numFmtId="0" fontId="22" fillId="51" borderId="39" xfId="2" applyFont="1" applyFill="1" applyBorder="1" applyProtection="1"/>
    <xf numFmtId="4" fontId="123" fillId="37" borderId="46" xfId="3" applyNumberFormat="1" applyFont="1" applyFill="1" applyBorder="1" applyProtection="1"/>
    <xf numFmtId="175" fontId="57" fillId="53" borderId="51" xfId="0" applyNumberFormat="1" applyFont="1" applyFill="1" applyBorder="1" applyProtection="1"/>
    <xf numFmtId="172" fontId="23" fillId="51" borderId="39" xfId="2" applyNumberFormat="1" applyFont="1" applyFill="1" applyBorder="1" applyProtection="1"/>
    <xf numFmtId="4" fontId="23" fillId="37" borderId="41" xfId="0" applyNumberFormat="1" applyFont="1" applyFill="1" applyBorder="1" applyProtection="1"/>
    <xf numFmtId="4" fontId="57" fillId="37" borderId="46" xfId="0" applyNumberFormat="1" applyFont="1" applyFill="1" applyBorder="1" applyProtection="1"/>
    <xf numFmtId="3" fontId="67" fillId="37" borderId="22" xfId="0" applyNumberFormat="1" applyFont="1" applyFill="1" applyBorder="1" applyProtection="1"/>
    <xf numFmtId="4" fontId="67" fillId="52" borderId="46" xfId="0" applyNumberFormat="1" applyFont="1" applyFill="1" applyBorder="1" applyProtection="1"/>
    <xf numFmtId="175" fontId="67" fillId="37" borderId="36" xfId="0" applyNumberFormat="1" applyFont="1" applyFill="1" applyBorder="1" applyProtection="1"/>
    <xf numFmtId="0" fontId="67" fillId="51" borderId="39" xfId="2" applyFont="1" applyFill="1" applyBorder="1" applyProtection="1"/>
    <xf numFmtId="4" fontId="25" fillId="37" borderId="45" xfId="1" applyNumberFormat="1" applyFont="1" applyFill="1" applyBorder="1" applyAlignment="1" applyProtection="1">
      <alignment vertical="center"/>
    </xf>
    <xf numFmtId="4" fontId="25" fillId="37" borderId="88" xfId="1" applyNumberFormat="1" applyFill="1" applyBorder="1" applyAlignment="1" applyProtection="1">
      <alignment vertical="center"/>
    </xf>
    <xf numFmtId="3" fontId="25" fillId="37" borderId="85" xfId="1" applyNumberFormat="1" applyFill="1" applyBorder="1" applyAlignment="1" applyProtection="1">
      <alignment vertical="center"/>
    </xf>
    <xf numFmtId="4" fontId="25" fillId="37" borderId="45" xfId="1" applyNumberFormat="1" applyFill="1" applyBorder="1" applyAlignment="1" applyProtection="1">
      <alignment vertical="center"/>
    </xf>
    <xf numFmtId="4" fontId="57" fillId="37" borderId="41" xfId="0" applyNumberFormat="1" applyFont="1" applyFill="1" applyBorder="1" applyProtection="1"/>
    <xf numFmtId="4" fontId="57" fillId="37" borderId="23" xfId="0" applyNumberFormat="1" applyFont="1" applyFill="1" applyBorder="1" applyProtection="1"/>
    <xf numFmtId="4" fontId="57" fillId="37" borderId="73" xfId="0" applyNumberFormat="1" applyFont="1" applyFill="1" applyBorder="1" applyProtection="1"/>
    <xf numFmtId="4" fontId="57" fillId="37" borderId="37" xfId="0" applyNumberFormat="1" applyFont="1" applyFill="1" applyBorder="1" applyProtection="1"/>
    <xf numFmtId="171" fontId="23" fillId="53" borderId="51" xfId="0" applyNumberFormat="1" applyFont="1" applyFill="1" applyBorder="1" applyProtection="1"/>
    <xf numFmtId="171" fontId="29" fillId="53" borderId="51" xfId="0" applyNumberFormat="1" applyFont="1" applyFill="1" applyBorder="1" applyProtection="1"/>
    <xf numFmtId="4" fontId="57" fillId="50" borderId="91" xfId="0" applyNumberFormat="1" applyFont="1" applyFill="1" applyBorder="1" applyAlignment="1" applyProtection="1">
      <alignment vertical="center"/>
    </xf>
    <xf numFmtId="4" fontId="57" fillId="37" borderId="55" xfId="0" applyNumberFormat="1" applyFont="1" applyFill="1" applyBorder="1" applyAlignment="1" applyProtection="1">
      <alignment vertical="center"/>
    </xf>
    <xf numFmtId="4" fontId="57" fillId="53" borderId="14" xfId="0" applyNumberFormat="1" applyFont="1" applyFill="1" applyBorder="1" applyAlignment="1" applyProtection="1">
      <alignment vertical="center"/>
    </xf>
    <xf numFmtId="174" fontId="21" fillId="51" borderId="39" xfId="2" applyNumberFormat="1" applyFill="1" applyBorder="1" applyProtection="1"/>
    <xf numFmtId="0" fontId="93" fillId="37" borderId="0" xfId="0" applyFont="1" applyFill="1"/>
    <xf numFmtId="4" fontId="57" fillId="37" borderId="0" xfId="0" applyNumberFormat="1" applyFont="1" applyFill="1" applyBorder="1" applyAlignment="1" applyProtection="1">
      <alignment vertical="center"/>
    </xf>
    <xf numFmtId="4" fontId="57" fillId="53" borderId="0" xfId="0" applyNumberFormat="1" applyFont="1" applyFill="1" applyBorder="1" applyAlignment="1" applyProtection="1">
      <alignment vertical="center"/>
    </xf>
    <xf numFmtId="0" fontId="0" fillId="37" borderId="0" xfId="0" applyFill="1"/>
    <xf numFmtId="0" fontId="57" fillId="37" borderId="0" xfId="0" applyFont="1" applyFill="1" applyAlignment="1">
      <alignment horizontal="center"/>
    </xf>
    <xf numFmtId="3" fontId="57" fillId="53" borderId="0" xfId="0" applyNumberFormat="1" applyFont="1" applyFill="1" applyBorder="1" applyAlignment="1" applyProtection="1">
      <alignment vertical="center"/>
    </xf>
    <xf numFmtId="3" fontId="29" fillId="37" borderId="0" xfId="0" applyNumberFormat="1" applyFont="1" applyFill="1" applyBorder="1" applyProtection="1"/>
    <xf numFmtId="4" fontId="25" fillId="37" borderId="64" xfId="1" applyNumberFormat="1" applyFont="1" applyFill="1" applyBorder="1" applyAlignment="1" applyProtection="1">
      <alignment horizontal="right" vertical="center"/>
    </xf>
    <xf numFmtId="4" fontId="25" fillId="37" borderId="56" xfId="1" applyNumberFormat="1" applyFill="1" applyBorder="1" applyAlignment="1" applyProtection="1">
      <alignment vertical="center"/>
    </xf>
    <xf numFmtId="3" fontId="25" fillId="54" borderId="14" xfId="1" applyNumberFormat="1" applyFill="1" applyBorder="1" applyAlignment="1" applyProtection="1">
      <alignment horizontal="right" vertical="center"/>
    </xf>
    <xf numFmtId="4" fontId="25" fillId="37" borderId="64" xfId="1" applyNumberFormat="1" applyFill="1" applyBorder="1" applyAlignment="1" applyProtection="1">
      <alignment horizontal="right" vertical="center"/>
    </xf>
    <xf numFmtId="4" fontId="26" fillId="37" borderId="23" xfId="3" applyNumberFormat="1" applyFont="1" applyFill="1" applyBorder="1" applyAlignment="1" applyProtection="1">
      <alignment horizontal="right"/>
    </xf>
    <xf numFmtId="4" fontId="26" fillId="37" borderId="41" xfId="3" applyNumberFormat="1" applyFill="1" applyBorder="1" applyProtection="1"/>
    <xf numFmtId="3" fontId="26" fillId="37" borderId="22" xfId="3" applyNumberFormat="1" applyFill="1" applyBorder="1" applyAlignment="1" applyProtection="1">
      <alignment horizontal="right"/>
    </xf>
    <xf numFmtId="4" fontId="26" fillId="37" borderId="23" xfId="3" applyNumberFormat="1" applyFill="1" applyBorder="1" applyAlignment="1" applyProtection="1">
      <alignment horizontal="right"/>
    </xf>
    <xf numFmtId="4" fontId="57" fillId="37" borderId="23" xfId="0" applyNumberFormat="1" applyFont="1" applyFill="1" applyBorder="1" applyAlignment="1" applyProtection="1">
      <alignment horizontal="right"/>
    </xf>
    <xf numFmtId="4" fontId="80" fillId="37" borderId="41" xfId="0" applyNumberFormat="1" applyFont="1" applyFill="1" applyBorder="1" applyProtection="1"/>
    <xf numFmtId="3" fontId="83" fillId="53" borderId="22" xfId="0" applyNumberFormat="1" applyFont="1" applyFill="1" applyBorder="1" applyAlignment="1" applyProtection="1">
      <alignment horizontal="right"/>
    </xf>
    <xf numFmtId="3" fontId="29" fillId="53" borderId="22" xfId="0" applyNumberFormat="1" applyFont="1" applyFill="1" applyBorder="1" applyAlignment="1" applyProtection="1">
      <alignment horizontal="right"/>
    </xf>
    <xf numFmtId="9" fontId="57" fillId="55" borderId="23" xfId="219" applyFont="1" applyFill="1" applyBorder="1" applyAlignment="1" applyProtection="1">
      <alignment horizontal="right"/>
    </xf>
    <xf numFmtId="4" fontId="57" fillId="56" borderId="23" xfId="0" applyNumberFormat="1" applyFont="1" applyFill="1" applyBorder="1" applyAlignment="1" applyProtection="1">
      <alignment horizontal="right"/>
    </xf>
    <xf numFmtId="4" fontId="57" fillId="56" borderId="41" xfId="0" applyNumberFormat="1" applyFont="1" applyFill="1" applyBorder="1" applyProtection="1"/>
    <xf numFmtId="9" fontId="57" fillId="37" borderId="41" xfId="219" applyFont="1" applyFill="1" applyBorder="1" applyProtection="1"/>
    <xf numFmtId="0" fontId="73" fillId="51" borderId="39" xfId="2" applyFont="1" applyFill="1" applyBorder="1" applyProtection="1"/>
    <xf numFmtId="4" fontId="73" fillId="37" borderId="41" xfId="0" applyNumberFormat="1" applyFont="1" applyFill="1" applyBorder="1" applyProtection="1"/>
    <xf numFmtId="3" fontId="66" fillId="37" borderId="22" xfId="0" applyNumberFormat="1" applyFont="1" applyFill="1" applyBorder="1" applyAlignment="1" applyProtection="1">
      <alignment horizontal="right"/>
    </xf>
    <xf numFmtId="4" fontId="73" fillId="37" borderId="23" xfId="0" applyNumberFormat="1" applyFont="1" applyFill="1" applyBorder="1" applyAlignment="1" applyProtection="1">
      <alignment horizontal="right"/>
    </xf>
    <xf numFmtId="3" fontId="57" fillId="37" borderId="41" xfId="219" applyNumberFormat="1" applyFont="1" applyFill="1" applyBorder="1" applyProtection="1"/>
    <xf numFmtId="3" fontId="29" fillId="53" borderId="22" xfId="0" quotePrefix="1" applyNumberFormat="1" applyFont="1" applyFill="1" applyBorder="1" applyAlignment="1" applyProtection="1">
      <alignment horizontal="right"/>
    </xf>
    <xf numFmtId="4" fontId="57" fillId="55" borderId="92" xfId="0" applyNumberFormat="1" applyFont="1" applyFill="1" applyBorder="1" applyAlignment="1" applyProtection="1">
      <alignment horizontal="right"/>
    </xf>
    <xf numFmtId="4" fontId="57" fillId="55" borderId="60" xfId="0" applyNumberFormat="1" applyFont="1" applyFill="1" applyBorder="1" applyProtection="1"/>
    <xf numFmtId="3" fontId="29" fillId="55" borderId="61" xfId="0" applyNumberFormat="1" applyFont="1" applyFill="1" applyBorder="1" applyAlignment="1" applyProtection="1">
      <alignment horizontal="right"/>
    </xf>
    <xf numFmtId="4" fontId="57" fillId="37" borderId="0" xfId="0" applyNumberFormat="1" applyFont="1" applyFill="1" applyBorder="1" applyAlignment="1" applyProtection="1">
      <alignment horizontal="right"/>
    </xf>
    <xf numFmtId="3" fontId="29" fillId="37" borderId="0" xfId="0" applyNumberFormat="1" applyFont="1" applyFill="1" applyBorder="1" applyAlignment="1" applyProtection="1">
      <alignment horizontal="right"/>
    </xf>
    <xf numFmtId="4" fontId="25" fillId="37" borderId="0" xfId="1" applyNumberFormat="1" applyFont="1" applyFill="1" applyBorder="1" applyAlignment="1" applyProtection="1">
      <alignment horizontal="right"/>
    </xf>
    <xf numFmtId="4" fontId="25" fillId="37" borderId="0" xfId="1" applyNumberFormat="1" applyFill="1" applyBorder="1" applyProtection="1"/>
    <xf numFmtId="3" fontId="25" fillId="37" borderId="0" xfId="1" applyNumberFormat="1" applyFill="1" applyBorder="1" applyAlignment="1" applyProtection="1">
      <alignment horizontal="right"/>
    </xf>
    <xf numFmtId="4" fontId="25" fillId="37" borderId="0" xfId="1" applyNumberFormat="1" applyFill="1" applyBorder="1" applyAlignment="1" applyProtection="1">
      <alignment horizontal="right"/>
    </xf>
    <xf numFmtId="4" fontId="57" fillId="37" borderId="0" xfId="0" applyNumberFormat="1" applyFont="1" applyFill="1" applyBorder="1" applyAlignment="1" applyProtection="1">
      <alignment horizontal="center"/>
    </xf>
    <xf numFmtId="4" fontId="57" fillId="37" borderId="0" xfId="0" applyNumberFormat="1" applyFont="1" applyFill="1" applyProtection="1"/>
    <xf numFmtId="0" fontId="29" fillId="37" borderId="0" xfId="0" applyFont="1" applyFill="1" applyProtection="1"/>
    <xf numFmtId="4" fontId="57" fillId="50" borderId="57" xfId="0" applyNumberFormat="1" applyFont="1" applyFill="1" applyBorder="1" applyAlignment="1" applyProtection="1">
      <alignment horizontal="centerContinuous" vertical="center"/>
    </xf>
    <xf numFmtId="4" fontId="57" fillId="37" borderId="56" xfId="0" applyNumberFormat="1" applyFont="1" applyFill="1" applyBorder="1" applyAlignment="1" applyProtection="1">
      <alignment horizontal="center"/>
    </xf>
    <xf numFmtId="3" fontId="57" fillId="53" borderId="14" xfId="0" applyNumberFormat="1" applyFont="1" applyFill="1" applyBorder="1" applyAlignment="1" applyProtection="1">
      <alignment horizontal="centerContinuous" vertical="center"/>
    </xf>
    <xf numFmtId="4" fontId="57" fillId="37" borderId="101" xfId="0" applyNumberFormat="1" applyFont="1" applyFill="1" applyBorder="1" applyAlignment="1" applyProtection="1">
      <alignment horizontal="center"/>
    </xf>
    <xf numFmtId="4" fontId="57" fillId="51" borderId="41" xfId="0" applyNumberFormat="1" applyFont="1" applyFill="1" applyBorder="1" applyAlignment="1" applyProtection="1">
      <alignment horizontal="center"/>
    </xf>
    <xf numFmtId="3" fontId="57" fillId="37" borderId="22" xfId="0" applyNumberFormat="1" applyFont="1" applyFill="1" applyBorder="1" applyAlignment="1" applyProtection="1">
      <alignment horizontal="center"/>
    </xf>
    <xf numFmtId="0" fontId="21" fillId="55" borderId="39" xfId="2" applyFill="1" applyBorder="1" applyProtection="1"/>
    <xf numFmtId="4" fontId="57" fillId="37" borderId="89" xfId="0" applyNumberFormat="1" applyFont="1" applyFill="1" applyBorder="1" applyProtection="1"/>
    <xf numFmtId="3" fontId="57" fillId="37" borderId="51" xfId="0" applyNumberFormat="1" applyFont="1" applyFill="1" applyBorder="1" applyProtection="1"/>
    <xf numFmtId="0" fontId="21" fillId="37" borderId="0" xfId="2" applyFill="1" applyBorder="1" applyProtection="1"/>
    <xf numFmtId="0" fontId="21" fillId="37" borderId="39" xfId="2" applyFill="1" applyBorder="1" applyProtection="1"/>
    <xf numFmtId="4" fontId="57" fillId="37" borderId="95" xfId="0" applyNumberFormat="1" applyFont="1" applyFill="1" applyBorder="1" applyProtection="1"/>
    <xf numFmtId="4" fontId="57" fillId="37" borderId="51" xfId="0" applyNumberFormat="1" applyFont="1" applyFill="1" applyBorder="1" applyProtection="1"/>
    <xf numFmtId="4" fontId="29" fillId="37" borderId="0" xfId="0" applyNumberFormat="1" applyFont="1" applyFill="1" applyProtection="1"/>
    <xf numFmtId="4" fontId="57" fillId="37" borderId="54" xfId="0" applyNumberFormat="1" applyFont="1" applyFill="1" applyBorder="1" applyAlignment="1" applyProtection="1">
      <alignment horizontal="center"/>
    </xf>
    <xf numFmtId="4" fontId="57" fillId="51" borderId="20" xfId="0" applyNumberFormat="1" applyFont="1" applyFill="1" applyBorder="1" applyAlignment="1" applyProtection="1">
      <alignment horizontal="center"/>
    </xf>
    <xf numFmtId="4" fontId="57" fillId="37" borderId="20" xfId="0" applyNumberFormat="1" applyFont="1" applyFill="1" applyBorder="1" applyProtection="1"/>
    <xf numFmtId="4" fontId="57" fillId="37" borderId="22" xfId="0" applyNumberFormat="1" applyFont="1" applyFill="1" applyBorder="1" applyProtection="1"/>
    <xf numFmtId="4" fontId="57" fillId="37" borderId="20" xfId="0" applyNumberFormat="1" applyFont="1" applyFill="1" applyBorder="1" applyAlignment="1" applyProtection="1">
      <alignment horizontal="center"/>
    </xf>
    <xf numFmtId="0" fontId="29" fillId="37" borderId="22" xfId="0" applyFont="1" applyFill="1" applyBorder="1" applyProtection="1"/>
    <xf numFmtId="9" fontId="57" fillId="37" borderId="35" xfId="219" applyFont="1" applyFill="1" applyBorder="1" applyProtection="1"/>
    <xf numFmtId="0" fontId="21" fillId="37" borderId="0" xfId="2" applyFill="1" applyBorder="1" applyAlignment="1" applyProtection="1">
      <alignment horizontal="center"/>
    </xf>
    <xf numFmtId="0" fontId="21" fillId="37" borderId="0" xfId="2" applyFill="1"/>
    <xf numFmtId="3" fontId="78" fillId="37" borderId="0" xfId="0" applyNumberFormat="1" applyFont="1" applyFill="1" applyBorder="1" applyProtection="1"/>
    <xf numFmtId="0" fontId="57" fillId="37" borderId="0" xfId="0" applyFont="1" applyFill="1" applyProtection="1"/>
    <xf numFmtId="4" fontId="23" fillId="0" borderId="0" xfId="0" applyNumberFormat="1" applyFont="1" applyBorder="1" applyProtection="1">
      <protection locked="0"/>
    </xf>
    <xf numFmtId="3" fontId="121" fillId="0" borderId="38" xfId="0" applyNumberFormat="1" applyFont="1" applyFill="1" applyBorder="1" applyProtection="1"/>
    <xf numFmtId="3" fontId="57" fillId="0" borderId="38" xfId="3" applyNumberFormat="1" applyFont="1" applyFill="1" applyBorder="1" applyProtection="1"/>
    <xf numFmtId="3" fontId="121" fillId="0" borderId="39" xfId="0" applyNumberFormat="1" applyFont="1" applyFill="1" applyBorder="1" applyProtection="1"/>
    <xf numFmtId="3" fontId="125" fillId="0" borderId="73" xfId="0" applyNumberFormat="1" applyFont="1" applyFill="1" applyBorder="1" applyProtection="1"/>
    <xf numFmtId="3" fontId="125" fillId="0" borderId="46" xfId="0" applyNumberFormat="1" applyFont="1" applyFill="1" applyBorder="1" applyProtection="1"/>
    <xf numFmtId="4" fontId="25" fillId="31" borderId="73" xfId="1" applyNumberFormat="1" applyFont="1" applyFill="1" applyBorder="1" applyAlignment="1" applyProtection="1">
      <alignment vertical="center"/>
    </xf>
    <xf numFmtId="3" fontId="25" fillId="31" borderId="51" xfId="1" applyNumberFormat="1" applyFont="1" applyFill="1" applyBorder="1" applyAlignment="1" applyProtection="1">
      <alignment vertical="center"/>
    </xf>
    <xf numFmtId="0" fontId="25" fillId="28" borderId="39" xfId="1" applyFont="1" applyFill="1" applyBorder="1" applyProtection="1"/>
    <xf numFmtId="4" fontId="25" fillId="50" borderId="36" xfId="1" applyNumberFormat="1" applyFont="1" applyFill="1" applyBorder="1" applyAlignment="1" applyProtection="1">
      <alignment vertical="center"/>
    </xf>
    <xf numFmtId="3" fontId="25" fillId="50" borderId="51" xfId="1" applyNumberFormat="1" applyFont="1" applyFill="1" applyBorder="1" applyAlignment="1" applyProtection="1">
      <alignment vertical="center"/>
    </xf>
    <xf numFmtId="0" fontId="25" fillId="51" borderId="39" xfId="1" applyFont="1" applyFill="1" applyBorder="1" applyProtection="1"/>
    <xf numFmtId="0" fontId="25" fillId="28" borderId="23" xfId="1" applyFont="1" applyFill="1" applyBorder="1" applyProtection="1"/>
    <xf numFmtId="3" fontId="57" fillId="31" borderId="81" xfId="5" applyNumberFormat="1" applyFont="1" applyFill="1" applyBorder="1" applyAlignment="1" applyProtection="1">
      <alignment vertical="center"/>
    </xf>
    <xf numFmtId="3" fontId="57" fillId="31" borderId="49" xfId="5" applyNumberFormat="1" applyFont="1" applyFill="1" applyBorder="1" applyAlignment="1" applyProtection="1">
      <alignment vertical="center"/>
    </xf>
    <xf numFmtId="3" fontId="57" fillId="31" borderId="80" xfId="5" applyNumberFormat="1" applyFont="1" applyFill="1" applyBorder="1" applyAlignment="1" applyProtection="1">
      <alignment vertical="center"/>
    </xf>
    <xf numFmtId="0" fontId="64" fillId="0" borderId="0" xfId="0" applyFont="1" applyFill="1" applyAlignment="1" applyProtection="1">
      <alignment vertical="center"/>
    </xf>
    <xf numFmtId="9" fontId="83" fillId="0" borderId="0" xfId="219" applyFont="1" applyBorder="1" applyProtection="1">
      <protection locked="0"/>
    </xf>
    <xf numFmtId="4" fontId="78" fillId="37" borderId="20" xfId="218" applyNumberFormat="1" applyFont="1" applyFill="1" applyBorder="1" applyAlignment="1" applyProtection="1">
      <protection locked="0"/>
    </xf>
    <xf numFmtId="0" fontId="23" fillId="0" borderId="0" xfId="0" applyFont="1" applyBorder="1" applyAlignment="1" applyProtection="1">
      <alignment horizontal="left"/>
    </xf>
    <xf numFmtId="9" fontId="23" fillId="0" borderId="22" xfId="219" applyFont="1" applyBorder="1" applyAlignment="1">
      <alignment horizontal="right"/>
    </xf>
    <xf numFmtId="14" fontId="21" fillId="0" borderId="1" xfId="0" applyNumberFormat="1" applyFont="1" applyBorder="1" applyAlignment="1">
      <alignment horizontal="center"/>
    </xf>
    <xf numFmtId="0" fontId="78" fillId="0" borderId="1" xfId="217" applyFont="1" applyBorder="1" applyAlignment="1" applyProtection="1">
      <alignment horizontal="center"/>
      <protection locked="0"/>
    </xf>
    <xf numFmtId="4" fontId="69" fillId="0" borderId="1" xfId="217" applyNumberFormat="1" applyFont="1" applyFill="1" applyBorder="1" applyAlignment="1" applyProtection="1">
      <alignment horizontal="center"/>
    </xf>
    <xf numFmtId="0" fontId="69" fillId="0" borderId="0" xfId="217" applyFont="1" applyAlignment="1" applyProtection="1">
      <alignment horizontal="center"/>
      <protection locked="0"/>
    </xf>
    <xf numFmtId="4" fontId="69" fillId="0" borderId="1" xfId="217" applyNumberFormat="1" applyFont="1" applyBorder="1" applyAlignment="1" applyProtection="1">
      <alignment horizontal="center"/>
    </xf>
    <xf numFmtId="192" fontId="107" fillId="0" borderId="1" xfId="217" applyNumberFormat="1" applyFont="1" applyBorder="1" applyAlignment="1" applyProtection="1">
      <alignment horizontal="center"/>
    </xf>
    <xf numFmtId="192" fontId="108" fillId="0" borderId="1" xfId="217" applyNumberFormat="1" applyFont="1" applyBorder="1" applyAlignment="1" applyProtection="1">
      <alignment horizontal="center"/>
    </xf>
    <xf numFmtId="4" fontId="103" fillId="0" borderId="68" xfId="218" applyNumberFormat="1" applyFont="1" applyFill="1" applyBorder="1" applyAlignment="1" applyProtection="1"/>
    <xf numFmtId="0" fontId="21" fillId="37" borderId="23" xfId="0" applyFont="1" applyFill="1" applyBorder="1" applyAlignment="1" applyProtection="1">
      <alignment horizontal="center"/>
    </xf>
    <xf numFmtId="0" fontId="23" fillId="37" borderId="0" xfId="0" applyFont="1" applyFill="1" applyBorder="1" applyAlignment="1" applyProtection="1">
      <alignment horizontal="center"/>
    </xf>
    <xf numFmtId="0" fontId="23" fillId="0" borderId="0" xfId="208"/>
    <xf numFmtId="0" fontId="131" fillId="0" borderId="0" xfId="208" applyFont="1"/>
    <xf numFmtId="0" fontId="129" fillId="0" borderId="0" xfId="208" applyFont="1" applyBorder="1" applyAlignment="1">
      <alignment horizontal="center"/>
    </xf>
    <xf numFmtId="0" fontId="131" fillId="0" borderId="0" xfId="208" applyFont="1" applyAlignment="1">
      <alignment horizontal="center" vertical="center" wrapText="1"/>
    </xf>
    <xf numFmtId="0" fontId="131" fillId="0" borderId="144" xfId="208" applyFont="1" applyBorder="1" applyAlignment="1">
      <alignment horizontal="center" vertical="center" wrapText="1"/>
    </xf>
    <xf numFmtId="0" fontId="132" fillId="0" borderId="145" xfId="208" applyFont="1" applyBorder="1" applyAlignment="1">
      <alignment horizontal="center" wrapText="1"/>
    </xf>
    <xf numFmtId="0" fontId="131" fillId="0" borderId="146" xfId="208" applyFont="1" applyBorder="1" applyAlignment="1">
      <alignment horizontal="center" vertical="center" wrapText="1"/>
    </xf>
    <xf numFmtId="0" fontId="131" fillId="0" borderId="144" xfId="208" applyFont="1" applyBorder="1"/>
    <xf numFmtId="0" fontId="131" fillId="0" borderId="147" xfId="208" applyFont="1" applyBorder="1" applyAlignment="1">
      <alignment horizontal="center"/>
    </xf>
    <xf numFmtId="0" fontId="131" fillId="0" borderId="144" xfId="208" applyFont="1" applyBorder="1" applyAlignment="1">
      <alignment horizontal="center"/>
    </xf>
    <xf numFmtId="0" fontId="131" fillId="0" borderId="148" xfId="208" applyFont="1" applyBorder="1" applyAlignment="1">
      <alignment horizontal="center"/>
    </xf>
    <xf numFmtId="0" fontId="131" fillId="0" borderId="149" xfId="208" applyFont="1" applyBorder="1" applyAlignment="1">
      <alignment horizontal="center"/>
    </xf>
    <xf numFmtId="0" fontId="132" fillId="60" borderId="151" xfId="208" applyFont="1" applyFill="1" applyBorder="1"/>
    <xf numFmtId="0" fontId="131" fillId="60" borderId="0" xfId="208" applyFont="1" applyFill="1" applyBorder="1"/>
    <xf numFmtId="0" fontId="131" fillId="0" borderId="150" xfId="208" applyFont="1" applyBorder="1"/>
    <xf numFmtId="200" fontId="131" fillId="0" borderId="150" xfId="208" applyNumberFormat="1" applyFont="1" applyBorder="1" applyAlignment="1">
      <alignment horizontal="center"/>
    </xf>
    <xf numFmtId="0" fontId="132" fillId="0" borderId="152" xfId="208" applyFont="1" applyBorder="1"/>
    <xf numFmtId="0" fontId="131" fillId="0" borderId="152" xfId="208" applyFont="1" applyBorder="1"/>
    <xf numFmtId="0" fontId="132" fillId="0" borderId="144" xfId="208" applyFont="1" applyBorder="1"/>
    <xf numFmtId="0" fontId="131" fillId="0" borderId="147" xfId="208" applyFont="1" applyBorder="1"/>
    <xf numFmtId="0" fontId="131" fillId="0" borderId="0" xfId="208" applyFont="1" applyBorder="1" applyAlignment="1">
      <alignment horizontal="center"/>
    </xf>
    <xf numFmtId="0" fontId="131" fillId="0" borderId="0" xfId="208" applyFont="1" applyAlignment="1">
      <alignment horizontal="center"/>
    </xf>
    <xf numFmtId="0" fontId="132" fillId="0" borderId="0" xfId="208" applyFont="1" applyAlignment="1">
      <alignment horizontal="left"/>
    </xf>
    <xf numFmtId="0" fontId="131" fillId="0" borderId="153" xfId="208" applyFont="1" applyBorder="1" applyAlignment="1">
      <alignment horizontal="center"/>
    </xf>
    <xf numFmtId="0" fontId="131" fillId="0" borderId="153" xfId="208" applyFont="1" applyBorder="1" applyAlignment="1">
      <alignment horizontal="left"/>
    </xf>
    <xf numFmtId="0" fontId="131" fillId="0" borderId="151" xfId="208" applyFont="1" applyBorder="1"/>
    <xf numFmtId="0" fontId="131" fillId="0" borderId="155" xfId="208" applyFont="1" applyBorder="1" applyAlignment="1">
      <alignment horizontal="center"/>
    </xf>
    <xf numFmtId="0" fontId="131" fillId="0" borderId="151" xfId="208" applyFont="1" applyFill="1" applyBorder="1"/>
    <xf numFmtId="0" fontId="131" fillId="0" borderId="160" xfId="208" applyFont="1" applyBorder="1" applyAlignment="1">
      <alignment horizontal="right"/>
    </xf>
    <xf numFmtId="0" fontId="132" fillId="0" borderId="153" xfId="208" applyFont="1" applyBorder="1" applyAlignment="1">
      <alignment horizontal="right"/>
    </xf>
    <xf numFmtId="0" fontId="131" fillId="0" borderId="152" xfId="208" applyFont="1" applyFill="1" applyBorder="1"/>
    <xf numFmtId="0" fontId="132" fillId="0" borderId="159" xfId="208" applyFont="1" applyBorder="1" applyAlignment="1">
      <alignment horizontal="left"/>
    </xf>
    <xf numFmtId="0" fontId="131" fillId="0" borderId="150" xfId="208" applyFont="1" applyBorder="1" applyAlignment="1">
      <alignment horizontal="left"/>
    </xf>
    <xf numFmtId="0" fontId="132" fillId="0" borderId="150" xfId="208" applyFont="1" applyBorder="1" applyAlignment="1">
      <alignment horizontal="right"/>
    </xf>
    <xf numFmtId="0" fontId="131" fillId="0" borderId="150" xfId="208" applyFont="1" applyBorder="1" applyAlignment="1">
      <alignment horizontal="center" wrapText="1"/>
    </xf>
    <xf numFmtId="0" fontId="134" fillId="0" borderId="150" xfId="208" applyFont="1" applyBorder="1"/>
    <xf numFmtId="3" fontId="131" fillId="0" borderId="150" xfId="208" applyNumberFormat="1" applyFont="1" applyBorder="1" applyAlignment="1">
      <alignment horizontal="center"/>
    </xf>
    <xf numFmtId="9" fontId="131" fillId="0" borderId="150" xfId="208" applyNumberFormat="1" applyFont="1" applyBorder="1" applyAlignment="1">
      <alignment horizontal="center"/>
    </xf>
    <xf numFmtId="4" fontId="57" fillId="31" borderId="162" xfId="1" applyNumberFormat="1" applyFont="1" applyFill="1" applyBorder="1" applyAlignment="1" applyProtection="1">
      <alignment vertical="center"/>
    </xf>
    <xf numFmtId="4" fontId="57" fillId="43" borderId="138" xfId="2" applyNumberFormat="1" applyFont="1" applyFill="1" applyBorder="1" applyProtection="1"/>
    <xf numFmtId="198" fontId="23" fillId="33" borderId="43" xfId="216" applyNumberFormat="1" applyFont="1" applyFill="1" applyBorder="1" applyAlignment="1" applyProtection="1"/>
    <xf numFmtId="3" fontId="69" fillId="0" borderId="7" xfId="217" applyNumberFormat="1" applyFont="1" applyBorder="1" applyAlignment="1" applyProtection="1">
      <protection locked="0"/>
    </xf>
    <xf numFmtId="3" fontId="78" fillId="0" borderId="50" xfId="217" applyNumberFormat="1" applyFont="1" applyFill="1" applyBorder="1" applyAlignment="1" applyProtection="1">
      <alignment horizontal="center"/>
      <protection locked="0"/>
    </xf>
    <xf numFmtId="3" fontId="78" fillId="0" borderId="40" xfId="217" applyNumberFormat="1" applyFont="1" applyFill="1" applyBorder="1" applyAlignment="1" applyProtection="1">
      <alignment horizontal="center"/>
      <protection locked="0"/>
    </xf>
    <xf numFmtId="3" fontId="78" fillId="0" borderId="50" xfId="217" applyNumberFormat="1" applyFont="1" applyBorder="1" applyAlignment="1" applyProtection="1">
      <alignment horizontal="center"/>
      <protection locked="0"/>
    </xf>
    <xf numFmtId="0" fontId="78" fillId="0" borderId="0" xfId="217" applyFont="1" applyAlignment="1" applyProtection="1">
      <alignment horizontal="center"/>
      <protection locked="0"/>
    </xf>
    <xf numFmtId="10" fontId="29" fillId="67" borderId="0" xfId="0" applyNumberFormat="1" applyFont="1" applyFill="1" applyBorder="1" applyProtection="1">
      <protection locked="0"/>
    </xf>
    <xf numFmtId="0" fontId="132" fillId="0" borderId="0" xfId="208" applyFont="1" applyFill="1" applyBorder="1" applyAlignment="1">
      <alignment horizontal="center"/>
    </xf>
    <xf numFmtId="0" fontId="131" fillId="0" borderId="150" xfId="208" applyFont="1" applyBorder="1" applyAlignment="1">
      <alignment horizontal="center"/>
    </xf>
    <xf numFmtId="0" fontId="131" fillId="0" borderId="152" xfId="208" applyFont="1" applyBorder="1" applyAlignment="1">
      <alignment horizontal="left"/>
    </xf>
    <xf numFmtId="0" fontId="131" fillId="0" borderId="0" xfId="208" applyFont="1" applyBorder="1"/>
    <xf numFmtId="0" fontId="148" fillId="0" borderId="0" xfId="208" applyFont="1"/>
    <xf numFmtId="0" fontId="149" fillId="59" borderId="0" xfId="208" applyFont="1" applyFill="1" applyBorder="1" applyAlignment="1">
      <alignment horizontal="center"/>
    </xf>
    <xf numFmtId="0" fontId="129" fillId="0" borderId="163" xfId="208" applyFont="1" applyBorder="1" applyAlignment="1">
      <alignment horizontal="center"/>
    </xf>
    <xf numFmtId="0" fontId="129" fillId="0" borderId="164" xfId="208" applyFont="1" applyBorder="1" applyAlignment="1">
      <alignment horizontal="center"/>
    </xf>
    <xf numFmtId="0" fontId="129" fillId="0" borderId="165" xfId="208" applyFont="1" applyBorder="1" applyAlignment="1">
      <alignment horizontal="center"/>
    </xf>
    <xf numFmtId="0" fontId="150" fillId="0" borderId="0" xfId="208" applyFont="1" applyFill="1" applyBorder="1" applyAlignment="1">
      <alignment horizontal="center"/>
    </xf>
    <xf numFmtId="0" fontId="151" fillId="59" borderId="0" xfId="208" applyFont="1" applyFill="1" applyBorder="1" applyAlignment="1">
      <alignment horizontal="center"/>
    </xf>
    <xf numFmtId="0" fontId="150" fillId="59" borderId="140" xfId="208" applyFont="1" applyFill="1" applyBorder="1" applyAlignment="1">
      <alignment horizontal="center"/>
    </xf>
    <xf numFmtId="0" fontId="151" fillId="0" borderId="0" xfId="208" applyFont="1" applyFill="1" applyBorder="1" applyAlignment="1">
      <alignment horizontal="center"/>
    </xf>
    <xf numFmtId="0" fontId="150" fillId="59" borderId="142" xfId="208" applyFont="1" applyFill="1" applyBorder="1" applyAlignment="1">
      <alignment horizontal="center"/>
    </xf>
    <xf numFmtId="203" fontId="134" fillId="60" borderId="144" xfId="256" applyNumberFormat="1" applyFont="1" applyFill="1" applyBorder="1" applyAlignment="1" applyProtection="1">
      <alignment horizontal="center" vertical="center" wrapText="1"/>
    </xf>
    <xf numFmtId="203" fontId="135" fillId="60" borderId="144" xfId="256" applyNumberFormat="1" applyFont="1" applyFill="1" applyBorder="1" applyAlignment="1" applyProtection="1">
      <alignment horizontal="center" vertical="center" wrapText="1"/>
    </xf>
    <xf numFmtId="203" fontId="131" fillId="0" borderId="154" xfId="256" applyNumberFormat="1" applyFont="1" applyFill="1" applyBorder="1" applyAlignment="1" applyProtection="1">
      <alignment horizontal="center"/>
    </xf>
    <xf numFmtId="200" fontId="131" fillId="60" borderId="0" xfId="208" applyNumberFormat="1" applyFont="1" applyFill="1" applyBorder="1"/>
    <xf numFmtId="200" fontId="131" fillId="60" borderId="156" xfId="256" applyNumberFormat="1" applyFont="1" applyFill="1" applyBorder="1" applyAlignment="1" applyProtection="1"/>
    <xf numFmtId="200" fontId="131" fillId="60" borderId="151" xfId="256" applyNumberFormat="1" applyFont="1" applyFill="1" applyBorder="1" applyAlignment="1" applyProtection="1"/>
    <xf numFmtId="203" fontId="0" fillId="0" borderId="150" xfId="256" applyNumberFormat="1" applyFont="1" applyFill="1" applyBorder="1" applyAlignment="1" applyProtection="1">
      <alignment horizontal="center"/>
    </xf>
    <xf numFmtId="0" fontId="132" fillId="0" borderId="151" xfId="208" applyFont="1" applyFill="1" applyBorder="1"/>
    <xf numFmtId="200" fontId="131" fillId="0" borderId="0" xfId="208" applyNumberFormat="1" applyFont="1" applyFill="1" applyBorder="1"/>
    <xf numFmtId="202" fontId="0" fillId="0" borderId="156" xfId="256" applyFont="1" applyFill="1" applyBorder="1" applyAlignment="1" applyProtection="1"/>
    <xf numFmtId="202" fontId="0" fillId="0" borderId="151" xfId="256" applyFont="1" applyFill="1" applyBorder="1" applyAlignment="1" applyProtection="1"/>
    <xf numFmtId="203" fontId="0" fillId="0" borderId="144" xfId="256" applyNumberFormat="1" applyFont="1" applyFill="1" applyBorder="1" applyAlignment="1" applyProtection="1">
      <alignment horizontal="center"/>
    </xf>
    <xf numFmtId="200" fontId="131" fillId="0" borderId="144" xfId="208" applyNumberFormat="1" applyFont="1" applyBorder="1" applyAlignment="1">
      <alignment horizontal="center"/>
    </xf>
    <xf numFmtId="0" fontId="132" fillId="0" borderId="151" xfId="208" applyFont="1" applyBorder="1"/>
    <xf numFmtId="202" fontId="0" fillId="0" borderId="152" xfId="256" applyFont="1" applyFill="1" applyBorder="1" applyAlignment="1" applyProtection="1"/>
    <xf numFmtId="204" fontId="132" fillId="59" borderId="150" xfId="208" applyNumberFormat="1" applyFont="1" applyFill="1" applyBorder="1" applyAlignment="1">
      <alignment horizontal="center"/>
    </xf>
    <xf numFmtId="200" fontId="131" fillId="0" borderId="144" xfId="256" applyNumberFormat="1" applyFont="1" applyFill="1" applyBorder="1" applyAlignment="1" applyProtection="1"/>
    <xf numFmtId="0" fontId="131" fillId="0" borderId="157" xfId="208" applyFont="1" applyBorder="1"/>
    <xf numFmtId="0" fontId="132" fillId="0" borderId="0" xfId="208" applyFont="1" applyBorder="1" applyAlignment="1">
      <alignment horizontal="right"/>
    </xf>
    <xf numFmtId="205" fontId="131" fillId="0" borderId="0" xfId="208" applyNumberFormat="1" applyFont="1" applyBorder="1" applyAlignment="1">
      <alignment horizontal="center"/>
    </xf>
    <xf numFmtId="0" fontId="131" fillId="0" borderId="0" xfId="208" applyFont="1" applyFill="1" applyBorder="1"/>
    <xf numFmtId="200" fontId="131" fillId="0" borderId="151" xfId="256" applyNumberFormat="1" applyFont="1" applyFill="1" applyBorder="1" applyAlignment="1" applyProtection="1"/>
    <xf numFmtId="200" fontId="131" fillId="0" borderId="157" xfId="256" applyNumberFormat="1" applyFont="1" applyFill="1" applyBorder="1" applyAlignment="1" applyProtection="1"/>
    <xf numFmtId="200" fontId="136" fillId="0" borderId="152" xfId="256" applyNumberFormat="1" applyFont="1" applyFill="1" applyBorder="1" applyAlignment="1" applyProtection="1"/>
    <xf numFmtId="0" fontId="131" fillId="0" borderId="155" xfId="208" applyFont="1" applyBorder="1"/>
    <xf numFmtId="200" fontId="131" fillId="60" borderId="157" xfId="208" applyNumberFormat="1" applyFont="1" applyFill="1" applyBorder="1"/>
    <xf numFmtId="0" fontId="131" fillId="0" borderId="160" xfId="208" applyFont="1" applyBorder="1" applyAlignment="1">
      <alignment horizontal="left"/>
    </xf>
    <xf numFmtId="205" fontId="131" fillId="0" borderId="157" xfId="208" applyNumberFormat="1" applyFont="1" applyBorder="1"/>
    <xf numFmtId="200" fontId="136" fillId="0" borderId="151" xfId="256" applyNumberFormat="1" applyFont="1" applyFill="1" applyBorder="1" applyAlignment="1" applyProtection="1"/>
    <xf numFmtId="0" fontId="131" fillId="0" borderId="148" xfId="208" applyFont="1" applyBorder="1"/>
    <xf numFmtId="203" fontId="131" fillId="0" borderId="154" xfId="256" applyNumberFormat="1" applyFont="1" applyFill="1" applyBorder="1" applyAlignment="1" applyProtection="1"/>
    <xf numFmtId="200" fontId="136" fillId="0" borderId="156" xfId="256" applyNumberFormat="1" applyFont="1" applyFill="1" applyBorder="1" applyAlignment="1" applyProtection="1"/>
    <xf numFmtId="205" fontId="131" fillId="0" borderId="150" xfId="208" applyNumberFormat="1" applyFont="1" applyBorder="1" applyAlignment="1">
      <alignment horizontal="center"/>
    </xf>
    <xf numFmtId="206" fontId="131" fillId="0" borderId="150" xfId="208" applyNumberFormat="1" applyFont="1" applyBorder="1" applyAlignment="1">
      <alignment horizontal="center"/>
    </xf>
    <xf numFmtId="205" fontId="131" fillId="0" borderId="144" xfId="208" applyNumberFormat="1" applyFont="1" applyBorder="1" applyAlignment="1">
      <alignment horizontal="center"/>
    </xf>
    <xf numFmtId="206" fontId="131" fillId="0" borderId="144" xfId="208" applyNumberFormat="1" applyFont="1" applyBorder="1" applyAlignment="1">
      <alignment horizontal="center"/>
    </xf>
    <xf numFmtId="200" fontId="131" fillId="0" borderId="152" xfId="256" applyNumberFormat="1" applyFont="1" applyFill="1" applyBorder="1" applyAlignment="1" applyProtection="1"/>
    <xf numFmtId="203" fontId="131" fillId="0" borderId="144" xfId="256" applyNumberFormat="1" applyFont="1" applyFill="1" applyBorder="1" applyAlignment="1" applyProtection="1"/>
    <xf numFmtId="206" fontId="131" fillId="0" borderId="0" xfId="208" applyNumberFormat="1" applyFont="1" applyAlignment="1">
      <alignment horizontal="center"/>
    </xf>
    <xf numFmtId="202" fontId="0" fillId="0" borderId="157" xfId="256" applyFont="1" applyFill="1" applyBorder="1" applyAlignment="1" applyProtection="1"/>
    <xf numFmtId="10" fontId="131" fillId="0" borderId="150" xfId="208" applyNumberFormat="1" applyFont="1" applyBorder="1" applyAlignment="1">
      <alignment horizontal="center"/>
    </xf>
    <xf numFmtId="200" fontId="131" fillId="0" borderId="155" xfId="208" applyNumberFormat="1" applyFont="1" applyBorder="1"/>
    <xf numFmtId="206" fontId="136" fillId="0" borderId="150" xfId="257" applyNumberFormat="1" applyFont="1" applyFill="1" applyBorder="1" applyAlignment="1" applyProtection="1">
      <alignment horizontal="center"/>
    </xf>
    <xf numFmtId="206" fontId="136" fillId="0" borderId="153" xfId="257" applyNumberFormat="1" applyFont="1" applyFill="1" applyBorder="1" applyAlignment="1" applyProtection="1">
      <alignment horizontal="center"/>
    </xf>
    <xf numFmtId="0" fontId="131" fillId="0" borderId="156" xfId="208" applyFont="1" applyBorder="1"/>
    <xf numFmtId="206" fontId="136" fillId="0" borderId="156" xfId="257" applyNumberFormat="1" applyFont="1" applyFill="1" applyBorder="1" applyAlignment="1" applyProtection="1">
      <alignment horizontal="center"/>
    </xf>
    <xf numFmtId="0" fontId="131" fillId="0" borderId="0" xfId="208" applyFont="1" applyBorder="1" applyAlignment="1">
      <alignment horizontal="right"/>
    </xf>
    <xf numFmtId="206" fontId="131" fillId="0" borderId="0" xfId="208" applyNumberFormat="1" applyFont="1" applyBorder="1"/>
    <xf numFmtId="203" fontId="131" fillId="0" borderId="0" xfId="256" applyNumberFormat="1" applyFont="1" applyFill="1" applyBorder="1" applyAlignment="1" applyProtection="1"/>
    <xf numFmtId="206" fontId="136" fillId="0" borderId="150" xfId="256" applyNumberFormat="1" applyFont="1" applyFill="1" applyBorder="1" applyAlignment="1" applyProtection="1">
      <alignment horizontal="center"/>
    </xf>
    <xf numFmtId="0" fontId="131" fillId="0" borderId="0" xfId="208" applyFont="1" applyAlignment="1"/>
    <xf numFmtId="200" fontId="153" fillId="61" borderId="167" xfId="256" applyNumberFormat="1" applyFont="1" applyFill="1" applyBorder="1" applyAlignment="1" applyProtection="1">
      <alignment horizontal="center" vertical="center"/>
    </xf>
    <xf numFmtId="200" fontId="154" fillId="61" borderId="168" xfId="256" applyNumberFormat="1" applyFont="1" applyFill="1" applyBorder="1" applyAlignment="1" applyProtection="1">
      <alignment horizontal="center" vertical="center"/>
    </xf>
    <xf numFmtId="203" fontId="131" fillId="0" borderId="0" xfId="256" applyNumberFormat="1" applyFont="1" applyFill="1" applyBorder="1" applyAlignment="1" applyProtection="1">
      <alignment vertical="center"/>
    </xf>
    <xf numFmtId="0" fontId="131" fillId="0" borderId="0" xfId="208" applyFont="1" applyAlignment="1">
      <alignment vertical="center"/>
    </xf>
    <xf numFmtId="200" fontId="132" fillId="0" borderId="156" xfId="256" applyNumberFormat="1" applyFont="1" applyFill="1" applyBorder="1" applyAlignment="1" applyProtection="1">
      <alignment horizontal="center" vertical="center"/>
    </xf>
    <xf numFmtId="200" fontId="132" fillId="0" borderId="151" xfId="256" applyNumberFormat="1" applyFont="1" applyFill="1" applyBorder="1" applyAlignment="1" applyProtection="1">
      <alignment horizontal="center" vertical="center"/>
    </xf>
    <xf numFmtId="200" fontId="132" fillId="60" borderId="151" xfId="256" applyNumberFormat="1" applyFont="1" applyFill="1" applyBorder="1" applyAlignment="1" applyProtection="1">
      <alignment vertical="center"/>
    </xf>
    <xf numFmtId="200" fontId="131" fillId="59" borderId="151" xfId="208" applyNumberFormat="1" applyFont="1" applyFill="1" applyBorder="1" applyAlignment="1">
      <alignment vertical="center"/>
    </xf>
    <xf numFmtId="200" fontId="131" fillId="0" borderId="151" xfId="256" applyNumberFormat="1" applyFont="1" applyFill="1" applyBorder="1" applyAlignment="1" applyProtection="1">
      <alignment vertical="center"/>
    </xf>
    <xf numFmtId="200" fontId="131" fillId="0" borderId="152" xfId="256" applyNumberFormat="1" applyFont="1" applyFill="1" applyBorder="1" applyAlignment="1" applyProtection="1">
      <alignment vertical="center"/>
    </xf>
    <xf numFmtId="200" fontId="131" fillId="59" borderId="152" xfId="208" applyNumberFormat="1" applyFont="1" applyFill="1" applyBorder="1" applyAlignment="1">
      <alignment vertical="center"/>
    </xf>
    <xf numFmtId="200" fontId="131" fillId="0" borderId="157" xfId="256" applyNumberFormat="1" applyFont="1" applyFill="1" applyBorder="1" applyAlignment="1" applyProtection="1">
      <alignment vertical="center"/>
    </xf>
    <xf numFmtId="200" fontId="132" fillId="60" borderId="157" xfId="256" applyNumberFormat="1" applyFont="1" applyFill="1" applyBorder="1" applyAlignment="1" applyProtection="1">
      <alignment vertical="center"/>
    </xf>
    <xf numFmtId="0" fontId="131" fillId="0" borderId="156" xfId="208" applyFont="1" applyFill="1" applyBorder="1" applyAlignment="1">
      <alignment horizontal="left"/>
    </xf>
    <xf numFmtId="0" fontId="131" fillId="0" borderId="156" xfId="208" applyFont="1" applyFill="1" applyBorder="1" applyAlignment="1">
      <alignment horizontal="center"/>
    </xf>
    <xf numFmtId="1" fontId="131" fillId="0" borderId="157" xfId="208" applyNumberFormat="1" applyFont="1" applyFill="1" applyBorder="1" applyAlignment="1">
      <alignment horizontal="center"/>
    </xf>
    <xf numFmtId="0" fontId="131" fillId="0" borderId="170" xfId="208" applyFont="1" applyFill="1" applyBorder="1" applyAlignment="1">
      <alignment horizontal="left"/>
    </xf>
    <xf numFmtId="0" fontId="131" fillId="0" borderId="170" xfId="208" applyFont="1" applyFill="1" applyBorder="1" applyAlignment="1">
      <alignment horizontal="center"/>
    </xf>
    <xf numFmtId="0" fontId="131" fillId="0" borderId="172" xfId="208" applyFont="1" applyFill="1" applyBorder="1" applyAlignment="1">
      <alignment horizontal="center"/>
    </xf>
    <xf numFmtId="206" fontId="131" fillId="0" borderId="170" xfId="208" applyNumberFormat="1" applyFont="1" applyFill="1" applyBorder="1" applyAlignment="1">
      <alignment horizontal="right" vertical="center"/>
    </xf>
    <xf numFmtId="206" fontId="131" fillId="0" borderId="156" xfId="208" applyNumberFormat="1" applyFont="1" applyFill="1" applyBorder="1" applyAlignment="1">
      <alignment horizontal="right" vertical="center"/>
    </xf>
    <xf numFmtId="3" fontId="131" fillId="0" borderId="153" xfId="208" applyNumberFormat="1" applyFont="1" applyFill="1" applyBorder="1" applyAlignment="1">
      <alignment horizontal="left"/>
    </xf>
    <xf numFmtId="3" fontId="131" fillId="0" borderId="153" xfId="208" applyNumberFormat="1" applyFont="1" applyFill="1" applyBorder="1" applyAlignment="1">
      <alignment horizontal="center"/>
    </xf>
    <xf numFmtId="0" fontId="131" fillId="0" borderId="149" xfId="208" applyFont="1" applyFill="1" applyBorder="1" applyAlignment="1">
      <alignment horizontal="center"/>
    </xf>
    <xf numFmtId="0" fontId="132" fillId="0" borderId="152" xfId="208" applyFont="1" applyBorder="1" applyAlignment="1">
      <alignment horizontal="right"/>
    </xf>
    <xf numFmtId="0" fontId="132" fillId="59" borderId="158" xfId="208" applyFont="1" applyFill="1" applyBorder="1" applyAlignment="1">
      <alignment horizontal="center"/>
    </xf>
    <xf numFmtId="200" fontId="131" fillId="0" borderId="151" xfId="208" applyNumberFormat="1" applyFont="1" applyBorder="1" applyAlignment="1">
      <alignment vertical="center"/>
    </xf>
    <xf numFmtId="200" fontId="131" fillId="0" borderId="156" xfId="208" applyNumberFormat="1" applyFont="1" applyBorder="1" applyAlignment="1">
      <alignment horizontal="left" vertical="center"/>
    </xf>
    <xf numFmtId="200" fontId="131" fillId="0" borderId="157" xfId="208" applyNumberFormat="1" applyFont="1" applyBorder="1" applyAlignment="1">
      <alignment horizontal="left" vertical="center"/>
    </xf>
    <xf numFmtId="0" fontId="144" fillId="0" borderId="150" xfId="208" applyFont="1" applyBorder="1" applyAlignment="1">
      <alignment horizontal="center"/>
    </xf>
    <xf numFmtId="207" fontId="144" fillId="0" borderId="150" xfId="208" applyNumberFormat="1" applyFont="1" applyBorder="1" applyAlignment="1">
      <alignment horizontal="center"/>
    </xf>
    <xf numFmtId="0" fontId="141" fillId="0" borderId="152" xfId="208" applyFont="1" applyFill="1" applyBorder="1" applyAlignment="1">
      <alignment horizontal="center"/>
    </xf>
    <xf numFmtId="9" fontId="155" fillId="0" borderId="152" xfId="208" applyNumberFormat="1" applyFont="1" applyFill="1" applyBorder="1" applyAlignment="1">
      <alignment horizontal="center" vertical="center"/>
    </xf>
    <xf numFmtId="207" fontId="155" fillId="0" borderId="150" xfId="208" applyNumberFormat="1" applyFont="1" applyBorder="1" applyAlignment="1">
      <alignment horizontal="center"/>
    </xf>
    <xf numFmtId="0" fontId="144" fillId="0" borderId="155" xfId="208" applyFont="1" applyBorder="1" applyAlignment="1">
      <alignment horizontal="center"/>
    </xf>
    <xf numFmtId="0" fontId="144" fillId="0" borderId="144" xfId="208" applyFont="1" applyBorder="1" applyAlignment="1">
      <alignment horizontal="center"/>
    </xf>
    <xf numFmtId="207" fontId="144" fillId="0" borderId="144" xfId="208" applyNumberFormat="1" applyFont="1" applyBorder="1" applyAlignment="1">
      <alignment horizontal="center"/>
    </xf>
    <xf numFmtId="0" fontId="131" fillId="0" borderId="167" xfId="208" applyFont="1" applyBorder="1"/>
    <xf numFmtId="0" fontId="131" fillId="0" borderId="167" xfId="208" applyFont="1" applyBorder="1" applyAlignment="1">
      <alignment horizontal="left"/>
    </xf>
    <xf numFmtId="0" fontId="131" fillId="0" borderId="173" xfId="208" applyFont="1" applyBorder="1" applyAlignment="1">
      <alignment horizontal="center"/>
    </xf>
    <xf numFmtId="9" fontId="144" fillId="0" borderId="150" xfId="208" applyNumberFormat="1" applyFont="1" applyBorder="1" applyAlignment="1">
      <alignment horizontal="center"/>
    </xf>
    <xf numFmtId="200" fontId="0" fillId="0" borderId="151" xfId="256" applyNumberFormat="1" applyFont="1" applyFill="1" applyBorder="1" applyAlignment="1" applyProtection="1">
      <alignment vertical="center"/>
    </xf>
    <xf numFmtId="0" fontId="155" fillId="0" borderId="157" xfId="208" applyFont="1" applyBorder="1" applyAlignment="1">
      <alignment horizontal="center"/>
    </xf>
    <xf numFmtId="208" fontId="155" fillId="0" borderId="151" xfId="208" applyNumberFormat="1" applyFont="1" applyBorder="1" applyAlignment="1">
      <alignment horizontal="center"/>
    </xf>
    <xf numFmtId="9" fontId="155" fillId="0" borderId="151" xfId="208" applyNumberFormat="1" applyFont="1" applyBorder="1" applyAlignment="1">
      <alignment horizontal="center"/>
    </xf>
    <xf numFmtId="0" fontId="131" fillId="0" borderId="175" xfId="208" applyFont="1" applyBorder="1"/>
    <xf numFmtId="0" fontId="131" fillId="0" borderId="175" xfId="208" applyFont="1" applyBorder="1" applyAlignment="1">
      <alignment horizontal="left"/>
    </xf>
    <xf numFmtId="0" fontId="131" fillId="0" borderId="175" xfId="208" applyFont="1" applyBorder="1" applyAlignment="1">
      <alignment horizontal="center"/>
    </xf>
    <xf numFmtId="9" fontId="131" fillId="0" borderId="175" xfId="208" applyNumberFormat="1" applyFont="1" applyBorder="1" applyAlignment="1">
      <alignment horizontal="center"/>
    </xf>
    <xf numFmtId="208" fontId="131" fillId="0" borderId="175" xfId="208" applyNumberFormat="1" applyFont="1" applyBorder="1" applyAlignment="1">
      <alignment horizontal="center"/>
    </xf>
    <xf numFmtId="0" fontId="131" fillId="0" borderId="0" xfId="208" applyFont="1" applyBorder="1" applyAlignment="1">
      <alignment horizontal="left" vertical="center"/>
    </xf>
    <xf numFmtId="0" fontId="23" fillId="0" borderId="0" xfId="208" applyFont="1" applyBorder="1" applyAlignment="1">
      <alignment horizontal="left" vertical="center"/>
    </xf>
    <xf numFmtId="200" fontId="0" fillId="0" borderId="152" xfId="256" applyNumberFormat="1" applyFont="1" applyFill="1" applyBorder="1" applyAlignment="1" applyProtection="1">
      <alignment vertical="center"/>
    </xf>
    <xf numFmtId="200" fontId="148" fillId="61" borderId="150" xfId="256" applyNumberFormat="1" applyFont="1" applyFill="1" applyBorder="1" applyAlignment="1" applyProtection="1">
      <alignment horizontal="left" vertical="center"/>
    </xf>
    <xf numFmtId="200" fontId="155" fillId="61" borderId="150" xfId="208" applyNumberFormat="1" applyFont="1" applyFill="1" applyBorder="1" applyAlignment="1">
      <alignment horizontal="left" vertical="center"/>
    </xf>
    <xf numFmtId="0" fontId="131" fillId="0" borderId="0" xfId="208" applyFont="1" applyAlignment="1">
      <alignment horizontal="left" vertical="center"/>
    </xf>
    <xf numFmtId="0" fontId="138" fillId="0" borderId="0" xfId="208" applyFont="1" applyAlignment="1">
      <alignment horizontal="left" vertical="center"/>
    </xf>
    <xf numFmtId="200" fontId="144" fillId="62" borderId="150" xfId="256" applyNumberFormat="1" applyFont="1" applyFill="1" applyBorder="1" applyAlignment="1" applyProtection="1">
      <alignment horizontal="left" vertical="center"/>
    </xf>
    <xf numFmtId="200" fontId="131" fillId="59" borderId="150" xfId="208" applyNumberFormat="1" applyFont="1" applyFill="1" applyBorder="1" applyAlignment="1">
      <alignment horizontal="left" vertical="center"/>
    </xf>
    <xf numFmtId="0" fontId="23" fillId="0" borderId="0" xfId="208" applyAlignment="1">
      <alignment horizontal="left" vertical="center"/>
    </xf>
    <xf numFmtId="200" fontId="144" fillId="63" borderId="150" xfId="256" applyNumberFormat="1" applyFont="1" applyFill="1" applyBorder="1" applyAlignment="1" applyProtection="1">
      <alignment horizontal="left" vertical="center"/>
    </xf>
    <xf numFmtId="200" fontId="141" fillId="59" borderId="150" xfId="208" applyNumberFormat="1" applyFont="1" applyFill="1" applyBorder="1" applyAlignment="1">
      <alignment horizontal="left" vertical="center"/>
    </xf>
    <xf numFmtId="0" fontId="139" fillId="0" borderId="0" xfId="208" applyFont="1" applyAlignment="1">
      <alignment horizontal="left" vertical="center"/>
    </xf>
    <xf numFmtId="200" fontId="142" fillId="64" borderId="150" xfId="256" applyNumberFormat="1" applyFont="1" applyFill="1" applyBorder="1" applyAlignment="1" applyProtection="1">
      <alignment horizontal="left" vertical="center"/>
    </xf>
    <xf numFmtId="200" fontId="136" fillId="64" borderId="150" xfId="256" applyNumberFormat="1" applyFont="1" applyFill="1" applyBorder="1" applyAlignment="1" applyProtection="1">
      <alignment horizontal="left" vertical="center"/>
    </xf>
    <xf numFmtId="200" fontId="136" fillId="64" borderId="150" xfId="208" applyNumberFormat="1" applyFont="1" applyFill="1" applyBorder="1" applyAlignment="1">
      <alignment horizontal="left" vertical="center"/>
    </xf>
    <xf numFmtId="200" fontId="144" fillId="60" borderId="151" xfId="256" applyNumberFormat="1" applyFont="1" applyFill="1" applyBorder="1" applyAlignment="1" applyProtection="1">
      <alignment horizontal="left" vertical="center"/>
    </xf>
    <xf numFmtId="200" fontId="155" fillId="60" borderId="151" xfId="208" applyNumberFormat="1" applyFont="1" applyFill="1" applyBorder="1" applyAlignment="1">
      <alignment horizontal="left" vertical="center"/>
    </xf>
    <xf numFmtId="200" fontId="136" fillId="0" borderId="144" xfId="256" applyNumberFormat="1" applyFont="1" applyFill="1" applyBorder="1" applyAlignment="1" applyProtection="1">
      <alignment horizontal="left" vertical="center"/>
    </xf>
    <xf numFmtId="0" fontId="139" fillId="0" borderId="0" xfId="208" applyFont="1" applyAlignment="1">
      <alignment horizontal="left"/>
    </xf>
    <xf numFmtId="200" fontId="136" fillId="0" borderId="150" xfId="256" applyNumberFormat="1" applyFont="1" applyFill="1" applyBorder="1" applyAlignment="1" applyProtection="1">
      <alignment horizontal="left" vertical="center"/>
    </xf>
    <xf numFmtId="200" fontId="136" fillId="0" borderId="149" xfId="208" applyNumberFormat="1" applyFont="1" applyBorder="1" applyAlignment="1">
      <alignment horizontal="left" vertical="center"/>
    </xf>
    <xf numFmtId="0" fontId="136" fillId="0" borderId="0" xfId="208" applyFont="1" applyAlignment="1">
      <alignment horizontal="left" vertical="top"/>
    </xf>
    <xf numFmtId="200" fontId="136" fillId="59" borderId="149" xfId="208" applyNumberFormat="1" applyFont="1" applyFill="1" applyBorder="1" applyAlignment="1">
      <alignment horizontal="left" vertical="center"/>
    </xf>
    <xf numFmtId="200" fontId="131" fillId="0" borderId="0" xfId="256" applyNumberFormat="1" applyFont="1" applyFill="1" applyBorder="1" applyAlignment="1" applyProtection="1">
      <alignment vertical="center"/>
    </xf>
    <xf numFmtId="200" fontId="131" fillId="0" borderId="0" xfId="208" applyNumberFormat="1" applyFont="1" applyBorder="1" applyAlignment="1">
      <alignment vertical="center"/>
    </xf>
    <xf numFmtId="200" fontId="134" fillId="61" borderId="177" xfId="256" applyNumberFormat="1" applyFont="1" applyFill="1" applyBorder="1" applyAlignment="1" applyProtection="1">
      <alignment horizontal="left" vertical="center"/>
    </xf>
    <xf numFmtId="200" fontId="135" fillId="61" borderId="178" xfId="208" applyNumberFormat="1" applyFont="1" applyFill="1" applyBorder="1" applyAlignment="1">
      <alignment horizontal="left" vertical="center"/>
    </xf>
    <xf numFmtId="0" fontId="145" fillId="0" borderId="0" xfId="208" applyFont="1" applyBorder="1" applyAlignment="1">
      <alignment horizontal="left" vertical="center" wrapText="1"/>
    </xf>
    <xf numFmtId="0" fontId="158" fillId="0" borderId="0" xfId="208" applyFont="1" applyAlignment="1">
      <alignment horizontal="left" vertical="center"/>
    </xf>
    <xf numFmtId="0" fontId="136" fillId="0" borderId="0" xfId="208" applyFont="1" applyBorder="1" applyAlignment="1">
      <alignment wrapText="1"/>
    </xf>
    <xf numFmtId="200" fontId="132" fillId="0" borderId="156" xfId="256" applyNumberFormat="1" applyFont="1" applyFill="1" applyBorder="1" applyAlignment="1" applyProtection="1">
      <alignment horizontal="center" vertical="center"/>
    </xf>
    <xf numFmtId="0" fontId="129" fillId="0" borderId="0" xfId="208" applyFont="1" applyBorder="1" applyAlignment="1">
      <alignment horizontal="center"/>
    </xf>
    <xf numFmtId="0" fontId="152" fillId="0" borderId="0" xfId="208" applyFont="1" applyFill="1" applyBorder="1" applyAlignment="1">
      <alignment horizontal="center" wrapText="1"/>
    </xf>
    <xf numFmtId="200" fontId="136" fillId="0" borderId="157" xfId="256" applyNumberFormat="1" applyFont="1" applyFill="1" applyBorder="1" applyAlignment="1" applyProtection="1"/>
    <xf numFmtId="203" fontId="131" fillId="0" borderId="155" xfId="256" applyNumberFormat="1" applyFont="1" applyFill="1" applyBorder="1" applyAlignment="1" applyProtection="1"/>
    <xf numFmtId="200" fontId="131" fillId="0" borderId="155" xfId="256" applyNumberFormat="1" applyFont="1" applyFill="1" applyBorder="1" applyAlignment="1" applyProtection="1"/>
    <xf numFmtId="200" fontId="136" fillId="0" borderId="149" xfId="256" applyNumberFormat="1" applyFont="1" applyFill="1" applyBorder="1" applyAlignment="1" applyProtection="1">
      <alignment horizontal="left" vertical="center"/>
    </xf>
    <xf numFmtId="3" fontId="131" fillId="0" borderId="153" xfId="208" applyNumberFormat="1" applyFont="1" applyBorder="1" applyAlignment="1">
      <alignment horizontal="center"/>
    </xf>
    <xf numFmtId="0" fontId="23" fillId="0" borderId="0" xfId="0" applyFont="1" applyProtection="1">
      <protection locked="0"/>
    </xf>
    <xf numFmtId="10" fontId="83" fillId="0" borderId="0" xfId="219" applyNumberFormat="1" applyFont="1" applyFill="1" applyBorder="1" applyProtection="1">
      <protection locked="0"/>
    </xf>
    <xf numFmtId="10" fontId="131" fillId="0" borderId="157" xfId="208" applyNumberFormat="1" applyFont="1" applyBorder="1"/>
    <xf numFmtId="200" fontId="131" fillId="0" borderId="151" xfId="208" applyNumberFormat="1" applyFont="1" applyBorder="1"/>
    <xf numFmtId="9" fontId="131" fillId="0" borderId="157" xfId="208" applyNumberFormat="1" applyFont="1" applyBorder="1"/>
    <xf numFmtId="1" fontId="131" fillId="0" borderId="149" xfId="208" applyNumberFormat="1" applyFont="1" applyBorder="1" applyAlignment="1">
      <alignment horizontal="center" vertical="center"/>
    </xf>
    <xf numFmtId="4" fontId="68" fillId="0" borderId="0" xfId="3" applyNumberFormat="1" applyFont="1" applyBorder="1" applyProtection="1">
      <protection locked="0"/>
    </xf>
    <xf numFmtId="10" fontId="57" fillId="37" borderId="23" xfId="219" applyNumberFormat="1" applyFont="1" applyFill="1" applyBorder="1" applyAlignment="1" applyProtection="1">
      <alignment horizontal="right"/>
    </xf>
    <xf numFmtId="0" fontId="146" fillId="0" borderId="0" xfId="0" applyFont="1" applyAlignment="1">
      <alignment horizontal="right" vertical="center"/>
    </xf>
    <xf numFmtId="0" fontId="23" fillId="0" borderId="0" xfId="0" applyFont="1" applyBorder="1" applyAlignment="1" applyProtection="1">
      <alignment horizontal="right" vertical="center"/>
      <protection locked="0"/>
    </xf>
    <xf numFmtId="0" fontId="83" fillId="0" borderId="0" xfId="0" applyFont="1" applyBorder="1" applyAlignment="1" applyProtection="1">
      <alignment horizontal="right"/>
      <protection locked="0"/>
    </xf>
    <xf numFmtId="4" fontId="29" fillId="0" borderId="0" xfId="0" applyNumberFormat="1" applyFont="1" applyBorder="1" applyAlignment="1" applyProtection="1">
      <alignment horizontal="right" vertical="center"/>
      <protection locked="0"/>
    </xf>
    <xf numFmtId="10" fontId="57" fillId="55" borderId="23" xfId="219" applyNumberFormat="1" applyFont="1" applyFill="1" applyBorder="1" applyAlignment="1" applyProtection="1">
      <alignment horizontal="right"/>
    </xf>
    <xf numFmtId="0" fontId="20" fillId="0" borderId="0" xfId="258"/>
    <xf numFmtId="0" fontId="159" fillId="0" borderId="0" xfId="258" applyFont="1"/>
    <xf numFmtId="0" fontId="160" fillId="0" borderId="0" xfId="258" applyFont="1"/>
    <xf numFmtId="0" fontId="20" fillId="0" borderId="0" xfId="258" applyBorder="1"/>
    <xf numFmtId="0" fontId="20" fillId="0" borderId="97" xfId="258" applyBorder="1"/>
    <xf numFmtId="14" fontId="20" fillId="0" borderId="97" xfId="258" applyNumberFormat="1" applyBorder="1"/>
    <xf numFmtId="0" fontId="161" fillId="0" borderId="0" xfId="258" applyFont="1"/>
    <xf numFmtId="0" fontId="20" fillId="0" borderId="0" xfId="258" applyAlignment="1">
      <alignment vertical="center"/>
    </xf>
    <xf numFmtId="0" fontId="20" fillId="0" borderId="97" xfId="258" applyBorder="1" applyAlignment="1">
      <alignment horizontal="center" vertical="center" wrapText="1"/>
    </xf>
    <xf numFmtId="3" fontId="20" fillId="0" borderId="97" xfId="258" applyNumberFormat="1" applyBorder="1" applyAlignment="1"/>
    <xf numFmtId="0" fontId="20" fillId="0" borderId="97" xfId="258" applyBorder="1" applyAlignment="1">
      <alignment horizontal="center"/>
    </xf>
    <xf numFmtId="209" fontId="20" fillId="0" borderId="97" xfId="258" applyNumberFormat="1" applyBorder="1"/>
    <xf numFmtId="0" fontId="20" fillId="0" borderId="1" xfId="258" applyBorder="1"/>
    <xf numFmtId="0" fontId="20" fillId="0" borderId="50" xfId="258" applyBorder="1"/>
    <xf numFmtId="0" fontId="20" fillId="0" borderId="112" xfId="258" applyBorder="1"/>
    <xf numFmtId="0" fontId="164" fillId="0" borderId="0" xfId="258" applyFont="1"/>
    <xf numFmtId="0" fontId="20" fillId="0" borderId="0" xfId="258" applyAlignment="1">
      <alignment horizontal="right"/>
    </xf>
    <xf numFmtId="14" fontId="20" fillId="0" borderId="0" xfId="258" applyNumberFormat="1"/>
    <xf numFmtId="0" fontId="20" fillId="0" borderId="0" xfId="258" applyAlignment="1">
      <alignment horizontal="center"/>
    </xf>
    <xf numFmtId="0" fontId="20" fillId="0" borderId="103" xfId="258" applyBorder="1"/>
    <xf numFmtId="0" fontId="20" fillId="0" borderId="36" xfId="258" applyBorder="1"/>
    <xf numFmtId="0" fontId="20" fillId="0" borderId="102" xfId="258" applyBorder="1"/>
    <xf numFmtId="0" fontId="20" fillId="0" borderId="129" xfId="258" applyFill="1" applyBorder="1"/>
    <xf numFmtId="0" fontId="20" fillId="0" borderId="74" xfId="258" applyBorder="1"/>
    <xf numFmtId="0" fontId="20" fillId="0" borderId="130" xfId="258" applyBorder="1"/>
    <xf numFmtId="0" fontId="20" fillId="0" borderId="104" xfId="258" applyBorder="1"/>
    <xf numFmtId="0" fontId="20" fillId="0" borderId="129" xfId="258" applyBorder="1"/>
    <xf numFmtId="0" fontId="20" fillId="0" borderId="117" xfId="258" applyBorder="1"/>
    <xf numFmtId="0" fontId="20" fillId="0" borderId="40" xfId="258" applyBorder="1"/>
    <xf numFmtId="0" fontId="20" fillId="0" borderId="0" xfId="258" applyBorder="1" applyAlignment="1"/>
    <xf numFmtId="0" fontId="20" fillId="0" borderId="0" xfId="258" applyAlignment="1"/>
    <xf numFmtId="0" fontId="20" fillId="0" borderId="131" xfId="258" applyBorder="1"/>
    <xf numFmtId="0" fontId="20" fillId="0" borderId="88" xfId="258" applyBorder="1"/>
    <xf numFmtId="0" fontId="20" fillId="0" borderId="132" xfId="258" applyBorder="1"/>
    <xf numFmtId="0" fontId="20" fillId="0" borderId="0" xfId="258" applyFill="1" applyBorder="1"/>
    <xf numFmtId="0" fontId="20" fillId="0" borderId="0" xfId="258" applyAlignment="1">
      <alignment horizontal="left"/>
    </xf>
    <xf numFmtId="3" fontId="20" fillId="0" borderId="0" xfId="258" applyNumberFormat="1"/>
    <xf numFmtId="0" fontId="164" fillId="0" borderId="0" xfId="258" applyFont="1" applyAlignment="1"/>
    <xf numFmtId="0" fontId="166" fillId="0" borderId="0" xfId="258" applyFont="1"/>
    <xf numFmtId="0" fontId="166" fillId="0" borderId="0" xfId="258" applyFont="1" applyAlignment="1"/>
    <xf numFmtId="0" fontId="166" fillId="0" borderId="129" xfId="258" applyFont="1" applyBorder="1"/>
    <xf numFmtId="0" fontId="166" fillId="0" borderId="117" xfId="258" applyFont="1" applyBorder="1"/>
    <xf numFmtId="0" fontId="166" fillId="0" borderId="131" xfId="258" applyFont="1" applyBorder="1"/>
    <xf numFmtId="0" fontId="166" fillId="0" borderId="88" xfId="258" applyFont="1" applyBorder="1"/>
    <xf numFmtId="0" fontId="167" fillId="0" borderId="0" xfId="259"/>
    <xf numFmtId="0" fontId="20" fillId="0" borderId="0" xfId="258" applyFont="1"/>
    <xf numFmtId="0" fontId="168" fillId="0" borderId="0" xfId="258" applyFont="1"/>
    <xf numFmtId="0" fontId="169" fillId="0" borderId="0" xfId="258" applyFont="1"/>
    <xf numFmtId="2" fontId="20" fillId="0" borderId="0" xfId="258" applyNumberFormat="1"/>
    <xf numFmtId="0" fontId="159" fillId="0" borderId="0" xfId="258" applyFont="1" applyAlignment="1">
      <alignment horizontal="left"/>
    </xf>
    <xf numFmtId="0" fontId="20" fillId="0" borderId="0" xfId="258" applyAlignment="1">
      <alignment horizontal="left"/>
    </xf>
    <xf numFmtId="3" fontId="20" fillId="0" borderId="74" xfId="258" applyNumberFormat="1" applyBorder="1"/>
    <xf numFmtId="2" fontId="20" fillId="0" borderId="0" xfId="258" applyNumberFormat="1" applyAlignment="1">
      <alignment vertical="center"/>
    </xf>
    <xf numFmtId="0" fontId="165" fillId="0" borderId="0" xfId="258" applyFont="1" applyAlignment="1">
      <alignment vertical="center" wrapText="1"/>
    </xf>
    <xf numFmtId="0" fontId="20" fillId="0" borderId="0" xfId="258" applyAlignment="1">
      <alignment wrapText="1"/>
    </xf>
    <xf numFmtId="0" fontId="166" fillId="0" borderId="117" xfId="258" applyFont="1" applyBorder="1" applyAlignment="1"/>
    <xf numFmtId="0" fontId="166" fillId="0" borderId="0" xfId="258" applyFont="1" applyBorder="1" applyAlignment="1"/>
    <xf numFmtId="0" fontId="20" fillId="0" borderId="0" xfId="258" applyBorder="1" applyAlignment="1">
      <alignment vertical="top" wrapText="1"/>
    </xf>
    <xf numFmtId="0" fontId="166" fillId="0" borderId="117" xfId="258" applyFont="1" applyBorder="1" applyAlignment="1">
      <alignment vertical="center"/>
    </xf>
    <xf numFmtId="0" fontId="20" fillId="0" borderId="0" xfId="258" applyBorder="1" applyAlignment="1">
      <alignment vertical="center" wrapText="1"/>
    </xf>
    <xf numFmtId="0" fontId="20" fillId="0" borderId="117" xfId="258" applyBorder="1" applyAlignment="1">
      <alignment vertical="center"/>
    </xf>
    <xf numFmtId="0" fontId="19" fillId="0" borderId="0" xfId="260"/>
    <xf numFmtId="14" fontId="19" fillId="0" borderId="0" xfId="260" applyNumberFormat="1" applyAlignment="1">
      <alignment horizontal="left"/>
    </xf>
    <xf numFmtId="0" fontId="159" fillId="0" borderId="0" xfId="260" applyFont="1"/>
    <xf numFmtId="0" fontId="170" fillId="0" borderId="0" xfId="260" applyFont="1"/>
    <xf numFmtId="0" fontId="19" fillId="0" borderId="0" xfId="260" applyAlignment="1">
      <alignment vertical="center" wrapText="1"/>
    </xf>
    <xf numFmtId="14" fontId="19" fillId="0" borderId="0" xfId="260" applyNumberFormat="1" applyAlignment="1">
      <alignment horizontal="center"/>
    </xf>
    <xf numFmtId="14" fontId="19" fillId="0" borderId="0" xfId="260" applyNumberFormat="1"/>
    <xf numFmtId="0" fontId="19" fillId="0" borderId="180" xfId="260" applyBorder="1"/>
    <xf numFmtId="14" fontId="19" fillId="0" borderId="180" xfId="260" applyNumberFormat="1" applyBorder="1"/>
    <xf numFmtId="0" fontId="19" fillId="0" borderId="0" xfId="260" applyBorder="1"/>
    <xf numFmtId="195" fontId="19" fillId="0" borderId="0" xfId="260" applyNumberFormat="1"/>
    <xf numFmtId="0" fontId="18" fillId="0" borderId="0" xfId="261"/>
    <xf numFmtId="14" fontId="18" fillId="0" borderId="0" xfId="261" applyNumberFormat="1"/>
    <xf numFmtId="0" fontId="17" fillId="0" borderId="0" xfId="261" applyFont="1"/>
    <xf numFmtId="0" fontId="174" fillId="0" borderId="0" xfId="260" applyFont="1"/>
    <xf numFmtId="0" fontId="17" fillId="0" borderId="0" xfId="262"/>
    <xf numFmtId="0" fontId="17" fillId="0" borderId="0" xfId="262" applyAlignment="1">
      <alignment vertical="top" wrapText="1"/>
    </xf>
    <xf numFmtId="14" fontId="17" fillId="0" borderId="0" xfId="262" applyNumberFormat="1"/>
    <xf numFmtId="0" fontId="165" fillId="0" borderId="0" xfId="262" applyFont="1" applyAlignment="1"/>
    <xf numFmtId="0" fontId="165" fillId="0" borderId="0" xfId="262" applyFont="1"/>
    <xf numFmtId="0" fontId="166" fillId="0" borderId="0" xfId="262" applyFont="1"/>
    <xf numFmtId="0" fontId="164" fillId="0" borderId="0" xfId="262" applyFont="1"/>
    <xf numFmtId="14" fontId="17" fillId="0" borderId="180" xfId="262" applyNumberFormat="1" applyBorder="1"/>
    <xf numFmtId="0" fontId="17" fillId="0" borderId="0" xfId="262" applyBorder="1"/>
    <xf numFmtId="0" fontId="16" fillId="0" borderId="0" xfId="263"/>
    <xf numFmtId="0" fontId="166" fillId="0" borderId="0" xfId="263" applyFont="1"/>
    <xf numFmtId="0" fontId="16" fillId="0" borderId="0" xfId="263" applyAlignment="1">
      <alignment vertical="top" wrapText="1"/>
    </xf>
    <xf numFmtId="14" fontId="16" fillId="0" borderId="0" xfId="263" applyNumberFormat="1" applyAlignment="1">
      <alignment horizontal="center" vertical="center"/>
    </xf>
    <xf numFmtId="0" fontId="164" fillId="0" borderId="0" xfId="263" applyFont="1"/>
    <xf numFmtId="0" fontId="162" fillId="0" borderId="0" xfId="263" applyFont="1"/>
    <xf numFmtId="0" fontId="165" fillId="0" borderId="0" xfId="263" applyFont="1" applyAlignment="1">
      <alignment vertical="center" wrapText="1"/>
    </xf>
    <xf numFmtId="0" fontId="16" fillId="0" borderId="180" xfId="263" applyBorder="1"/>
    <xf numFmtId="0" fontId="166" fillId="0" borderId="180" xfId="263" applyFont="1" applyBorder="1"/>
    <xf numFmtId="0" fontId="46" fillId="0" borderId="180" xfId="263" applyFont="1" applyBorder="1" applyProtection="1">
      <protection hidden="1"/>
    </xf>
    <xf numFmtId="0" fontId="46" fillId="0" borderId="183" xfId="263" applyFont="1" applyBorder="1" applyProtection="1">
      <protection hidden="1"/>
    </xf>
    <xf numFmtId="0" fontId="16" fillId="0" borderId="117" xfId="263" applyBorder="1"/>
    <xf numFmtId="0" fontId="16" fillId="0" borderId="0" xfId="263" applyBorder="1"/>
    <xf numFmtId="0" fontId="16" fillId="0" borderId="40" xfId="263" applyBorder="1"/>
    <xf numFmtId="0" fontId="166" fillId="0" borderId="117" xfId="263" applyFont="1" applyBorder="1"/>
    <xf numFmtId="0" fontId="16" fillId="0" borderId="0" xfId="263" applyBorder="1" applyAlignment="1">
      <alignment horizontal="left"/>
    </xf>
    <xf numFmtId="0" fontId="176" fillId="0" borderId="131" xfId="263" applyFont="1" applyBorder="1" applyProtection="1">
      <protection hidden="1"/>
    </xf>
    <xf numFmtId="0" fontId="176" fillId="0" borderId="88" xfId="263" applyFont="1" applyBorder="1" applyAlignment="1" applyProtection="1">
      <alignment horizontal="left"/>
      <protection hidden="1"/>
    </xf>
    <xf numFmtId="1" fontId="176" fillId="0" borderId="88" xfId="263" applyNumberFormat="1" applyFont="1" applyBorder="1" applyAlignment="1" applyProtection="1">
      <alignment horizontal="right"/>
      <protection hidden="1"/>
    </xf>
    <xf numFmtId="1" fontId="177" fillId="0" borderId="88" xfId="263" applyNumberFormat="1" applyFont="1" applyBorder="1" applyAlignment="1" applyProtection="1">
      <alignment horizontal="right"/>
      <protection hidden="1"/>
    </xf>
    <xf numFmtId="1" fontId="177" fillId="0" borderId="132" xfId="263" applyNumberFormat="1" applyFont="1" applyBorder="1" applyAlignment="1" applyProtection="1">
      <alignment horizontal="right"/>
      <protection hidden="1"/>
    </xf>
    <xf numFmtId="0" fontId="178" fillId="0" borderId="0" xfId="263" applyFont="1"/>
    <xf numFmtId="0" fontId="166" fillId="0" borderId="131" xfId="263" applyFont="1" applyBorder="1"/>
    <xf numFmtId="0" fontId="16" fillId="0" borderId="88" xfId="263" applyBorder="1"/>
    <xf numFmtId="0" fontId="16" fillId="0" borderId="132" xfId="263" applyBorder="1"/>
    <xf numFmtId="0" fontId="179" fillId="0" borderId="0" xfId="263" applyFont="1"/>
    <xf numFmtId="0" fontId="179" fillId="0" borderId="0" xfId="263" applyFont="1" applyAlignment="1">
      <alignment horizontal="right"/>
    </xf>
    <xf numFmtId="210" fontId="180" fillId="0" borderId="184" xfId="263" applyNumberFormat="1" applyFont="1" applyBorder="1" applyAlignment="1" applyProtection="1">
      <alignment horizontal="centerContinuous" vertical="center"/>
      <protection locked="0"/>
    </xf>
    <xf numFmtId="0" fontId="181" fillId="0" borderId="109" xfId="263" applyFont="1" applyBorder="1" applyAlignment="1" applyProtection="1">
      <alignment horizontal="centerContinuous" vertical="center"/>
      <protection hidden="1"/>
    </xf>
    <xf numFmtId="0" fontId="182" fillId="0" borderId="109" xfId="263" applyFont="1" applyBorder="1" applyAlignment="1" applyProtection="1">
      <alignment horizontal="centerContinuous" vertical="center"/>
      <protection hidden="1"/>
    </xf>
    <xf numFmtId="9" fontId="181" fillId="0" borderId="109" xfId="263" applyNumberFormat="1" applyFont="1" applyBorder="1" applyAlignment="1" applyProtection="1">
      <alignment horizontal="centerContinuous" vertical="center"/>
      <protection hidden="1"/>
    </xf>
    <xf numFmtId="9" fontId="181" fillId="0" borderId="125" xfId="263" applyNumberFormat="1" applyFont="1" applyBorder="1" applyAlignment="1" applyProtection="1">
      <alignment horizontal="centerContinuous" vertical="center"/>
      <protection hidden="1"/>
    </xf>
    <xf numFmtId="210" fontId="180" fillId="0" borderId="0" xfId="263" applyNumberFormat="1" applyFont="1" applyBorder="1" applyAlignment="1" applyProtection="1">
      <alignment horizontal="centerContinuous" vertical="center"/>
      <protection locked="0"/>
    </xf>
    <xf numFmtId="0" fontId="181" fillId="0" borderId="0" xfId="263" applyFont="1" applyBorder="1" applyAlignment="1" applyProtection="1">
      <alignment horizontal="centerContinuous" vertical="center"/>
      <protection hidden="1"/>
    </xf>
    <xf numFmtId="0" fontId="178" fillId="0" borderId="129" xfId="263" applyFont="1" applyBorder="1"/>
    <xf numFmtId="0" fontId="179" fillId="0" borderId="130" xfId="263" applyFont="1" applyBorder="1"/>
    <xf numFmtId="0" fontId="178" fillId="0" borderId="103" xfId="263" applyFont="1" applyBorder="1"/>
    <xf numFmtId="0" fontId="179" fillId="0" borderId="102" xfId="263" applyFont="1" applyBorder="1"/>
    <xf numFmtId="0" fontId="178" fillId="0" borderId="117" xfId="263" applyFont="1" applyBorder="1"/>
    <xf numFmtId="0" fontId="179" fillId="0" borderId="40" xfId="263" applyFont="1" applyBorder="1"/>
    <xf numFmtId="0" fontId="184" fillId="0" borderId="103" xfId="263" applyFont="1" applyBorder="1"/>
    <xf numFmtId="0" fontId="16" fillId="0" borderId="0" xfId="263" applyFont="1"/>
    <xf numFmtId="176" fontId="16" fillId="0" borderId="0" xfId="263" applyNumberFormat="1" applyAlignment="1">
      <alignment horizontal="left" vertical="top" wrapText="1"/>
    </xf>
    <xf numFmtId="0" fontId="16" fillId="0" borderId="97" xfId="258" applyFont="1" applyBorder="1"/>
    <xf numFmtId="0" fontId="46" fillId="0" borderId="129" xfId="263" applyFont="1" applyBorder="1" applyProtection="1">
      <protection hidden="1"/>
    </xf>
    <xf numFmtId="0" fontId="15" fillId="0" borderId="0" xfId="261" applyFont="1"/>
    <xf numFmtId="0" fontId="20" fillId="66" borderId="0" xfId="258" applyFill="1"/>
    <xf numFmtId="0" fontId="17" fillId="0" borderId="0" xfId="262" applyAlignment="1">
      <alignment horizontal="left" vertical="top" wrapText="1"/>
    </xf>
    <xf numFmtId="0" fontId="17" fillId="0" borderId="0" xfId="262" applyFont="1" applyAlignment="1">
      <alignment horizontal="left" vertical="top"/>
    </xf>
    <xf numFmtId="0" fontId="17" fillId="0" borderId="0" xfId="262" applyAlignment="1">
      <alignment horizontal="left" wrapText="1"/>
    </xf>
    <xf numFmtId="0" fontId="17" fillId="0" borderId="0" xfId="262" applyAlignment="1">
      <alignment horizontal="left"/>
    </xf>
    <xf numFmtId="0" fontId="16" fillId="0" borderId="0" xfId="263" applyAlignment="1">
      <alignment horizontal="left" wrapText="1"/>
    </xf>
    <xf numFmtId="0" fontId="16" fillId="0" borderId="0" xfId="263" applyAlignment="1">
      <alignment horizontal="left"/>
    </xf>
    <xf numFmtId="3" fontId="69" fillId="0" borderId="19" xfId="218" applyNumberFormat="1" applyFont="1" applyFill="1" applyBorder="1" applyAlignment="1" applyProtection="1">
      <alignment horizontal="center"/>
    </xf>
    <xf numFmtId="3" fontId="57" fillId="31" borderId="0" xfId="218" applyNumberFormat="1" applyFont="1" applyFill="1" applyBorder="1" applyAlignment="1" applyProtection="1">
      <alignment horizontal="center" vertical="center"/>
    </xf>
    <xf numFmtId="3" fontId="69" fillId="0" borderId="0" xfId="218" applyNumberFormat="1" applyFont="1" applyBorder="1" applyAlignment="1" applyProtection="1">
      <alignment horizontal="center"/>
    </xf>
    <xf numFmtId="0" fontId="21" fillId="0" borderId="0" xfId="5" applyFont="1" applyBorder="1" applyAlignment="1" applyProtection="1">
      <alignment horizontal="centerContinuous"/>
    </xf>
    <xf numFmtId="4" fontId="29" fillId="37" borderId="0" xfId="0" applyNumberFormat="1" applyFont="1" applyFill="1" applyBorder="1" applyProtection="1"/>
    <xf numFmtId="0" fontId="14" fillId="0" borderId="0" xfId="258" applyFont="1"/>
    <xf numFmtId="0" fontId="14" fillId="0" borderId="0" xfId="260" applyFont="1"/>
    <xf numFmtId="0" fontId="23" fillId="0" borderId="0" xfId="208" applyFont="1" applyAlignment="1" applyProtection="1">
      <alignment vertical="center"/>
    </xf>
    <xf numFmtId="0" fontId="23" fillId="0" borderId="0" xfId="208" applyFont="1" applyFill="1" applyAlignment="1" applyProtection="1">
      <alignment vertical="center"/>
    </xf>
    <xf numFmtId="0" fontId="23" fillId="0" borderId="0" xfId="208" applyFont="1" applyBorder="1" applyAlignment="1" applyProtection="1">
      <alignment vertical="center"/>
    </xf>
    <xf numFmtId="0" fontId="14" fillId="0" borderId="182" xfId="260" applyFont="1" applyBorder="1"/>
    <xf numFmtId="0" fontId="14" fillId="0" borderId="117" xfId="260" applyFont="1" applyBorder="1"/>
    <xf numFmtId="0" fontId="14" fillId="0" borderId="131" xfId="260" applyFont="1" applyBorder="1"/>
    <xf numFmtId="0" fontId="19" fillId="0" borderId="88" xfId="260" applyBorder="1"/>
    <xf numFmtId="4" fontId="19" fillId="0" borderId="181" xfId="260" applyNumberFormat="1" applyBorder="1"/>
    <xf numFmtId="4" fontId="19" fillId="0" borderId="50" xfId="260" applyNumberFormat="1" applyBorder="1"/>
    <xf numFmtId="4" fontId="19" fillId="0" borderId="112" xfId="260" applyNumberFormat="1" applyBorder="1"/>
    <xf numFmtId="4" fontId="164" fillId="0" borderId="1" xfId="260" applyNumberFormat="1" applyFont="1" applyBorder="1"/>
    <xf numFmtId="0" fontId="14" fillId="0" borderId="182" xfId="260" applyFont="1" applyBorder="1" applyAlignment="1">
      <alignment vertical="center"/>
    </xf>
    <xf numFmtId="4" fontId="19" fillId="0" borderId="181" xfId="260" applyNumberFormat="1" applyBorder="1" applyAlignment="1">
      <alignment vertical="center"/>
    </xf>
    <xf numFmtId="0" fontId="14" fillId="0" borderId="0" xfId="262" applyFont="1"/>
    <xf numFmtId="0" fontId="14" fillId="0" borderId="0" xfId="262" applyFont="1" applyAlignment="1">
      <alignment vertical="top" wrapText="1"/>
    </xf>
    <xf numFmtId="0" fontId="165" fillId="0" borderId="0" xfId="260" applyFont="1" applyAlignment="1">
      <alignment vertical="center" wrapText="1"/>
    </xf>
    <xf numFmtId="0" fontId="166" fillId="0" borderId="0" xfId="0" applyFont="1" applyAlignment="1">
      <alignment wrapText="1"/>
    </xf>
    <xf numFmtId="0" fontId="16" fillId="0" borderId="183" xfId="263" applyBorder="1"/>
    <xf numFmtId="0" fontId="161" fillId="0" borderId="1" xfId="263" applyFont="1" applyBorder="1"/>
    <xf numFmtId="0" fontId="161" fillId="0" borderId="0" xfId="263" applyFont="1"/>
    <xf numFmtId="0" fontId="14" fillId="0" borderId="0" xfId="263" applyFont="1"/>
    <xf numFmtId="0" fontId="16" fillId="0" borderId="0" xfId="263" applyAlignment="1">
      <alignment vertical="center"/>
    </xf>
    <xf numFmtId="0" fontId="178" fillId="0" borderId="117" xfId="263" applyFont="1" applyBorder="1" applyAlignment="1">
      <alignment vertical="center"/>
    </xf>
    <xf numFmtId="0" fontId="179" fillId="0" borderId="40" xfId="263" applyFont="1" applyBorder="1" applyAlignment="1">
      <alignment vertical="center"/>
    </xf>
    <xf numFmtId="0" fontId="159" fillId="0" borderId="0" xfId="263" applyFont="1" applyAlignment="1">
      <alignment wrapText="1"/>
    </xf>
    <xf numFmtId="4" fontId="78" fillId="0" borderId="0" xfId="218" applyNumberFormat="1" applyFont="1" applyBorder="1" applyAlignment="1" applyProtection="1">
      <protection locked="0"/>
    </xf>
    <xf numFmtId="3" fontId="78" fillId="38" borderId="187" xfId="218" applyNumberFormat="1" applyFont="1" applyFill="1" applyBorder="1" applyAlignment="1" applyProtection="1">
      <alignment horizontal="center"/>
    </xf>
    <xf numFmtId="3" fontId="78" fillId="0" borderId="102" xfId="218" applyNumberFormat="1" applyFont="1" applyBorder="1" applyAlignment="1" applyProtection="1">
      <alignment horizontal="center" vertical="justify" wrapText="1"/>
    </xf>
    <xf numFmtId="192" fontId="107" fillId="0" borderId="0" xfId="218" applyNumberFormat="1" applyFont="1" applyBorder="1" applyAlignment="1" applyProtection="1">
      <alignment horizontal="center"/>
    </xf>
    <xf numFmtId="192" fontId="108" fillId="0" borderId="0" xfId="218" applyNumberFormat="1" applyFont="1" applyBorder="1" applyAlignment="1" applyProtection="1">
      <alignment horizontal="center"/>
    </xf>
    <xf numFmtId="192" fontId="103" fillId="0" borderId="0" xfId="218" applyNumberFormat="1" applyFont="1" applyFill="1" applyBorder="1" applyAlignment="1" applyProtection="1">
      <alignment horizontal="centerContinuous"/>
    </xf>
    <xf numFmtId="191" fontId="78" fillId="0" borderId="0" xfId="218" applyNumberFormat="1" applyFont="1" applyBorder="1" applyAlignment="1" applyProtection="1">
      <alignment horizontal="centerContinuous"/>
    </xf>
    <xf numFmtId="191" fontId="78" fillId="0" borderId="0" xfId="218" applyNumberFormat="1" applyFont="1" applyBorder="1" applyAlignment="1" applyProtection="1"/>
    <xf numFmtId="191" fontId="103" fillId="0" borderId="0" xfId="218" applyNumberFormat="1" applyFont="1" applyBorder="1" applyAlignment="1" applyProtection="1"/>
    <xf numFmtId="3" fontId="78" fillId="0" borderId="187" xfId="218" applyNumberFormat="1" applyFont="1" applyBorder="1" applyAlignment="1" applyProtection="1">
      <alignment horizontal="center"/>
    </xf>
    <xf numFmtId="9" fontId="57" fillId="36" borderId="0" xfId="219" applyFont="1" applyFill="1" applyBorder="1" applyAlignment="1" applyProtection="1">
      <alignment horizontal="center"/>
    </xf>
    <xf numFmtId="192" fontId="78" fillId="0" borderId="36" xfId="218" applyNumberFormat="1" applyFont="1" applyBorder="1" applyAlignment="1" applyProtection="1"/>
    <xf numFmtId="192" fontId="69" fillId="38" borderId="180" xfId="218" applyNumberFormat="1" applyFont="1" applyFill="1" applyBorder="1" applyAlignment="1" applyProtection="1">
      <alignment horizontal="right"/>
    </xf>
    <xf numFmtId="9" fontId="57" fillId="36" borderId="19" xfId="219" applyFont="1" applyFill="1" applyBorder="1" applyAlignment="1" applyProtection="1">
      <alignment horizontal="center"/>
    </xf>
    <xf numFmtId="192" fontId="69" fillId="38" borderId="187" xfId="218" applyNumberFormat="1" applyFont="1" applyFill="1" applyBorder="1" applyAlignment="1" applyProtection="1">
      <alignment horizontal="right"/>
    </xf>
    <xf numFmtId="192" fontId="104" fillId="0" borderId="55" xfId="218" applyNumberFormat="1" applyFont="1" applyBorder="1" applyAlignment="1" applyProtection="1">
      <alignment horizontal="right"/>
    </xf>
    <xf numFmtId="3" fontId="69" fillId="31" borderId="187" xfId="218" applyNumberFormat="1" applyFont="1" applyFill="1" applyBorder="1" applyAlignment="1" applyProtection="1">
      <alignment vertical="center"/>
    </xf>
    <xf numFmtId="0" fontId="186" fillId="0" borderId="0" xfId="263" applyFont="1"/>
    <xf numFmtId="3" fontId="13" fillId="0" borderId="0" xfId="258" applyNumberFormat="1" applyFont="1"/>
    <xf numFmtId="0" fontId="21" fillId="0" borderId="7" xfId="2" applyFont="1" applyBorder="1" applyAlignment="1" applyProtection="1"/>
    <xf numFmtId="49" fontId="23" fillId="0" borderId="40" xfId="216" applyNumberFormat="1" applyFont="1" applyBorder="1" applyAlignment="1" applyProtection="1">
      <alignment horizontal="right"/>
    </xf>
    <xf numFmtId="49" fontId="21" fillId="0" borderId="41" xfId="2" applyNumberFormat="1" applyFont="1" applyBorder="1" applyAlignment="1" applyProtection="1">
      <alignment horizontal="right"/>
    </xf>
    <xf numFmtId="195" fontId="69" fillId="67" borderId="1" xfId="217" applyNumberFormat="1" applyFont="1" applyFill="1" applyBorder="1" applyAlignment="1" applyProtection="1">
      <alignment horizontal="center"/>
    </xf>
    <xf numFmtId="0" fontId="23" fillId="0" borderId="20" xfId="0" applyFont="1" applyBorder="1" applyAlignment="1" applyProtection="1">
      <alignment horizontal="center"/>
    </xf>
    <xf numFmtId="1" fontId="23" fillId="0" borderId="0" xfId="0" applyNumberFormat="1" applyFont="1" applyProtection="1">
      <protection locked="0"/>
    </xf>
    <xf numFmtId="2" fontId="23" fillId="0" borderId="74" xfId="192" applyNumberFormat="1" applyFont="1" applyFill="1" applyBorder="1" applyProtection="1"/>
    <xf numFmtId="3" fontId="23" fillId="34" borderId="0" xfId="216" applyNumberFormat="1" applyFont="1" applyFill="1" applyBorder="1" applyProtection="1"/>
    <xf numFmtId="49" fontId="21" fillId="0" borderId="66" xfId="2" applyNumberFormat="1" applyFont="1" applyBorder="1" applyAlignment="1" applyProtection="1">
      <alignment horizontal="right"/>
    </xf>
    <xf numFmtId="4" fontId="23" fillId="0" borderId="131" xfId="2" applyNumberFormat="1" applyFont="1" applyFill="1" applyBorder="1" applyProtection="1"/>
    <xf numFmtId="4" fontId="23" fillId="37" borderId="131" xfId="0" applyNumberFormat="1" applyFont="1" applyFill="1" applyBorder="1" applyProtection="1"/>
    <xf numFmtId="0" fontId="21" fillId="0" borderId="7" xfId="2" applyFont="1" applyFill="1" applyBorder="1" applyAlignment="1" applyProtection="1">
      <alignment horizontal="center"/>
    </xf>
    <xf numFmtId="0" fontId="23" fillId="0" borderId="41" xfId="216" quotePrefix="1" applyFont="1" applyBorder="1" applyProtection="1">
      <protection locked="0"/>
    </xf>
    <xf numFmtId="3" fontId="66" fillId="49" borderId="87" xfId="0" applyNumberFormat="1" applyFont="1" applyFill="1" applyBorder="1" applyProtection="1"/>
    <xf numFmtId="3" fontId="66" fillId="32" borderId="42" xfId="0" applyNumberFormat="1" applyFont="1" applyFill="1" applyBorder="1" applyProtection="1"/>
    <xf numFmtId="3" fontId="66" fillId="34" borderId="75" xfId="216" applyNumberFormat="1" applyFont="1" applyFill="1" applyBorder="1" applyProtection="1"/>
    <xf numFmtId="3" fontId="23" fillId="32" borderId="84" xfId="0" applyNumberFormat="1" applyFont="1" applyFill="1" applyBorder="1" applyProtection="1"/>
    <xf numFmtId="0" fontId="23" fillId="0" borderId="20" xfId="0" applyFont="1" applyFill="1" applyBorder="1" applyAlignment="1" applyProtection="1">
      <alignment horizontal="center"/>
    </xf>
    <xf numFmtId="49" fontId="23" fillId="39" borderId="40" xfId="0" applyNumberFormat="1" applyFont="1" applyFill="1" applyBorder="1" applyAlignment="1" applyProtection="1">
      <alignment horizontal="right"/>
    </xf>
    <xf numFmtId="49" fontId="21" fillId="39" borderId="41" xfId="2" applyNumberFormat="1" applyFont="1" applyFill="1" applyBorder="1" applyAlignment="1" applyProtection="1">
      <alignment horizontal="right"/>
    </xf>
    <xf numFmtId="0" fontId="23" fillId="0" borderId="41" xfId="216" applyFont="1" applyBorder="1" applyAlignment="1" applyProtection="1">
      <protection locked="0"/>
    </xf>
    <xf numFmtId="0" fontId="23" fillId="0" borderId="0" xfId="0" applyFont="1" applyFill="1" applyBorder="1" applyAlignment="1" applyProtection="1">
      <alignment horizontal="left"/>
    </xf>
    <xf numFmtId="0" fontId="23" fillId="0" borderId="41" xfId="0" applyFont="1" applyFill="1" applyBorder="1" applyAlignment="1" applyProtection="1">
      <alignment horizontal="left"/>
      <protection locked="0"/>
    </xf>
    <xf numFmtId="10" fontId="23" fillId="0" borderId="0" xfId="0" applyNumberFormat="1" applyFont="1" applyBorder="1" applyProtection="1">
      <protection locked="0"/>
    </xf>
    <xf numFmtId="49" fontId="23" fillId="39" borderId="40" xfId="216" applyNumberFormat="1" applyFont="1" applyFill="1" applyBorder="1" applyAlignment="1" applyProtection="1">
      <alignment horizontal="right"/>
    </xf>
    <xf numFmtId="0" fontId="23" fillId="0" borderId="41" xfId="216" applyFont="1" applyBorder="1" applyAlignment="1" applyProtection="1">
      <alignment horizontal="center"/>
      <protection locked="0"/>
    </xf>
    <xf numFmtId="0" fontId="21" fillId="28" borderId="23" xfId="2" applyFont="1" applyFill="1" applyBorder="1" applyAlignment="1" applyProtection="1">
      <alignment vertical="center"/>
    </xf>
    <xf numFmtId="0" fontId="21" fillId="28" borderId="39" xfId="1" applyFont="1" applyFill="1" applyBorder="1" applyProtection="1"/>
    <xf numFmtId="3" fontId="23" fillId="36" borderId="22" xfId="0" applyNumberFormat="1" applyFont="1" applyFill="1" applyBorder="1" applyAlignment="1" applyProtection="1">
      <alignment horizontal="right"/>
    </xf>
    <xf numFmtId="0" fontId="178" fillId="0" borderId="0" xfId="263" applyFont="1" applyBorder="1"/>
    <xf numFmtId="217" fontId="58" fillId="27" borderId="15" xfId="216" applyNumberFormat="1" applyFont="1" applyFill="1" applyBorder="1" applyAlignment="1" applyProtection="1">
      <alignment horizontal="center"/>
      <protection locked="0"/>
    </xf>
    <xf numFmtId="2" fontId="59" fillId="45" borderId="1" xfId="218" applyNumberFormat="1" applyFont="1" applyFill="1" applyBorder="1" applyAlignment="1" applyProtection="1">
      <alignment horizontal="center" vertical="center"/>
      <protection locked="0"/>
    </xf>
    <xf numFmtId="0" fontId="12" fillId="0" borderId="0" xfId="258" applyFont="1"/>
    <xf numFmtId="49" fontId="159" fillId="0" borderId="0" xfId="258" applyNumberFormat="1" applyFont="1"/>
    <xf numFmtId="1" fontId="178" fillId="0" borderId="102" xfId="263" applyNumberFormat="1" applyFont="1" applyBorder="1"/>
    <xf numFmtId="1" fontId="184" fillId="0" borderId="102" xfId="263" applyNumberFormat="1" applyFont="1" applyBorder="1"/>
    <xf numFmtId="4" fontId="146" fillId="43" borderId="23" xfId="0" applyNumberFormat="1" applyFont="1" applyFill="1" applyBorder="1" applyAlignment="1" applyProtection="1">
      <alignment horizontal="right"/>
    </xf>
    <xf numFmtId="10" fontId="146" fillId="43" borderId="41" xfId="219" applyNumberFormat="1" applyFont="1" applyFill="1" applyBorder="1" applyProtection="1"/>
    <xf numFmtId="10" fontId="146" fillId="37" borderId="41" xfId="219" applyNumberFormat="1" applyFont="1" applyFill="1" applyBorder="1" applyProtection="1"/>
    <xf numFmtId="9" fontId="131" fillId="0" borderId="157" xfId="219" applyFont="1" applyBorder="1"/>
    <xf numFmtId="9" fontId="131" fillId="60" borderId="0" xfId="219" applyFont="1" applyFill="1" applyBorder="1"/>
    <xf numFmtId="200" fontId="132" fillId="63" borderId="163" xfId="256" applyNumberFormat="1" applyFont="1" applyFill="1" applyBorder="1" applyAlignment="1" applyProtection="1">
      <alignment vertical="center"/>
    </xf>
    <xf numFmtId="200" fontId="132" fillId="63" borderId="164" xfId="256" applyNumberFormat="1" applyFont="1" applyFill="1" applyBorder="1" applyAlignment="1" applyProtection="1">
      <alignment vertical="center"/>
    </xf>
    <xf numFmtId="200" fontId="132" fillId="63" borderId="165" xfId="256" applyNumberFormat="1" applyFont="1" applyFill="1" applyBorder="1" applyAlignment="1" applyProtection="1">
      <alignment vertical="center"/>
    </xf>
    <xf numFmtId="0" fontId="21" fillId="0" borderId="19" xfId="2" applyBorder="1" applyAlignment="1" applyProtection="1">
      <alignment horizontal="centerContinuous"/>
    </xf>
    <xf numFmtId="3" fontId="58" fillId="27" borderId="97" xfId="269" applyNumberFormat="1" applyFont="1" applyFill="1" applyBorder="1" applyAlignment="1" applyProtection="1">
      <alignment horizontal="center"/>
      <protection locked="0"/>
    </xf>
    <xf numFmtId="0" fontId="23" fillId="0" borderId="16" xfId="208" applyFont="1" applyBorder="1" applyProtection="1">
      <protection locked="0"/>
    </xf>
    <xf numFmtId="0" fontId="21" fillId="28" borderId="64" xfId="269" applyFont="1" applyFill="1" applyBorder="1" applyAlignment="1" applyProtection="1">
      <alignment horizontal="centerContinuous"/>
    </xf>
    <xf numFmtId="0" fontId="21" fillId="28" borderId="55" xfId="269" applyFont="1" applyFill="1" applyBorder="1" applyAlignment="1" applyProtection="1">
      <alignment horizontal="centerContinuous"/>
    </xf>
    <xf numFmtId="0" fontId="21" fillId="28" borderId="55" xfId="2" applyFont="1" applyFill="1" applyBorder="1" applyAlignment="1" applyProtection="1">
      <alignment horizontal="centerContinuous"/>
    </xf>
    <xf numFmtId="0" fontId="21" fillId="28" borderId="17" xfId="269" applyFont="1" applyFill="1" applyBorder="1" applyAlignment="1" applyProtection="1">
      <alignment horizontal="centerContinuous"/>
    </xf>
    <xf numFmtId="0" fontId="23" fillId="0" borderId="18" xfId="269" applyFont="1" applyBorder="1" applyAlignment="1" applyProtection="1"/>
    <xf numFmtId="0" fontId="23" fillId="0" borderId="19" xfId="269" applyFont="1" applyBorder="1" applyAlignment="1" applyProtection="1"/>
    <xf numFmtId="0" fontId="21" fillId="28" borderId="101" xfId="2" applyFont="1" applyFill="1" applyBorder="1" applyProtection="1"/>
    <xf numFmtId="0" fontId="21" fillId="28" borderId="134" xfId="2" applyFont="1" applyFill="1" applyBorder="1" applyProtection="1"/>
    <xf numFmtId="3" fontId="66" fillId="28" borderId="39" xfId="208" applyNumberFormat="1" applyFont="1" applyFill="1" applyBorder="1" applyProtection="1"/>
    <xf numFmtId="0" fontId="66" fillId="28" borderId="134" xfId="4" applyFont="1" applyFill="1" applyBorder="1" applyProtection="1"/>
    <xf numFmtId="0" fontId="66" fillId="28" borderId="134" xfId="208" applyFont="1" applyFill="1" applyBorder="1" applyProtection="1"/>
    <xf numFmtId="0" fontId="23" fillId="28" borderId="21" xfId="208" applyFont="1" applyFill="1" applyBorder="1" applyProtection="1"/>
    <xf numFmtId="0" fontId="23" fillId="0" borderId="0" xfId="208" applyFont="1" applyProtection="1"/>
    <xf numFmtId="0" fontId="71" fillId="0" borderId="20" xfId="208" applyFont="1" applyBorder="1" applyProtection="1">
      <protection locked="0"/>
    </xf>
    <xf numFmtId="0" fontId="23" fillId="0" borderId="0" xfId="269" applyFont="1" applyBorder="1" applyAlignment="1" applyProtection="1">
      <alignment horizontal="center"/>
      <protection locked="0"/>
    </xf>
    <xf numFmtId="0" fontId="23" fillId="0" borderId="0" xfId="269" applyFont="1" applyBorder="1" applyProtection="1">
      <protection locked="0"/>
    </xf>
    <xf numFmtId="49" fontId="21" fillId="0" borderId="0" xfId="269" applyNumberFormat="1" applyFont="1" applyBorder="1" applyAlignment="1" applyProtection="1">
      <alignment horizontal="right"/>
      <protection locked="0"/>
    </xf>
    <xf numFmtId="1" fontId="21" fillId="0" borderId="0" xfId="2" applyNumberFormat="1" applyFont="1" applyFill="1" applyBorder="1" applyAlignment="1" applyProtection="1">
      <alignment horizontal="center"/>
    </xf>
    <xf numFmtId="1" fontId="23" fillId="0" borderId="22" xfId="269" applyNumberFormat="1" applyFont="1" applyFill="1" applyBorder="1" applyAlignment="1" applyProtection="1">
      <protection locked="0"/>
    </xf>
    <xf numFmtId="0" fontId="23" fillId="0" borderId="0" xfId="269" applyFont="1" applyFill="1" applyBorder="1" applyProtection="1"/>
    <xf numFmtId="1" fontId="21" fillId="0" borderId="0" xfId="269" applyNumberFormat="1" applyFont="1" applyBorder="1" applyAlignment="1" applyProtection="1">
      <alignment horizontal="center"/>
    </xf>
    <xf numFmtId="0" fontId="21" fillId="0" borderId="0" xfId="2" applyFont="1" applyBorder="1" applyAlignment="1" applyProtection="1">
      <alignment horizontal="center"/>
    </xf>
    <xf numFmtId="9" fontId="23" fillId="0" borderId="0" xfId="269" applyNumberFormat="1" applyFont="1" applyFill="1" applyBorder="1" applyAlignment="1" applyProtection="1"/>
    <xf numFmtId="0" fontId="23" fillId="0" borderId="0" xfId="269" applyFont="1" applyBorder="1" applyProtection="1"/>
    <xf numFmtId="0" fontId="23" fillId="0" borderId="23" xfId="269" applyFont="1" applyBorder="1" applyAlignment="1" applyProtection="1"/>
    <xf numFmtId="0" fontId="23" fillId="0" borderId="0" xfId="269" applyFont="1" applyBorder="1" applyAlignment="1" applyProtection="1"/>
    <xf numFmtId="0" fontId="21" fillId="28" borderId="58" xfId="2" applyFont="1" applyFill="1" applyBorder="1" applyProtection="1"/>
    <xf numFmtId="0" fontId="21" fillId="0" borderId="0" xfId="269" applyFont="1" applyBorder="1" applyAlignment="1" applyProtection="1">
      <alignment horizontal="center"/>
    </xf>
    <xf numFmtId="0" fontId="21" fillId="29" borderId="0" xfId="269" applyFont="1" applyFill="1" applyBorder="1" applyAlignment="1" applyProtection="1">
      <alignment horizontal="center"/>
    </xf>
    <xf numFmtId="0" fontId="66" fillId="28" borderId="39" xfId="4" applyFont="1" applyFill="1" applyBorder="1" applyProtection="1"/>
    <xf numFmtId="2" fontId="21" fillId="29" borderId="0" xfId="269" applyNumberFormat="1" applyFont="1" applyFill="1" applyBorder="1" applyAlignment="1" applyProtection="1">
      <alignment horizontal="center"/>
    </xf>
    <xf numFmtId="3" fontId="66" fillId="28" borderId="39" xfId="4" applyNumberFormat="1" applyFont="1" applyFill="1" applyBorder="1" applyProtection="1"/>
    <xf numFmtId="0" fontId="66" fillId="28" borderId="39" xfId="208" applyFont="1" applyFill="1" applyBorder="1" applyProtection="1"/>
    <xf numFmtId="0" fontId="21" fillId="0" borderId="0" xfId="2" applyFont="1" applyFill="1" applyBorder="1" applyAlignment="1" applyProtection="1">
      <alignment horizontal="center"/>
    </xf>
    <xf numFmtId="3" fontId="21" fillId="29" borderId="0" xfId="269" applyNumberFormat="1" applyFont="1" applyFill="1" applyBorder="1" applyAlignment="1" applyProtection="1">
      <alignment horizontal="center"/>
    </xf>
    <xf numFmtId="0" fontId="21" fillId="0" borderId="0" xfId="2" applyFill="1" applyBorder="1" applyAlignment="1" applyProtection="1">
      <alignment horizontal="center"/>
    </xf>
    <xf numFmtId="0" fontId="71" fillId="0" borderId="20" xfId="208" applyFont="1" applyBorder="1" applyProtection="1"/>
    <xf numFmtId="49" fontId="21" fillId="0" borderId="0" xfId="269" applyNumberFormat="1" applyFont="1" applyBorder="1" applyAlignment="1" applyProtection="1">
      <alignment horizontal="right"/>
    </xf>
    <xf numFmtId="0" fontId="23" fillId="0" borderId="22" xfId="269" applyFont="1" applyFill="1" applyBorder="1" applyAlignment="1" applyProtection="1">
      <alignment horizontal="center"/>
      <protection locked="0"/>
    </xf>
    <xf numFmtId="0" fontId="21" fillId="0" borderId="0" xfId="269" applyFont="1" applyFill="1" applyBorder="1" applyAlignment="1" applyProtection="1">
      <alignment horizontal="center"/>
    </xf>
    <xf numFmtId="170" fontId="23" fillId="0" borderId="0" xfId="269" applyNumberFormat="1" applyFont="1" applyFill="1" applyBorder="1" applyAlignment="1" applyProtection="1"/>
    <xf numFmtId="49" fontId="21" fillId="0" borderId="15" xfId="269" applyNumberFormat="1" applyFont="1" applyBorder="1" applyAlignment="1" applyProtection="1">
      <alignment horizontal="center"/>
    </xf>
    <xf numFmtId="0" fontId="21" fillId="0" borderId="25" xfId="269" applyFont="1" applyBorder="1" applyAlignment="1" applyProtection="1">
      <alignment horizontal="center"/>
    </xf>
    <xf numFmtId="0" fontId="21" fillId="0" borderId="110" xfId="269" applyFont="1" applyBorder="1" applyAlignment="1" applyProtection="1">
      <alignment horizontal="centerContinuous"/>
    </xf>
    <xf numFmtId="0" fontId="21" fillId="0" borderId="19" xfId="2" applyBorder="1" applyAlignment="1" applyProtection="1">
      <alignment horizontal="right"/>
    </xf>
    <xf numFmtId="14" fontId="21" fillId="0" borderId="26" xfId="269" applyNumberFormat="1" applyFont="1" applyFill="1" applyBorder="1" applyAlignment="1" applyProtection="1">
      <alignment horizontal="centerContinuous"/>
      <protection locked="0"/>
    </xf>
    <xf numFmtId="0" fontId="23" fillId="0" borderId="16" xfId="269" applyFont="1" applyFill="1" applyBorder="1" applyAlignment="1" applyProtection="1">
      <alignment horizontal="centerContinuous"/>
      <protection locked="0"/>
    </xf>
    <xf numFmtId="2" fontId="23" fillId="38" borderId="0" xfId="269" applyNumberFormat="1" applyFont="1" applyFill="1" applyBorder="1" applyProtection="1"/>
    <xf numFmtId="197" fontId="23" fillId="28" borderId="0" xfId="269" applyNumberFormat="1" applyFont="1" applyFill="1" applyBorder="1" applyProtection="1"/>
    <xf numFmtId="10" fontId="23" fillId="0" borderId="0" xfId="269" applyNumberFormat="1" applyFont="1" applyFill="1" applyBorder="1" applyAlignment="1" applyProtection="1"/>
    <xf numFmtId="0" fontId="21" fillId="0" borderId="92" xfId="269" applyFont="1" applyBorder="1" applyAlignment="1" applyProtection="1">
      <alignment horizontal="centerContinuous"/>
    </xf>
    <xf numFmtId="0" fontId="21" fillId="0" borderId="0" xfId="269" applyFont="1" applyBorder="1" applyAlignment="1" applyProtection="1">
      <alignment horizontal="centerContinuous"/>
    </xf>
    <xf numFmtId="169" fontId="21" fillId="28" borderId="187" xfId="269" applyNumberFormat="1" applyFont="1" applyFill="1" applyBorder="1" applyAlignment="1" applyProtection="1">
      <alignment horizontal="center"/>
      <protection locked="0"/>
    </xf>
    <xf numFmtId="169" fontId="21" fillId="28" borderId="0" xfId="269" applyNumberFormat="1" applyFont="1" applyFill="1" applyBorder="1" applyAlignment="1" applyProtection="1">
      <alignment horizontal="center"/>
      <protection locked="0"/>
    </xf>
    <xf numFmtId="169" fontId="21" fillId="28" borderId="41" xfId="208" applyNumberFormat="1" applyFont="1" applyFill="1" applyBorder="1" applyAlignment="1" applyProtection="1">
      <alignment horizontal="center"/>
    </xf>
    <xf numFmtId="169" fontId="21" fillId="28" borderId="20" xfId="269" applyNumberFormat="1" applyFont="1" applyFill="1" applyBorder="1" applyAlignment="1" applyProtection="1">
      <alignment horizontal="center"/>
    </xf>
    <xf numFmtId="0" fontId="71" fillId="0" borderId="179" xfId="208" applyFont="1" applyBorder="1" applyProtection="1"/>
    <xf numFmtId="0" fontId="23" fillId="0" borderId="189" xfId="269" applyFont="1" applyFill="1" applyBorder="1" applyProtection="1"/>
    <xf numFmtId="0" fontId="21" fillId="0" borderId="108" xfId="269" applyFont="1" applyFill="1" applyBorder="1" applyAlignment="1" applyProtection="1">
      <alignment horizontal="center"/>
    </xf>
    <xf numFmtId="49" fontId="21" fillId="0" borderId="107" xfId="269" applyNumberFormat="1" applyFont="1" applyFill="1" applyBorder="1" applyAlignment="1" applyProtection="1">
      <alignment horizontal="center"/>
    </xf>
    <xf numFmtId="0" fontId="21" fillId="0" borderId="185" xfId="269" applyFont="1" applyFill="1" applyBorder="1" applyAlignment="1" applyProtection="1">
      <alignment horizontal="center"/>
    </xf>
    <xf numFmtId="0" fontId="21" fillId="0" borderId="187" xfId="2" applyBorder="1" applyAlignment="1" applyProtection="1">
      <alignment horizontal="right"/>
    </xf>
    <xf numFmtId="14" fontId="68" fillId="0" borderId="30" xfId="269" applyNumberFormat="1" applyFont="1" applyFill="1" applyBorder="1" applyAlignment="1" applyProtection="1">
      <alignment horizontal="center"/>
      <protection locked="0"/>
    </xf>
    <xf numFmtId="0" fontId="23" fillId="0" borderId="61" xfId="269" applyFont="1" applyFill="1" applyBorder="1" applyAlignment="1" applyProtection="1">
      <alignment horizontal="center"/>
      <protection locked="0"/>
    </xf>
    <xf numFmtId="1" fontId="21" fillId="0" borderId="55" xfId="269" applyNumberFormat="1" applyFont="1" applyFill="1" applyBorder="1" applyAlignment="1" applyProtection="1">
      <alignment horizontal="center"/>
      <protection locked="0"/>
    </xf>
    <xf numFmtId="3" fontId="21" fillId="0" borderId="53" xfId="2" applyNumberFormat="1" applyFont="1" applyFill="1" applyBorder="1" applyAlignment="1" applyProtection="1">
      <alignment horizontal="center"/>
    </xf>
    <xf numFmtId="0" fontId="21" fillId="0" borderId="55" xfId="269" applyFont="1" applyFill="1" applyBorder="1" applyAlignment="1" applyProtection="1">
      <alignment horizontal="center"/>
    </xf>
    <xf numFmtId="168" fontId="21" fillId="30" borderId="57" xfId="269" applyNumberFormat="1" applyFont="1" applyFill="1" applyBorder="1" applyAlignment="1" applyProtection="1">
      <alignment horizontal="center"/>
    </xf>
    <xf numFmtId="168" fontId="21" fillId="30" borderId="54" xfId="269" applyNumberFormat="1" applyFont="1" applyFill="1" applyBorder="1" applyAlignment="1" applyProtection="1">
      <alignment horizontal="center"/>
    </xf>
    <xf numFmtId="0" fontId="21" fillId="28" borderId="62" xfId="2" applyFont="1" applyFill="1" applyBorder="1" applyProtection="1"/>
    <xf numFmtId="0" fontId="66" fillId="28" borderId="133" xfId="4" applyFont="1" applyFill="1" applyBorder="1" applyProtection="1"/>
    <xf numFmtId="3" fontId="66" fillId="28" borderId="133" xfId="208" applyNumberFormat="1" applyFont="1" applyFill="1" applyBorder="1" applyProtection="1"/>
    <xf numFmtId="3" fontId="66" fillId="28" borderId="133" xfId="4" applyNumberFormat="1" applyFont="1" applyFill="1" applyBorder="1" applyProtection="1"/>
    <xf numFmtId="0" fontId="66" fillId="28" borderId="133" xfId="208" applyFont="1" applyFill="1" applyBorder="1" applyProtection="1"/>
    <xf numFmtId="3" fontId="124" fillId="0" borderId="47" xfId="270" applyNumberFormat="1" applyBorder="1" applyAlignment="1" applyProtection="1">
      <alignment horizontal="center"/>
    </xf>
    <xf numFmtId="3" fontId="124" fillId="29" borderId="35" xfId="270" applyNumberFormat="1" applyFill="1" applyBorder="1" applyAlignment="1" applyProtection="1">
      <alignment horizontal="center" vertical="center"/>
    </xf>
    <xf numFmtId="3" fontId="124" fillId="29" borderId="103" xfId="270" applyNumberFormat="1" applyFill="1" applyBorder="1" applyAlignment="1" applyProtection="1">
      <alignment horizontal="centerContinuous" vertical="center"/>
    </xf>
    <xf numFmtId="49" fontId="124" fillId="29" borderId="36" xfId="270" applyNumberFormat="1" applyFill="1" applyBorder="1" applyAlignment="1" applyProtection="1">
      <alignment horizontal="centerContinuous" vertical="center"/>
    </xf>
    <xf numFmtId="49" fontId="124" fillId="29" borderId="1" xfId="270" applyNumberFormat="1" applyFill="1" applyBorder="1" applyAlignment="1" applyProtection="1">
      <alignment vertical="center"/>
    </xf>
    <xf numFmtId="0" fontId="124" fillId="29" borderId="103" xfId="270" applyFill="1" applyBorder="1" applyAlignment="1" applyProtection="1">
      <alignment horizontal="centerContinuous" vertical="center"/>
    </xf>
    <xf numFmtId="0" fontId="21" fillId="29" borderId="37" xfId="270" applyFont="1" applyFill="1" applyBorder="1" applyAlignment="1" applyProtection="1">
      <alignment horizontal="centerContinuous" vertical="center"/>
      <protection locked="0"/>
    </xf>
    <xf numFmtId="0" fontId="21" fillId="0" borderId="36" xfId="270" applyFont="1" applyBorder="1" applyAlignment="1" applyProtection="1">
      <alignment vertical="center"/>
      <protection locked="0"/>
    </xf>
    <xf numFmtId="167" fontId="21" fillId="31" borderId="70" xfId="271" applyFont="1" applyFill="1" applyBorder="1" applyAlignment="1" applyProtection="1">
      <alignment vertical="center"/>
    </xf>
    <xf numFmtId="3" fontId="21" fillId="0" borderId="70" xfId="270" applyNumberFormat="1" applyFont="1" applyFill="1" applyBorder="1" applyAlignment="1" applyProtection="1">
      <alignment vertical="center"/>
      <protection locked="0"/>
    </xf>
    <xf numFmtId="3" fontId="21" fillId="0" borderId="47" xfId="270" applyNumberFormat="1" applyFont="1" applyFill="1" applyBorder="1" applyAlignment="1" applyProtection="1">
      <alignment vertical="center"/>
    </xf>
    <xf numFmtId="167" fontId="21" fillId="0" borderId="36" xfId="271" applyFont="1" applyFill="1" applyBorder="1" applyAlignment="1" applyProtection="1">
      <alignment vertical="center"/>
    </xf>
    <xf numFmtId="167" fontId="21" fillId="36" borderId="51" xfId="271" applyFont="1" applyFill="1" applyBorder="1" applyAlignment="1" applyProtection="1">
      <alignment vertical="center"/>
    </xf>
    <xf numFmtId="3" fontId="21" fillId="31" borderId="89" xfId="270" applyNumberFormat="1" applyFont="1" applyFill="1" applyBorder="1" applyAlignment="1" applyProtection="1">
      <alignment vertical="center"/>
    </xf>
    <xf numFmtId="3" fontId="21" fillId="31" borderId="35" xfId="270" applyNumberFormat="1" applyFont="1" applyFill="1" applyBorder="1" applyAlignment="1" applyProtection="1">
      <alignment vertical="center"/>
    </xf>
    <xf numFmtId="0" fontId="21" fillId="28" borderId="89" xfId="270" applyFont="1" applyFill="1" applyBorder="1" applyAlignment="1" applyProtection="1">
      <alignment vertical="center"/>
    </xf>
    <xf numFmtId="3" fontId="21" fillId="31" borderId="102" xfId="270" applyNumberFormat="1" applyFont="1" applyFill="1" applyBorder="1" applyAlignment="1" applyProtection="1">
      <alignment vertical="center"/>
    </xf>
    <xf numFmtId="3" fontId="21" fillId="36" borderId="103" xfId="270" applyNumberFormat="1" applyFont="1" applyFill="1" applyBorder="1" applyAlignment="1" applyProtection="1">
      <alignment vertical="center"/>
    </xf>
    <xf numFmtId="0" fontId="21" fillId="28" borderId="38" xfId="270" applyFont="1" applyFill="1" applyBorder="1" applyAlignment="1" applyProtection="1">
      <alignment vertical="center"/>
    </xf>
    <xf numFmtId="0" fontId="66" fillId="28" borderId="39" xfId="4" applyFont="1" applyFill="1" applyBorder="1" applyAlignment="1" applyProtection="1">
      <alignment vertical="center"/>
    </xf>
    <xf numFmtId="3" fontId="21" fillId="36" borderId="86" xfId="270" applyNumberFormat="1" applyFont="1" applyFill="1" applyBorder="1" applyAlignment="1" applyProtection="1">
      <alignment vertical="center"/>
    </xf>
    <xf numFmtId="3" fontId="21" fillId="28" borderId="38" xfId="270" applyNumberFormat="1" applyFont="1" applyFill="1" applyBorder="1" applyAlignment="1" applyProtection="1">
      <alignment vertical="center"/>
    </xf>
    <xf numFmtId="167" fontId="21" fillId="31" borderId="102" xfId="271" applyFont="1" applyFill="1" applyBorder="1" applyAlignment="1" applyProtection="1">
      <alignment vertical="center"/>
    </xf>
    <xf numFmtId="167" fontId="21" fillId="36" borderId="103" xfId="271" applyFont="1" applyFill="1" applyBorder="1" applyAlignment="1" applyProtection="1">
      <alignment vertical="center"/>
    </xf>
    <xf numFmtId="167" fontId="21" fillId="29" borderId="37" xfId="271" applyFont="1" applyFill="1" applyBorder="1" applyAlignment="1" applyProtection="1">
      <alignment vertical="center"/>
    </xf>
    <xf numFmtId="167" fontId="21" fillId="31" borderId="35" xfId="271" applyFont="1" applyFill="1" applyBorder="1" applyAlignment="1" applyProtection="1">
      <alignment vertical="center"/>
    </xf>
    <xf numFmtId="0" fontId="23" fillId="28" borderId="21" xfId="208" applyFont="1" applyFill="1" applyBorder="1" applyAlignment="1" applyProtection="1">
      <alignment vertical="center"/>
    </xf>
    <xf numFmtId="3" fontId="189" fillId="0" borderId="63" xfId="272" applyNumberFormat="1" applyBorder="1" applyAlignment="1" applyProtection="1">
      <alignment horizontal="center"/>
    </xf>
    <xf numFmtId="0" fontId="189" fillId="0" borderId="20" xfId="272" applyBorder="1" applyAlignment="1" applyProtection="1"/>
    <xf numFmtId="0" fontId="189" fillId="0" borderId="50" xfId="272" applyBorder="1" applyAlignment="1" applyProtection="1"/>
    <xf numFmtId="49" fontId="189" fillId="0" borderId="40" xfId="272" applyNumberFormat="1" applyBorder="1" applyAlignment="1" applyProtection="1">
      <alignment horizontal="right"/>
    </xf>
    <xf numFmtId="0" fontId="21" fillId="0" borderId="0" xfId="2" applyBorder="1" applyAlignment="1" applyProtection="1">
      <alignment horizontal="centerContinuous"/>
    </xf>
    <xf numFmtId="0" fontId="22" fillId="0" borderId="41" xfId="272" applyFont="1" applyBorder="1" applyAlignment="1" applyProtection="1">
      <alignment horizontal="centerContinuous"/>
      <protection locked="0"/>
    </xf>
    <xf numFmtId="0" fontId="22" fillId="0" borderId="0" xfId="272" applyFont="1" applyBorder="1" applyProtection="1">
      <protection locked="0"/>
    </xf>
    <xf numFmtId="3" fontId="66" fillId="0" borderId="23" xfId="272" applyNumberFormat="1" applyFont="1" applyFill="1" applyBorder="1" applyProtection="1">
      <protection locked="0"/>
    </xf>
    <xf numFmtId="3" fontId="21" fillId="0" borderId="7" xfId="2" applyNumberFormat="1" applyFont="1" applyFill="1" applyBorder="1" applyProtection="1"/>
    <xf numFmtId="167" fontId="22" fillId="0" borderId="0" xfId="271" applyFont="1" applyFill="1" applyBorder="1" applyProtection="1"/>
    <xf numFmtId="3" fontId="22" fillId="0" borderId="58" xfId="272" applyNumberFormat="1" applyFont="1" applyFill="1" applyBorder="1" applyProtection="1"/>
    <xf numFmtId="3" fontId="22" fillId="0" borderId="20" xfId="272" applyNumberFormat="1" applyFont="1" applyFill="1" applyBorder="1" applyProtection="1"/>
    <xf numFmtId="0" fontId="22" fillId="28" borderId="39" xfId="272" applyFont="1" applyFill="1" applyBorder="1" applyProtection="1"/>
    <xf numFmtId="0" fontId="22" fillId="28" borderId="39" xfId="4" applyFont="1" applyFill="1" applyBorder="1" applyProtection="1"/>
    <xf numFmtId="3" fontId="22" fillId="28" borderId="39" xfId="272" applyNumberFormat="1" applyFont="1" applyFill="1" applyBorder="1" applyProtection="1"/>
    <xf numFmtId="3" fontId="66" fillId="28" borderId="39" xfId="272" applyNumberFormat="1" applyFont="1" applyFill="1" applyBorder="1" applyProtection="1"/>
    <xf numFmtId="0" fontId="66" fillId="28" borderId="39" xfId="272" applyFont="1" applyFill="1" applyBorder="1" applyProtection="1"/>
    <xf numFmtId="0" fontId="21" fillId="28" borderId="21" xfId="208" applyFont="1" applyFill="1" applyBorder="1" applyProtection="1"/>
    <xf numFmtId="0" fontId="21" fillId="0" borderId="0" xfId="208" applyFont="1" applyProtection="1"/>
    <xf numFmtId="3" fontId="23" fillId="0" borderId="20" xfId="208" applyNumberFormat="1" applyFont="1" applyBorder="1" applyAlignment="1" applyProtection="1">
      <alignment horizontal="center"/>
    </xf>
    <xf numFmtId="0" fontId="22" fillId="0" borderId="20" xfId="269" applyFont="1" applyBorder="1" applyAlignment="1" applyProtection="1"/>
    <xf numFmtId="0" fontId="66" fillId="0" borderId="50" xfId="208" applyFont="1" applyBorder="1" applyAlignment="1" applyProtection="1"/>
    <xf numFmtId="49" fontId="21" fillId="0" borderId="40" xfId="269" applyNumberFormat="1" applyFont="1" applyBorder="1" applyAlignment="1" applyProtection="1">
      <alignment horizontal="right"/>
    </xf>
    <xf numFmtId="49" fontId="23" fillId="0" borderId="40" xfId="269" applyNumberFormat="1" applyFont="1" applyBorder="1" applyAlignment="1" applyProtection="1">
      <alignment horizontal="right"/>
    </xf>
    <xf numFmtId="0" fontId="66" fillId="0" borderId="41" xfId="269" applyFont="1" applyBorder="1" applyProtection="1">
      <protection locked="0"/>
    </xf>
    <xf numFmtId="3" fontId="23" fillId="68" borderId="23" xfId="269" applyNumberFormat="1" applyFont="1" applyFill="1" applyBorder="1" applyProtection="1">
      <protection locked="0"/>
    </xf>
    <xf numFmtId="0" fontId="21" fillId="0" borderId="7" xfId="2" applyFont="1" applyFill="1" applyBorder="1" applyProtection="1"/>
    <xf numFmtId="167" fontId="23" fillId="0" borderId="0" xfId="271" applyFont="1" applyFill="1" applyBorder="1" applyProtection="1"/>
    <xf numFmtId="3" fontId="23" fillId="33" borderId="58" xfId="269" applyNumberFormat="1" applyFont="1" applyFill="1" applyBorder="1" applyAlignment="1" applyProtection="1"/>
    <xf numFmtId="3" fontId="23" fillId="33" borderId="20" xfId="269" applyNumberFormat="1" applyFont="1" applyFill="1" applyBorder="1" applyAlignment="1" applyProtection="1"/>
    <xf numFmtId="3" fontId="189" fillId="0" borderId="7" xfId="272" applyNumberFormat="1" applyBorder="1" applyAlignment="1" applyProtection="1">
      <alignment horizontal="center"/>
    </xf>
    <xf numFmtId="0" fontId="21" fillId="0" borderId="0" xfId="2" applyFill="1" applyBorder="1" applyAlignment="1" applyProtection="1">
      <alignment horizontal="centerContinuous"/>
    </xf>
    <xf numFmtId="0" fontId="22" fillId="0" borderId="41" xfId="272" applyFont="1" applyFill="1" applyBorder="1" applyAlignment="1" applyProtection="1">
      <alignment horizontal="centerContinuous"/>
      <protection locked="0"/>
    </xf>
    <xf numFmtId="3" fontId="23" fillId="0" borderId="7" xfId="208" applyNumberFormat="1" applyFont="1" applyBorder="1" applyAlignment="1" applyProtection="1">
      <alignment horizontal="center"/>
    </xf>
    <xf numFmtId="0" fontId="21" fillId="0" borderId="20" xfId="269" applyFont="1" applyBorder="1" applyAlignment="1" applyProtection="1"/>
    <xf numFmtId="0" fontId="23" fillId="0" borderId="41" xfId="269" applyFont="1" applyBorder="1" applyProtection="1">
      <protection locked="0"/>
    </xf>
    <xf numFmtId="0" fontId="23" fillId="0" borderId="0" xfId="208" applyFont="1" applyBorder="1" applyProtection="1">
      <protection locked="0"/>
    </xf>
    <xf numFmtId="0" fontId="21" fillId="0" borderId="20" xfId="269" applyFont="1" applyFill="1" applyBorder="1" applyAlignment="1" applyProtection="1"/>
    <xf numFmtId="49" fontId="21" fillId="0" borderId="40" xfId="269" applyNumberFormat="1" applyFont="1" applyFill="1" applyBorder="1" applyAlignment="1" applyProtection="1">
      <alignment horizontal="right"/>
    </xf>
    <xf numFmtId="49" fontId="23" fillId="0" borderId="40" xfId="269" applyNumberFormat="1" applyFont="1" applyFill="1" applyBorder="1" applyAlignment="1" applyProtection="1">
      <alignment horizontal="right"/>
    </xf>
    <xf numFmtId="0" fontId="189" fillId="0" borderId="20" xfId="272" applyFill="1" applyBorder="1" applyAlignment="1" applyProtection="1"/>
    <xf numFmtId="49" fontId="189" fillId="0" borderId="40" xfId="272" applyNumberFormat="1" applyFill="1" applyBorder="1" applyAlignment="1" applyProtection="1">
      <alignment horizontal="right"/>
    </xf>
    <xf numFmtId="0" fontId="66" fillId="0" borderId="0" xfId="208" applyFont="1" applyBorder="1" applyProtection="1">
      <protection locked="0"/>
    </xf>
    <xf numFmtId="3" fontId="66" fillId="0" borderId="23" xfId="269" applyNumberFormat="1" applyFont="1" applyFill="1" applyBorder="1" applyProtection="1">
      <protection locked="0"/>
    </xf>
    <xf numFmtId="167" fontId="66" fillId="0" borderId="0" xfId="271" applyFont="1" applyFill="1" applyBorder="1" applyProtection="1"/>
    <xf numFmtId="3" fontId="66" fillId="0" borderId="58" xfId="269" applyNumberFormat="1" applyFont="1" applyFill="1" applyBorder="1" applyAlignment="1" applyProtection="1"/>
    <xf numFmtId="3" fontId="66" fillId="0" borderId="20" xfId="269" applyNumberFormat="1" applyFont="1" applyFill="1" applyBorder="1" applyAlignment="1" applyProtection="1"/>
    <xf numFmtId="3" fontId="22" fillId="0" borderId="7" xfId="208" applyNumberFormat="1" applyFont="1" applyBorder="1" applyAlignment="1" applyProtection="1">
      <alignment horizontal="center"/>
    </xf>
    <xf numFmtId="0" fontId="22" fillId="0" borderId="20" xfId="272" applyFont="1" applyFill="1" applyBorder="1" applyAlignment="1" applyProtection="1"/>
    <xf numFmtId="0" fontId="22" fillId="0" borderId="50" xfId="272" applyFont="1" applyBorder="1" applyAlignment="1" applyProtection="1"/>
    <xf numFmtId="49" fontId="22" fillId="0" borderId="40" xfId="272" applyNumberFormat="1" applyFont="1" applyFill="1" applyBorder="1" applyAlignment="1" applyProtection="1">
      <alignment horizontal="right"/>
    </xf>
    <xf numFmtId="0" fontId="21" fillId="0" borderId="50" xfId="269" applyFont="1" applyFill="1" applyBorder="1" applyAlignment="1" applyProtection="1"/>
    <xf numFmtId="0" fontId="23" fillId="0" borderId="41" xfId="269" applyFont="1" applyFill="1" applyBorder="1" applyProtection="1">
      <protection locked="0"/>
    </xf>
    <xf numFmtId="3" fontId="23" fillId="0" borderId="23" xfId="269" applyNumberFormat="1" applyFont="1" applyFill="1" applyBorder="1" applyProtection="1">
      <protection locked="0"/>
    </xf>
    <xf numFmtId="3" fontId="23" fillId="0" borderId="58" xfId="269" applyNumberFormat="1" applyFont="1" applyFill="1" applyBorder="1" applyAlignment="1" applyProtection="1"/>
    <xf numFmtId="3" fontId="23" fillId="0" borderId="20" xfId="269" applyNumberFormat="1" applyFont="1" applyFill="1" applyBorder="1" applyAlignment="1" applyProtection="1"/>
    <xf numFmtId="3" fontId="124" fillId="29" borderId="103" xfId="270" applyNumberFormat="1" applyFill="1" applyBorder="1" applyAlignment="1" applyProtection="1">
      <alignment vertical="center"/>
    </xf>
    <xf numFmtId="0" fontId="64" fillId="29" borderId="37" xfId="270" applyFont="1" applyFill="1" applyBorder="1" applyAlignment="1" applyProtection="1">
      <alignment horizontal="centerContinuous" vertical="center"/>
      <protection locked="0"/>
    </xf>
    <xf numFmtId="167" fontId="64" fillId="0" borderId="36" xfId="271" applyFont="1" applyFill="1" applyBorder="1" applyAlignment="1" applyProtection="1">
      <alignment vertical="center"/>
    </xf>
    <xf numFmtId="167" fontId="64" fillId="36" borderId="51" xfId="271" applyFont="1" applyFill="1" applyBorder="1" applyAlignment="1" applyProtection="1">
      <alignment vertical="center"/>
    </xf>
    <xf numFmtId="3" fontId="64" fillId="31" borderId="89" xfId="270" applyNumberFormat="1" applyFont="1" applyFill="1" applyBorder="1" applyAlignment="1" applyProtection="1">
      <alignment vertical="center"/>
    </xf>
    <xf numFmtId="3" fontId="64" fillId="31" borderId="35" xfId="270" applyNumberFormat="1" applyFont="1" applyFill="1" applyBorder="1" applyAlignment="1" applyProtection="1">
      <alignment vertical="center"/>
    </xf>
    <xf numFmtId="0" fontId="64" fillId="28" borderId="89" xfId="270" applyFont="1" applyFill="1" applyBorder="1" applyAlignment="1" applyProtection="1">
      <alignment vertical="center"/>
    </xf>
    <xf numFmtId="3" fontId="64" fillId="31" borderId="102" xfId="270" applyNumberFormat="1" applyFont="1" applyFill="1" applyBorder="1" applyAlignment="1" applyProtection="1">
      <alignment vertical="center"/>
    </xf>
    <xf numFmtId="3" fontId="64" fillId="36" borderId="103" xfId="270" applyNumberFormat="1" applyFont="1" applyFill="1" applyBorder="1" applyAlignment="1" applyProtection="1">
      <alignment vertical="center"/>
    </xf>
    <xf numFmtId="0" fontId="64" fillId="28" borderId="38" xfId="270" applyFont="1" applyFill="1" applyBorder="1" applyAlignment="1" applyProtection="1">
      <alignment vertical="center"/>
    </xf>
    <xf numFmtId="3" fontId="64" fillId="36" borderId="86" xfId="270" applyNumberFormat="1" applyFont="1" applyFill="1" applyBorder="1" applyAlignment="1" applyProtection="1">
      <alignment vertical="center"/>
    </xf>
    <xf numFmtId="3" fontId="64" fillId="28" borderId="38" xfId="270" applyNumberFormat="1" applyFont="1" applyFill="1" applyBorder="1" applyAlignment="1" applyProtection="1">
      <alignment vertical="center"/>
    </xf>
    <xf numFmtId="167" fontId="64" fillId="31" borderId="102" xfId="271" applyFont="1" applyFill="1" applyBorder="1" applyAlignment="1" applyProtection="1">
      <alignment vertical="center"/>
    </xf>
    <xf numFmtId="167" fontId="64" fillId="29" borderId="37" xfId="271" applyFont="1" applyFill="1" applyBorder="1" applyAlignment="1" applyProtection="1">
      <alignment vertical="center"/>
    </xf>
    <xf numFmtId="167" fontId="64" fillId="31" borderId="35" xfId="271" applyFont="1" applyFill="1" applyBorder="1" applyAlignment="1" applyProtection="1">
      <alignment vertical="center"/>
    </xf>
    <xf numFmtId="0" fontId="23" fillId="0" borderId="7" xfId="208" applyFont="1" applyBorder="1" applyAlignment="1" applyProtection="1">
      <alignment horizontal="center"/>
    </xf>
    <xf numFmtId="0" fontId="21" fillId="0" borderId="50" xfId="269" applyFont="1" applyBorder="1" applyAlignment="1" applyProtection="1"/>
    <xf numFmtId="0" fontId="23" fillId="0" borderId="41" xfId="269" applyFont="1" applyBorder="1" applyAlignment="1" applyProtection="1">
      <alignment horizontal="centerContinuous"/>
      <protection locked="0"/>
    </xf>
    <xf numFmtId="3" fontId="22" fillId="0" borderId="58" xfId="272" applyNumberFormat="1" applyFont="1" applyFill="1" applyBorder="1" applyAlignment="1" applyProtection="1"/>
    <xf numFmtId="3" fontId="22" fillId="0" borderId="20" xfId="272" applyNumberFormat="1" applyFont="1" applyFill="1" applyBorder="1" applyAlignment="1" applyProtection="1"/>
    <xf numFmtId="0" fontId="22" fillId="28" borderId="58" xfId="2" applyFont="1" applyFill="1" applyBorder="1" applyProtection="1"/>
    <xf numFmtId="0" fontId="23" fillId="0" borderId="20" xfId="269" applyFont="1" applyBorder="1" applyAlignment="1" applyProtection="1"/>
    <xf numFmtId="0" fontId="66" fillId="0" borderId="50" xfId="269" applyFont="1" applyBorder="1" applyAlignment="1" applyProtection="1"/>
    <xf numFmtId="3" fontId="23" fillId="0" borderId="0" xfId="208" applyNumberFormat="1" applyFont="1" applyProtection="1"/>
    <xf numFmtId="0" fontId="114" fillId="0" borderId="41" xfId="269" applyFont="1" applyBorder="1" applyAlignment="1" applyProtection="1">
      <alignment horizontal="right"/>
      <protection locked="0"/>
    </xf>
    <xf numFmtId="0" fontId="23" fillId="0" borderId="41" xfId="269" applyFont="1" applyBorder="1" applyAlignment="1" applyProtection="1">
      <alignment vertical="center" wrapText="1"/>
      <protection locked="0"/>
    </xf>
    <xf numFmtId="3" fontId="22" fillId="0" borderId="0" xfId="272" applyNumberFormat="1" applyFont="1" applyBorder="1" applyProtection="1">
      <protection locked="0"/>
    </xf>
    <xf numFmtId="0" fontId="66" fillId="0" borderId="20" xfId="208" applyFont="1" applyFill="1" applyBorder="1" applyAlignment="1" applyProtection="1"/>
    <xf numFmtId="49" fontId="21" fillId="0" borderId="40" xfId="208" applyNumberFormat="1" applyFont="1" applyFill="1" applyBorder="1" applyAlignment="1" applyProtection="1">
      <alignment horizontal="right"/>
    </xf>
    <xf numFmtId="49" fontId="23" fillId="0" borderId="40" xfId="208" applyNumberFormat="1" applyFont="1" applyFill="1" applyBorder="1" applyAlignment="1" applyProtection="1">
      <alignment horizontal="right"/>
    </xf>
    <xf numFmtId="10" fontId="23" fillId="0" borderId="41" xfId="269" applyNumberFormat="1" applyFont="1" applyBorder="1" applyAlignment="1" applyProtection="1">
      <alignment horizontal="right"/>
      <protection locked="0"/>
    </xf>
    <xf numFmtId="9" fontId="23" fillId="0" borderId="0" xfId="219" applyFont="1" applyBorder="1" applyProtection="1">
      <protection locked="0"/>
    </xf>
    <xf numFmtId="0" fontId="21" fillId="0" borderId="0" xfId="2" applyBorder="1" applyAlignment="1" applyProtection="1"/>
    <xf numFmtId="0" fontId="66" fillId="0" borderId="41" xfId="208" applyFont="1" applyFill="1" applyBorder="1" applyProtection="1">
      <protection locked="0"/>
    </xf>
    <xf numFmtId="10" fontId="23" fillId="0" borderId="0" xfId="219" applyNumberFormat="1" applyFont="1" applyBorder="1" applyProtection="1">
      <protection locked="0"/>
    </xf>
    <xf numFmtId="0" fontId="23" fillId="0" borderId="41" xfId="269" applyFont="1" applyBorder="1" applyAlignment="1" applyProtection="1">
      <protection locked="0"/>
    </xf>
    <xf numFmtId="0" fontId="21" fillId="0" borderId="0" xfId="2" applyBorder="1" applyAlignment="1" applyProtection="1">
      <alignment horizontal="left"/>
    </xf>
    <xf numFmtId="0" fontId="66" fillId="0" borderId="41" xfId="269" applyFont="1" applyBorder="1" applyAlignment="1" applyProtection="1">
      <alignment horizontal="right"/>
      <protection locked="0"/>
    </xf>
    <xf numFmtId="0" fontId="23" fillId="33" borderId="7" xfId="208" applyFont="1" applyFill="1" applyBorder="1" applyAlignment="1" applyProtection="1">
      <alignment horizontal="center"/>
    </xf>
    <xf numFmtId="0" fontId="22" fillId="0" borderId="20" xfId="208" applyFont="1" applyFill="1" applyBorder="1" applyAlignment="1" applyProtection="1"/>
    <xf numFmtId="0" fontId="21" fillId="0" borderId="0" xfId="2" applyFill="1" applyBorder="1" applyAlignment="1" applyProtection="1">
      <alignment horizontal="left"/>
    </xf>
    <xf numFmtId="0" fontId="23" fillId="0" borderId="41" xfId="208" applyFont="1" applyFill="1" applyBorder="1" applyAlignment="1" applyProtection="1">
      <alignment horizontal="left"/>
      <protection locked="0"/>
    </xf>
    <xf numFmtId="0" fontId="21" fillId="0" borderId="20" xfId="208" applyFont="1" applyFill="1" applyBorder="1" applyAlignment="1" applyProtection="1"/>
    <xf numFmtId="9" fontId="23" fillId="0" borderId="0" xfId="208" applyNumberFormat="1" applyFont="1" applyBorder="1" applyProtection="1">
      <protection locked="0"/>
    </xf>
    <xf numFmtId="3" fontId="124" fillId="0" borderId="7" xfId="270" applyNumberFormat="1" applyBorder="1" applyAlignment="1" applyProtection="1">
      <alignment horizontal="center"/>
    </xf>
    <xf numFmtId="0" fontId="124" fillId="0" borderId="20" xfId="270" applyFill="1" applyBorder="1" applyAlignment="1" applyProtection="1"/>
    <xf numFmtId="0" fontId="124" fillId="0" borderId="50" xfId="270" applyFill="1" applyBorder="1" applyAlignment="1" applyProtection="1"/>
    <xf numFmtId="49" fontId="124" fillId="0" borderId="40" xfId="270" applyNumberFormat="1" applyFill="1" applyBorder="1" applyAlignment="1" applyProtection="1">
      <alignment horizontal="right"/>
    </xf>
    <xf numFmtId="0" fontId="124" fillId="0" borderId="0" xfId="270" applyFill="1" applyBorder="1" applyAlignment="1" applyProtection="1">
      <alignment horizontal="centerContinuous"/>
    </xf>
    <xf numFmtId="0" fontId="21" fillId="0" borderId="41" xfId="269" applyFont="1" applyFill="1" applyBorder="1" applyAlignment="1" applyProtection="1">
      <alignment horizontal="centerContinuous"/>
      <protection locked="0"/>
    </xf>
    <xf numFmtId="3" fontId="21" fillId="0" borderId="23" xfId="270" applyNumberFormat="1" applyFont="1" applyFill="1" applyBorder="1" applyProtection="1">
      <protection locked="0"/>
    </xf>
    <xf numFmtId="0" fontId="21" fillId="0" borderId="7" xfId="270" applyFont="1" applyFill="1" applyBorder="1" applyProtection="1"/>
    <xf numFmtId="0" fontId="21" fillId="28" borderId="39" xfId="208" applyFont="1" applyFill="1" applyBorder="1" applyProtection="1"/>
    <xf numFmtId="0" fontId="21" fillId="28" borderId="39" xfId="270" applyFont="1" applyFill="1" applyBorder="1" applyProtection="1"/>
    <xf numFmtId="0" fontId="22" fillId="33" borderId="50" xfId="269" applyFont="1" applyFill="1" applyBorder="1" applyAlignment="1" applyProtection="1"/>
    <xf numFmtId="49" fontId="22" fillId="33" borderId="40" xfId="272" applyNumberFormat="1" applyFont="1" applyFill="1" applyBorder="1" applyAlignment="1" applyProtection="1">
      <alignment horizontal="right"/>
    </xf>
    <xf numFmtId="3" fontId="22" fillId="68" borderId="23" xfId="269" applyNumberFormat="1" applyFont="1" applyFill="1" applyBorder="1" applyProtection="1">
      <protection locked="0"/>
    </xf>
    <xf numFmtId="3" fontId="22" fillId="33" borderId="58" xfId="269" applyNumberFormat="1" applyFont="1" applyFill="1" applyBorder="1" applyAlignment="1" applyProtection="1"/>
    <xf numFmtId="3" fontId="22" fillId="33" borderId="20" xfId="269" applyNumberFormat="1" applyFont="1" applyFill="1" applyBorder="1" applyAlignment="1" applyProtection="1"/>
    <xf numFmtId="0" fontId="22" fillId="28" borderId="39" xfId="208" applyFont="1" applyFill="1" applyBorder="1" applyProtection="1"/>
    <xf numFmtId="0" fontId="22" fillId="0" borderId="0" xfId="208" applyFont="1" applyProtection="1"/>
    <xf numFmtId="3" fontId="22" fillId="0" borderId="20" xfId="208" applyNumberFormat="1" applyFont="1" applyFill="1" applyBorder="1" applyAlignment="1" applyProtection="1">
      <alignment horizontal="center"/>
    </xf>
    <xf numFmtId="0" fontId="22" fillId="0" borderId="50" xfId="269" applyFont="1" applyFill="1" applyBorder="1" applyAlignment="1" applyProtection="1"/>
    <xf numFmtId="3" fontId="22" fillId="0" borderId="23" xfId="269" applyNumberFormat="1" applyFont="1" applyFill="1" applyBorder="1" applyProtection="1">
      <protection locked="0"/>
    </xf>
    <xf numFmtId="3" fontId="22" fillId="0" borderId="58" xfId="269" applyNumberFormat="1" applyFont="1" applyFill="1" applyBorder="1" applyAlignment="1" applyProtection="1"/>
    <xf numFmtId="3" fontId="22" fillId="0" borderId="20" xfId="269" applyNumberFormat="1" applyFont="1" applyFill="1" applyBorder="1" applyAlignment="1" applyProtection="1"/>
    <xf numFmtId="0" fontId="22" fillId="0" borderId="0" xfId="208" applyFont="1" applyFill="1" applyProtection="1"/>
    <xf numFmtId="0" fontId="124" fillId="0" borderId="47" xfId="270" applyBorder="1" applyAlignment="1" applyProtection="1">
      <alignment horizontal="center"/>
    </xf>
    <xf numFmtId="3" fontId="21" fillId="28" borderId="39" xfId="270" applyNumberFormat="1" applyFont="1" applyFill="1" applyBorder="1" applyAlignment="1" applyProtection="1">
      <alignment vertical="center"/>
    </xf>
    <xf numFmtId="3" fontId="78" fillId="0" borderId="7" xfId="208" applyNumberFormat="1" applyFont="1" applyBorder="1" applyAlignment="1" applyProtection="1">
      <alignment horizontal="center"/>
    </xf>
    <xf numFmtId="0" fontId="66" fillId="0" borderId="50" xfId="272" applyFont="1" applyBorder="1" applyAlignment="1" applyProtection="1"/>
    <xf numFmtId="0" fontId="23" fillId="0" borderId="41" xfId="269" applyFont="1" applyBorder="1" applyAlignment="1" applyProtection="1">
      <alignment horizontal="center"/>
      <protection locked="0"/>
    </xf>
    <xf numFmtId="0" fontId="189" fillId="0" borderId="20" xfId="272" applyBorder="1" applyAlignment="1" applyProtection="1">
      <alignment horizontal="left"/>
    </xf>
    <xf numFmtId="0" fontId="189" fillId="0" borderId="20" xfId="272" applyBorder="1" applyProtection="1"/>
    <xf numFmtId="0" fontId="71" fillId="0" borderId="20" xfId="208" applyFont="1" applyFill="1" applyBorder="1" applyProtection="1"/>
    <xf numFmtId="0" fontId="22" fillId="0" borderId="20" xfId="269" applyFont="1" applyFill="1" applyBorder="1" applyAlignment="1" applyProtection="1"/>
    <xf numFmtId="0" fontId="66" fillId="0" borderId="50" xfId="272" applyFont="1" applyFill="1" applyBorder="1" applyAlignment="1" applyProtection="1"/>
    <xf numFmtId="0" fontId="21" fillId="0" borderId="0" xfId="2" applyFill="1" applyBorder="1" applyAlignment="1" applyProtection="1"/>
    <xf numFmtId="0" fontId="66" fillId="0" borderId="41" xfId="269" applyFont="1" applyFill="1" applyBorder="1" applyAlignment="1" applyProtection="1">
      <alignment horizontal="right"/>
      <protection locked="0"/>
    </xf>
    <xf numFmtId="0" fontId="23" fillId="0" borderId="0" xfId="208" applyFont="1" applyFill="1" applyBorder="1" applyProtection="1">
      <protection locked="0"/>
    </xf>
    <xf numFmtId="0" fontId="23" fillId="0" borderId="0" xfId="208" applyFont="1" applyFill="1" applyProtection="1"/>
    <xf numFmtId="3" fontId="124" fillId="29" borderId="36" xfId="270" applyNumberFormat="1" applyFill="1" applyBorder="1" applyAlignment="1" applyProtection="1">
      <alignment horizontal="centerContinuous" vertical="center"/>
    </xf>
    <xf numFmtId="3" fontId="124" fillId="29" borderId="1" xfId="270" applyNumberFormat="1" applyFill="1" applyBorder="1" applyAlignment="1" applyProtection="1">
      <alignment vertical="center"/>
    </xf>
    <xf numFmtId="3" fontId="64" fillId="29" borderId="37" xfId="270" applyNumberFormat="1" applyFont="1" applyFill="1" applyBorder="1" applyAlignment="1" applyProtection="1">
      <alignment horizontal="centerContinuous" vertical="center"/>
      <protection locked="0"/>
    </xf>
    <xf numFmtId="3" fontId="64" fillId="28" borderId="58" xfId="270" applyNumberFormat="1" applyFont="1" applyFill="1" applyBorder="1" applyProtection="1"/>
    <xf numFmtId="3" fontId="64" fillId="28" borderId="39" xfId="270" applyNumberFormat="1" applyFont="1" applyFill="1" applyBorder="1" applyProtection="1"/>
    <xf numFmtId="3" fontId="21" fillId="28" borderId="39" xfId="270" applyNumberFormat="1" applyFont="1" applyFill="1" applyBorder="1" applyProtection="1"/>
    <xf numFmtId="3" fontId="64" fillId="28" borderId="21" xfId="270" applyNumberFormat="1" applyFont="1" applyFill="1" applyBorder="1" applyProtection="1"/>
    <xf numFmtId="3" fontId="64" fillId="0" borderId="0" xfId="270" applyNumberFormat="1" applyFont="1" applyAlignment="1" applyProtection="1">
      <alignment vertical="center"/>
    </xf>
    <xf numFmtId="3" fontId="79" fillId="0" borderId="7" xfId="208" applyNumberFormat="1" applyFont="1" applyBorder="1" applyAlignment="1" applyProtection="1">
      <alignment horizontal="center"/>
    </xf>
    <xf numFmtId="3" fontId="64" fillId="0" borderId="20" xfId="208" applyNumberFormat="1" applyFont="1" applyFill="1" applyBorder="1" applyAlignment="1" applyProtection="1">
      <alignment horizontal="center" vertical="center"/>
    </xf>
    <xf numFmtId="3" fontId="64" fillId="0" borderId="181" xfId="208" applyNumberFormat="1" applyFont="1" applyFill="1" applyBorder="1" applyAlignment="1" applyProtection="1">
      <alignment horizontal="centerContinuous" vertical="center"/>
    </xf>
    <xf numFmtId="49" fontId="64" fillId="0" borderId="181" xfId="208" applyNumberFormat="1" applyFont="1" applyFill="1" applyBorder="1" applyAlignment="1" applyProtection="1">
      <alignment horizontal="centerContinuous" vertical="center"/>
    </xf>
    <xf numFmtId="49" fontId="64" fillId="0" borderId="40" xfId="208" applyNumberFormat="1" applyFont="1" applyFill="1" applyBorder="1" applyAlignment="1" applyProtection="1">
      <alignment vertical="center"/>
    </xf>
    <xf numFmtId="0" fontId="21" fillId="0" borderId="0" xfId="2" applyFill="1" applyBorder="1" applyAlignment="1" applyProtection="1">
      <alignment horizontal="centerContinuous" vertical="center"/>
    </xf>
    <xf numFmtId="0" fontId="64" fillId="0" borderId="41" xfId="208" applyFont="1" applyFill="1" applyBorder="1" applyAlignment="1" applyProtection="1">
      <alignment horizontal="centerContinuous" vertical="center"/>
      <protection locked="0"/>
    </xf>
    <xf numFmtId="3" fontId="64" fillId="0" borderId="23" xfId="208" applyNumberFormat="1" applyFont="1" applyFill="1" applyBorder="1" applyAlignment="1" applyProtection="1">
      <alignment vertical="center"/>
      <protection locked="0"/>
    </xf>
    <xf numFmtId="3" fontId="21" fillId="0" borderId="7" xfId="2" applyNumberFormat="1" applyFont="1" applyFill="1" applyBorder="1" applyAlignment="1" applyProtection="1">
      <alignment vertical="center"/>
    </xf>
    <xf numFmtId="167" fontId="64" fillId="0" borderId="0" xfId="271" applyFont="1" applyFill="1" applyBorder="1" applyAlignment="1" applyProtection="1">
      <alignment vertical="center"/>
    </xf>
    <xf numFmtId="3" fontId="64" fillId="0" borderId="58" xfId="208" applyNumberFormat="1" applyFont="1" applyFill="1" applyBorder="1" applyAlignment="1" applyProtection="1">
      <alignment vertical="center"/>
    </xf>
    <xf numFmtId="3" fontId="64" fillId="0" borderId="20" xfId="208" applyNumberFormat="1" applyFont="1" applyFill="1" applyBorder="1" applyAlignment="1" applyProtection="1">
      <alignment vertical="center"/>
    </xf>
    <xf numFmtId="0" fontId="21" fillId="28" borderId="21" xfId="2" applyFont="1" applyFill="1" applyBorder="1" applyProtection="1"/>
    <xf numFmtId="0" fontId="71" fillId="0" borderId="20" xfId="208" applyFont="1" applyBorder="1" applyAlignment="1" applyProtection="1">
      <alignment vertical="center"/>
    </xf>
    <xf numFmtId="0" fontId="64" fillId="26" borderId="47" xfId="269" applyFont="1" applyFill="1" applyBorder="1" applyAlignment="1" applyProtection="1">
      <alignment horizontal="center" vertical="center"/>
    </xf>
    <xf numFmtId="0" fontId="64" fillId="26" borderId="36" xfId="269" applyFont="1" applyFill="1" applyBorder="1" applyAlignment="1" applyProtection="1">
      <alignment horizontal="center" vertical="center"/>
    </xf>
    <xf numFmtId="49" fontId="64" fillId="26" borderId="36" xfId="269" applyNumberFormat="1" applyFont="1" applyFill="1" applyBorder="1" applyAlignment="1" applyProtection="1">
      <alignment horizontal="right" vertical="center"/>
    </xf>
    <xf numFmtId="0" fontId="23" fillId="0" borderId="36" xfId="208" applyFont="1" applyBorder="1" applyAlignment="1" applyProtection="1">
      <alignment vertical="center"/>
      <protection locked="0"/>
    </xf>
    <xf numFmtId="3" fontId="64" fillId="0" borderId="70" xfId="269" applyNumberFormat="1" applyFont="1" applyFill="1" applyBorder="1" applyAlignment="1" applyProtection="1">
      <alignment vertical="center"/>
      <protection locked="0"/>
    </xf>
    <xf numFmtId="0" fontId="21" fillId="0" borderId="47" xfId="2" applyFont="1" applyFill="1" applyBorder="1" applyAlignment="1" applyProtection="1">
      <alignment vertical="center"/>
    </xf>
    <xf numFmtId="3" fontId="64" fillId="0" borderId="89" xfId="269" applyNumberFormat="1" applyFont="1" applyFill="1" applyBorder="1" applyAlignment="1" applyProtection="1">
      <alignment vertical="center"/>
    </xf>
    <xf numFmtId="3" fontId="64" fillId="0" borderId="35" xfId="269" applyNumberFormat="1" applyFont="1" applyFill="1" applyBorder="1" applyAlignment="1" applyProtection="1">
      <alignment vertical="center"/>
    </xf>
    <xf numFmtId="0" fontId="21" fillId="28" borderId="58" xfId="2" applyFont="1" applyFill="1" applyBorder="1" applyAlignment="1" applyProtection="1">
      <alignment vertical="center"/>
    </xf>
    <xf numFmtId="3" fontId="190" fillId="31" borderId="36" xfId="269" applyNumberFormat="1" applyFont="1" applyFill="1" applyBorder="1" applyAlignment="1" applyProtection="1">
      <alignment vertical="center"/>
    </xf>
    <xf numFmtId="3" fontId="190" fillId="36" borderId="72" xfId="269" applyNumberFormat="1" applyFont="1" applyFill="1" applyBorder="1" applyAlignment="1" applyProtection="1">
      <alignment vertical="center"/>
    </xf>
    <xf numFmtId="0" fontId="21" fillId="28" borderId="39" xfId="2" applyFont="1" applyFill="1" applyBorder="1" applyAlignment="1" applyProtection="1">
      <alignment vertical="center"/>
    </xf>
    <xf numFmtId="3" fontId="190" fillId="31" borderId="70" xfId="269" applyNumberFormat="1" applyFont="1" applyFill="1" applyBorder="1" applyAlignment="1" applyProtection="1">
      <alignment vertical="center"/>
    </xf>
    <xf numFmtId="0" fontId="64" fillId="28" borderId="38" xfId="208" applyFont="1" applyFill="1" applyBorder="1" applyAlignment="1" applyProtection="1">
      <alignment vertical="center"/>
    </xf>
    <xf numFmtId="0" fontId="64" fillId="28" borderId="39" xfId="208" applyFont="1" applyFill="1" applyBorder="1" applyAlignment="1" applyProtection="1">
      <alignment vertical="center"/>
    </xf>
    <xf numFmtId="0" fontId="124" fillId="0" borderId="20" xfId="270" applyBorder="1" applyProtection="1"/>
    <xf numFmtId="0" fontId="124" fillId="0" borderId="20" xfId="270" applyBorder="1" applyAlignment="1" applyProtection="1">
      <alignment horizontal="center"/>
    </xf>
    <xf numFmtId="0" fontId="124" fillId="0" borderId="50" xfId="270" applyBorder="1" applyAlignment="1" applyProtection="1"/>
    <xf numFmtId="49" fontId="124" fillId="0" borderId="40" xfId="270" applyNumberFormat="1" applyBorder="1" applyAlignment="1" applyProtection="1">
      <alignment horizontal="right"/>
    </xf>
    <xf numFmtId="49" fontId="124" fillId="0" borderId="50" xfId="270" applyNumberFormat="1" applyBorder="1" applyAlignment="1" applyProtection="1">
      <alignment horizontal="left"/>
    </xf>
    <xf numFmtId="0" fontId="124" fillId="0" borderId="0" xfId="270" applyBorder="1" applyAlignment="1" applyProtection="1">
      <alignment horizontal="centerContinuous"/>
    </xf>
    <xf numFmtId="0" fontId="64" fillId="0" borderId="41" xfId="270" applyFont="1" applyBorder="1" applyAlignment="1" applyProtection="1">
      <alignment horizontal="centerContinuous"/>
      <protection locked="0"/>
    </xf>
    <xf numFmtId="3" fontId="64" fillId="0" borderId="23" xfId="208" applyNumberFormat="1" applyFont="1" applyFill="1" applyBorder="1" applyProtection="1">
      <protection locked="0"/>
    </xf>
    <xf numFmtId="167" fontId="64" fillId="0" borderId="0" xfId="271" applyFont="1" applyFill="1" applyBorder="1" applyProtection="1"/>
    <xf numFmtId="3" fontId="64" fillId="0" borderId="58" xfId="270" applyNumberFormat="1" applyFont="1" applyFill="1" applyBorder="1" applyAlignment="1" applyProtection="1"/>
    <xf numFmtId="3" fontId="64" fillId="0" borderId="20" xfId="270" applyNumberFormat="1" applyFont="1" applyFill="1" applyBorder="1" applyAlignment="1" applyProtection="1"/>
    <xf numFmtId="0" fontId="64" fillId="28" borderId="58" xfId="270" applyFont="1" applyFill="1" applyBorder="1" applyProtection="1"/>
    <xf numFmtId="0" fontId="64" fillId="28" borderId="39" xfId="270" applyFont="1" applyFill="1" applyBorder="1" applyProtection="1"/>
    <xf numFmtId="0" fontId="66" fillId="0" borderId="20" xfId="269" applyFont="1" applyBorder="1" applyAlignment="1" applyProtection="1"/>
    <xf numFmtId="49" fontId="23" fillId="0" borderId="50" xfId="269" applyNumberFormat="1" applyFont="1" applyBorder="1" applyAlignment="1" applyProtection="1">
      <alignment horizontal="right"/>
    </xf>
    <xf numFmtId="49" fontId="21" fillId="0" borderId="50" xfId="269" applyNumberFormat="1" applyFont="1" applyBorder="1" applyAlignment="1" applyProtection="1">
      <alignment horizontal="right"/>
    </xf>
    <xf numFmtId="0" fontId="21" fillId="0" borderId="41" xfId="269" applyFont="1" applyBorder="1" applyAlignment="1" applyProtection="1">
      <alignment horizontal="centerContinuous"/>
      <protection locked="0"/>
    </xf>
    <xf numFmtId="0" fontId="66" fillId="0" borderId="193" xfId="269" applyFont="1" applyBorder="1" applyAlignment="1" applyProtection="1"/>
    <xf numFmtId="49" fontId="23" fillId="0" borderId="185" xfId="269" applyNumberFormat="1" applyFont="1" applyBorder="1" applyAlignment="1" applyProtection="1">
      <alignment horizontal="right"/>
    </xf>
    <xf numFmtId="49" fontId="21" fillId="0" borderId="185" xfId="269" applyNumberFormat="1" applyFont="1" applyBorder="1" applyAlignment="1" applyProtection="1">
      <alignment horizontal="right"/>
    </xf>
    <xf numFmtId="0" fontId="21" fillId="0" borderId="186" xfId="2" applyBorder="1" applyProtection="1"/>
    <xf numFmtId="0" fontId="21" fillId="0" borderId="188" xfId="269" applyFont="1" applyBorder="1" applyAlignment="1" applyProtection="1">
      <alignment horizontal="centerContinuous"/>
      <protection locked="0"/>
    </xf>
    <xf numFmtId="0" fontId="23" fillId="0" borderId="187" xfId="208" applyFont="1" applyBorder="1" applyProtection="1">
      <protection locked="0"/>
    </xf>
    <xf numFmtId="3" fontId="23" fillId="0" borderId="92" xfId="269" applyNumberFormat="1" applyFont="1" applyFill="1" applyBorder="1" applyProtection="1">
      <protection locked="0"/>
    </xf>
    <xf numFmtId="0" fontId="21" fillId="0" borderId="193" xfId="2" applyFont="1" applyFill="1" applyBorder="1" applyProtection="1"/>
    <xf numFmtId="167" fontId="23" fillId="0" borderId="187" xfId="271" applyFont="1" applyFill="1" applyBorder="1" applyProtection="1"/>
    <xf numFmtId="3" fontId="23" fillId="0" borderId="62" xfId="269" applyNumberFormat="1" applyFont="1" applyFill="1" applyBorder="1" applyAlignment="1" applyProtection="1"/>
    <xf numFmtId="3" fontId="23" fillId="0" borderId="189" xfId="269" applyNumberFormat="1" applyFont="1" applyFill="1" applyBorder="1" applyAlignment="1" applyProtection="1"/>
    <xf numFmtId="0" fontId="21" fillId="28" borderId="133" xfId="2" applyFont="1" applyFill="1" applyBorder="1" applyProtection="1"/>
    <xf numFmtId="0" fontId="23" fillId="0" borderId="20" xfId="208" applyFont="1" applyBorder="1" applyAlignment="1" applyProtection="1">
      <alignment vertical="center"/>
    </xf>
    <xf numFmtId="49" fontId="21" fillId="0" borderId="0" xfId="208" applyNumberFormat="1" applyFont="1" applyBorder="1" applyAlignment="1" applyProtection="1">
      <alignment horizontal="right" vertical="center"/>
    </xf>
    <xf numFmtId="0" fontId="21" fillId="0" borderId="41" xfId="2" applyBorder="1" applyAlignment="1" applyProtection="1">
      <alignment horizontal="centerContinuous" vertical="center"/>
    </xf>
    <xf numFmtId="0" fontId="75" fillId="0" borderId="41" xfId="208" applyFont="1" applyBorder="1" applyAlignment="1" applyProtection="1">
      <alignment horizontal="centerContinuous" vertical="center"/>
      <protection locked="0"/>
    </xf>
    <xf numFmtId="3" fontId="191" fillId="0" borderId="0" xfId="269" applyNumberFormat="1" applyFont="1" applyFill="1" applyBorder="1" applyProtection="1">
      <protection locked="0"/>
    </xf>
    <xf numFmtId="0" fontId="21" fillId="0" borderId="0" xfId="2" applyFont="1" applyBorder="1" applyProtection="1"/>
    <xf numFmtId="167" fontId="23" fillId="0" borderId="0" xfId="271" applyFont="1" applyBorder="1" applyProtection="1"/>
    <xf numFmtId="3" fontId="23" fillId="0" borderId="0" xfId="273" applyNumberFormat="1" applyFont="1" applyBorder="1" applyProtection="1"/>
    <xf numFmtId="3" fontId="23" fillId="0" borderId="0" xfId="208" applyNumberFormat="1" applyFont="1" applyBorder="1" applyProtection="1"/>
    <xf numFmtId="0" fontId="23" fillId="28" borderId="39" xfId="208" applyFont="1" applyFill="1" applyBorder="1" applyProtection="1"/>
    <xf numFmtId="0" fontId="64" fillId="28" borderId="25" xfId="269" applyFont="1" applyFill="1" applyBorder="1" applyAlignment="1" applyProtection="1">
      <alignment horizontal="center" vertical="center"/>
    </xf>
    <xf numFmtId="0" fontId="64" fillId="28" borderId="194" xfId="269" applyFont="1" applyFill="1" applyBorder="1" applyAlignment="1" applyProtection="1">
      <alignment horizontal="centerContinuous" vertical="center"/>
    </xf>
    <xf numFmtId="49" fontId="64" fillId="28" borderId="19" xfId="269" applyNumberFormat="1" applyFont="1" applyFill="1" applyBorder="1" applyAlignment="1" applyProtection="1">
      <alignment horizontal="centerContinuous" vertical="center"/>
    </xf>
    <xf numFmtId="0" fontId="64" fillId="28" borderId="19" xfId="269" applyFont="1" applyFill="1" applyBorder="1" applyAlignment="1" applyProtection="1">
      <alignment horizontal="left" vertical="center"/>
    </xf>
    <xf numFmtId="0" fontId="21" fillId="28" borderId="19" xfId="2" applyFill="1" applyBorder="1" applyAlignment="1" applyProtection="1">
      <alignment horizontal="centerContinuous" vertical="center"/>
    </xf>
    <xf numFmtId="0" fontId="192" fillId="28" borderId="99" xfId="269" applyFont="1" applyFill="1" applyBorder="1" applyAlignment="1" applyProtection="1">
      <alignment horizontal="centerContinuous" vertical="center"/>
      <protection locked="0"/>
    </xf>
    <xf numFmtId="3" fontId="76" fillId="0" borderId="19" xfId="269" applyNumberFormat="1" applyFont="1" applyFill="1" applyBorder="1" applyAlignment="1" applyProtection="1">
      <alignment horizontal="right" vertical="center"/>
      <protection locked="0"/>
    </xf>
    <xf numFmtId="0" fontId="21" fillId="0" borderId="111" xfId="2" applyFont="1" applyFill="1" applyBorder="1" applyAlignment="1" applyProtection="1">
      <alignment vertical="center"/>
    </xf>
    <xf numFmtId="167" fontId="21" fillId="0" borderId="19" xfId="271" applyFont="1" applyFill="1" applyBorder="1" applyAlignment="1" applyProtection="1">
      <alignment vertical="center"/>
    </xf>
    <xf numFmtId="167" fontId="21" fillId="36" borderId="16" xfId="271" applyFont="1" applyFill="1" applyBorder="1" applyAlignment="1" applyProtection="1">
      <alignment horizontal="right" vertical="center"/>
    </xf>
    <xf numFmtId="3" fontId="21" fillId="0" borderId="101" xfId="269" applyNumberFormat="1" applyFont="1" applyFill="1" applyBorder="1" applyAlignment="1" applyProtection="1">
      <alignment vertical="center"/>
    </xf>
    <xf numFmtId="3" fontId="21" fillId="0" borderId="25" xfId="269" applyNumberFormat="1" applyFont="1" applyFill="1" applyBorder="1" applyAlignment="1" applyProtection="1">
      <alignment vertical="center"/>
    </xf>
    <xf numFmtId="3" fontId="76" fillId="26" borderId="19" xfId="269" applyNumberFormat="1" applyFont="1" applyFill="1" applyBorder="1" applyAlignment="1" applyProtection="1">
      <alignment horizontal="right" vertical="center"/>
    </xf>
    <xf numFmtId="3" fontId="21" fillId="36" borderId="19" xfId="269" applyNumberFormat="1" applyFont="1" applyFill="1" applyBorder="1" applyAlignment="1" applyProtection="1">
      <alignment horizontal="right" vertical="center"/>
    </xf>
    <xf numFmtId="0" fontId="23" fillId="28" borderId="39" xfId="208" applyFont="1" applyFill="1" applyBorder="1" applyAlignment="1" applyProtection="1">
      <alignment vertical="center"/>
    </xf>
    <xf numFmtId="167" fontId="76" fillId="26" borderId="19" xfId="271" applyFont="1" applyFill="1" applyBorder="1" applyAlignment="1" applyProtection="1">
      <alignment horizontal="right" vertical="center"/>
    </xf>
    <xf numFmtId="167" fontId="76" fillId="26" borderId="19" xfId="271" applyFont="1" applyFill="1" applyBorder="1" applyAlignment="1" applyProtection="1">
      <alignment horizontal="right" vertical="center"/>
      <protection locked="0"/>
    </xf>
    <xf numFmtId="167" fontId="21" fillId="36" borderId="19" xfId="271" applyFont="1" applyFill="1" applyBorder="1" applyAlignment="1" applyProtection="1">
      <alignment horizontal="right" vertical="center"/>
    </xf>
    <xf numFmtId="0" fontId="66" fillId="28" borderId="39" xfId="208" applyFont="1" applyFill="1" applyBorder="1" applyAlignment="1" applyProtection="1">
      <alignment vertical="center"/>
    </xf>
    <xf numFmtId="167" fontId="76" fillId="26" borderId="25" xfId="271" applyFont="1" applyFill="1" applyBorder="1" applyAlignment="1" applyProtection="1">
      <alignment horizontal="right" vertical="center"/>
    </xf>
    <xf numFmtId="0" fontId="71" fillId="0" borderId="54" xfId="208" applyFont="1" applyBorder="1" applyAlignment="1" applyProtection="1">
      <alignment vertical="center"/>
    </xf>
    <xf numFmtId="0" fontId="21" fillId="38" borderId="54" xfId="208" applyFont="1" applyFill="1" applyBorder="1" applyAlignment="1" applyProtection="1">
      <alignment horizontal="center" vertical="center"/>
    </xf>
    <xf numFmtId="49" fontId="22" fillId="38" borderId="32" xfId="208" applyNumberFormat="1" applyFont="1" applyFill="1" applyBorder="1" applyAlignment="1" applyProtection="1">
      <alignment horizontal="right" vertical="center"/>
    </xf>
    <xf numFmtId="49" fontId="21" fillId="38" borderId="32" xfId="208" applyNumberFormat="1" applyFont="1" applyFill="1" applyBorder="1" applyAlignment="1" applyProtection="1">
      <alignment horizontal="right" vertical="center"/>
    </xf>
    <xf numFmtId="0" fontId="21" fillId="38" borderId="32" xfId="208" applyFont="1" applyFill="1" applyBorder="1" applyAlignment="1" applyProtection="1">
      <alignment horizontal="centerContinuous" vertical="center"/>
    </xf>
    <xf numFmtId="0" fontId="21" fillId="38" borderId="55" xfId="2" applyFill="1" applyBorder="1" applyAlignment="1" applyProtection="1">
      <alignment horizontal="centerContinuous" vertical="center"/>
    </xf>
    <xf numFmtId="0" fontId="21" fillId="38" borderId="56" xfId="208" applyFont="1" applyFill="1" applyBorder="1" applyAlignment="1" applyProtection="1">
      <alignment horizontal="centerContinuous" vertical="center"/>
      <protection locked="0"/>
    </xf>
    <xf numFmtId="0" fontId="23" fillId="0" borderId="14" xfId="208" applyFont="1" applyBorder="1" applyAlignment="1" applyProtection="1">
      <alignment vertical="center"/>
      <protection locked="0"/>
    </xf>
    <xf numFmtId="167" fontId="21" fillId="26" borderId="64" xfId="271" applyFont="1" applyFill="1" applyBorder="1" applyAlignment="1" applyProtection="1">
      <alignment horizontal="right" vertical="center"/>
    </xf>
    <xf numFmtId="3" fontId="21" fillId="0" borderId="64" xfId="208" applyNumberFormat="1" applyFont="1" applyFill="1" applyBorder="1" applyAlignment="1" applyProtection="1">
      <alignment horizontal="right" vertical="center"/>
      <protection locked="0"/>
    </xf>
    <xf numFmtId="0" fontId="21" fillId="0" borderId="53" xfId="2" applyFont="1" applyFill="1" applyBorder="1" applyAlignment="1" applyProtection="1">
      <alignment vertical="center"/>
    </xf>
    <xf numFmtId="167" fontId="21" fillId="0" borderId="55" xfId="271" applyFont="1" applyFill="1" applyBorder="1" applyAlignment="1" applyProtection="1">
      <alignment vertical="center"/>
    </xf>
    <xf numFmtId="167" fontId="21" fillId="36" borderId="14" xfId="271" applyFont="1" applyFill="1" applyBorder="1" applyAlignment="1" applyProtection="1">
      <alignment horizontal="right" vertical="center"/>
    </xf>
    <xf numFmtId="3" fontId="21" fillId="0" borderId="57" xfId="208" applyNumberFormat="1" applyFont="1" applyFill="1" applyBorder="1" applyAlignment="1" applyProtection="1">
      <alignment vertical="center"/>
    </xf>
    <xf numFmtId="3" fontId="21" fillId="0" borderId="54" xfId="208" applyNumberFormat="1" applyFont="1" applyFill="1" applyBorder="1" applyAlignment="1" applyProtection="1">
      <alignment vertical="center"/>
    </xf>
    <xf numFmtId="0" fontId="66" fillId="28" borderId="31" xfId="4" applyFont="1" applyFill="1" applyBorder="1" applyAlignment="1" applyProtection="1">
      <alignment vertical="center"/>
    </xf>
    <xf numFmtId="0" fontId="21" fillId="28" borderId="31" xfId="208" applyFont="1" applyFill="1" applyBorder="1" applyAlignment="1" applyProtection="1">
      <alignment vertical="center"/>
    </xf>
    <xf numFmtId="167" fontId="21" fillId="26" borderId="55" xfId="271" applyFont="1" applyFill="1" applyBorder="1" applyAlignment="1" applyProtection="1">
      <alignment horizontal="right" vertical="center"/>
    </xf>
    <xf numFmtId="167" fontId="21" fillId="26" borderId="55" xfId="271" applyFont="1" applyFill="1" applyBorder="1" applyAlignment="1" applyProtection="1">
      <alignment horizontal="right" vertical="center"/>
      <protection locked="0"/>
    </xf>
    <xf numFmtId="167" fontId="21" fillId="36" borderId="55" xfId="271" applyFont="1" applyFill="1" applyBorder="1" applyAlignment="1" applyProtection="1">
      <alignment horizontal="right" vertical="center"/>
    </xf>
    <xf numFmtId="167" fontId="21" fillId="26" borderId="54" xfId="271" applyFont="1" applyFill="1" applyBorder="1" applyAlignment="1" applyProtection="1">
      <alignment horizontal="right" vertical="center"/>
    </xf>
    <xf numFmtId="0" fontId="22" fillId="0" borderId="20" xfId="208" applyFont="1" applyFill="1" applyBorder="1" applyAlignment="1" applyProtection="1">
      <alignment horizontal="center"/>
    </xf>
    <xf numFmtId="0" fontId="22" fillId="0" borderId="50" xfId="208" applyFont="1" applyFill="1" applyBorder="1" applyAlignment="1" applyProtection="1"/>
    <xf numFmtId="0" fontId="22" fillId="0" borderId="40" xfId="208" applyFont="1" applyFill="1" applyBorder="1" applyAlignment="1" applyProtection="1">
      <alignment horizontal="centerContinuous"/>
    </xf>
    <xf numFmtId="0" fontId="22" fillId="0" borderId="41" xfId="208" applyFont="1" applyFill="1" applyBorder="1" applyAlignment="1" applyProtection="1">
      <alignment horizontal="centerContinuous"/>
      <protection locked="0"/>
    </xf>
    <xf numFmtId="3" fontId="23" fillId="0" borderId="23" xfId="269" applyNumberFormat="1" applyFont="1" applyFill="1" applyBorder="1" applyAlignment="1" applyProtection="1">
      <alignment horizontal="right"/>
      <protection locked="0"/>
    </xf>
    <xf numFmtId="0" fontId="64" fillId="0" borderId="20" xfId="269" applyFont="1" applyFill="1" applyBorder="1" applyAlignment="1" applyProtection="1">
      <alignment horizontal="center"/>
    </xf>
    <xf numFmtId="0" fontId="21" fillId="0" borderId="40" xfId="269" applyFont="1" applyBorder="1" applyAlignment="1" applyProtection="1">
      <alignment horizontal="center"/>
    </xf>
    <xf numFmtId="0" fontId="21" fillId="0" borderId="40" xfId="269" applyFont="1" applyBorder="1" applyAlignment="1" applyProtection="1">
      <alignment horizontal="centerContinuous"/>
    </xf>
    <xf numFmtId="0" fontId="192" fillId="0" borderId="41" xfId="269" applyFont="1" applyFill="1" applyBorder="1" applyAlignment="1" applyProtection="1">
      <alignment horizontal="centerContinuous"/>
      <protection locked="0"/>
    </xf>
    <xf numFmtId="0" fontId="23" fillId="0" borderId="20" xfId="208" applyFont="1" applyFill="1" applyBorder="1" applyProtection="1">
      <protection locked="0"/>
    </xf>
    <xf numFmtId="3" fontId="23" fillId="0" borderId="58" xfId="208" applyNumberFormat="1" applyFont="1" applyFill="1" applyBorder="1" applyAlignment="1" applyProtection="1"/>
    <xf numFmtId="3" fontId="23" fillId="0" borderId="22" xfId="208" applyNumberFormat="1" applyFont="1" applyFill="1" applyBorder="1" applyAlignment="1" applyProtection="1"/>
    <xf numFmtId="0" fontId="22" fillId="0" borderId="0" xfId="208" applyFont="1" applyFill="1" applyBorder="1" applyProtection="1">
      <protection locked="0"/>
    </xf>
    <xf numFmtId="3" fontId="22" fillId="0" borderId="58" xfId="208" applyNumberFormat="1" applyFont="1" applyFill="1" applyBorder="1" applyAlignment="1" applyProtection="1"/>
    <xf numFmtId="3" fontId="22" fillId="0" borderId="20" xfId="208" applyNumberFormat="1" applyFont="1" applyFill="1" applyBorder="1" applyAlignment="1" applyProtection="1"/>
    <xf numFmtId="0" fontId="23" fillId="0" borderId="20" xfId="208" applyFont="1" applyBorder="1" applyProtection="1"/>
    <xf numFmtId="0" fontId="23" fillId="0" borderId="20" xfId="208" applyFont="1" applyFill="1" applyBorder="1" applyAlignment="1" applyProtection="1">
      <alignment horizontal="center"/>
    </xf>
    <xf numFmtId="0" fontId="23" fillId="0" borderId="40" xfId="208" applyFont="1" applyBorder="1" applyAlignment="1" applyProtection="1">
      <alignment horizontal="centerContinuous"/>
    </xf>
    <xf numFmtId="0" fontId="66" fillId="0" borderId="41" xfId="269" applyFont="1" applyFill="1" applyBorder="1" applyAlignment="1" applyProtection="1">
      <alignment horizontal="left"/>
      <protection locked="0"/>
    </xf>
    <xf numFmtId="183" fontId="23" fillId="0" borderId="0" xfId="208" applyNumberFormat="1" applyFont="1" applyFill="1" applyBorder="1" applyProtection="1">
      <protection locked="0"/>
    </xf>
    <xf numFmtId="10" fontId="23" fillId="0" borderId="7" xfId="2" applyNumberFormat="1" applyFont="1" applyFill="1" applyBorder="1" applyProtection="1"/>
    <xf numFmtId="3" fontId="23" fillId="0" borderId="20" xfId="208" applyNumberFormat="1" applyFont="1" applyFill="1" applyBorder="1" applyAlignment="1" applyProtection="1"/>
    <xf numFmtId="0" fontId="23" fillId="28" borderId="23" xfId="270" applyFont="1" applyFill="1" applyBorder="1" applyProtection="1"/>
    <xf numFmtId="0" fontId="124" fillId="0" borderId="189" xfId="270" applyBorder="1" applyProtection="1"/>
    <xf numFmtId="0" fontId="124" fillId="0" borderId="189" xfId="270" applyFill="1" applyBorder="1" applyAlignment="1" applyProtection="1">
      <alignment horizontal="center"/>
    </xf>
    <xf numFmtId="0" fontId="124" fillId="0" borderId="185" xfId="270" applyBorder="1" applyAlignment="1" applyProtection="1"/>
    <xf numFmtId="0" fontId="124" fillId="0" borderId="195" xfId="270" applyBorder="1" applyAlignment="1" applyProtection="1">
      <alignment horizontal="center"/>
    </xf>
    <xf numFmtId="0" fontId="124" fillId="0" borderId="195" xfId="270" applyBorder="1" applyAlignment="1" applyProtection="1">
      <alignment horizontal="centerContinuous"/>
    </xf>
    <xf numFmtId="0" fontId="124" fillId="0" borderId="187" xfId="270" applyBorder="1" applyProtection="1"/>
    <xf numFmtId="0" fontId="23" fillId="0" borderId="188" xfId="270" applyFont="1" applyFill="1" applyBorder="1" applyAlignment="1" applyProtection="1">
      <alignment horizontal="left"/>
      <protection locked="0"/>
    </xf>
    <xf numFmtId="0" fontId="23" fillId="0" borderId="187" xfId="270" applyFont="1" applyBorder="1" applyProtection="1">
      <protection locked="0"/>
    </xf>
    <xf numFmtId="3" fontId="23" fillId="0" borderId="92" xfId="270" applyNumberFormat="1" applyFont="1" applyFill="1" applyBorder="1" applyAlignment="1" applyProtection="1">
      <alignment horizontal="right"/>
      <protection locked="0"/>
    </xf>
    <xf numFmtId="0" fontId="23" fillId="0" borderId="193" xfId="270" applyFont="1" applyFill="1" applyBorder="1" applyProtection="1"/>
    <xf numFmtId="3" fontId="23" fillId="0" borderId="62" xfId="270" applyNumberFormat="1" applyFont="1" applyFill="1" applyBorder="1" applyAlignment="1" applyProtection="1"/>
    <xf numFmtId="3" fontId="23" fillId="0" borderId="189" xfId="270" applyNumberFormat="1" applyFont="1" applyFill="1" applyBorder="1" applyAlignment="1" applyProtection="1"/>
    <xf numFmtId="0" fontId="23" fillId="28" borderId="58" xfId="270" applyFont="1" applyFill="1" applyBorder="1" applyProtection="1"/>
    <xf numFmtId="0" fontId="23" fillId="28" borderId="133" xfId="270" applyFont="1" applyFill="1" applyBorder="1" applyProtection="1"/>
    <xf numFmtId="0" fontId="21" fillId="28" borderId="133" xfId="270" applyFont="1" applyFill="1" applyBorder="1" applyProtection="1"/>
    <xf numFmtId="0" fontId="23" fillId="28" borderId="179" xfId="270" applyFont="1" applyFill="1" applyBorder="1" applyProtection="1"/>
    <xf numFmtId="0" fontId="21" fillId="0" borderId="0" xfId="270" applyFont="1" applyProtection="1"/>
    <xf numFmtId="0" fontId="23" fillId="30" borderId="20" xfId="208" applyFont="1" applyFill="1" applyBorder="1" applyProtection="1"/>
    <xf numFmtId="0" fontId="64" fillId="30" borderId="20" xfId="269" applyFont="1" applyFill="1" applyBorder="1" applyAlignment="1" applyProtection="1">
      <alignment horizontal="center"/>
    </xf>
    <xf numFmtId="0" fontId="66" fillId="30" borderId="50" xfId="208" applyFont="1" applyFill="1" applyBorder="1" applyAlignment="1" applyProtection="1"/>
    <xf numFmtId="0" fontId="21" fillId="30" borderId="40" xfId="269" applyFont="1" applyFill="1" applyBorder="1" applyAlignment="1" applyProtection="1">
      <alignment horizontal="center"/>
    </xf>
    <xf numFmtId="0" fontId="21" fillId="30" borderId="40" xfId="269" applyFont="1" applyFill="1" applyBorder="1" applyAlignment="1" applyProtection="1">
      <alignment horizontal="centerContinuous"/>
    </xf>
    <xf numFmtId="0" fontId="21" fillId="30" borderId="0" xfId="2" applyFill="1" applyBorder="1" applyProtection="1"/>
    <xf numFmtId="0" fontId="66" fillId="30" borderId="41" xfId="269" applyFont="1" applyFill="1" applyBorder="1" applyAlignment="1" applyProtection="1">
      <alignment horizontal="left"/>
      <protection locked="0"/>
    </xf>
    <xf numFmtId="0" fontId="23" fillId="30" borderId="0" xfId="208" applyFont="1" applyFill="1" applyBorder="1" applyProtection="1">
      <protection locked="0"/>
    </xf>
    <xf numFmtId="167" fontId="21" fillId="30" borderId="134" xfId="271" applyFont="1" applyFill="1" applyBorder="1" applyProtection="1"/>
    <xf numFmtId="3" fontId="21" fillId="30" borderId="23" xfId="269" applyNumberFormat="1" applyFont="1" applyFill="1" applyBorder="1" applyAlignment="1" applyProtection="1">
      <alignment horizontal="right"/>
      <protection locked="0"/>
    </xf>
    <xf numFmtId="0" fontId="21" fillId="30" borderId="7" xfId="2" applyFont="1" applyFill="1" applyBorder="1" applyProtection="1"/>
    <xf numFmtId="167" fontId="21" fillId="30" borderId="0" xfId="271" applyFont="1" applyFill="1" applyBorder="1" applyProtection="1"/>
    <xf numFmtId="167" fontId="21" fillId="30" borderId="22" xfId="271" applyFont="1" applyFill="1" applyBorder="1" applyAlignment="1" applyProtection="1">
      <alignment horizontal="right"/>
    </xf>
    <xf numFmtId="3" fontId="23" fillId="30" borderId="58" xfId="269" applyNumberFormat="1" applyFont="1" applyFill="1" applyBorder="1" applyAlignment="1" applyProtection="1"/>
    <xf numFmtId="3" fontId="23" fillId="30" borderId="20" xfId="269" applyNumberFormat="1" applyFont="1" applyFill="1" applyBorder="1" applyAlignment="1" applyProtection="1"/>
    <xf numFmtId="3" fontId="21" fillId="30" borderId="0" xfId="269" applyNumberFormat="1" applyFont="1" applyFill="1" applyBorder="1" applyAlignment="1" applyProtection="1">
      <alignment horizontal="right"/>
    </xf>
    <xf numFmtId="3" fontId="21" fillId="30" borderId="117" xfId="269" applyNumberFormat="1" applyFont="1" applyFill="1" applyBorder="1" applyAlignment="1" applyProtection="1"/>
    <xf numFmtId="3" fontId="21" fillId="30" borderId="7" xfId="269" applyNumberFormat="1" applyFont="1" applyFill="1" applyBorder="1" applyAlignment="1" applyProtection="1">
      <alignment horizontal="right"/>
    </xf>
    <xf numFmtId="3" fontId="21" fillId="30" borderId="110" xfId="269" applyNumberFormat="1" applyFont="1" applyFill="1" applyBorder="1" applyAlignment="1" applyProtection="1"/>
    <xf numFmtId="3" fontId="23" fillId="30" borderId="7" xfId="269" applyNumberFormat="1" applyFont="1" applyFill="1" applyBorder="1" applyAlignment="1" applyProtection="1">
      <alignment horizontal="right"/>
    </xf>
    <xf numFmtId="0" fontId="23" fillId="30" borderId="117" xfId="269" applyFont="1" applyFill="1" applyBorder="1" applyAlignment="1" applyProtection="1"/>
    <xf numFmtId="3" fontId="23" fillId="30" borderId="0" xfId="269" applyNumberFormat="1" applyFont="1" applyFill="1" applyBorder="1" applyAlignment="1" applyProtection="1">
      <alignment horizontal="right"/>
    </xf>
    <xf numFmtId="0" fontId="66" fillId="30" borderId="39" xfId="4" applyFont="1" applyFill="1" applyBorder="1" applyProtection="1"/>
    <xf numFmtId="3" fontId="23" fillId="30" borderId="83" xfId="269" applyNumberFormat="1" applyFont="1" applyFill="1" applyBorder="1" applyAlignment="1" applyProtection="1">
      <alignment horizontal="right"/>
    </xf>
    <xf numFmtId="3" fontId="66" fillId="30" borderId="23" xfId="4" applyNumberFormat="1" applyFont="1" applyFill="1" applyBorder="1" applyAlignment="1" applyProtection="1">
      <alignment horizontal="center"/>
    </xf>
    <xf numFmtId="0" fontId="21" fillId="30" borderId="39" xfId="208" applyFont="1" applyFill="1" applyBorder="1" applyProtection="1"/>
    <xf numFmtId="167" fontId="23" fillId="30" borderId="0" xfId="271" applyFont="1" applyFill="1" applyBorder="1" applyAlignment="1" applyProtection="1">
      <alignment horizontal="right"/>
    </xf>
    <xf numFmtId="167" fontId="23" fillId="30" borderId="40" xfId="271" applyFont="1" applyFill="1" applyBorder="1" applyProtection="1"/>
    <xf numFmtId="167" fontId="66" fillId="30" borderId="50" xfId="271" applyFont="1" applyFill="1" applyBorder="1" applyProtection="1"/>
    <xf numFmtId="167" fontId="23" fillId="30" borderId="117" xfId="271" applyFont="1" applyFill="1" applyBorder="1" applyProtection="1"/>
    <xf numFmtId="0" fontId="23" fillId="30" borderId="39" xfId="208" applyFont="1" applyFill="1" applyBorder="1" applyProtection="1"/>
    <xf numFmtId="3" fontId="23" fillId="30" borderId="41" xfId="208" applyNumberFormat="1" applyFont="1" applyFill="1" applyBorder="1" applyProtection="1"/>
    <xf numFmtId="3" fontId="23" fillId="30" borderId="0" xfId="208" applyNumberFormat="1" applyFont="1" applyFill="1" applyBorder="1" applyProtection="1"/>
    <xf numFmtId="0" fontId="21" fillId="30" borderId="21" xfId="2" applyFont="1" applyFill="1" applyBorder="1" applyProtection="1"/>
    <xf numFmtId="0" fontId="23" fillId="30" borderId="0" xfId="208" applyFont="1" applyFill="1" applyProtection="1"/>
    <xf numFmtId="43" fontId="23" fillId="30" borderId="0" xfId="208" applyNumberFormat="1" applyFont="1" applyFill="1" applyProtection="1"/>
    <xf numFmtId="183" fontId="22" fillId="0" borderId="0" xfId="208" applyNumberFormat="1" applyFont="1" applyFill="1" applyBorder="1" applyProtection="1">
      <protection locked="0"/>
    </xf>
    <xf numFmtId="0" fontId="66" fillId="28" borderId="23" xfId="4" applyFont="1" applyFill="1" applyBorder="1" applyProtection="1"/>
    <xf numFmtId="193" fontId="21" fillId="0" borderId="7" xfId="2" applyNumberFormat="1" applyFont="1" applyFill="1" applyBorder="1" applyProtection="1"/>
    <xf numFmtId="0" fontId="23" fillId="0" borderId="189" xfId="208" applyFont="1" applyBorder="1" applyProtection="1"/>
    <xf numFmtId="0" fontId="64" fillId="0" borderId="189" xfId="269" applyFont="1" applyFill="1" applyBorder="1" applyAlignment="1" applyProtection="1">
      <alignment horizontal="center"/>
    </xf>
    <xf numFmtId="0" fontId="66" fillId="0" borderId="185" xfId="208" applyFont="1" applyBorder="1" applyAlignment="1" applyProtection="1"/>
    <xf numFmtId="0" fontId="21" fillId="0" borderId="195" xfId="269" applyFont="1" applyBorder="1" applyAlignment="1" applyProtection="1">
      <alignment horizontal="center"/>
    </xf>
    <xf numFmtId="0" fontId="21" fillId="0" borderId="195" xfId="269" applyFont="1" applyBorder="1" applyAlignment="1" applyProtection="1">
      <alignment horizontal="centerContinuous"/>
    </xf>
    <xf numFmtId="0" fontId="21" fillId="0" borderId="187" xfId="2" applyBorder="1" applyProtection="1"/>
    <xf numFmtId="0" fontId="66" fillId="0" borderId="188" xfId="269" applyFont="1" applyFill="1" applyBorder="1" applyAlignment="1" applyProtection="1">
      <alignment horizontal="left"/>
      <protection locked="0"/>
    </xf>
    <xf numFmtId="3" fontId="23" fillId="0" borderId="92" xfId="269" applyNumberFormat="1" applyFont="1" applyFill="1" applyBorder="1" applyAlignment="1" applyProtection="1">
      <alignment horizontal="right"/>
      <protection locked="0"/>
    </xf>
    <xf numFmtId="0" fontId="66" fillId="28" borderId="92" xfId="4" applyFont="1" applyFill="1" applyBorder="1" applyProtection="1"/>
    <xf numFmtId="0" fontId="21" fillId="28" borderId="133" xfId="208" applyFont="1" applyFill="1" applyBorder="1" applyProtection="1"/>
    <xf numFmtId="0" fontId="23" fillId="28" borderId="133" xfId="208" applyFont="1" applyFill="1" applyBorder="1" applyProtection="1"/>
    <xf numFmtId="0" fontId="21" fillId="28" borderId="179" xfId="2" applyFont="1" applyFill="1" applyBorder="1" applyProtection="1"/>
    <xf numFmtId="0" fontId="23" fillId="0" borderId="0" xfId="208" applyFont="1" applyBorder="1" applyProtection="1"/>
    <xf numFmtId="0" fontId="71" fillId="0" borderId="0" xfId="208" applyFont="1" applyProtection="1"/>
    <xf numFmtId="0" fontId="21" fillId="0" borderId="0" xfId="2" applyProtection="1"/>
    <xf numFmtId="0" fontId="23" fillId="0" borderId="0" xfId="208" applyFont="1" applyProtection="1">
      <protection locked="0"/>
    </xf>
    <xf numFmtId="0" fontId="21" fillId="0" borderId="0" xfId="2" applyFont="1" applyProtection="1"/>
    <xf numFmtId="0" fontId="23" fillId="0" borderId="0" xfId="208" applyFont="1" applyAlignment="1" applyProtection="1">
      <alignment horizontal="right"/>
      <protection locked="0"/>
    </xf>
    <xf numFmtId="0" fontId="23" fillId="0" borderId="0" xfId="208" applyFont="1" applyFill="1" applyBorder="1" applyProtection="1"/>
    <xf numFmtId="0" fontId="21" fillId="0" borderId="0" xfId="2" applyFont="1" applyFill="1" applyBorder="1" applyProtection="1"/>
    <xf numFmtId="49" fontId="21" fillId="0" borderId="0" xfId="269" applyNumberFormat="1" applyFont="1" applyFill="1" applyBorder="1" applyAlignment="1" applyProtection="1">
      <alignment horizontal="right"/>
    </xf>
    <xf numFmtId="0" fontId="23" fillId="0" borderId="0" xfId="269" applyFont="1" applyFill="1" applyBorder="1" applyProtection="1">
      <protection locked="0"/>
    </xf>
    <xf numFmtId="0" fontId="23" fillId="0" borderId="0" xfId="269" applyFont="1" applyFill="1" applyBorder="1" applyAlignment="1" applyProtection="1"/>
    <xf numFmtId="0" fontId="23" fillId="43" borderId="0" xfId="269" applyFont="1" applyFill="1" applyBorder="1" applyProtection="1"/>
    <xf numFmtId="1" fontId="21" fillId="43" borderId="31" xfId="269" applyNumberFormat="1" applyFont="1" applyFill="1" applyBorder="1" applyAlignment="1" applyProtection="1">
      <alignment horizontal="center"/>
    </xf>
    <xf numFmtId="167" fontId="22" fillId="43" borderId="23" xfId="271" applyFont="1" applyFill="1" applyBorder="1" applyProtection="1"/>
    <xf numFmtId="167" fontId="23" fillId="29" borderId="23" xfId="271" applyFont="1" applyFill="1" applyBorder="1" applyProtection="1"/>
    <xf numFmtId="167" fontId="66" fillId="43" borderId="23" xfId="271" applyFont="1" applyFill="1" applyBorder="1" applyProtection="1"/>
    <xf numFmtId="167" fontId="23" fillId="43" borderId="23" xfId="271" applyFont="1" applyFill="1" applyBorder="1" applyProtection="1"/>
    <xf numFmtId="167" fontId="21" fillId="43" borderId="23" xfId="271" applyFont="1" applyFill="1" applyBorder="1" applyProtection="1"/>
    <xf numFmtId="167" fontId="23" fillId="43" borderId="92" xfId="271" applyFont="1" applyFill="1" applyBorder="1" applyProtection="1"/>
    <xf numFmtId="215" fontId="191" fillId="43" borderId="0" xfId="271" applyNumberFormat="1" applyFont="1" applyFill="1" applyBorder="1" applyProtection="1"/>
    <xf numFmtId="167" fontId="23" fillId="43" borderId="134" xfId="271" applyFont="1" applyFill="1" applyBorder="1" applyAlignment="1" applyProtection="1">
      <alignment horizontal="right"/>
    </xf>
    <xf numFmtId="167" fontId="23" fillId="38" borderId="39" xfId="271" applyFont="1" applyFill="1" applyBorder="1" applyAlignment="1" applyProtection="1">
      <alignment horizontal="right"/>
    </xf>
    <xf numFmtId="167" fontId="23" fillId="43" borderId="39" xfId="271" applyFont="1" applyFill="1" applyBorder="1" applyAlignment="1" applyProtection="1">
      <alignment horizontal="right"/>
    </xf>
    <xf numFmtId="167" fontId="23" fillId="38" borderId="133" xfId="271" applyFont="1" applyFill="1" applyBorder="1" applyAlignment="1" applyProtection="1">
      <alignment horizontal="right"/>
    </xf>
    <xf numFmtId="167" fontId="23" fillId="43" borderId="0" xfId="271" applyFont="1" applyFill="1" applyProtection="1"/>
    <xf numFmtId="0" fontId="23" fillId="43" borderId="0" xfId="208" applyFont="1" applyFill="1" applyProtection="1"/>
    <xf numFmtId="0" fontId="23" fillId="43" borderId="0" xfId="208" applyFont="1" applyFill="1" applyBorder="1" applyProtection="1"/>
    <xf numFmtId="2" fontId="66" fillId="43" borderId="0" xfId="269" applyNumberFormat="1" applyFont="1" applyFill="1" applyBorder="1" applyProtection="1"/>
    <xf numFmtId="0" fontId="21" fillId="43" borderId="14" xfId="269" applyFont="1" applyFill="1" applyBorder="1" applyAlignment="1" applyProtection="1">
      <alignment horizontal="center"/>
    </xf>
    <xf numFmtId="167" fontId="22" fillId="43" borderId="22" xfId="271" applyFont="1" applyFill="1" applyBorder="1" applyProtection="1"/>
    <xf numFmtId="167" fontId="23" fillId="36" borderId="22" xfId="271" applyFont="1" applyFill="1" applyBorder="1" applyProtection="1"/>
    <xf numFmtId="167" fontId="66" fillId="43" borderId="22" xfId="271" applyFont="1" applyFill="1" applyBorder="1" applyProtection="1"/>
    <xf numFmtId="167" fontId="23" fillId="43" borderId="22" xfId="271" applyFont="1" applyFill="1" applyBorder="1" applyProtection="1"/>
    <xf numFmtId="167" fontId="22" fillId="36" borderId="22" xfId="271" applyFont="1" applyFill="1" applyBorder="1" applyProtection="1"/>
    <xf numFmtId="167" fontId="64" fillId="43" borderId="22" xfId="271" applyFont="1" applyFill="1" applyBorder="1" applyAlignment="1" applyProtection="1">
      <alignment vertical="center"/>
    </xf>
    <xf numFmtId="167" fontId="64" fillId="43" borderId="22" xfId="271" applyFont="1" applyFill="1" applyBorder="1" applyProtection="1"/>
    <xf numFmtId="3" fontId="23" fillId="36" borderId="0" xfId="269" applyNumberFormat="1" applyFont="1" applyFill="1" applyBorder="1" applyProtection="1"/>
    <xf numFmtId="167" fontId="23" fillId="43" borderId="61" xfId="271" applyFont="1" applyFill="1" applyBorder="1" applyProtection="1"/>
    <xf numFmtId="167" fontId="23" fillId="43" borderId="22" xfId="271" applyFont="1" applyFill="1" applyBorder="1" applyAlignment="1" applyProtection="1">
      <alignment horizontal="right"/>
    </xf>
    <xf numFmtId="167" fontId="23" fillId="36" borderId="22" xfId="271" applyFont="1" applyFill="1" applyBorder="1" applyAlignment="1" applyProtection="1">
      <alignment horizontal="right"/>
    </xf>
    <xf numFmtId="167" fontId="23" fillId="36" borderId="61" xfId="271" applyFont="1" applyFill="1" applyBorder="1" applyAlignment="1" applyProtection="1">
      <alignment horizontal="right"/>
    </xf>
    <xf numFmtId="0" fontId="21" fillId="52" borderId="19" xfId="269" applyFont="1" applyFill="1" applyBorder="1" applyAlignment="1" applyProtection="1">
      <alignment horizontal="center"/>
    </xf>
    <xf numFmtId="49" fontId="66" fillId="43" borderId="19" xfId="269" applyNumberFormat="1" applyFont="1" applyFill="1" applyBorder="1" applyAlignment="1" applyProtection="1">
      <alignment horizontal="center"/>
    </xf>
    <xf numFmtId="0" fontId="23" fillId="43" borderId="19" xfId="269" applyFont="1" applyFill="1" applyBorder="1" applyAlignment="1" applyProtection="1"/>
    <xf numFmtId="49" fontId="21" fillId="52" borderId="19" xfId="269" applyNumberFormat="1" applyFont="1" applyFill="1" applyBorder="1" applyAlignment="1" applyProtection="1">
      <alignment horizontal="center"/>
    </xf>
    <xf numFmtId="0" fontId="23" fillId="43" borderId="19" xfId="269" applyFont="1" applyFill="1" applyBorder="1" applyAlignment="1" applyProtection="1">
      <alignment horizontal="center"/>
    </xf>
    <xf numFmtId="0" fontId="66" fillId="43" borderId="18" xfId="4" applyFont="1" applyFill="1" applyBorder="1" applyAlignment="1" applyProtection="1">
      <alignment horizontal="center"/>
    </xf>
    <xf numFmtId="0" fontId="21" fillId="43" borderId="19" xfId="208" applyFont="1" applyFill="1" applyBorder="1" applyProtection="1"/>
    <xf numFmtId="0" fontId="66" fillId="43" borderId="19" xfId="4" applyFont="1" applyFill="1" applyBorder="1" applyProtection="1"/>
    <xf numFmtId="0" fontId="23" fillId="43" borderId="19" xfId="269" applyFont="1" applyFill="1" applyBorder="1" applyProtection="1"/>
    <xf numFmtId="0" fontId="21" fillId="43" borderId="99" xfId="208" applyFont="1" applyFill="1" applyBorder="1" applyProtection="1"/>
    <xf numFmtId="0" fontId="23" fillId="43" borderId="25" xfId="208" applyFont="1" applyFill="1" applyBorder="1" applyProtection="1"/>
    <xf numFmtId="0" fontId="21" fillId="43" borderId="0" xfId="269" applyFont="1" applyFill="1" applyBorder="1" applyAlignment="1" applyProtection="1">
      <alignment horizontal="center"/>
    </xf>
    <xf numFmtId="0" fontId="23" fillId="43" borderId="0" xfId="269" applyFont="1" applyFill="1" applyBorder="1" applyAlignment="1" applyProtection="1"/>
    <xf numFmtId="0" fontId="66" fillId="43" borderId="23" xfId="4" applyFont="1" applyFill="1" applyBorder="1" applyAlignment="1" applyProtection="1">
      <alignment horizontal="center"/>
    </xf>
    <xf numFmtId="0" fontId="66" fillId="43" borderId="0" xfId="4" applyFont="1" applyFill="1" applyBorder="1" applyProtection="1"/>
    <xf numFmtId="0" fontId="21" fillId="43" borderId="41" xfId="208" applyFont="1" applyFill="1" applyBorder="1" applyAlignment="1" applyProtection="1">
      <alignment horizontal="centerContinuous"/>
    </xf>
    <xf numFmtId="0" fontId="21" fillId="43" borderId="20" xfId="208" applyFont="1" applyFill="1" applyBorder="1" applyAlignment="1" applyProtection="1">
      <alignment horizontal="centerContinuous"/>
    </xf>
    <xf numFmtId="0" fontId="23" fillId="43" borderId="0" xfId="208" applyFill="1"/>
    <xf numFmtId="0" fontId="23" fillId="43" borderId="0" xfId="208" applyFont="1" applyFill="1" applyBorder="1" applyAlignment="1" applyProtection="1">
      <alignment horizontal="center"/>
    </xf>
    <xf numFmtId="0" fontId="66" fillId="43" borderId="0" xfId="4" applyFont="1" applyFill="1" applyBorder="1" applyAlignment="1" applyProtection="1">
      <alignment horizontal="left"/>
    </xf>
    <xf numFmtId="0" fontId="21" fillId="43" borderId="0" xfId="269" applyFont="1" applyFill="1" applyBorder="1" applyAlignment="1" applyProtection="1"/>
    <xf numFmtId="169" fontId="21" fillId="43" borderId="192" xfId="269" applyNumberFormat="1" applyFont="1" applyFill="1" applyBorder="1" applyAlignment="1" applyProtection="1">
      <alignment horizontal="center"/>
      <protection locked="0"/>
    </xf>
    <xf numFmtId="169" fontId="21" fillId="43" borderId="0" xfId="269" applyNumberFormat="1" applyFont="1" applyFill="1" applyBorder="1" applyAlignment="1" applyProtection="1">
      <alignment horizontal="center"/>
      <protection locked="0"/>
    </xf>
    <xf numFmtId="0" fontId="21" fillId="43" borderId="0" xfId="269" applyFont="1" applyFill="1" applyBorder="1" applyAlignment="1" applyProtection="1">
      <alignment horizontal="left"/>
    </xf>
    <xf numFmtId="1" fontId="21" fillId="43" borderId="32" xfId="269" applyNumberFormat="1" applyFont="1" applyFill="1" applyBorder="1" applyAlignment="1" applyProtection="1">
      <alignment horizontal="center"/>
    </xf>
    <xf numFmtId="0" fontId="21" fillId="43" borderId="126" xfId="269" applyFont="1" applyFill="1" applyBorder="1" applyAlignment="1" applyProtection="1">
      <alignment horizontal="center"/>
    </xf>
    <xf numFmtId="0" fontId="21" fillId="43" borderId="33" xfId="269" applyFont="1" applyFill="1" applyBorder="1" applyAlignment="1" applyProtection="1">
      <alignment horizontal="center"/>
    </xf>
    <xf numFmtId="0" fontId="21" fillId="43" borderId="94" xfId="269" applyFont="1" applyFill="1" applyBorder="1" applyAlignment="1" applyProtection="1">
      <alignment horizontal="center"/>
    </xf>
    <xf numFmtId="0" fontId="66" fillId="43" borderId="64" xfId="4" applyFont="1" applyFill="1" applyBorder="1" applyAlignment="1" applyProtection="1">
      <alignment horizontal="center"/>
    </xf>
    <xf numFmtId="1" fontId="21" fillId="43" borderId="55" xfId="269" applyNumberFormat="1" applyFont="1" applyFill="1" applyBorder="1" applyAlignment="1" applyProtection="1">
      <alignment horizontal="center"/>
    </xf>
    <xf numFmtId="1" fontId="21" fillId="43" borderId="187" xfId="269" applyNumberFormat="1" applyFont="1" applyFill="1" applyBorder="1" applyAlignment="1" applyProtection="1">
      <alignment horizontal="center"/>
    </xf>
    <xf numFmtId="0" fontId="21" fillId="43" borderId="32" xfId="269" applyFont="1" applyFill="1" applyBorder="1" applyAlignment="1" applyProtection="1">
      <alignment horizontal="center"/>
    </xf>
    <xf numFmtId="0" fontId="66" fillId="43" borderId="32" xfId="4" applyFont="1" applyFill="1" applyBorder="1" applyAlignment="1" applyProtection="1">
      <alignment horizontal="center"/>
    </xf>
    <xf numFmtId="0" fontId="21" fillId="43" borderId="56" xfId="208" applyFont="1" applyFill="1" applyBorder="1" applyAlignment="1" applyProtection="1">
      <alignment horizontal="center"/>
    </xf>
    <xf numFmtId="0" fontId="21" fillId="43" borderId="97" xfId="208" applyFont="1" applyFill="1" applyBorder="1" applyAlignment="1" applyProtection="1">
      <alignment horizontal="center"/>
    </xf>
    <xf numFmtId="3" fontId="21" fillId="43" borderId="1" xfId="270" applyNumberFormat="1" applyFont="1" applyFill="1" applyBorder="1" applyAlignment="1" applyProtection="1">
      <alignment vertical="center"/>
    </xf>
    <xf numFmtId="3" fontId="21" fillId="43" borderId="70" xfId="270" applyNumberFormat="1" applyFont="1" applyFill="1" applyBorder="1" applyAlignment="1" applyProtection="1">
      <alignment horizontal="center" vertical="center"/>
    </xf>
    <xf numFmtId="167" fontId="21" fillId="43" borderId="36" xfId="271" applyFont="1" applyFill="1" applyBorder="1" applyAlignment="1" applyProtection="1">
      <alignment vertical="center"/>
    </xf>
    <xf numFmtId="3" fontId="21" fillId="43" borderId="36" xfId="270" applyNumberFormat="1" applyFont="1" applyFill="1" applyBorder="1" applyAlignment="1" applyProtection="1">
      <alignment vertical="center"/>
    </xf>
    <xf numFmtId="167" fontId="21" fillId="43" borderId="102" xfId="271" applyFont="1" applyFill="1" applyBorder="1" applyAlignment="1" applyProtection="1">
      <alignment vertical="center"/>
    </xf>
    <xf numFmtId="167" fontId="21" fillId="43" borderId="1" xfId="271" applyFont="1" applyFill="1" applyBorder="1" applyAlignment="1" applyProtection="1">
      <alignment vertical="center"/>
    </xf>
    <xf numFmtId="3" fontId="22" fillId="43" borderId="0" xfId="272" applyNumberFormat="1" applyFont="1" applyFill="1" applyBorder="1" applyProtection="1"/>
    <xf numFmtId="3" fontId="22" fillId="43" borderId="50" xfId="272" applyNumberFormat="1" applyFont="1" applyFill="1" applyBorder="1" applyProtection="1"/>
    <xf numFmtId="3" fontId="22" fillId="43" borderId="117" xfId="272" applyNumberFormat="1" applyFont="1" applyFill="1" applyBorder="1" applyProtection="1"/>
    <xf numFmtId="3" fontId="22" fillId="43" borderId="40" xfId="272" applyNumberFormat="1" applyFont="1" applyFill="1" applyBorder="1" applyProtection="1"/>
    <xf numFmtId="3" fontId="22" fillId="43" borderId="78" xfId="272" applyNumberFormat="1" applyFont="1" applyFill="1" applyBorder="1" applyProtection="1"/>
    <xf numFmtId="3" fontId="22" fillId="43" borderId="0" xfId="272" applyNumberFormat="1" applyFont="1" applyFill="1" applyBorder="1" applyAlignment="1" applyProtection="1">
      <alignment horizontal="center"/>
    </xf>
    <xf numFmtId="167" fontId="22" fillId="43" borderId="0" xfId="271" applyFont="1" applyFill="1" applyBorder="1" applyProtection="1"/>
    <xf numFmtId="3" fontId="66" fillId="43" borderId="0" xfId="272" applyNumberFormat="1" applyFont="1" applyFill="1" applyBorder="1" applyProtection="1"/>
    <xf numFmtId="167" fontId="22" fillId="43" borderId="40" xfId="271" applyFont="1" applyFill="1" applyBorder="1" applyProtection="1"/>
    <xf numFmtId="167" fontId="66" fillId="43" borderId="40" xfId="271" applyFont="1" applyFill="1" applyBorder="1" applyProtection="1"/>
    <xf numFmtId="167" fontId="66" fillId="43" borderId="50" xfId="271" applyFont="1" applyFill="1" applyBorder="1" applyProtection="1"/>
    <xf numFmtId="167" fontId="66" fillId="43" borderId="117" xfId="271" applyFont="1" applyFill="1" applyBorder="1" applyProtection="1"/>
    <xf numFmtId="167" fontId="22" fillId="43" borderId="41" xfId="271" applyFont="1" applyFill="1" applyBorder="1" applyProtection="1"/>
    <xf numFmtId="167" fontId="22" fillId="43" borderId="20" xfId="271" applyFont="1" applyFill="1" applyBorder="1" applyProtection="1"/>
    <xf numFmtId="3" fontId="23" fillId="29" borderId="40" xfId="269" applyNumberFormat="1" applyFont="1" applyFill="1" applyBorder="1" applyProtection="1"/>
    <xf numFmtId="3" fontId="23" fillId="43" borderId="50" xfId="269" applyNumberFormat="1" applyFont="1" applyFill="1" applyBorder="1" applyProtection="1"/>
    <xf numFmtId="3" fontId="23" fillId="36" borderId="117" xfId="269" applyNumberFormat="1" applyFont="1" applyFill="1" applyBorder="1" applyProtection="1"/>
    <xf numFmtId="3" fontId="23" fillId="36" borderId="78" xfId="269" applyNumberFormat="1" applyFont="1" applyFill="1" applyBorder="1" applyProtection="1"/>
    <xf numFmtId="3" fontId="66" fillId="43" borderId="0" xfId="4" applyNumberFormat="1" applyFont="1" applyFill="1" applyBorder="1" applyAlignment="1" applyProtection="1">
      <alignment horizontal="center"/>
    </xf>
    <xf numFmtId="167" fontId="23" fillId="69" borderId="0" xfId="271" applyFont="1" applyFill="1" applyBorder="1" applyProtection="1"/>
    <xf numFmtId="3" fontId="23" fillId="51" borderId="0" xfId="269" applyNumberFormat="1" applyFont="1" applyFill="1" applyBorder="1" applyProtection="1">
      <protection locked="0"/>
    </xf>
    <xf numFmtId="167" fontId="23" fillId="29" borderId="40" xfId="271" applyFont="1" applyFill="1" applyBorder="1" applyProtection="1"/>
    <xf numFmtId="167" fontId="23" fillId="28" borderId="40" xfId="271" applyFont="1" applyFill="1" applyBorder="1" applyProtection="1">
      <protection locked="0"/>
    </xf>
    <xf numFmtId="167" fontId="23" fillId="36" borderId="117" xfId="271" applyFont="1" applyFill="1" applyBorder="1" applyProtection="1"/>
    <xf numFmtId="167" fontId="23" fillId="43" borderId="41" xfId="271" applyFont="1" applyFill="1" applyBorder="1" applyProtection="1"/>
    <xf numFmtId="167" fontId="23" fillId="29" borderId="20" xfId="271" applyFont="1" applyFill="1" applyBorder="1" applyProtection="1"/>
    <xf numFmtId="3" fontId="23" fillId="29" borderId="0" xfId="269" applyNumberFormat="1" applyFont="1" applyFill="1" applyBorder="1" applyProtection="1"/>
    <xf numFmtId="3" fontId="66" fillId="43" borderId="0" xfId="272" applyNumberFormat="1" applyFont="1" applyFill="1" applyBorder="1" applyProtection="1">
      <protection locked="0"/>
    </xf>
    <xf numFmtId="167" fontId="66" fillId="43" borderId="40" xfId="271" applyFont="1" applyFill="1" applyBorder="1" applyProtection="1">
      <protection locked="0"/>
    </xf>
    <xf numFmtId="167" fontId="83" fillId="29" borderId="40" xfId="271" applyFont="1" applyFill="1" applyBorder="1" applyProtection="1"/>
    <xf numFmtId="167" fontId="83" fillId="69" borderId="0" xfId="271" applyFont="1" applyFill="1" applyBorder="1" applyProtection="1"/>
    <xf numFmtId="3" fontId="66" fillId="43" borderId="40" xfId="269" applyNumberFormat="1" applyFont="1" applyFill="1" applyBorder="1" applyProtection="1"/>
    <xf numFmtId="3" fontId="66" fillId="43" borderId="50" xfId="269" applyNumberFormat="1" applyFont="1" applyFill="1" applyBorder="1" applyProtection="1"/>
    <xf numFmtId="3" fontId="66" fillId="43" borderId="117" xfId="269" applyNumberFormat="1" applyFont="1" applyFill="1" applyBorder="1" applyProtection="1"/>
    <xf numFmtId="3" fontId="66" fillId="43" borderId="78" xfId="269" applyNumberFormat="1" applyFont="1" applyFill="1" applyBorder="1" applyProtection="1"/>
    <xf numFmtId="167" fontId="66" fillId="43" borderId="0" xfId="271" applyFont="1" applyFill="1" applyBorder="1" applyProtection="1"/>
    <xf numFmtId="3" fontId="66" fillId="43" borderId="0" xfId="269" applyNumberFormat="1" applyFont="1" applyFill="1" applyBorder="1" applyProtection="1">
      <protection locked="0"/>
    </xf>
    <xf numFmtId="167" fontId="66" fillId="43" borderId="41" xfId="271" applyFont="1" applyFill="1" applyBorder="1" applyProtection="1"/>
    <xf numFmtId="167" fontId="66" fillId="43" borderId="20" xfId="271" applyFont="1" applyFill="1" applyBorder="1" applyProtection="1"/>
    <xf numFmtId="3" fontId="23" fillId="43" borderId="40" xfId="269" applyNumberFormat="1" applyFont="1" applyFill="1" applyBorder="1" applyProtection="1"/>
    <xf numFmtId="3" fontId="23" fillId="43" borderId="117" xfId="269" applyNumberFormat="1" applyFont="1" applyFill="1" applyBorder="1" applyProtection="1"/>
    <xf numFmtId="3" fontId="23" fillId="43" borderId="78" xfId="269" applyNumberFormat="1" applyFont="1" applyFill="1" applyBorder="1" applyProtection="1"/>
    <xf numFmtId="167" fontId="23" fillId="43" borderId="0" xfId="271" applyFont="1" applyFill="1" applyBorder="1" applyProtection="1"/>
    <xf numFmtId="3" fontId="23" fillId="43" borderId="0" xfId="269" applyNumberFormat="1" applyFont="1" applyFill="1" applyBorder="1" applyProtection="1">
      <protection locked="0"/>
    </xf>
    <xf numFmtId="167" fontId="23" fillId="43" borderId="40" xfId="271" applyFont="1" applyFill="1" applyBorder="1" applyProtection="1"/>
    <xf numFmtId="167" fontId="23" fillId="43" borderId="40" xfId="271" applyFont="1" applyFill="1" applyBorder="1" applyProtection="1">
      <protection locked="0"/>
    </xf>
    <xf numFmtId="167" fontId="23" fillId="43" borderId="117" xfId="271" applyFont="1" applyFill="1" applyBorder="1" applyProtection="1"/>
    <xf numFmtId="167" fontId="23" fillId="43" borderId="20" xfId="271" applyFont="1" applyFill="1" applyBorder="1" applyProtection="1"/>
    <xf numFmtId="3" fontId="64" fillId="43" borderId="1" xfId="270" applyNumberFormat="1" applyFont="1" applyFill="1" applyBorder="1" applyAlignment="1" applyProtection="1">
      <alignment vertical="center"/>
    </xf>
    <xf numFmtId="3" fontId="64" fillId="43" borderId="70" xfId="270" applyNumberFormat="1" applyFont="1" applyFill="1" applyBorder="1" applyAlignment="1" applyProtection="1">
      <alignment horizontal="center" vertical="center"/>
    </xf>
    <xf numFmtId="167" fontId="64" fillId="43" borderId="36" xfId="271" applyFont="1" applyFill="1" applyBorder="1" applyAlignment="1" applyProtection="1">
      <alignment vertical="center"/>
    </xf>
    <xf numFmtId="3" fontId="21" fillId="43" borderId="36" xfId="270" applyNumberFormat="1" applyFont="1" applyFill="1" applyBorder="1" applyAlignment="1" applyProtection="1">
      <alignment vertical="center"/>
      <protection locked="0"/>
    </xf>
    <xf numFmtId="167" fontId="21" fillId="43" borderId="102" xfId="271" applyFont="1" applyFill="1" applyBorder="1" applyAlignment="1" applyProtection="1">
      <alignment vertical="center"/>
      <protection locked="0"/>
    </xf>
    <xf numFmtId="3" fontId="22" fillId="43" borderId="0" xfId="4" applyNumberFormat="1" applyFont="1" applyFill="1" applyBorder="1" applyAlignment="1" applyProtection="1">
      <alignment horizontal="center"/>
    </xf>
    <xf numFmtId="3" fontId="21" fillId="43" borderId="0" xfId="270" applyNumberFormat="1" applyFont="1" applyFill="1" applyBorder="1" applyProtection="1">
      <protection locked="0"/>
    </xf>
    <xf numFmtId="167" fontId="21" fillId="43" borderId="40" xfId="271" applyFont="1" applyFill="1" applyBorder="1" applyProtection="1">
      <protection locked="0"/>
    </xf>
    <xf numFmtId="167" fontId="21" fillId="43" borderId="50" xfId="271" applyFont="1" applyFill="1" applyBorder="1" applyProtection="1"/>
    <xf numFmtId="167" fontId="21" fillId="43" borderId="117" xfId="271" applyFont="1" applyFill="1" applyBorder="1" applyProtection="1"/>
    <xf numFmtId="3" fontId="22" fillId="29" borderId="40" xfId="269" applyNumberFormat="1" applyFont="1" applyFill="1" applyBorder="1" applyProtection="1"/>
    <xf numFmtId="3" fontId="22" fillId="43" borderId="50" xfId="269" applyNumberFormat="1" applyFont="1" applyFill="1" applyBorder="1" applyProtection="1"/>
    <xf numFmtId="3" fontId="22" fillId="36" borderId="117" xfId="269" applyNumberFormat="1" applyFont="1" applyFill="1" applyBorder="1" applyProtection="1"/>
    <xf numFmtId="3" fontId="22" fillId="36" borderId="78" xfId="269" applyNumberFormat="1" applyFont="1" applyFill="1" applyBorder="1" applyProtection="1"/>
    <xf numFmtId="3" fontId="22" fillId="51" borderId="0" xfId="269" applyNumberFormat="1" applyFont="1" applyFill="1" applyBorder="1" applyProtection="1">
      <protection locked="0"/>
    </xf>
    <xf numFmtId="167" fontId="22" fillId="28" borderId="40" xfId="271" applyFont="1" applyFill="1" applyBorder="1" applyProtection="1">
      <protection locked="0"/>
    </xf>
    <xf numFmtId="167" fontId="22" fillId="36" borderId="117" xfId="271" applyFont="1" applyFill="1" applyBorder="1" applyProtection="1"/>
    <xf numFmtId="167" fontId="22" fillId="29" borderId="20" xfId="271" applyFont="1" applyFill="1" applyBorder="1" applyProtection="1"/>
    <xf numFmtId="3" fontId="22" fillId="43" borderId="40" xfId="269" applyNumberFormat="1" applyFont="1" applyFill="1" applyBorder="1" applyProtection="1"/>
    <xf numFmtId="3" fontId="22" fillId="43" borderId="117" xfId="269" applyNumberFormat="1" applyFont="1" applyFill="1" applyBorder="1" applyProtection="1"/>
    <xf numFmtId="3" fontId="22" fillId="43" borderId="78" xfId="269" applyNumberFormat="1" applyFont="1" applyFill="1" applyBorder="1" applyProtection="1"/>
    <xf numFmtId="3" fontId="22" fillId="43" borderId="0" xfId="269" applyNumberFormat="1" applyFont="1" applyFill="1" applyBorder="1" applyProtection="1">
      <protection locked="0"/>
    </xf>
    <xf numFmtId="167" fontId="22" fillId="43" borderId="40" xfId="271" applyFont="1" applyFill="1" applyBorder="1" applyProtection="1">
      <protection locked="0"/>
    </xf>
    <xf numFmtId="167" fontId="22" fillId="43" borderId="117" xfId="271" applyFont="1" applyFill="1" applyBorder="1" applyProtection="1"/>
    <xf numFmtId="167" fontId="64" fillId="43" borderId="46" xfId="271" applyFont="1" applyFill="1" applyBorder="1" applyAlignment="1" applyProtection="1">
      <alignment vertical="center"/>
    </xf>
    <xf numFmtId="3" fontId="21" fillId="43" borderId="86" xfId="270" applyNumberFormat="1" applyFont="1" applyFill="1" applyBorder="1" applyAlignment="1" applyProtection="1">
      <alignment vertical="center"/>
      <protection locked="0"/>
    </xf>
    <xf numFmtId="3" fontId="64" fillId="43" borderId="40" xfId="208" applyNumberFormat="1" applyFont="1" applyFill="1" applyBorder="1" applyAlignment="1" applyProtection="1">
      <alignment vertical="center"/>
    </xf>
    <xf numFmtId="3" fontId="64" fillId="43" borderId="50" xfId="208" applyNumberFormat="1" applyFont="1" applyFill="1" applyBorder="1" applyAlignment="1" applyProtection="1">
      <alignment vertical="center"/>
    </xf>
    <xf numFmtId="3" fontId="64" fillId="43" borderId="117" xfId="208" applyNumberFormat="1" applyFont="1" applyFill="1" applyBorder="1" applyAlignment="1" applyProtection="1">
      <alignment vertical="center"/>
    </xf>
    <xf numFmtId="3" fontId="64" fillId="43" borderId="78" xfId="208" applyNumberFormat="1" applyFont="1" applyFill="1" applyBorder="1" applyAlignment="1" applyProtection="1">
      <alignment vertical="center"/>
    </xf>
    <xf numFmtId="3" fontId="66" fillId="43" borderId="0" xfId="4" applyNumberFormat="1" applyFont="1" applyFill="1" applyBorder="1" applyAlignment="1" applyProtection="1">
      <alignment horizontal="center" vertical="center"/>
    </xf>
    <xf numFmtId="167" fontId="64" fillId="43" borderId="0" xfId="271" applyFont="1" applyFill="1" applyBorder="1" applyAlignment="1" applyProtection="1">
      <alignment vertical="center"/>
    </xf>
    <xf numFmtId="3" fontId="64" fillId="43" borderId="0" xfId="208" applyNumberFormat="1" applyFont="1" applyFill="1" applyBorder="1" applyAlignment="1" applyProtection="1">
      <alignment vertical="center"/>
      <protection locked="0"/>
    </xf>
    <xf numFmtId="167" fontId="64" fillId="43" borderId="40" xfId="271" applyFont="1" applyFill="1" applyBorder="1" applyAlignment="1" applyProtection="1">
      <alignment vertical="center"/>
    </xf>
    <xf numFmtId="167" fontId="64" fillId="43" borderId="40" xfId="271" applyFont="1" applyFill="1" applyBorder="1" applyAlignment="1" applyProtection="1">
      <alignment vertical="center"/>
      <protection locked="0"/>
    </xf>
    <xf numFmtId="167" fontId="66" fillId="43" borderId="50" xfId="271" applyFont="1" applyFill="1" applyBorder="1" applyAlignment="1" applyProtection="1">
      <alignment vertical="center"/>
    </xf>
    <xf numFmtId="167" fontId="64" fillId="43" borderId="117" xfId="271" applyFont="1" applyFill="1" applyBorder="1" applyAlignment="1" applyProtection="1">
      <alignment vertical="center"/>
    </xf>
    <xf numFmtId="167" fontId="64" fillId="43" borderId="41" xfId="271" applyFont="1" applyFill="1" applyBorder="1" applyAlignment="1" applyProtection="1">
      <alignment vertical="center"/>
    </xf>
    <xf numFmtId="167" fontId="64" fillId="43" borderId="20" xfId="271" applyFont="1" applyFill="1" applyBorder="1" applyAlignment="1" applyProtection="1">
      <alignment vertical="center"/>
    </xf>
    <xf numFmtId="3" fontId="23" fillId="43" borderId="0" xfId="269" applyNumberFormat="1" applyFont="1" applyFill="1" applyBorder="1" applyProtection="1"/>
    <xf numFmtId="3" fontId="190" fillId="43" borderId="1" xfId="269" applyNumberFormat="1" applyFont="1" applyFill="1" applyBorder="1" applyAlignment="1" applyProtection="1">
      <alignment vertical="center"/>
    </xf>
    <xf numFmtId="3" fontId="22" fillId="43" borderId="70" xfId="4" applyNumberFormat="1" applyFont="1" applyFill="1" applyBorder="1" applyAlignment="1" applyProtection="1">
      <alignment horizontal="center" vertical="center"/>
    </xf>
    <xf numFmtId="3" fontId="64" fillId="43" borderId="86" xfId="208" applyNumberFormat="1" applyFont="1" applyFill="1" applyBorder="1" applyAlignment="1" applyProtection="1">
      <alignment vertical="center"/>
    </xf>
    <xf numFmtId="167" fontId="64" fillId="43" borderId="1" xfId="271" applyFont="1" applyFill="1" applyBorder="1" applyAlignment="1" applyProtection="1">
      <alignment vertical="center"/>
      <protection locked="0"/>
    </xf>
    <xf numFmtId="167" fontId="66" fillId="43" borderId="36" xfId="271" applyFont="1" applyFill="1" applyBorder="1" applyAlignment="1" applyProtection="1">
      <alignment vertical="center"/>
    </xf>
    <xf numFmtId="167" fontId="64" fillId="43" borderId="86" xfId="271" applyFont="1" applyFill="1" applyBorder="1" applyAlignment="1" applyProtection="1">
      <alignment vertical="center"/>
    </xf>
    <xf numFmtId="3" fontId="64" fillId="43" borderId="0" xfId="270" applyNumberFormat="1" applyFont="1" applyFill="1" applyBorder="1" applyProtection="1"/>
    <xf numFmtId="3" fontId="64" fillId="43" borderId="50" xfId="270" applyNumberFormat="1" applyFont="1" applyFill="1" applyBorder="1" applyAlignment="1" applyProtection="1">
      <alignment horizontal="center"/>
    </xf>
    <xf numFmtId="3" fontId="23" fillId="43" borderId="84" xfId="269" applyNumberFormat="1" applyFont="1" applyFill="1" applyBorder="1" applyProtection="1"/>
    <xf numFmtId="3" fontId="64" fillId="43" borderId="0" xfId="270" applyNumberFormat="1" applyFont="1" applyFill="1" applyBorder="1" applyAlignment="1" applyProtection="1">
      <alignment horizontal="center"/>
    </xf>
    <xf numFmtId="167" fontId="64" fillId="43" borderId="0" xfId="271" applyFont="1" applyFill="1" applyBorder="1" applyProtection="1"/>
    <xf numFmtId="3" fontId="21" fillId="43" borderId="0" xfId="270" applyNumberFormat="1" applyFont="1" applyFill="1" applyBorder="1" applyProtection="1"/>
    <xf numFmtId="167" fontId="64" fillId="43" borderId="76" xfId="271" applyFont="1" applyFill="1" applyBorder="1" applyProtection="1"/>
    <xf numFmtId="167" fontId="64" fillId="43" borderId="41" xfId="271" applyFont="1" applyFill="1" applyBorder="1" applyProtection="1"/>
    <xf numFmtId="167" fontId="64" fillId="43" borderId="20" xfId="271" applyFont="1" applyFill="1" applyBorder="1" applyProtection="1"/>
    <xf numFmtId="3" fontId="66" fillId="43" borderId="23" xfId="4" applyNumberFormat="1" applyFont="1" applyFill="1" applyBorder="1" applyAlignment="1" applyProtection="1">
      <alignment horizontal="center"/>
    </xf>
    <xf numFmtId="167" fontId="23" fillId="43" borderId="0" xfId="271" applyFont="1" applyFill="1" applyBorder="1" applyProtection="1">
      <protection locked="0"/>
    </xf>
    <xf numFmtId="3" fontId="23" fillId="43" borderId="187" xfId="269" applyNumberFormat="1" applyFont="1" applyFill="1" applyBorder="1" applyProtection="1"/>
    <xf numFmtId="3" fontId="23" fillId="43" borderId="185" xfId="269" applyNumberFormat="1" applyFont="1" applyFill="1" applyBorder="1" applyProtection="1"/>
    <xf numFmtId="3" fontId="66" fillId="43" borderId="133" xfId="4" applyNumberFormat="1" applyFont="1" applyFill="1" applyBorder="1" applyAlignment="1" applyProtection="1">
      <alignment horizontal="center"/>
    </xf>
    <xf numFmtId="167" fontId="23" fillId="43" borderId="187" xfId="271" applyFont="1" applyFill="1" applyBorder="1" applyProtection="1"/>
    <xf numFmtId="0" fontId="23" fillId="43" borderId="187" xfId="208" applyFont="1" applyFill="1" applyBorder="1" applyProtection="1"/>
    <xf numFmtId="167" fontId="23" fillId="43" borderId="187" xfId="271" applyFont="1" applyFill="1" applyBorder="1" applyProtection="1">
      <protection locked="0"/>
    </xf>
    <xf numFmtId="167" fontId="66" fillId="43" borderId="185" xfId="271" applyFont="1" applyFill="1" applyBorder="1" applyProtection="1"/>
    <xf numFmtId="167" fontId="23" fillId="43" borderId="188" xfId="271" applyFont="1" applyFill="1" applyBorder="1" applyProtection="1"/>
    <xf numFmtId="167" fontId="23" fillId="43" borderId="179" xfId="271" applyFont="1" applyFill="1" applyBorder="1" applyProtection="1"/>
    <xf numFmtId="3" fontId="191" fillId="43" borderId="0" xfId="269" applyNumberFormat="1" applyFont="1" applyFill="1" applyBorder="1" applyProtection="1"/>
    <xf numFmtId="3" fontId="22" fillId="43" borderId="23" xfId="4" applyNumberFormat="1" applyFont="1" applyFill="1" applyBorder="1" applyAlignment="1" applyProtection="1">
      <alignment horizontal="center"/>
    </xf>
    <xf numFmtId="167" fontId="191" fillId="43" borderId="64" xfId="271" applyFont="1" applyFill="1" applyBorder="1" applyProtection="1"/>
    <xf numFmtId="3" fontId="191" fillId="43" borderId="17" xfId="269" applyNumberFormat="1" applyFont="1" applyFill="1" applyBorder="1" applyProtection="1"/>
    <xf numFmtId="167" fontId="191" fillId="43" borderId="0" xfId="271" applyFont="1" applyFill="1" applyBorder="1" applyProtection="1"/>
    <xf numFmtId="167" fontId="191" fillId="43" borderId="0" xfId="271" applyFont="1" applyFill="1" applyBorder="1" applyProtection="1">
      <protection locked="0"/>
    </xf>
    <xf numFmtId="167" fontId="66" fillId="43" borderId="0" xfId="271" applyFont="1" applyFill="1" applyProtection="1"/>
    <xf numFmtId="3" fontId="76" fillId="43" borderId="110" xfId="269" applyNumberFormat="1" applyFont="1" applyFill="1" applyBorder="1" applyAlignment="1" applyProtection="1">
      <alignment horizontal="right" vertical="center"/>
    </xf>
    <xf numFmtId="0" fontId="76" fillId="43" borderId="110" xfId="269" applyFont="1" applyFill="1" applyBorder="1" applyAlignment="1" applyProtection="1">
      <alignment horizontal="right" vertical="center"/>
    </xf>
    <xf numFmtId="3" fontId="22" fillId="43" borderId="31" xfId="4" applyNumberFormat="1" applyFont="1" applyFill="1" applyBorder="1" applyAlignment="1" applyProtection="1">
      <alignment horizontal="center"/>
    </xf>
    <xf numFmtId="167" fontId="76" fillId="43" borderId="19" xfId="271" applyFont="1" applyFill="1" applyBorder="1" applyAlignment="1" applyProtection="1">
      <alignment horizontal="right" vertical="center"/>
    </xf>
    <xf numFmtId="0" fontId="76" fillId="43" borderId="0" xfId="269" applyFont="1" applyFill="1" applyBorder="1" applyAlignment="1" applyProtection="1">
      <alignment horizontal="right" vertical="center"/>
    </xf>
    <xf numFmtId="167" fontId="66" fillId="43" borderId="110" xfId="271" applyFont="1" applyFill="1" applyBorder="1" applyAlignment="1" applyProtection="1">
      <alignment horizontal="centerContinuous" vertical="center"/>
    </xf>
    <xf numFmtId="167" fontId="76" fillId="43" borderId="99" xfId="271" applyFont="1" applyFill="1" applyBorder="1" applyAlignment="1" applyProtection="1">
      <alignment horizontal="right" vertical="center"/>
    </xf>
    <xf numFmtId="3" fontId="23" fillId="43" borderId="55" xfId="208" applyNumberFormat="1" applyFont="1" applyFill="1" applyBorder="1" applyAlignment="1" applyProtection="1">
      <alignment horizontal="right" vertical="center"/>
    </xf>
    <xf numFmtId="3" fontId="23" fillId="43" borderId="126" xfId="208" applyNumberFormat="1" applyFont="1" applyFill="1" applyBorder="1" applyAlignment="1" applyProtection="1">
      <alignment horizontal="right" vertical="center"/>
    </xf>
    <xf numFmtId="0" fontId="23" fillId="43" borderId="126" xfId="208" applyFont="1" applyFill="1" applyBorder="1" applyAlignment="1" applyProtection="1">
      <alignment horizontal="right" vertical="center"/>
    </xf>
    <xf numFmtId="167" fontId="21" fillId="43" borderId="55" xfId="271" applyFont="1" applyFill="1" applyBorder="1" applyAlignment="1" applyProtection="1">
      <alignment horizontal="right" vertical="center"/>
    </xf>
    <xf numFmtId="3" fontId="21" fillId="43" borderId="55" xfId="208" applyNumberFormat="1" applyFont="1" applyFill="1" applyBorder="1" applyAlignment="1" applyProtection="1">
      <alignment horizontal="right" vertical="center"/>
    </xf>
    <xf numFmtId="167" fontId="66" fillId="43" borderId="126" xfId="271" applyFont="1" applyFill="1" applyBorder="1" applyAlignment="1" applyProtection="1">
      <alignment vertical="center"/>
    </xf>
    <xf numFmtId="167" fontId="21" fillId="43" borderId="56" xfId="271" applyFont="1" applyFill="1" applyBorder="1" applyAlignment="1" applyProtection="1">
      <alignment horizontal="right" vertical="center"/>
    </xf>
    <xf numFmtId="3" fontId="23" fillId="43" borderId="0" xfId="269" applyNumberFormat="1" applyFont="1" applyFill="1" applyBorder="1" applyAlignment="1" applyProtection="1">
      <alignment horizontal="right"/>
    </xf>
    <xf numFmtId="0" fontId="23" fillId="43" borderId="50" xfId="269" applyFont="1" applyFill="1" applyBorder="1" applyAlignment="1" applyProtection="1"/>
    <xf numFmtId="3" fontId="23" fillId="43" borderId="111" xfId="269" applyNumberFormat="1" applyFont="1" applyFill="1" applyBorder="1" applyAlignment="1" applyProtection="1">
      <alignment horizontal="right"/>
    </xf>
    <xf numFmtId="3" fontId="23" fillId="43" borderId="50" xfId="269" applyNumberFormat="1" applyFont="1" applyFill="1" applyBorder="1" applyAlignment="1" applyProtection="1"/>
    <xf numFmtId="3" fontId="23" fillId="43" borderId="83" xfId="269" applyNumberFormat="1" applyFont="1" applyFill="1" applyBorder="1" applyAlignment="1" applyProtection="1">
      <alignment horizontal="right"/>
    </xf>
    <xf numFmtId="167" fontId="23" fillId="43" borderId="0" xfId="271" applyFont="1" applyFill="1" applyBorder="1" applyAlignment="1" applyProtection="1">
      <alignment horizontal="right"/>
    </xf>
    <xf numFmtId="167" fontId="66" fillId="43" borderId="58" xfId="271" applyFont="1" applyFill="1" applyBorder="1" applyProtection="1"/>
    <xf numFmtId="3" fontId="23" fillId="38" borderId="0" xfId="269" applyNumberFormat="1" applyFont="1" applyFill="1" applyBorder="1" applyAlignment="1" applyProtection="1">
      <alignment horizontal="right"/>
    </xf>
    <xf numFmtId="0" fontId="23" fillId="43" borderId="117" xfId="208" applyFont="1" applyFill="1" applyBorder="1" applyProtection="1"/>
    <xf numFmtId="3" fontId="23" fillId="36" borderId="78" xfId="269" applyNumberFormat="1" applyFont="1" applyFill="1" applyBorder="1" applyAlignment="1" applyProtection="1">
      <alignment horizontal="right"/>
    </xf>
    <xf numFmtId="3" fontId="23" fillId="38" borderId="7" xfId="269" applyNumberFormat="1" applyFont="1" applyFill="1" applyBorder="1" applyAlignment="1" applyProtection="1">
      <alignment horizontal="right"/>
    </xf>
    <xf numFmtId="3" fontId="23" fillId="38" borderId="23" xfId="269" applyNumberFormat="1" applyFont="1" applyFill="1" applyBorder="1" applyAlignment="1" applyProtection="1">
      <alignment horizontal="right"/>
    </xf>
    <xf numFmtId="3" fontId="23" fillId="43" borderId="117" xfId="208" applyNumberFormat="1" applyFont="1" applyFill="1" applyBorder="1" applyProtection="1"/>
    <xf numFmtId="167" fontId="23" fillId="43" borderId="44" xfId="271" applyFont="1" applyFill="1" applyBorder="1" applyAlignment="1" applyProtection="1">
      <alignment horizontal="right"/>
    </xf>
    <xf numFmtId="167" fontId="23" fillId="38" borderId="40" xfId="271" applyFont="1" applyFill="1" applyBorder="1" applyProtection="1"/>
    <xf numFmtId="167" fontId="23" fillId="38" borderId="0" xfId="271" applyFont="1" applyFill="1" applyBorder="1" applyProtection="1"/>
    <xf numFmtId="0" fontId="22" fillId="43" borderId="117" xfId="208" applyFont="1" applyFill="1" applyBorder="1" applyProtection="1"/>
    <xf numFmtId="3" fontId="22" fillId="43" borderId="117" xfId="208" applyNumberFormat="1" applyFont="1" applyFill="1" applyBorder="1" applyProtection="1"/>
    <xf numFmtId="3" fontId="23" fillId="38" borderId="187" xfId="270" applyNumberFormat="1" applyFont="1" applyFill="1" applyBorder="1" applyAlignment="1" applyProtection="1">
      <alignment horizontal="right"/>
    </xf>
    <xf numFmtId="3" fontId="23" fillId="43" borderId="186" xfId="270" applyNumberFormat="1" applyFont="1" applyFill="1" applyBorder="1" applyAlignment="1" applyProtection="1"/>
    <xf numFmtId="3" fontId="23" fillId="36" borderId="196" xfId="270" applyNumberFormat="1" applyFont="1" applyFill="1" applyBorder="1" applyAlignment="1" applyProtection="1">
      <alignment horizontal="right"/>
    </xf>
    <xf numFmtId="3" fontId="23" fillId="38" borderId="193" xfId="270" applyNumberFormat="1" applyFont="1" applyFill="1" applyBorder="1" applyAlignment="1" applyProtection="1">
      <alignment horizontal="right"/>
    </xf>
    <xf numFmtId="0" fontId="23" fillId="43" borderId="186" xfId="270" applyFont="1" applyFill="1" applyBorder="1" applyAlignment="1" applyProtection="1"/>
    <xf numFmtId="3" fontId="23" fillId="38" borderId="92" xfId="270" applyNumberFormat="1" applyFont="1" applyFill="1" applyBorder="1" applyAlignment="1" applyProtection="1">
      <alignment horizontal="right"/>
    </xf>
    <xf numFmtId="3" fontId="23" fillId="43" borderId="92" xfId="270" applyNumberFormat="1" applyFont="1" applyFill="1" applyBorder="1" applyAlignment="1" applyProtection="1">
      <alignment horizontal="center"/>
    </xf>
    <xf numFmtId="167" fontId="23" fillId="43" borderId="122" xfId="271" applyFont="1" applyFill="1" applyBorder="1" applyAlignment="1" applyProtection="1">
      <alignment horizontal="right"/>
    </xf>
    <xf numFmtId="3" fontId="21" fillId="43" borderId="187" xfId="270" applyNumberFormat="1" applyFont="1" applyFill="1" applyBorder="1" applyAlignment="1" applyProtection="1">
      <alignment horizontal="right"/>
    </xf>
    <xf numFmtId="167" fontId="23" fillId="38" borderId="122" xfId="271" applyFont="1" applyFill="1" applyBorder="1" applyProtection="1"/>
    <xf numFmtId="167" fontId="21" fillId="28" borderId="195" xfId="271" applyFont="1" applyFill="1" applyBorder="1" applyProtection="1">
      <protection locked="0"/>
    </xf>
    <xf numFmtId="167" fontId="21" fillId="43" borderId="185" xfId="271" applyFont="1" applyFill="1" applyBorder="1" applyProtection="1"/>
    <xf numFmtId="167" fontId="21" fillId="36" borderId="186" xfId="271" applyFont="1" applyFill="1" applyBorder="1" applyProtection="1"/>
    <xf numFmtId="167" fontId="23" fillId="38" borderId="187" xfId="271" applyFont="1" applyFill="1" applyBorder="1" applyProtection="1"/>
    <xf numFmtId="3" fontId="23" fillId="43" borderId="78" xfId="269" applyNumberFormat="1" applyFont="1" applyFill="1" applyBorder="1" applyAlignment="1" applyProtection="1">
      <alignment horizontal="right"/>
    </xf>
    <xf numFmtId="3" fontId="23" fillId="43" borderId="7" xfId="269" applyNumberFormat="1" applyFont="1" applyFill="1" applyBorder="1" applyAlignment="1" applyProtection="1">
      <alignment horizontal="right"/>
    </xf>
    <xf numFmtId="3" fontId="23" fillId="43" borderId="23" xfId="269" applyNumberFormat="1" applyFont="1" applyFill="1" applyBorder="1" applyAlignment="1" applyProtection="1">
      <alignment horizontal="right"/>
      <protection locked="0"/>
    </xf>
    <xf numFmtId="3" fontId="23" fillId="43" borderId="41" xfId="208" applyNumberFormat="1" applyFont="1" applyFill="1" applyBorder="1" applyProtection="1"/>
    <xf numFmtId="3" fontId="23" fillId="43" borderId="0" xfId="208" applyNumberFormat="1" applyFont="1" applyFill="1" applyBorder="1" applyProtection="1"/>
    <xf numFmtId="3" fontId="23" fillId="38" borderId="20" xfId="269" applyNumberFormat="1" applyFont="1" applyFill="1" applyBorder="1" applyAlignment="1" applyProtection="1">
      <alignment horizontal="right"/>
    </xf>
    <xf numFmtId="3" fontId="23" fillId="43" borderId="20" xfId="269" applyNumberFormat="1" applyFont="1" applyFill="1" applyBorder="1" applyAlignment="1" applyProtection="1">
      <alignment horizontal="right"/>
    </xf>
    <xf numFmtId="3" fontId="23" fillId="43" borderId="7" xfId="269" applyNumberFormat="1" applyFont="1" applyFill="1" applyBorder="1" applyAlignment="1" applyProtection="1">
      <alignment horizontal="right"/>
      <protection locked="0"/>
    </xf>
    <xf numFmtId="3" fontId="23" fillId="43" borderId="117" xfId="269" applyNumberFormat="1" applyFont="1" applyFill="1" applyBorder="1" applyAlignment="1" applyProtection="1"/>
    <xf numFmtId="0" fontId="23" fillId="43" borderId="117" xfId="269" applyFont="1" applyFill="1" applyBorder="1" applyAlignment="1" applyProtection="1"/>
    <xf numFmtId="3" fontId="66" fillId="43" borderId="39" xfId="4" applyNumberFormat="1" applyFont="1" applyFill="1" applyBorder="1" applyAlignment="1" applyProtection="1">
      <alignment horizontal="center"/>
    </xf>
    <xf numFmtId="3" fontId="23" fillId="38" borderId="189" xfId="269" applyNumberFormat="1" applyFont="1" applyFill="1" applyBorder="1" applyAlignment="1" applyProtection="1">
      <alignment horizontal="right"/>
    </xf>
    <xf numFmtId="3" fontId="23" fillId="43" borderId="186" xfId="269" applyNumberFormat="1" applyFont="1" applyFill="1" applyBorder="1" applyAlignment="1" applyProtection="1"/>
    <xf numFmtId="3" fontId="23" fillId="36" borderId="196" xfId="269" applyNumberFormat="1" applyFont="1" applyFill="1" applyBorder="1" applyAlignment="1" applyProtection="1">
      <alignment horizontal="right"/>
    </xf>
    <xf numFmtId="3" fontId="23" fillId="38" borderId="193" xfId="269" applyNumberFormat="1" applyFont="1" applyFill="1" applyBorder="1" applyAlignment="1" applyProtection="1">
      <alignment horizontal="right"/>
    </xf>
    <xf numFmtId="0" fontId="23" fillId="43" borderId="186" xfId="269" applyFont="1" applyFill="1" applyBorder="1" applyAlignment="1" applyProtection="1"/>
    <xf numFmtId="3" fontId="23" fillId="43" borderId="187" xfId="269" applyNumberFormat="1" applyFont="1" applyFill="1" applyBorder="1" applyAlignment="1" applyProtection="1">
      <alignment horizontal="right"/>
    </xf>
    <xf numFmtId="167" fontId="23" fillId="38" borderId="195" xfId="271" applyFont="1" applyFill="1" applyBorder="1" applyProtection="1"/>
    <xf numFmtId="167" fontId="23" fillId="43" borderId="186" xfId="271" applyFont="1" applyFill="1" applyBorder="1" applyProtection="1"/>
    <xf numFmtId="3" fontId="23" fillId="43" borderId="188" xfId="208" applyNumberFormat="1" applyFont="1" applyFill="1" applyBorder="1" applyProtection="1"/>
    <xf numFmtId="3" fontId="23" fillId="43" borderId="187" xfId="208" applyNumberFormat="1" applyFont="1" applyFill="1" applyBorder="1" applyProtection="1"/>
    <xf numFmtId="0" fontId="66" fillId="43" borderId="0" xfId="4" applyFont="1" applyFill="1" applyProtection="1"/>
    <xf numFmtId="0" fontId="66" fillId="43" borderId="0" xfId="4" applyFont="1" applyFill="1" applyBorder="1" applyAlignment="1" applyProtection="1">
      <alignment horizontal="center"/>
    </xf>
    <xf numFmtId="0" fontId="21" fillId="43" borderId="0" xfId="208" applyFont="1" applyFill="1" applyBorder="1" applyProtection="1"/>
    <xf numFmtId="0" fontId="66" fillId="43" borderId="0" xfId="208" applyFont="1" applyFill="1" applyBorder="1" applyProtection="1"/>
    <xf numFmtId="1" fontId="21" fillId="43" borderId="0" xfId="269" applyNumberFormat="1" applyFont="1" applyFill="1" applyBorder="1" applyAlignment="1" applyProtection="1">
      <alignment horizontal="center"/>
    </xf>
    <xf numFmtId="167" fontId="21" fillId="43" borderId="23" xfId="271" applyFont="1" applyFill="1" applyBorder="1" applyAlignment="1" applyProtection="1">
      <alignment vertical="center"/>
    </xf>
    <xf numFmtId="215" fontId="21" fillId="43" borderId="0" xfId="271" applyNumberFormat="1" applyFont="1" applyFill="1" applyBorder="1" applyProtection="1"/>
    <xf numFmtId="167" fontId="193" fillId="26" borderId="31" xfId="271" applyFont="1" applyFill="1" applyBorder="1" applyAlignment="1" applyProtection="1">
      <alignment horizontal="right" vertical="center"/>
    </xf>
    <xf numFmtId="170" fontId="23" fillId="0" borderId="0" xfId="208" applyNumberFormat="1" applyFont="1" applyBorder="1" applyProtection="1">
      <protection locked="0"/>
    </xf>
    <xf numFmtId="3" fontId="23" fillId="0" borderId="0" xfId="208" applyNumberFormat="1" applyFont="1" applyBorder="1" applyProtection="1">
      <protection locked="0"/>
    </xf>
    <xf numFmtId="4" fontId="23" fillId="0" borderId="0" xfId="208" applyNumberFormat="1" applyFont="1" applyBorder="1" applyProtection="1">
      <protection locked="0"/>
    </xf>
    <xf numFmtId="0" fontId="66" fillId="0" borderId="0" xfId="272" applyFont="1" applyBorder="1" applyProtection="1">
      <protection locked="0"/>
    </xf>
    <xf numFmtId="0" fontId="66" fillId="0" borderId="0" xfId="272" applyFont="1" applyFill="1" applyBorder="1" applyProtection="1">
      <protection locked="0"/>
    </xf>
    <xf numFmtId="3" fontId="23" fillId="0" borderId="36" xfId="270" applyNumberFormat="1" applyFont="1" applyBorder="1" applyAlignment="1" applyProtection="1">
      <alignment horizontal="center" vertical="center"/>
      <protection locked="0"/>
    </xf>
    <xf numFmtId="0" fontId="21" fillId="0" borderId="0" xfId="208" applyFont="1" applyFill="1" applyBorder="1" applyAlignment="1" applyProtection="1">
      <alignment vertical="center"/>
      <protection locked="0"/>
    </xf>
    <xf numFmtId="0" fontId="21" fillId="0" borderId="0" xfId="270" applyFont="1" applyBorder="1" applyProtection="1">
      <protection locked="0"/>
    </xf>
    <xf numFmtId="0" fontId="194" fillId="28" borderId="16" xfId="269" applyFont="1" applyFill="1" applyBorder="1" applyAlignment="1" applyProtection="1">
      <alignment horizontal="left" vertical="center"/>
      <protection locked="0"/>
    </xf>
    <xf numFmtId="3" fontId="23" fillId="29" borderId="23" xfId="269" applyNumberFormat="1" applyFont="1" applyFill="1" applyBorder="1" applyProtection="1">
      <protection locked="0"/>
    </xf>
    <xf numFmtId="4" fontId="23" fillId="29" borderId="23" xfId="269" applyNumberFormat="1" applyFont="1" applyFill="1" applyBorder="1" applyProtection="1">
      <protection locked="0"/>
    </xf>
    <xf numFmtId="3" fontId="66" fillId="33" borderId="58" xfId="208" applyNumberFormat="1" applyFont="1" applyFill="1" applyBorder="1" applyAlignment="1" applyProtection="1"/>
    <xf numFmtId="3" fontId="66" fillId="33" borderId="20" xfId="208" applyNumberFormat="1" applyFont="1" applyFill="1" applyBorder="1" applyAlignment="1" applyProtection="1"/>
    <xf numFmtId="3" fontId="23" fillId="33" borderId="62" xfId="269" applyNumberFormat="1" applyFont="1" applyFill="1" applyBorder="1" applyAlignment="1" applyProtection="1"/>
    <xf numFmtId="3" fontId="23" fillId="33" borderId="189" xfId="269" applyNumberFormat="1" applyFont="1" applyFill="1" applyBorder="1" applyAlignment="1" applyProtection="1"/>
    <xf numFmtId="3" fontId="23" fillId="43" borderId="58" xfId="208" applyNumberFormat="1" applyFont="1" applyFill="1" applyBorder="1" applyAlignment="1" applyProtection="1"/>
    <xf numFmtId="3" fontId="23" fillId="43" borderId="20" xfId="208" applyNumberFormat="1" applyFont="1" applyFill="1" applyBorder="1" applyAlignment="1" applyProtection="1"/>
    <xf numFmtId="3" fontId="23" fillId="0" borderId="7" xfId="208" applyNumberFormat="1" applyFont="1" applyBorder="1" applyAlignment="1" applyProtection="1">
      <alignment horizontal="center" vertical="center"/>
    </xf>
    <xf numFmtId="0" fontId="23" fillId="0" borderId="20" xfId="269" applyFont="1" applyBorder="1" applyAlignment="1" applyProtection="1">
      <alignment vertical="center"/>
    </xf>
    <xf numFmtId="0" fontId="66" fillId="0" borderId="50" xfId="269" applyFont="1" applyBorder="1" applyAlignment="1" applyProtection="1">
      <alignment vertical="center"/>
    </xf>
    <xf numFmtId="49" fontId="21" fillId="0" borderId="40" xfId="269" applyNumberFormat="1" applyFont="1" applyBorder="1" applyAlignment="1" applyProtection="1">
      <alignment horizontal="right" vertical="center"/>
    </xf>
    <xf numFmtId="49" fontId="23" fillId="0" borderId="40" xfId="269" applyNumberFormat="1" applyFont="1" applyBorder="1" applyAlignment="1" applyProtection="1">
      <alignment horizontal="right" vertical="center"/>
    </xf>
    <xf numFmtId="0" fontId="21" fillId="0" borderId="0" xfId="2" applyBorder="1" applyAlignment="1" applyProtection="1">
      <alignment vertical="center"/>
    </xf>
    <xf numFmtId="0" fontId="23" fillId="0" borderId="0" xfId="208" applyFont="1" applyBorder="1" applyAlignment="1" applyProtection="1">
      <alignment vertical="center"/>
      <protection locked="0"/>
    </xf>
    <xf numFmtId="3" fontId="23" fillId="68" borderId="23" xfId="269" applyNumberFormat="1" applyFont="1" applyFill="1" applyBorder="1" applyAlignment="1" applyProtection="1">
      <alignment vertical="center"/>
      <protection locked="0"/>
    </xf>
    <xf numFmtId="0" fontId="21" fillId="0" borderId="7" xfId="2" applyFont="1" applyFill="1" applyBorder="1" applyAlignment="1" applyProtection="1">
      <alignment vertical="center"/>
    </xf>
    <xf numFmtId="167" fontId="23" fillId="0" borderId="0" xfId="271" applyFont="1" applyFill="1" applyBorder="1" applyAlignment="1" applyProtection="1">
      <alignment vertical="center"/>
    </xf>
    <xf numFmtId="167" fontId="23" fillId="36" borderId="22" xfId="271" applyFont="1" applyFill="1" applyBorder="1" applyAlignment="1" applyProtection="1">
      <alignment vertical="center"/>
    </xf>
    <xf numFmtId="3" fontId="23" fillId="33" borderId="58" xfId="269" applyNumberFormat="1" applyFont="1" applyFill="1" applyBorder="1" applyAlignment="1" applyProtection="1">
      <alignment vertical="center"/>
    </xf>
    <xf numFmtId="3" fontId="23" fillId="33" borderId="20" xfId="269" applyNumberFormat="1" applyFont="1" applyFill="1" applyBorder="1" applyAlignment="1" applyProtection="1">
      <alignment vertical="center"/>
    </xf>
    <xf numFmtId="3" fontId="23" fillId="29" borderId="40" xfId="269" applyNumberFormat="1" applyFont="1" applyFill="1" applyBorder="1" applyAlignment="1" applyProtection="1">
      <alignment vertical="center"/>
    </xf>
    <xf numFmtId="3" fontId="23" fillId="43" borderId="50" xfId="269" applyNumberFormat="1" applyFont="1" applyFill="1" applyBorder="1" applyAlignment="1" applyProtection="1">
      <alignment vertical="center"/>
    </xf>
    <xf numFmtId="3" fontId="23" fillId="36" borderId="117" xfId="269" applyNumberFormat="1" applyFont="1" applyFill="1" applyBorder="1" applyAlignment="1" applyProtection="1">
      <alignment vertical="center"/>
    </xf>
    <xf numFmtId="3" fontId="23" fillId="36" borderId="78" xfId="269" applyNumberFormat="1" applyFont="1" applyFill="1" applyBorder="1" applyAlignment="1" applyProtection="1">
      <alignment vertical="center"/>
    </xf>
    <xf numFmtId="3" fontId="66" fillId="28" borderId="39" xfId="208" applyNumberFormat="1" applyFont="1" applyFill="1" applyBorder="1" applyAlignment="1" applyProtection="1">
      <alignment vertical="center"/>
    </xf>
    <xf numFmtId="167" fontId="23" fillId="69" borderId="0" xfId="271" applyFont="1" applyFill="1" applyBorder="1" applyAlignment="1" applyProtection="1">
      <alignment vertical="center"/>
    </xf>
    <xf numFmtId="3" fontId="23" fillId="51" borderId="0" xfId="269" applyNumberFormat="1" applyFont="1" applyFill="1" applyBorder="1" applyAlignment="1" applyProtection="1">
      <alignment vertical="center"/>
      <protection locked="0"/>
    </xf>
    <xf numFmtId="3" fontId="66" fillId="28" borderId="39" xfId="4" applyNumberFormat="1" applyFont="1" applyFill="1" applyBorder="1" applyAlignment="1" applyProtection="1">
      <alignment vertical="center"/>
    </xf>
    <xf numFmtId="167" fontId="23" fillId="29" borderId="40" xfId="271" applyFont="1" applyFill="1" applyBorder="1" applyAlignment="1" applyProtection="1">
      <alignment vertical="center"/>
    </xf>
    <xf numFmtId="167" fontId="23" fillId="28" borderId="40" xfId="271" applyFont="1" applyFill="1" applyBorder="1" applyAlignment="1" applyProtection="1">
      <alignment vertical="center"/>
      <protection locked="0"/>
    </xf>
    <xf numFmtId="167" fontId="23" fillId="36" borderId="117" xfId="271" applyFont="1" applyFill="1" applyBorder="1" applyAlignment="1" applyProtection="1">
      <alignment vertical="center"/>
    </xf>
    <xf numFmtId="167" fontId="23" fillId="43" borderId="41" xfId="271" applyFont="1" applyFill="1" applyBorder="1" applyAlignment="1" applyProtection="1">
      <alignment vertical="center"/>
    </xf>
    <xf numFmtId="167" fontId="23" fillId="29" borderId="20" xfId="271" applyFont="1" applyFill="1" applyBorder="1" applyAlignment="1" applyProtection="1">
      <alignment vertical="center"/>
    </xf>
    <xf numFmtId="2" fontId="131" fillId="0" borderId="149" xfId="208" applyNumberFormat="1" applyFont="1" applyBorder="1" applyAlignment="1">
      <alignment horizontal="center"/>
    </xf>
    <xf numFmtId="0" fontId="11" fillId="0" borderId="0" xfId="258" applyFont="1"/>
    <xf numFmtId="9" fontId="83" fillId="0" borderId="0" xfId="0" applyNumberFormat="1" applyFont="1" applyBorder="1" applyProtection="1">
      <protection locked="0"/>
    </xf>
    <xf numFmtId="195" fontId="78" fillId="43" borderId="50" xfId="218" applyNumberFormat="1" applyFont="1" applyFill="1" applyBorder="1" applyAlignment="1" applyProtection="1"/>
    <xf numFmtId="195" fontId="78" fillId="36" borderId="50" xfId="218" applyNumberFormat="1" applyFont="1" applyFill="1" applyBorder="1" applyAlignment="1" applyProtection="1">
      <protection locked="0"/>
    </xf>
    <xf numFmtId="191" fontId="103" fillId="43" borderId="50" xfId="218" applyNumberFormat="1" applyFont="1" applyFill="1" applyBorder="1" applyAlignment="1" applyProtection="1"/>
    <xf numFmtId="191" fontId="78" fillId="43" borderId="50" xfId="218" applyNumberFormat="1" applyFont="1" applyFill="1" applyBorder="1" applyAlignment="1" applyProtection="1"/>
    <xf numFmtId="191" fontId="103" fillId="43" borderId="40" xfId="218" applyNumberFormat="1" applyFont="1" applyFill="1" applyBorder="1" applyAlignment="1" applyProtection="1"/>
    <xf numFmtId="0" fontId="57" fillId="26" borderId="36" xfId="1" applyFont="1" applyFill="1" applyBorder="1" applyAlignment="1" applyProtection="1">
      <alignment vertical="center"/>
      <protection locked="0"/>
    </xf>
    <xf numFmtId="0" fontId="57" fillId="26" borderId="70" xfId="1" applyFont="1" applyFill="1" applyBorder="1" applyAlignment="1" applyProtection="1">
      <alignment vertical="center"/>
      <protection locked="0"/>
    </xf>
    <xf numFmtId="0" fontId="57" fillId="26" borderId="72" xfId="1" applyFont="1" applyFill="1" applyBorder="1" applyAlignment="1" applyProtection="1">
      <alignment vertical="center"/>
      <protection locked="0"/>
    </xf>
    <xf numFmtId="0" fontId="57" fillId="26" borderId="73" xfId="1" applyFont="1" applyFill="1" applyBorder="1" applyAlignment="1" applyProtection="1">
      <alignment vertical="center"/>
      <protection locked="0"/>
    </xf>
    <xf numFmtId="0" fontId="57" fillId="26" borderId="46" xfId="1" applyFont="1" applyFill="1" applyBorder="1" applyAlignment="1" applyProtection="1">
      <alignment vertical="center"/>
      <protection locked="0"/>
    </xf>
    <xf numFmtId="0" fontId="87" fillId="0" borderId="25" xfId="269" applyFont="1" applyBorder="1" applyAlignment="1" applyProtection="1">
      <alignment horizontal="center"/>
    </xf>
    <xf numFmtId="0" fontId="87" fillId="0" borderId="19" xfId="269" applyFont="1" applyBorder="1" applyAlignment="1" applyProtection="1">
      <alignment horizontal="center"/>
    </xf>
    <xf numFmtId="0" fontId="23" fillId="0" borderId="0" xfId="0" applyFont="1" applyFill="1" applyBorder="1" applyAlignment="1" applyProtection="1">
      <alignment horizontal="center"/>
    </xf>
    <xf numFmtId="0" fontId="21" fillId="43" borderId="0" xfId="0" applyFont="1" applyFill="1" applyBorder="1" applyAlignment="1" applyProtection="1">
      <alignment horizontal="center"/>
    </xf>
    <xf numFmtId="0" fontId="120" fillId="0" borderId="31" xfId="216" applyFont="1" applyFill="1" applyBorder="1" applyAlignment="1" applyProtection="1">
      <alignment horizontal="center"/>
    </xf>
    <xf numFmtId="0" fontId="21" fillId="29" borderId="21" xfId="269" applyFont="1" applyFill="1" applyBorder="1" applyAlignment="1" applyProtection="1">
      <alignment horizontal="centerContinuous"/>
    </xf>
    <xf numFmtId="0" fontId="21" fillId="29" borderId="179" xfId="269" applyFont="1" applyFill="1" applyBorder="1" applyAlignment="1" applyProtection="1">
      <alignment horizontal="centerContinuous"/>
    </xf>
    <xf numFmtId="167" fontId="23" fillId="29" borderId="23" xfId="271" applyFont="1" applyFill="1" applyBorder="1" applyProtection="1">
      <protection locked="0"/>
    </xf>
    <xf numFmtId="167" fontId="23" fillId="29" borderId="23" xfId="271" applyFont="1" applyFill="1" applyBorder="1" applyAlignment="1" applyProtection="1">
      <alignment vertical="center" wrapText="1"/>
      <protection locked="0"/>
    </xf>
    <xf numFmtId="3" fontId="69" fillId="70" borderId="7" xfId="217" applyNumberFormat="1" applyFont="1" applyFill="1" applyBorder="1" applyAlignment="1" applyProtection="1">
      <protection locked="0"/>
    </xf>
    <xf numFmtId="3" fontId="78" fillId="70" borderId="50" xfId="217" applyNumberFormat="1" applyFont="1" applyFill="1" applyBorder="1" applyAlignment="1" applyProtection="1">
      <alignment horizontal="center"/>
      <protection locked="0"/>
    </xf>
    <xf numFmtId="3" fontId="78" fillId="70" borderId="40" xfId="217" applyNumberFormat="1" applyFont="1" applyFill="1" applyBorder="1" applyAlignment="1" applyProtection="1">
      <alignment horizontal="center"/>
      <protection locked="0"/>
    </xf>
    <xf numFmtId="3" fontId="78" fillId="70" borderId="50" xfId="218" applyNumberFormat="1" applyFont="1" applyFill="1" applyBorder="1" applyAlignment="1" applyProtection="1">
      <protection locked="0"/>
    </xf>
    <xf numFmtId="4" fontId="78" fillId="70" borderId="50" xfId="218" applyNumberFormat="1" applyFont="1" applyFill="1" applyBorder="1" applyAlignment="1" applyProtection="1">
      <protection locked="0"/>
    </xf>
    <xf numFmtId="4" fontId="78" fillId="70" borderId="0" xfId="218" applyNumberFormat="1" applyFont="1" applyFill="1" applyBorder="1" applyAlignment="1" applyProtection="1">
      <protection locked="0"/>
    </xf>
    <xf numFmtId="4" fontId="69" fillId="70" borderId="40" xfId="218" applyNumberFormat="1" applyFont="1" applyFill="1" applyBorder="1" applyAlignment="1" applyProtection="1"/>
    <xf numFmtId="4" fontId="78" fillId="70" borderId="40" xfId="218" applyNumberFormat="1" applyFont="1" applyFill="1" applyBorder="1" applyAlignment="1" applyProtection="1">
      <protection locked="0"/>
    </xf>
    <xf numFmtId="4" fontId="78" fillId="70" borderId="22" xfId="218" applyNumberFormat="1" applyFont="1" applyFill="1" applyBorder="1" applyAlignment="1" applyProtection="1">
      <protection locked="0"/>
    </xf>
    <xf numFmtId="4" fontId="78" fillId="70" borderId="40" xfId="218" applyNumberFormat="1" applyFont="1" applyFill="1" applyBorder="1" applyAlignment="1" applyProtection="1"/>
    <xf numFmtId="4" fontId="69" fillId="70" borderId="21" xfId="218" applyNumberFormat="1" applyFont="1" applyFill="1" applyBorder="1" applyAlignment="1" applyProtection="1"/>
    <xf numFmtId="4" fontId="78" fillId="70" borderId="7" xfId="218" applyNumberFormat="1" applyFont="1" applyFill="1" applyBorder="1" applyAlignment="1" applyProtection="1"/>
    <xf numFmtId="4" fontId="78" fillId="70" borderId="66" xfId="218" applyNumberFormat="1" applyFont="1" applyFill="1" applyBorder="1" applyAlignment="1" applyProtection="1"/>
    <xf numFmtId="4" fontId="69" fillId="70" borderId="41" xfId="218" applyNumberFormat="1" applyFont="1" applyFill="1" applyBorder="1" applyAlignment="1" applyProtection="1"/>
    <xf numFmtId="3" fontId="78" fillId="70" borderId="40" xfId="218" applyNumberFormat="1" applyFont="1" applyFill="1" applyBorder="1" applyAlignment="1" applyProtection="1"/>
    <xf numFmtId="3" fontId="69" fillId="70" borderId="41" xfId="218" applyNumberFormat="1" applyFont="1" applyFill="1" applyBorder="1" applyAlignment="1" applyProtection="1"/>
    <xf numFmtId="4" fontId="78" fillId="70" borderId="20" xfId="218" applyNumberFormat="1" applyFont="1" applyFill="1" applyBorder="1" applyAlignment="1" applyProtection="1">
      <protection locked="0"/>
    </xf>
    <xf numFmtId="3" fontId="100" fillId="70" borderId="20" xfId="218" applyNumberFormat="1" applyFont="1" applyFill="1" applyBorder="1" applyAlignment="1" applyProtection="1">
      <protection locked="0"/>
    </xf>
    <xf numFmtId="3" fontId="195" fillId="70" borderId="66" xfId="218" applyNumberFormat="1" applyFont="1" applyFill="1" applyBorder="1" applyAlignment="1" applyProtection="1">
      <protection locked="0"/>
    </xf>
    <xf numFmtId="3" fontId="69" fillId="71" borderId="7" xfId="217" applyNumberFormat="1" applyFont="1" applyFill="1" applyBorder="1" applyAlignment="1" applyProtection="1">
      <protection locked="0"/>
    </xf>
    <xf numFmtId="3" fontId="78" fillId="71" borderId="50" xfId="217" applyNumberFormat="1" applyFont="1" applyFill="1" applyBorder="1" applyAlignment="1" applyProtection="1">
      <alignment horizontal="center"/>
      <protection locked="0"/>
    </xf>
    <xf numFmtId="3" fontId="78" fillId="71" borderId="40" xfId="217" applyNumberFormat="1" applyFont="1" applyFill="1" applyBorder="1" applyAlignment="1" applyProtection="1">
      <alignment horizontal="center"/>
      <protection locked="0"/>
    </xf>
    <xf numFmtId="3" fontId="78" fillId="71" borderId="50" xfId="218" applyNumberFormat="1" applyFont="1" applyFill="1" applyBorder="1" applyAlignment="1" applyProtection="1">
      <protection locked="0"/>
    </xf>
    <xf numFmtId="4" fontId="78" fillId="71" borderId="50" xfId="218" applyNumberFormat="1" applyFont="1" applyFill="1" applyBorder="1" applyAlignment="1" applyProtection="1">
      <protection locked="0"/>
    </xf>
    <xf numFmtId="4" fontId="78" fillId="71" borderId="0" xfId="218" applyNumberFormat="1" applyFont="1" applyFill="1" applyBorder="1" applyAlignment="1" applyProtection="1">
      <protection locked="0"/>
    </xf>
    <xf numFmtId="4" fontId="69" fillId="71" borderId="40" xfId="218" applyNumberFormat="1" applyFont="1" applyFill="1" applyBorder="1" applyAlignment="1" applyProtection="1"/>
    <xf numFmtId="4" fontId="78" fillId="71" borderId="40" xfId="218" applyNumberFormat="1" applyFont="1" applyFill="1" applyBorder="1" applyAlignment="1" applyProtection="1">
      <protection locked="0"/>
    </xf>
    <xf numFmtId="4" fontId="78" fillId="71" borderId="22" xfId="218" applyNumberFormat="1" applyFont="1" applyFill="1" applyBorder="1" applyAlignment="1" applyProtection="1">
      <protection locked="0"/>
    </xf>
    <xf numFmtId="4" fontId="78" fillId="71" borderId="40" xfId="218" applyNumberFormat="1" applyFont="1" applyFill="1" applyBorder="1" applyAlignment="1" applyProtection="1"/>
    <xf numFmtId="4" fontId="69" fillId="71" borderId="21" xfId="218" applyNumberFormat="1" applyFont="1" applyFill="1" applyBorder="1" applyAlignment="1" applyProtection="1"/>
    <xf numFmtId="4" fontId="78" fillId="71" borderId="7" xfId="218" applyNumberFormat="1" applyFont="1" applyFill="1" applyBorder="1" applyAlignment="1" applyProtection="1"/>
    <xf numFmtId="4" fontId="78" fillId="71" borderId="66" xfId="218" applyNumberFormat="1" applyFont="1" applyFill="1" applyBorder="1" applyAlignment="1" applyProtection="1"/>
    <xf numFmtId="4" fontId="69" fillId="71" borderId="41" xfId="218" applyNumberFormat="1" applyFont="1" applyFill="1" applyBorder="1" applyAlignment="1" applyProtection="1"/>
    <xf numFmtId="3" fontId="78" fillId="71" borderId="40" xfId="218" applyNumberFormat="1" applyFont="1" applyFill="1" applyBorder="1" applyAlignment="1" applyProtection="1"/>
    <xf numFmtId="3" fontId="69" fillId="71" borderId="41" xfId="218" applyNumberFormat="1" applyFont="1" applyFill="1" applyBorder="1" applyAlignment="1" applyProtection="1"/>
    <xf numFmtId="4" fontId="78" fillId="71" borderId="20" xfId="218" applyNumberFormat="1" applyFont="1" applyFill="1" applyBorder="1" applyAlignment="1" applyProtection="1">
      <protection locked="0"/>
    </xf>
    <xf numFmtId="3" fontId="100" fillId="71" borderId="20" xfId="218" applyNumberFormat="1" applyFont="1" applyFill="1" applyBorder="1" applyAlignment="1" applyProtection="1">
      <protection locked="0"/>
    </xf>
    <xf numFmtId="3" fontId="195" fillId="71" borderId="66" xfId="218" applyNumberFormat="1" applyFont="1" applyFill="1" applyBorder="1" applyAlignment="1" applyProtection="1">
      <protection locked="0"/>
    </xf>
    <xf numFmtId="3" fontId="69" fillId="72" borderId="7" xfId="217" applyNumberFormat="1" applyFont="1" applyFill="1" applyBorder="1" applyAlignment="1" applyProtection="1">
      <protection locked="0"/>
    </xf>
    <xf numFmtId="3" fontId="78" fillId="72" borderId="50" xfId="217" applyNumberFormat="1" applyFont="1" applyFill="1" applyBorder="1" applyAlignment="1" applyProtection="1">
      <alignment horizontal="center"/>
      <protection locked="0"/>
    </xf>
    <xf numFmtId="3" fontId="78" fillId="72" borderId="40" xfId="217" applyNumberFormat="1" applyFont="1" applyFill="1" applyBorder="1" applyAlignment="1" applyProtection="1">
      <alignment horizontal="center"/>
      <protection locked="0"/>
    </xf>
    <xf numFmtId="3" fontId="78" fillId="72" borderId="50" xfId="218" applyNumberFormat="1" applyFont="1" applyFill="1" applyBorder="1" applyAlignment="1" applyProtection="1">
      <protection locked="0"/>
    </xf>
    <xf numFmtId="4" fontId="78" fillId="72" borderId="50" xfId="218" applyNumberFormat="1" applyFont="1" applyFill="1" applyBorder="1" applyAlignment="1" applyProtection="1">
      <protection locked="0"/>
    </xf>
    <xf numFmtId="4" fontId="78" fillId="72" borderId="0" xfId="218" applyNumberFormat="1" applyFont="1" applyFill="1" applyBorder="1" applyAlignment="1" applyProtection="1">
      <protection locked="0"/>
    </xf>
    <xf numFmtId="4" fontId="69" fillId="72" borderId="40" xfId="218" applyNumberFormat="1" applyFont="1" applyFill="1" applyBorder="1" applyAlignment="1" applyProtection="1"/>
    <xf numFmtId="4" fontId="78" fillId="72" borderId="40" xfId="218" applyNumberFormat="1" applyFont="1" applyFill="1" applyBorder="1" applyAlignment="1" applyProtection="1">
      <protection locked="0"/>
    </xf>
    <xf numFmtId="4" fontId="78" fillId="72" borderId="22" xfId="218" applyNumberFormat="1" applyFont="1" applyFill="1" applyBorder="1" applyAlignment="1" applyProtection="1">
      <protection locked="0"/>
    </xf>
    <xf numFmtId="4" fontId="78" fillId="72" borderId="40" xfId="218" applyNumberFormat="1" applyFont="1" applyFill="1" applyBorder="1" applyAlignment="1" applyProtection="1"/>
    <xf numFmtId="4" fontId="69" fillId="72" borderId="21" xfId="218" applyNumberFormat="1" applyFont="1" applyFill="1" applyBorder="1" applyAlignment="1" applyProtection="1"/>
    <xf numFmtId="4" fontId="78" fillId="72" borderId="7" xfId="218" applyNumberFormat="1" applyFont="1" applyFill="1" applyBorder="1" applyAlignment="1" applyProtection="1"/>
    <xf numFmtId="4" fontId="78" fillId="72" borderId="66" xfId="218" applyNumberFormat="1" applyFont="1" applyFill="1" applyBorder="1" applyAlignment="1" applyProtection="1"/>
    <xf numFmtId="4" fontId="69" fillId="72" borderId="41" xfId="218" applyNumberFormat="1" applyFont="1" applyFill="1" applyBorder="1" applyAlignment="1" applyProtection="1"/>
    <xf numFmtId="3" fontId="78" fillId="72" borderId="40" xfId="218" applyNumberFormat="1" applyFont="1" applyFill="1" applyBorder="1" applyAlignment="1" applyProtection="1"/>
    <xf numFmtId="3" fontId="69" fillId="72" borderId="41" xfId="218" applyNumberFormat="1" applyFont="1" applyFill="1" applyBorder="1" applyAlignment="1" applyProtection="1"/>
    <xf numFmtId="3" fontId="69" fillId="57" borderId="7" xfId="217" applyNumberFormat="1" applyFont="1" applyFill="1" applyBorder="1" applyAlignment="1" applyProtection="1">
      <protection locked="0"/>
    </xf>
    <xf numFmtId="3" fontId="78" fillId="57" borderId="50" xfId="217" applyNumberFormat="1" applyFont="1" applyFill="1" applyBorder="1" applyAlignment="1" applyProtection="1">
      <alignment horizontal="center"/>
      <protection locked="0"/>
    </xf>
    <xf numFmtId="3" fontId="78" fillId="57" borderId="40" xfId="217" applyNumberFormat="1" applyFont="1" applyFill="1" applyBorder="1" applyAlignment="1" applyProtection="1">
      <alignment horizontal="center"/>
      <protection locked="0"/>
    </xf>
    <xf numFmtId="3" fontId="78" fillId="57" borderId="50" xfId="218" applyNumberFormat="1" applyFont="1" applyFill="1" applyBorder="1" applyAlignment="1" applyProtection="1">
      <protection locked="0"/>
    </xf>
    <xf numFmtId="4" fontId="78" fillId="57" borderId="50" xfId="218" applyNumberFormat="1" applyFont="1" applyFill="1" applyBorder="1" applyAlignment="1" applyProtection="1">
      <protection locked="0"/>
    </xf>
    <xf numFmtId="4" fontId="78" fillId="57" borderId="0" xfId="218" applyNumberFormat="1" applyFont="1" applyFill="1" applyBorder="1" applyAlignment="1" applyProtection="1">
      <protection locked="0"/>
    </xf>
    <xf numFmtId="4" fontId="69" fillId="57" borderId="40" xfId="218" applyNumberFormat="1" applyFont="1" applyFill="1" applyBorder="1" applyAlignment="1" applyProtection="1"/>
    <xf numFmtId="4" fontId="78" fillId="57" borderId="40" xfId="218" applyNumberFormat="1" applyFont="1" applyFill="1" applyBorder="1" applyAlignment="1" applyProtection="1">
      <protection locked="0"/>
    </xf>
    <xf numFmtId="4" fontId="78" fillId="57" borderId="22" xfId="218" applyNumberFormat="1" applyFont="1" applyFill="1" applyBorder="1" applyAlignment="1" applyProtection="1">
      <protection locked="0"/>
    </xf>
    <xf numFmtId="4" fontId="78" fillId="57" borderId="40" xfId="218" applyNumberFormat="1" applyFont="1" applyFill="1" applyBorder="1" applyAlignment="1" applyProtection="1"/>
    <xf numFmtId="4" fontId="69" fillId="57" borderId="21" xfId="218" applyNumberFormat="1" applyFont="1" applyFill="1" applyBorder="1" applyAlignment="1" applyProtection="1"/>
    <xf numFmtId="4" fontId="78" fillId="57" borderId="7" xfId="218" applyNumberFormat="1" applyFont="1" applyFill="1" applyBorder="1" applyAlignment="1" applyProtection="1"/>
    <xf numFmtId="4" fontId="78" fillId="57" borderId="66" xfId="218" applyNumberFormat="1" applyFont="1" applyFill="1" applyBorder="1" applyAlignment="1" applyProtection="1"/>
    <xf numFmtId="4" fontId="69" fillId="57" borderId="41" xfId="218" applyNumberFormat="1" applyFont="1" applyFill="1" applyBorder="1" applyAlignment="1" applyProtection="1"/>
    <xf numFmtId="3" fontId="78" fillId="57" borderId="40" xfId="218" applyNumberFormat="1" applyFont="1" applyFill="1" applyBorder="1" applyAlignment="1" applyProtection="1"/>
    <xf numFmtId="3" fontId="69" fillId="57" borderId="41" xfId="218" applyNumberFormat="1" applyFont="1" applyFill="1" applyBorder="1" applyAlignment="1" applyProtection="1"/>
    <xf numFmtId="4" fontId="78" fillId="57" borderId="20" xfId="218" applyNumberFormat="1" applyFont="1" applyFill="1" applyBorder="1" applyAlignment="1" applyProtection="1">
      <protection locked="0"/>
    </xf>
    <xf numFmtId="3" fontId="100" fillId="57" borderId="20" xfId="218" applyNumberFormat="1" applyFont="1" applyFill="1" applyBorder="1" applyAlignment="1" applyProtection="1">
      <protection locked="0"/>
    </xf>
    <xf numFmtId="3" fontId="195" fillId="57" borderId="66" xfId="218" applyNumberFormat="1" applyFont="1" applyFill="1" applyBorder="1" applyAlignment="1" applyProtection="1">
      <protection locked="0"/>
    </xf>
    <xf numFmtId="3" fontId="69" fillId="73" borderId="7" xfId="217" applyNumberFormat="1" applyFont="1" applyFill="1" applyBorder="1" applyAlignment="1" applyProtection="1">
      <protection locked="0"/>
    </xf>
    <xf numFmtId="3" fontId="78" fillId="73" borderId="50" xfId="217" applyNumberFormat="1" applyFont="1" applyFill="1" applyBorder="1" applyAlignment="1" applyProtection="1">
      <alignment horizontal="center"/>
      <protection locked="0"/>
    </xf>
    <xf numFmtId="3" fontId="78" fillId="73" borderId="40" xfId="217" applyNumberFormat="1" applyFont="1" applyFill="1" applyBorder="1" applyAlignment="1" applyProtection="1">
      <alignment horizontal="center"/>
      <protection locked="0"/>
    </xf>
    <xf numFmtId="3" fontId="78" fillId="73" borderId="50" xfId="218" applyNumberFormat="1" applyFont="1" applyFill="1" applyBorder="1" applyAlignment="1" applyProtection="1">
      <protection locked="0"/>
    </xf>
    <xf numFmtId="4" fontId="78" fillId="73" borderId="50" xfId="218" applyNumberFormat="1" applyFont="1" applyFill="1" applyBorder="1" applyAlignment="1" applyProtection="1">
      <protection locked="0"/>
    </xf>
    <xf numFmtId="4" fontId="78" fillId="73" borderId="0" xfId="218" applyNumberFormat="1" applyFont="1" applyFill="1" applyBorder="1" applyAlignment="1" applyProtection="1">
      <protection locked="0"/>
    </xf>
    <xf numFmtId="4" fontId="69" fillId="73" borderId="40" xfId="218" applyNumberFormat="1" applyFont="1" applyFill="1" applyBorder="1" applyAlignment="1" applyProtection="1"/>
    <xf numFmtId="4" fontId="78" fillId="73" borderId="40" xfId="218" applyNumberFormat="1" applyFont="1" applyFill="1" applyBorder="1" applyAlignment="1" applyProtection="1">
      <protection locked="0"/>
    </xf>
    <xf numFmtId="4" fontId="78" fillId="73" borderId="22" xfId="218" applyNumberFormat="1" applyFont="1" applyFill="1" applyBorder="1" applyAlignment="1" applyProtection="1">
      <protection locked="0"/>
    </xf>
    <xf numFmtId="4" fontId="78" fillId="73" borderId="40" xfId="218" applyNumberFormat="1" applyFont="1" applyFill="1" applyBorder="1" applyAlignment="1" applyProtection="1"/>
    <xf numFmtId="4" fontId="69" fillId="73" borderId="21" xfId="218" applyNumberFormat="1" applyFont="1" applyFill="1" applyBorder="1" applyAlignment="1" applyProtection="1"/>
    <xf numFmtId="4" fontId="78" fillId="73" borderId="7" xfId="218" applyNumberFormat="1" applyFont="1" applyFill="1" applyBorder="1" applyAlignment="1" applyProtection="1"/>
    <xf numFmtId="4" fontId="78" fillId="73" borderId="66" xfId="218" applyNumberFormat="1" applyFont="1" applyFill="1" applyBorder="1" applyAlignment="1" applyProtection="1"/>
    <xf numFmtId="4" fontId="69" fillId="73" borderId="41" xfId="218" applyNumberFormat="1" applyFont="1" applyFill="1" applyBorder="1" applyAlignment="1" applyProtection="1"/>
    <xf numFmtId="3" fontId="78" fillId="73" borderId="40" xfId="218" applyNumberFormat="1" applyFont="1" applyFill="1" applyBorder="1" applyAlignment="1" applyProtection="1"/>
    <xf numFmtId="3" fontId="69" fillId="73" borderId="41" xfId="218" applyNumberFormat="1" applyFont="1" applyFill="1" applyBorder="1" applyAlignment="1" applyProtection="1"/>
    <xf numFmtId="4" fontId="78" fillId="73" borderId="20" xfId="218" applyNumberFormat="1" applyFont="1" applyFill="1" applyBorder="1" applyAlignment="1" applyProtection="1">
      <protection locked="0"/>
    </xf>
    <xf numFmtId="3" fontId="100" fillId="73" borderId="20" xfId="218" applyNumberFormat="1" applyFont="1" applyFill="1" applyBorder="1" applyAlignment="1" applyProtection="1">
      <protection locked="0"/>
    </xf>
    <xf numFmtId="3" fontId="195" fillId="73" borderId="66" xfId="218" applyNumberFormat="1" applyFont="1" applyFill="1" applyBorder="1" applyAlignment="1" applyProtection="1">
      <protection locked="0"/>
    </xf>
    <xf numFmtId="3" fontId="69" fillId="65" borderId="7" xfId="217" applyNumberFormat="1" applyFont="1" applyFill="1" applyBorder="1" applyAlignment="1" applyProtection="1">
      <protection locked="0"/>
    </xf>
    <xf numFmtId="3" fontId="78" fillId="65" borderId="50" xfId="217" applyNumberFormat="1" applyFont="1" applyFill="1" applyBorder="1" applyAlignment="1" applyProtection="1">
      <alignment horizontal="center"/>
      <protection locked="0"/>
    </xf>
    <xf numFmtId="3" fontId="78" fillId="65" borderId="40" xfId="217" applyNumberFormat="1" applyFont="1" applyFill="1" applyBorder="1" applyAlignment="1" applyProtection="1">
      <alignment horizontal="center"/>
      <protection locked="0"/>
    </xf>
    <xf numFmtId="3" fontId="69" fillId="65" borderId="50" xfId="218" applyNumberFormat="1" applyFont="1" applyFill="1" applyBorder="1" applyAlignment="1" applyProtection="1">
      <protection locked="0"/>
    </xf>
    <xf numFmtId="4" fontId="69" fillId="65" borderId="50" xfId="218" applyNumberFormat="1" applyFont="1" applyFill="1" applyBorder="1" applyAlignment="1" applyProtection="1">
      <protection locked="0"/>
    </xf>
    <xf numFmtId="4" fontId="69" fillId="65" borderId="0" xfId="218" applyNumberFormat="1" applyFont="1" applyFill="1" applyBorder="1" applyAlignment="1" applyProtection="1">
      <protection locked="0"/>
    </xf>
    <xf numFmtId="4" fontId="69" fillId="65" borderId="40" xfId="218" applyNumberFormat="1" applyFont="1" applyFill="1" applyBorder="1" applyAlignment="1" applyProtection="1"/>
    <xf numFmtId="4" fontId="78" fillId="65" borderId="40" xfId="218" applyNumberFormat="1" applyFont="1" applyFill="1" applyBorder="1" applyAlignment="1" applyProtection="1">
      <protection locked="0"/>
    </xf>
    <xf numFmtId="4" fontId="78" fillId="65" borderId="22" xfId="218" applyNumberFormat="1" applyFont="1" applyFill="1" applyBorder="1" applyAlignment="1" applyProtection="1">
      <protection locked="0"/>
    </xf>
    <xf numFmtId="4" fontId="78" fillId="65" borderId="50" xfId="218" applyNumberFormat="1" applyFont="1" applyFill="1" applyBorder="1" applyAlignment="1" applyProtection="1">
      <protection locked="0"/>
    </xf>
    <xf numFmtId="4" fontId="78" fillId="65" borderId="0" xfId="218" applyNumberFormat="1" applyFont="1" applyFill="1" applyBorder="1" applyAlignment="1" applyProtection="1">
      <protection locked="0"/>
    </xf>
    <xf numFmtId="4" fontId="78" fillId="65" borderId="40" xfId="218" applyNumberFormat="1" applyFont="1" applyFill="1" applyBorder="1" applyAlignment="1" applyProtection="1"/>
    <xf numFmtId="4" fontId="69" fillId="65" borderId="21" xfId="218" applyNumberFormat="1" applyFont="1" applyFill="1" applyBorder="1" applyAlignment="1" applyProtection="1"/>
    <xf numFmtId="4" fontId="78" fillId="65" borderId="7" xfId="218" applyNumberFormat="1" applyFont="1" applyFill="1" applyBorder="1" applyAlignment="1" applyProtection="1"/>
    <xf numFmtId="4" fontId="78" fillId="65" borderId="66" xfId="218" applyNumberFormat="1" applyFont="1" applyFill="1" applyBorder="1" applyAlignment="1" applyProtection="1"/>
    <xf numFmtId="4" fontId="69" fillId="65" borderId="41" xfId="218" applyNumberFormat="1" applyFont="1" applyFill="1" applyBorder="1" applyAlignment="1" applyProtection="1"/>
    <xf numFmtId="3" fontId="78" fillId="65" borderId="40" xfId="218" applyNumberFormat="1" applyFont="1" applyFill="1" applyBorder="1" applyAlignment="1" applyProtection="1"/>
    <xf numFmtId="3" fontId="69" fillId="65" borderId="41" xfId="218" applyNumberFormat="1" applyFont="1" applyFill="1" applyBorder="1" applyAlignment="1" applyProtection="1"/>
    <xf numFmtId="3" fontId="78" fillId="65" borderId="50" xfId="218" applyNumberFormat="1" applyFont="1" applyFill="1" applyBorder="1" applyAlignment="1" applyProtection="1">
      <protection locked="0"/>
    </xf>
    <xf numFmtId="4" fontId="78" fillId="65" borderId="20" xfId="218" applyNumberFormat="1" applyFont="1" applyFill="1" applyBorder="1" applyAlignment="1" applyProtection="1">
      <protection locked="0"/>
    </xf>
    <xf numFmtId="3" fontId="100" fillId="65" borderId="20" xfId="218" applyNumberFormat="1" applyFont="1" applyFill="1" applyBorder="1" applyAlignment="1" applyProtection="1">
      <protection locked="0"/>
    </xf>
    <xf numFmtId="3" fontId="195" fillId="65" borderId="66" xfId="218" applyNumberFormat="1" applyFont="1" applyFill="1" applyBorder="1" applyAlignment="1" applyProtection="1">
      <protection locked="0"/>
    </xf>
    <xf numFmtId="4" fontId="78" fillId="72" borderId="20" xfId="218" applyNumberFormat="1" applyFont="1" applyFill="1" applyBorder="1" applyAlignment="1" applyProtection="1">
      <protection locked="0"/>
    </xf>
    <xf numFmtId="3" fontId="78" fillId="43" borderId="36" xfId="218" applyNumberFormat="1" applyFont="1" applyFill="1" applyBorder="1" applyAlignment="1" applyProtection="1"/>
    <xf numFmtId="3" fontId="98" fillId="43" borderId="7" xfId="218" applyNumberFormat="1" applyFont="1" applyFill="1" applyBorder="1" applyAlignment="1" applyProtection="1">
      <alignment horizontal="center"/>
    </xf>
    <xf numFmtId="3" fontId="78" fillId="43" borderId="50" xfId="218" applyNumberFormat="1" applyFont="1" applyFill="1" applyBorder="1" applyAlignment="1" applyProtection="1">
      <alignment horizontal="center"/>
    </xf>
    <xf numFmtId="3" fontId="69" fillId="70" borderId="7" xfId="218" applyNumberFormat="1" applyFont="1" applyFill="1" applyBorder="1" applyAlignment="1" applyProtection="1">
      <protection locked="0"/>
    </xf>
    <xf numFmtId="3" fontId="78" fillId="70" borderId="66" xfId="218" applyNumberFormat="1" applyFont="1" applyFill="1" applyBorder="1" applyAlignment="1" applyProtection="1"/>
    <xf numFmtId="3" fontId="69" fillId="71" borderId="7" xfId="218" applyNumberFormat="1" applyFont="1" applyFill="1" applyBorder="1" applyAlignment="1" applyProtection="1">
      <protection locked="0"/>
    </xf>
    <xf numFmtId="3" fontId="78" fillId="71" borderId="66" xfId="218" applyNumberFormat="1" applyFont="1" applyFill="1" applyBorder="1" applyAlignment="1" applyProtection="1"/>
    <xf numFmtId="3" fontId="69" fillId="72" borderId="7" xfId="218" applyNumberFormat="1" applyFont="1" applyFill="1" applyBorder="1" applyAlignment="1" applyProtection="1">
      <protection locked="0"/>
    </xf>
    <xf numFmtId="3" fontId="78" fillId="72" borderId="66" xfId="218" applyNumberFormat="1" applyFont="1" applyFill="1" applyBorder="1" applyAlignment="1" applyProtection="1"/>
    <xf numFmtId="3" fontId="69" fillId="57" borderId="7" xfId="218" applyNumberFormat="1" applyFont="1" applyFill="1" applyBorder="1" applyAlignment="1" applyProtection="1">
      <protection locked="0"/>
    </xf>
    <xf numFmtId="3" fontId="78" fillId="57" borderId="66" xfId="218" applyNumberFormat="1" applyFont="1" applyFill="1" applyBorder="1" applyAlignment="1" applyProtection="1"/>
    <xf numFmtId="3" fontId="69" fillId="73" borderId="7" xfId="218" applyNumberFormat="1" applyFont="1" applyFill="1" applyBorder="1" applyAlignment="1" applyProtection="1">
      <protection locked="0"/>
    </xf>
    <xf numFmtId="3" fontId="78" fillId="73" borderId="66" xfId="218" applyNumberFormat="1" applyFont="1" applyFill="1" applyBorder="1" applyAlignment="1" applyProtection="1"/>
    <xf numFmtId="3" fontId="69" fillId="65" borderId="7" xfId="218" applyNumberFormat="1" applyFont="1" applyFill="1" applyBorder="1" applyAlignment="1" applyProtection="1">
      <protection locked="0"/>
    </xf>
    <xf numFmtId="3" fontId="78" fillId="65" borderId="66" xfId="218" applyNumberFormat="1" applyFont="1" applyFill="1" applyBorder="1" applyAlignment="1" applyProtection="1"/>
    <xf numFmtId="3" fontId="69" fillId="43" borderId="105" xfId="218" applyNumberFormat="1" applyFont="1" applyFill="1" applyBorder="1" applyAlignment="1" applyProtection="1"/>
    <xf numFmtId="3" fontId="69" fillId="43" borderId="106" xfId="218" applyNumberFormat="1" applyFont="1" applyFill="1" applyBorder="1" applyAlignment="1" applyProtection="1"/>
    <xf numFmtId="3" fontId="78" fillId="43" borderId="7" xfId="218" applyNumberFormat="1" applyFont="1" applyFill="1" applyBorder="1" applyAlignment="1" applyProtection="1">
      <alignment horizontal="center"/>
    </xf>
    <xf numFmtId="3" fontId="78" fillId="43" borderId="66" xfId="218" applyNumberFormat="1" applyFont="1" applyFill="1" applyBorder="1" applyAlignment="1" applyProtection="1">
      <alignment horizontal="center"/>
    </xf>
    <xf numFmtId="3" fontId="100" fillId="72" borderId="20" xfId="218" applyNumberFormat="1" applyFont="1" applyFill="1" applyBorder="1" applyAlignment="1" applyProtection="1">
      <protection locked="0"/>
    </xf>
    <xf numFmtId="3" fontId="195" fillId="72" borderId="66" xfId="218" applyNumberFormat="1" applyFont="1" applyFill="1" applyBorder="1" applyAlignment="1" applyProtection="1">
      <protection locked="0"/>
    </xf>
    <xf numFmtId="0" fontId="23" fillId="0" borderId="41" xfId="216" applyFont="1" applyBorder="1" applyAlignment="1" applyProtection="1">
      <alignment horizontal="center" wrapText="1"/>
      <protection locked="0"/>
    </xf>
    <xf numFmtId="0" fontId="10" fillId="0" borderId="0" xfId="262" applyFont="1"/>
    <xf numFmtId="0" fontId="9" fillId="0" borderId="0" xfId="260" applyFont="1"/>
    <xf numFmtId="0" fontId="17" fillId="0" borderId="0" xfId="262" applyAlignment="1">
      <alignment horizontal="left" vertical="top" wrapText="1"/>
    </xf>
    <xf numFmtId="0" fontId="8" fillId="0" borderId="0" xfId="260" applyFont="1"/>
    <xf numFmtId="0" fontId="8" fillId="0" borderId="0" xfId="261" applyFont="1"/>
    <xf numFmtId="0" fontId="8" fillId="0" borderId="0" xfId="261" applyFont="1" applyAlignment="1">
      <alignment horizontal="right"/>
    </xf>
    <xf numFmtId="0" fontId="8" fillId="0" borderId="0" xfId="262" applyFont="1"/>
    <xf numFmtId="0" fontId="8" fillId="0" borderId="180" xfId="262" applyFont="1" applyBorder="1"/>
    <xf numFmtId="0" fontId="8" fillId="0" borderId="180" xfId="262" applyFont="1" applyBorder="1" applyAlignment="1">
      <alignment horizontal="right"/>
    </xf>
    <xf numFmtId="0" fontId="8" fillId="0" borderId="0" xfId="262" applyFont="1" applyAlignment="1">
      <alignment vertical="top" wrapText="1"/>
    </xf>
    <xf numFmtId="0" fontId="8" fillId="0" borderId="0" xfId="263" applyFont="1"/>
    <xf numFmtId="219" fontId="16" fillId="0" borderId="0" xfId="263" applyNumberFormat="1" applyAlignment="1">
      <alignment horizontal="center" vertical="center"/>
    </xf>
    <xf numFmtId="219" fontId="16" fillId="0" borderId="0" xfId="263" applyNumberFormat="1" applyAlignment="1">
      <alignment vertical="center"/>
    </xf>
    <xf numFmtId="0" fontId="159" fillId="0" borderId="0" xfId="261" applyFont="1"/>
    <xf numFmtId="0" fontId="198" fillId="0" borderId="182" xfId="263" applyFont="1" applyBorder="1"/>
    <xf numFmtId="0" fontId="7" fillId="0" borderId="0" xfId="262" applyFont="1"/>
    <xf numFmtId="4" fontId="147" fillId="29" borderId="42" xfId="2" applyNumberFormat="1" applyFont="1" applyFill="1" applyBorder="1" applyProtection="1"/>
    <xf numFmtId="0" fontId="6" fillId="0" borderId="97" xfId="258" applyFont="1" applyBorder="1" applyAlignment="1">
      <alignment horizontal="center" vertical="center" wrapText="1"/>
    </xf>
    <xf numFmtId="0" fontId="166" fillId="0" borderId="0" xfId="260" applyFont="1" applyAlignment="1">
      <alignment horizontal="left" wrapText="1"/>
    </xf>
    <xf numFmtId="0" fontId="19" fillId="0" borderId="0" xfId="260" applyAlignment="1">
      <alignment horizontal="left" vertical="center" wrapText="1"/>
    </xf>
    <xf numFmtId="0" fontId="5" fillId="0" borderId="117" xfId="260" applyFont="1" applyBorder="1"/>
    <xf numFmtId="3" fontId="78" fillId="43" borderId="0" xfId="218" applyNumberFormat="1" applyFont="1" applyFill="1" applyBorder="1" applyAlignment="1" applyProtection="1">
      <alignment horizontal="center"/>
      <protection locked="0"/>
    </xf>
    <xf numFmtId="195" fontId="79" fillId="73" borderId="102" xfId="218" applyNumberFormat="1" applyFont="1" applyFill="1" applyBorder="1" applyAlignment="1" applyProtection="1">
      <alignment horizontal="center"/>
      <protection locked="0"/>
    </xf>
    <xf numFmtId="0" fontId="23" fillId="0" borderId="0" xfId="0" applyFont="1" applyFill="1" applyBorder="1" applyProtection="1"/>
    <xf numFmtId="0" fontId="23" fillId="0" borderId="0" xfId="0" applyFont="1" applyFill="1" applyBorder="1" applyAlignment="1" applyProtection="1">
      <alignment horizontal="left" indent="1"/>
    </xf>
    <xf numFmtId="195" fontId="20" fillId="58" borderId="97" xfId="258" applyNumberFormat="1" applyFill="1" applyBorder="1"/>
    <xf numFmtId="176" fontId="16" fillId="0" borderId="0" xfId="263" applyNumberFormat="1" applyAlignment="1">
      <alignment horizontal="center" vertical="center"/>
    </xf>
    <xf numFmtId="0" fontId="3" fillId="0" borderId="97" xfId="258" applyFont="1" applyBorder="1" applyAlignment="1">
      <alignment horizontal="center" vertical="center" wrapText="1"/>
    </xf>
    <xf numFmtId="0" fontId="3" fillId="0" borderId="0" xfId="260" applyFont="1"/>
    <xf numFmtId="4" fontId="199" fillId="37" borderId="23" xfId="3" applyNumberFormat="1" applyFont="1" applyFill="1" applyBorder="1" applyAlignment="1" applyProtection="1">
      <alignment horizontal="left"/>
    </xf>
    <xf numFmtId="2" fontId="78" fillId="0" borderId="0" xfId="219" applyNumberFormat="1" applyFont="1" applyFill="1" applyBorder="1" applyAlignment="1" applyProtection="1"/>
    <xf numFmtId="3" fontId="23" fillId="0" borderId="41" xfId="216" applyNumberFormat="1" applyFont="1" applyBorder="1" applyProtection="1">
      <protection locked="0"/>
    </xf>
    <xf numFmtId="0" fontId="166" fillId="0" borderId="0" xfId="258" applyFont="1" applyAlignment="1">
      <alignment horizontal="left" wrapText="1"/>
    </xf>
    <xf numFmtId="0" fontId="0" fillId="0" borderId="0" xfId="0" applyAlignment="1">
      <alignment wrapText="1"/>
    </xf>
    <xf numFmtId="0" fontId="23" fillId="0" borderId="0" xfId="0" applyFont="1" applyAlignment="1">
      <alignment horizontal="left"/>
    </xf>
    <xf numFmtId="0" fontId="1" fillId="0" borderId="0" xfId="262" applyFont="1"/>
    <xf numFmtId="0" fontId="201" fillId="0" borderId="0" xfId="262" applyFont="1" applyAlignment="1"/>
    <xf numFmtId="0" fontId="185" fillId="0" borderId="0" xfId="258" applyFont="1"/>
    <xf numFmtId="0" fontId="166" fillId="0" borderId="0" xfId="258" applyFont="1" applyAlignment="1">
      <alignment vertical="center"/>
    </xf>
    <xf numFmtId="3" fontId="20" fillId="0" borderId="0" xfId="258" applyNumberFormat="1" applyAlignment="1">
      <alignment vertical="center"/>
    </xf>
    <xf numFmtId="0" fontId="203" fillId="0" borderId="0" xfId="258" applyFont="1"/>
    <xf numFmtId="0" fontId="203" fillId="0" borderId="0" xfId="258" applyFont="1" applyAlignment="1">
      <alignment vertical="center"/>
    </xf>
    <xf numFmtId="0" fontId="204" fillId="0" borderId="0" xfId="260" applyFont="1"/>
    <xf numFmtId="0" fontId="71" fillId="0" borderId="0" xfId="260" applyFont="1"/>
    <xf numFmtId="0" fontId="163" fillId="0" borderId="0" xfId="260" applyFont="1"/>
    <xf numFmtId="0" fontId="35" fillId="0" borderId="0" xfId="260" applyFont="1"/>
    <xf numFmtId="0" fontId="0" fillId="0" borderId="0" xfId="0"/>
    <xf numFmtId="3" fontId="57" fillId="31" borderId="0" xfId="218" applyNumberFormat="1" applyFont="1" applyFill="1" applyBorder="1" applyAlignment="1" applyProtection="1">
      <alignment horizontal="center" vertical="center"/>
    </xf>
    <xf numFmtId="3" fontId="69" fillId="75" borderId="7" xfId="217" applyNumberFormat="1" applyFont="1" applyFill="1" applyBorder="1" applyAlignment="1" applyProtection="1">
      <protection locked="0"/>
    </xf>
    <xf numFmtId="3" fontId="78" fillId="75" borderId="50" xfId="217" applyNumberFormat="1" applyFont="1" applyFill="1" applyBorder="1" applyAlignment="1" applyProtection="1">
      <alignment horizontal="center"/>
      <protection locked="0"/>
    </xf>
    <xf numFmtId="3" fontId="78" fillId="75" borderId="40" xfId="217" applyNumberFormat="1" applyFont="1" applyFill="1" applyBorder="1" applyAlignment="1" applyProtection="1">
      <alignment horizontal="center"/>
      <protection locked="0"/>
    </xf>
    <xf numFmtId="3" fontId="78" fillId="75" borderId="50" xfId="218" applyNumberFormat="1" applyFont="1" applyFill="1" applyBorder="1" applyAlignment="1" applyProtection="1">
      <protection locked="0"/>
    </xf>
    <xf numFmtId="4" fontId="78" fillId="75" borderId="50" xfId="218" applyNumberFormat="1" applyFont="1" applyFill="1" applyBorder="1" applyAlignment="1" applyProtection="1">
      <protection locked="0"/>
    </xf>
    <xf numFmtId="4" fontId="78" fillId="75" borderId="0" xfId="218" applyNumberFormat="1" applyFont="1" applyFill="1" applyBorder="1" applyAlignment="1" applyProtection="1">
      <protection locked="0"/>
    </xf>
    <xf numFmtId="4" fontId="78" fillId="76" borderId="20" xfId="218" applyNumberFormat="1" applyFont="1" applyFill="1" applyBorder="1" applyAlignment="1" applyProtection="1">
      <protection locked="0"/>
    </xf>
    <xf numFmtId="4" fontId="78" fillId="76" borderId="50" xfId="218" applyNumberFormat="1" applyFont="1" applyFill="1" applyBorder="1" applyAlignment="1" applyProtection="1">
      <protection locked="0"/>
    </xf>
    <xf numFmtId="4" fontId="69" fillId="76" borderId="40" xfId="218" applyNumberFormat="1" applyFont="1" applyFill="1" applyBorder="1" applyAlignment="1" applyProtection="1"/>
    <xf numFmtId="4" fontId="78" fillId="76" borderId="40" xfId="218" applyNumberFormat="1" applyFont="1" applyFill="1" applyBorder="1" applyAlignment="1" applyProtection="1">
      <protection locked="0"/>
    </xf>
    <xf numFmtId="4" fontId="78" fillId="76" borderId="22" xfId="218" applyNumberFormat="1" applyFont="1" applyFill="1" applyBorder="1" applyAlignment="1" applyProtection="1">
      <protection locked="0"/>
    </xf>
    <xf numFmtId="4" fontId="78" fillId="75" borderId="22" xfId="218" applyNumberFormat="1" applyFont="1" applyFill="1" applyBorder="1" applyAlignment="1" applyProtection="1">
      <protection locked="0"/>
    </xf>
    <xf numFmtId="4" fontId="78" fillId="76" borderId="40" xfId="218" applyNumberFormat="1" applyFont="1" applyFill="1" applyBorder="1" applyAlignment="1" applyProtection="1"/>
    <xf numFmtId="4" fontId="69" fillId="76" borderId="21" xfId="218" applyNumberFormat="1" applyFont="1" applyFill="1" applyBorder="1" applyAlignment="1" applyProtection="1"/>
    <xf numFmtId="4" fontId="78" fillId="75" borderId="7" xfId="218" applyNumberFormat="1" applyFont="1" applyFill="1" applyBorder="1" applyAlignment="1" applyProtection="1"/>
    <xf numFmtId="4" fontId="78" fillId="75" borderId="66" xfId="218" applyNumberFormat="1" applyFont="1" applyFill="1" applyBorder="1" applyAlignment="1" applyProtection="1"/>
    <xf numFmtId="4" fontId="69" fillId="75" borderId="41" xfId="218" applyNumberFormat="1" applyFont="1" applyFill="1" applyBorder="1" applyAlignment="1" applyProtection="1"/>
    <xf numFmtId="3" fontId="100" fillId="75" borderId="20" xfId="218" applyNumberFormat="1" applyFont="1" applyFill="1" applyBorder="1" applyAlignment="1" applyProtection="1">
      <protection locked="0"/>
    </xf>
    <xf numFmtId="3" fontId="195" fillId="75" borderId="66" xfId="218" applyNumberFormat="1" applyFont="1" applyFill="1" applyBorder="1" applyAlignment="1" applyProtection="1">
      <protection locked="0"/>
    </xf>
    <xf numFmtId="3" fontId="78" fillId="76" borderId="40" xfId="218" applyNumberFormat="1" applyFont="1" applyFill="1" applyBorder="1" applyAlignment="1" applyProtection="1"/>
    <xf numFmtId="3" fontId="78" fillId="75" borderId="40" xfId="218" applyNumberFormat="1" applyFont="1" applyFill="1" applyBorder="1" applyAlignment="1" applyProtection="1"/>
    <xf numFmtId="3" fontId="69" fillId="75" borderId="41" xfId="218" applyNumberFormat="1" applyFont="1" applyFill="1" applyBorder="1" applyAlignment="1" applyProtection="1"/>
    <xf numFmtId="4" fontId="78" fillId="77" borderId="50" xfId="218" applyNumberFormat="1" applyFont="1" applyFill="1" applyBorder="1" applyAlignment="1" applyProtection="1">
      <protection locked="0"/>
    </xf>
    <xf numFmtId="4" fontId="78" fillId="77" borderId="0" xfId="218" applyNumberFormat="1" applyFont="1" applyFill="1" applyBorder="1" applyAlignment="1" applyProtection="1">
      <protection locked="0"/>
    </xf>
    <xf numFmtId="4" fontId="78" fillId="78" borderId="50" xfId="218" applyNumberFormat="1" applyFont="1" applyFill="1" applyBorder="1" applyAlignment="1" applyProtection="1">
      <protection locked="0"/>
    </xf>
    <xf numFmtId="4" fontId="78" fillId="78" borderId="0" xfId="218" applyNumberFormat="1" applyFont="1" applyFill="1" applyBorder="1" applyAlignment="1" applyProtection="1">
      <protection locked="0"/>
    </xf>
    <xf numFmtId="4" fontId="78" fillId="79" borderId="50" xfId="218" applyNumberFormat="1" applyFont="1" applyFill="1" applyBorder="1" applyAlignment="1" applyProtection="1">
      <protection locked="0"/>
    </xf>
    <xf numFmtId="4" fontId="78" fillId="79" borderId="0" xfId="218" applyNumberFormat="1" applyFont="1" applyFill="1" applyBorder="1" applyAlignment="1" applyProtection="1">
      <protection locked="0"/>
    </xf>
    <xf numFmtId="4" fontId="78" fillId="80" borderId="50" xfId="218" applyNumberFormat="1" applyFont="1" applyFill="1" applyBorder="1" applyAlignment="1" applyProtection="1">
      <protection locked="0"/>
    </xf>
    <xf numFmtId="4" fontId="78" fillId="80" borderId="0" xfId="218" applyNumberFormat="1" applyFont="1" applyFill="1" applyBorder="1" applyAlignment="1" applyProtection="1">
      <protection locked="0"/>
    </xf>
    <xf numFmtId="4" fontId="78" fillId="81" borderId="50" xfId="218" applyNumberFormat="1" applyFont="1" applyFill="1" applyBorder="1" applyAlignment="1" applyProtection="1">
      <protection locked="0"/>
    </xf>
    <xf numFmtId="4" fontId="78" fillId="81" borderId="0" xfId="218" applyNumberFormat="1" applyFont="1" applyFill="1" applyBorder="1" applyAlignment="1" applyProtection="1">
      <protection locked="0"/>
    </xf>
    <xf numFmtId="4" fontId="78" fillId="82" borderId="50" xfId="218" applyNumberFormat="1" applyFont="1" applyFill="1" applyBorder="1" applyAlignment="1" applyProtection="1">
      <protection locked="0"/>
    </xf>
    <xf numFmtId="4" fontId="78" fillId="82" borderId="0" xfId="218" applyNumberFormat="1" applyFont="1" applyFill="1" applyBorder="1" applyAlignment="1" applyProtection="1">
      <protection locked="0"/>
    </xf>
    <xf numFmtId="0" fontId="78" fillId="83" borderId="0" xfId="218" applyFont="1" applyFill="1" applyAlignment="1" applyProtection="1">
      <alignment horizontal="center"/>
      <protection locked="0"/>
    </xf>
    <xf numFmtId="0" fontId="57" fillId="0" borderId="19" xfId="0" applyFont="1" applyBorder="1" applyAlignment="1">
      <alignment horizontal="center"/>
    </xf>
    <xf numFmtId="0" fontId="57" fillId="0" borderId="187" xfId="0" applyFont="1" applyBorder="1" applyAlignment="1">
      <alignment horizontal="center"/>
    </xf>
    <xf numFmtId="0" fontId="0" fillId="0" borderId="0" xfId="0" applyBorder="1"/>
    <xf numFmtId="191" fontId="69" fillId="0" borderId="0" xfId="0" applyNumberFormat="1" applyFont="1" applyBorder="1" applyAlignment="1">
      <alignment horizontal="center"/>
    </xf>
    <xf numFmtId="191" fontId="79" fillId="0" borderId="36" xfId="0" applyNumberFormat="1" applyFont="1" applyBorder="1" applyAlignment="1">
      <alignment horizontal="center"/>
    </xf>
    <xf numFmtId="0" fontId="0" fillId="0" borderId="19" xfId="0" applyBorder="1"/>
    <xf numFmtId="3" fontId="69" fillId="31" borderId="187" xfId="218" applyNumberFormat="1" applyFont="1" applyFill="1" applyBorder="1" applyAlignment="1" applyProtection="1">
      <alignment horizontal="centerContinuous" vertical="center"/>
    </xf>
    <xf numFmtId="0" fontId="23" fillId="58" borderId="121" xfId="0" applyFont="1" applyFill="1" applyBorder="1" applyAlignment="1">
      <alignment horizontal="center"/>
    </xf>
    <xf numFmtId="0" fontId="0" fillId="58" borderId="65" xfId="0" applyFill="1" applyBorder="1" applyAlignment="1">
      <alignment horizontal="center"/>
    </xf>
    <xf numFmtId="0" fontId="23" fillId="58" borderId="122" xfId="0" applyFont="1" applyFill="1" applyBorder="1" applyAlignment="1">
      <alignment horizontal="center"/>
    </xf>
    <xf numFmtId="0" fontId="23" fillId="58" borderId="197" xfId="0" applyFont="1" applyFill="1" applyBorder="1" applyAlignment="1">
      <alignment horizontal="center"/>
    </xf>
    <xf numFmtId="49" fontId="20" fillId="0" borderId="179" xfId="258" applyNumberFormat="1" applyBorder="1" applyAlignment="1">
      <alignment horizontal="center" vertical="center" wrapText="1"/>
    </xf>
    <xf numFmtId="0" fontId="161" fillId="0" borderId="0" xfId="258" applyFont="1" applyBorder="1" applyAlignment="1">
      <alignment horizontal="center"/>
    </xf>
    <xf numFmtId="0" fontId="164" fillId="0" borderId="0" xfId="258" applyFont="1" applyAlignment="1">
      <alignment horizontal="center"/>
    </xf>
    <xf numFmtId="0" fontId="20" fillId="0" borderId="0" xfId="258" applyAlignment="1">
      <alignment horizontal="center"/>
    </xf>
    <xf numFmtId="0" fontId="14" fillId="0" borderId="0" xfId="258" applyFont="1" applyBorder="1" applyAlignment="1">
      <alignment horizontal="center"/>
    </xf>
    <xf numFmtId="0" fontId="20" fillId="0" borderId="0" xfId="258" applyBorder="1" applyAlignment="1">
      <alignment horizontal="center"/>
    </xf>
    <xf numFmtId="0" fontId="4" fillId="0" borderId="0" xfId="258" applyFont="1" applyBorder="1" applyAlignment="1">
      <alignment horizontal="center"/>
    </xf>
    <xf numFmtId="0" fontId="166" fillId="0" borderId="131" xfId="258" applyFont="1" applyBorder="1" applyAlignment="1">
      <alignment horizontal="left"/>
    </xf>
    <xf numFmtId="0" fontId="166" fillId="0" borderId="88" xfId="258" applyFont="1" applyBorder="1" applyAlignment="1">
      <alignment horizontal="left"/>
    </xf>
    <xf numFmtId="0" fontId="165" fillId="0" borderId="0" xfId="258" applyFont="1" applyAlignment="1">
      <alignment horizontal="center" vertical="center" wrapText="1"/>
    </xf>
    <xf numFmtId="49" fontId="20" fillId="0" borderId="0" xfId="258" applyNumberFormat="1" applyBorder="1" applyAlignment="1">
      <alignment horizontal="left" vertical="center" wrapText="1"/>
    </xf>
    <xf numFmtId="0" fontId="165" fillId="0" borderId="0" xfId="258" applyFont="1" applyAlignment="1">
      <alignment horizontal="center" vertical="center"/>
    </xf>
    <xf numFmtId="0" fontId="165" fillId="0" borderId="0" xfId="258" applyFont="1" applyAlignment="1">
      <alignment horizontal="center" wrapText="1"/>
    </xf>
    <xf numFmtId="0" fontId="166" fillId="0" borderId="0" xfId="258" applyFont="1" applyAlignment="1">
      <alignment horizontal="left" wrapText="1"/>
    </xf>
    <xf numFmtId="0" fontId="20" fillId="0" borderId="0" xfId="258" applyAlignment="1">
      <alignment horizontal="left" wrapText="1"/>
    </xf>
    <xf numFmtId="0" fontId="20" fillId="0" borderId="0" xfId="258" applyBorder="1" applyAlignment="1">
      <alignment horizontal="left" vertical="top" wrapText="1"/>
    </xf>
    <xf numFmtId="0" fontId="19" fillId="0" borderId="0" xfId="260" applyAlignment="1">
      <alignment horizontal="left" wrapText="1"/>
    </xf>
    <xf numFmtId="0" fontId="0" fillId="0" borderId="0" xfId="0"/>
    <xf numFmtId="0" fontId="19" fillId="0" borderId="0" xfId="260" applyAlignment="1">
      <alignment horizontal="left" vertical="center" wrapText="1"/>
    </xf>
    <xf numFmtId="0" fontId="165" fillId="0" borderId="0" xfId="260" applyFont="1" applyAlignment="1">
      <alignment horizontal="center" vertical="center" wrapText="1"/>
    </xf>
    <xf numFmtId="0" fontId="174" fillId="0" borderId="0" xfId="260" applyFont="1" applyAlignment="1">
      <alignment horizontal="left" vertical="center" wrapText="1"/>
    </xf>
    <xf numFmtId="0" fontId="174" fillId="0" borderId="0" xfId="260" applyFont="1" applyAlignment="1">
      <alignment horizontal="left" wrapText="1"/>
    </xf>
    <xf numFmtId="0" fontId="19" fillId="0" borderId="0" xfId="260" applyAlignment="1">
      <alignment horizontal="center" vertical="center"/>
    </xf>
    <xf numFmtId="0" fontId="165" fillId="0" borderId="0" xfId="260" quotePrefix="1" applyFont="1" applyAlignment="1">
      <alignment horizontal="left" vertical="center" wrapText="1"/>
    </xf>
    <xf numFmtId="0" fontId="165" fillId="0" borderId="0" xfId="260" applyFont="1" applyAlignment="1">
      <alignment horizontal="left" vertical="center" wrapText="1"/>
    </xf>
    <xf numFmtId="0" fontId="166" fillId="0" borderId="0" xfId="260" applyFont="1" applyAlignment="1">
      <alignment horizontal="left" wrapText="1"/>
    </xf>
    <xf numFmtId="0" fontId="19" fillId="0" borderId="0" xfId="260" applyAlignment="1">
      <alignment horizontal="center"/>
    </xf>
    <xf numFmtId="0" fontId="19" fillId="0" borderId="0" xfId="260" applyAlignment="1">
      <alignment horizontal="left" vertical="top" wrapText="1"/>
    </xf>
    <xf numFmtId="0" fontId="171" fillId="0" borderId="0" xfId="260" applyFont="1" applyAlignment="1">
      <alignment horizontal="left" wrapText="1"/>
    </xf>
    <xf numFmtId="0" fontId="7" fillId="0" borderId="0" xfId="263" applyFont="1" applyAlignment="1">
      <alignment horizontal="left" vertical="top" wrapText="1"/>
    </xf>
    <xf numFmtId="0" fontId="10" fillId="0" borderId="0" xfId="263" applyFont="1" applyAlignment="1">
      <alignment horizontal="left" vertical="top" wrapText="1"/>
    </xf>
    <xf numFmtId="0" fontId="18" fillId="0" borderId="0" xfId="261" applyAlignment="1">
      <alignment horizontal="left" vertical="center"/>
    </xf>
    <xf numFmtId="219" fontId="16" fillId="0" borderId="0" xfId="263" applyNumberFormat="1" applyAlignment="1">
      <alignment horizontal="left" vertical="center"/>
    </xf>
    <xf numFmtId="0" fontId="16" fillId="0" borderId="0" xfId="263" applyAlignment="1">
      <alignment horizontal="center"/>
    </xf>
    <xf numFmtId="0" fontId="165" fillId="0" borderId="0" xfId="263" applyFont="1" applyAlignment="1">
      <alignment horizontal="center"/>
    </xf>
    <xf numFmtId="0" fontId="18" fillId="0" borderId="0" xfId="261" applyAlignment="1">
      <alignment horizontal="left" wrapText="1"/>
    </xf>
    <xf numFmtId="0" fontId="18" fillId="0" borderId="0" xfId="261" applyAlignment="1">
      <alignment horizontal="center"/>
    </xf>
    <xf numFmtId="0" fontId="165" fillId="0" borderId="0" xfId="261" applyFont="1" applyAlignment="1">
      <alignment horizontal="center" vertical="center" wrapText="1"/>
    </xf>
    <xf numFmtId="0" fontId="165" fillId="0" borderId="0" xfId="261" applyFont="1" applyAlignment="1">
      <alignment horizontal="center" wrapText="1"/>
    </xf>
    <xf numFmtId="0" fontId="166" fillId="0" borderId="0" xfId="261" applyFont="1" applyAlignment="1">
      <alignment horizontal="left"/>
    </xf>
    <xf numFmtId="0" fontId="166" fillId="0" borderId="0" xfId="261" applyFont="1" applyAlignment="1">
      <alignment horizontal="left" vertical="top" wrapText="1"/>
    </xf>
    <xf numFmtId="0" fontId="165" fillId="0" borderId="0" xfId="261" applyFont="1" applyAlignment="1">
      <alignment horizontal="center"/>
    </xf>
    <xf numFmtId="0" fontId="23" fillId="0" borderId="0" xfId="0" applyFont="1" applyAlignment="1">
      <alignment horizontal="center" vertical="center" wrapText="1"/>
    </xf>
    <xf numFmtId="0" fontId="0" fillId="0" borderId="0" xfId="0" applyAlignment="1">
      <alignment horizontal="center" vertical="center" wrapText="1"/>
    </xf>
    <xf numFmtId="0" fontId="200" fillId="0" borderId="0" xfId="0" applyFont="1" applyAlignment="1">
      <alignment vertical="center" wrapText="1"/>
    </xf>
    <xf numFmtId="0" fontId="1" fillId="0" borderId="0" xfId="262" applyFont="1" applyAlignment="1">
      <alignment horizontal="left" vertical="top" wrapText="1"/>
    </xf>
    <xf numFmtId="0" fontId="17" fillId="0" borderId="0" xfId="262" applyAlignment="1">
      <alignment horizontal="left" vertical="top" wrapText="1"/>
    </xf>
    <xf numFmtId="0" fontId="161" fillId="0" borderId="0" xfId="262" applyFont="1" applyAlignment="1">
      <alignment horizontal="left" vertical="top" wrapText="1"/>
    </xf>
    <xf numFmtId="0" fontId="17" fillId="0" borderId="0" xfId="262" applyAlignment="1">
      <alignment horizontal="center"/>
    </xf>
    <xf numFmtId="0" fontId="165" fillId="0" borderId="0" xfId="262" applyFont="1" applyAlignment="1">
      <alignment horizontal="left" indent="9"/>
    </xf>
    <xf numFmtId="0" fontId="202" fillId="74" borderId="0" xfId="262" applyFont="1" applyFill="1" applyAlignment="1">
      <alignment horizontal="center"/>
    </xf>
    <xf numFmtId="0" fontId="17" fillId="0" borderId="0" xfId="262" applyAlignment="1">
      <alignment horizontal="left" wrapText="1"/>
    </xf>
    <xf numFmtId="0" fontId="2" fillId="0" borderId="0" xfId="262" applyFont="1" applyAlignment="1">
      <alignment horizontal="left" vertical="top" wrapText="1"/>
    </xf>
    <xf numFmtId="0" fontId="14" fillId="0" borderId="0" xfId="262" applyFont="1" applyAlignment="1">
      <alignment horizontal="left" vertical="top" wrapText="1"/>
    </xf>
    <xf numFmtId="0" fontId="17" fillId="0" borderId="0" xfId="262" applyAlignment="1">
      <alignment horizontal="left" vertical="center" wrapText="1"/>
    </xf>
    <xf numFmtId="0" fontId="8" fillId="0" borderId="0" xfId="262" applyFont="1" applyAlignment="1">
      <alignment horizontal="left" vertical="top" wrapText="1"/>
    </xf>
    <xf numFmtId="0" fontId="196" fillId="0" borderId="0" xfId="263" applyFont="1" applyAlignment="1">
      <alignment horizontal="center" vertical="center" wrapText="1"/>
    </xf>
    <xf numFmtId="0" fontId="16" fillId="0" borderId="0" xfId="263" applyAlignment="1">
      <alignment horizontal="left" vertical="top" wrapText="1"/>
    </xf>
    <xf numFmtId="0" fontId="165" fillId="0" borderId="0" xfId="263" applyFont="1" applyAlignment="1">
      <alignment horizontal="center" vertical="center" wrapText="1"/>
    </xf>
    <xf numFmtId="0" fontId="175" fillId="0" borderId="117" xfId="263" applyFont="1" applyBorder="1" applyAlignment="1" applyProtection="1">
      <alignment horizontal="center" vertical="center" wrapText="1"/>
      <protection hidden="1"/>
    </xf>
    <xf numFmtId="0" fontId="175" fillId="0" borderId="0" xfId="263" applyFont="1" applyBorder="1" applyAlignment="1" applyProtection="1">
      <alignment horizontal="center" vertical="center" wrapText="1"/>
      <protection hidden="1"/>
    </xf>
    <xf numFmtId="0" fontId="175" fillId="0" borderId="40" xfId="263" applyFont="1" applyBorder="1" applyAlignment="1" applyProtection="1">
      <alignment horizontal="center" vertical="center" wrapText="1"/>
      <protection hidden="1"/>
    </xf>
    <xf numFmtId="0" fontId="16" fillId="0" borderId="0" xfId="263" applyBorder="1" applyAlignment="1">
      <alignment horizontal="left" vertical="top" wrapText="1"/>
    </xf>
    <xf numFmtId="0" fontId="164" fillId="0" borderId="0" xfId="263" applyFont="1" applyAlignment="1">
      <alignment horizontal="center"/>
    </xf>
    <xf numFmtId="0" fontId="164" fillId="0" borderId="0" xfId="263" applyFont="1" applyAlignment="1">
      <alignment horizontal="center" vertical="center" wrapText="1"/>
    </xf>
    <xf numFmtId="0" fontId="179" fillId="0" borderId="0" xfId="263" applyFont="1" applyBorder="1" applyAlignment="1">
      <alignment horizontal="right"/>
    </xf>
    <xf numFmtId="0" fontId="16" fillId="0" borderId="0" xfId="263" applyAlignment="1">
      <alignment horizontal="left" wrapText="1"/>
    </xf>
    <xf numFmtId="0" fontId="179" fillId="0" borderId="0" xfId="263" applyFont="1" applyAlignment="1">
      <alignment horizontal="right"/>
    </xf>
    <xf numFmtId="0" fontId="164" fillId="0" borderId="129" xfId="263" applyFont="1" applyBorder="1" applyAlignment="1">
      <alignment horizontal="center" wrapText="1"/>
    </xf>
    <xf numFmtId="0" fontId="164" fillId="0" borderId="180" xfId="263" applyFont="1" applyBorder="1" applyAlignment="1">
      <alignment horizontal="center" wrapText="1"/>
    </xf>
    <xf numFmtId="0" fontId="164" fillId="0" borderId="183" xfId="263" applyFont="1" applyBorder="1" applyAlignment="1">
      <alignment horizontal="center" wrapText="1"/>
    </xf>
    <xf numFmtId="0" fontId="164" fillId="0" borderId="131" xfId="263" applyFont="1" applyBorder="1" applyAlignment="1">
      <alignment horizontal="center" wrapText="1"/>
    </xf>
    <xf numFmtId="0" fontId="164" fillId="0" borderId="88" xfId="263" applyFont="1" applyBorder="1" applyAlignment="1">
      <alignment horizontal="center" wrapText="1"/>
    </xf>
    <xf numFmtId="0" fontId="164" fillId="0" borderId="132" xfId="263" applyFont="1" applyBorder="1" applyAlignment="1">
      <alignment horizontal="center" wrapText="1"/>
    </xf>
    <xf numFmtId="14" fontId="16" fillId="0" borderId="0" xfId="263" applyNumberFormat="1" applyBorder="1" applyAlignment="1">
      <alignment horizontal="left" vertical="top" wrapText="1"/>
    </xf>
    <xf numFmtId="14" fontId="16" fillId="0" borderId="0" xfId="263" applyNumberFormat="1" applyAlignment="1">
      <alignment horizontal="left" vertical="top" wrapText="1"/>
    </xf>
    <xf numFmtId="0" fontId="159" fillId="0" borderId="0" xfId="263" applyFont="1" applyAlignment="1">
      <alignment horizontal="left" wrapText="1"/>
    </xf>
    <xf numFmtId="0" fontId="164" fillId="0" borderId="0" xfId="263" applyFont="1" applyBorder="1" applyAlignment="1">
      <alignment horizontal="center" vertical="center"/>
    </xf>
    <xf numFmtId="0" fontId="161" fillId="0" borderId="0" xfId="263" applyFont="1" applyAlignment="1">
      <alignment horizontal="left" wrapText="1"/>
    </xf>
    <xf numFmtId="0" fontId="178" fillId="0" borderId="103" xfId="263" applyFont="1" applyBorder="1" applyAlignment="1">
      <alignment horizontal="center"/>
    </xf>
    <xf numFmtId="0" fontId="178" fillId="0" borderId="102" xfId="263" applyFont="1" applyBorder="1" applyAlignment="1">
      <alignment horizontal="center"/>
    </xf>
    <xf numFmtId="0" fontId="178" fillId="0" borderId="19" xfId="263" applyFont="1" applyBorder="1" applyAlignment="1">
      <alignment horizontal="center" vertical="center" wrapText="1"/>
    </xf>
    <xf numFmtId="0" fontId="178" fillId="0" borderId="0" xfId="263" applyFont="1" applyAlignment="1">
      <alignment horizontal="center" vertical="center" wrapText="1"/>
    </xf>
    <xf numFmtId="0" fontId="178" fillId="0" borderId="88" xfId="263" applyFont="1" applyBorder="1" applyAlignment="1">
      <alignment horizontal="center" vertical="center" wrapText="1"/>
    </xf>
    <xf numFmtId="0" fontId="183" fillId="0" borderId="19" xfId="263" applyFont="1" applyBorder="1" applyAlignment="1">
      <alignment horizontal="center" vertical="center" wrapText="1"/>
    </xf>
    <xf numFmtId="0" fontId="183" fillId="0" borderId="0" xfId="263" applyFont="1" applyBorder="1" applyAlignment="1">
      <alignment horizontal="center" vertical="center" wrapText="1"/>
    </xf>
    <xf numFmtId="0" fontId="183" fillId="0" borderId="88" xfId="263" applyFont="1" applyBorder="1" applyAlignment="1">
      <alignment horizontal="center" vertical="center" wrapText="1"/>
    </xf>
    <xf numFmtId="14" fontId="16" fillId="0" borderId="0" xfId="263" applyNumberFormat="1" applyAlignment="1">
      <alignment horizontal="center" vertical="top" wrapText="1"/>
    </xf>
    <xf numFmtId="0" fontId="14" fillId="0" borderId="0" xfId="263" applyFont="1" applyAlignment="1">
      <alignment horizontal="left" wrapText="1"/>
    </xf>
    <xf numFmtId="0" fontId="16" fillId="0" borderId="0" xfId="263" applyFont="1" applyAlignment="1">
      <alignment horizontal="left" vertical="top" wrapText="1"/>
    </xf>
    <xf numFmtId="0" fontId="161" fillId="0" borderId="0" xfId="263" applyFont="1" applyAlignment="1">
      <alignment horizontal="left" vertical="top" wrapText="1"/>
    </xf>
    <xf numFmtId="49" fontId="21" fillId="0" borderId="190" xfId="269" applyNumberFormat="1" applyFont="1" applyBorder="1" applyAlignment="1" applyProtection="1">
      <alignment horizontal="center"/>
    </xf>
    <xf numFmtId="49" fontId="21" fillId="0" borderId="191" xfId="269" applyNumberFormat="1" applyFont="1" applyBorder="1" applyAlignment="1" applyProtection="1">
      <alignment horizontal="center"/>
    </xf>
    <xf numFmtId="0" fontId="21" fillId="26" borderId="36" xfId="2" applyFill="1" applyBorder="1" applyAlignment="1" applyProtection="1">
      <alignment horizontal="center" vertical="center"/>
      <protection locked="0"/>
    </xf>
    <xf numFmtId="0" fontId="76" fillId="26" borderId="37" xfId="269" applyFont="1" applyFill="1" applyBorder="1" applyAlignment="1" applyProtection="1">
      <alignment horizontal="center" vertical="center"/>
      <protection locked="0"/>
    </xf>
    <xf numFmtId="0" fontId="21" fillId="0" borderId="117" xfId="2" applyBorder="1" applyAlignment="1" applyProtection="1">
      <alignment horizontal="center"/>
    </xf>
    <xf numFmtId="0" fontId="21" fillId="0" borderId="41" xfId="269" applyFont="1" applyBorder="1" applyAlignment="1" applyProtection="1">
      <alignment horizontal="center"/>
    </xf>
    <xf numFmtId="200" fontId="132" fillId="61" borderId="176" xfId="208" applyNumberFormat="1" applyFont="1" applyFill="1" applyBorder="1" applyAlignment="1">
      <alignment horizontal="left" vertical="center"/>
    </xf>
    <xf numFmtId="0" fontId="131" fillId="0" borderId="0" xfId="208" applyFont="1" applyBorder="1" applyAlignment="1">
      <alignment horizontal="left"/>
    </xf>
    <xf numFmtId="0" fontId="145" fillId="0" borderId="0" xfId="208" applyFont="1" applyBorder="1" applyAlignment="1">
      <alignment horizontal="left" vertical="center" wrapText="1"/>
    </xf>
    <xf numFmtId="200" fontId="132" fillId="60" borderId="151" xfId="208" applyNumberFormat="1" applyFont="1" applyFill="1" applyBorder="1" applyAlignment="1">
      <alignment horizontal="left" vertical="center"/>
    </xf>
    <xf numFmtId="0" fontId="131" fillId="0" borderId="0" xfId="208" applyFont="1" applyBorder="1" applyAlignment="1">
      <alignment horizontal="left" vertical="center" wrapText="1"/>
    </xf>
    <xf numFmtId="200" fontId="134" fillId="0" borderId="150" xfId="208" applyNumberFormat="1" applyFont="1" applyBorder="1" applyAlignment="1">
      <alignment horizontal="left" vertical="center" wrapText="1"/>
    </xf>
    <xf numFmtId="200" fontId="156" fillId="0" borderId="150" xfId="208" applyNumberFormat="1" applyFont="1" applyBorder="1" applyAlignment="1">
      <alignment horizontal="left" vertical="center" wrapText="1"/>
    </xf>
    <xf numFmtId="200" fontId="135" fillId="0" borderId="150" xfId="208" applyNumberFormat="1" applyFont="1" applyBorder="1" applyAlignment="1">
      <alignment horizontal="left" vertical="center" wrapText="1"/>
    </xf>
    <xf numFmtId="200" fontId="131" fillId="0" borderId="0" xfId="208" applyNumberFormat="1" applyFont="1" applyBorder="1" applyAlignment="1">
      <alignment horizontal="left" vertical="center"/>
    </xf>
    <xf numFmtId="0" fontId="136" fillId="0" borderId="0" xfId="208" applyFont="1" applyBorder="1" applyAlignment="1">
      <alignment horizontal="left" vertical="center" wrapText="1"/>
    </xf>
    <xf numFmtId="200" fontId="132" fillId="60" borderId="174" xfId="208" applyNumberFormat="1" applyFont="1" applyFill="1" applyBorder="1" applyAlignment="1">
      <alignment horizontal="left" vertical="center"/>
    </xf>
    <xf numFmtId="200" fontId="131" fillId="0" borderId="156" xfId="208" applyNumberFormat="1" applyFont="1" applyBorder="1" applyAlignment="1">
      <alignment horizontal="left" vertical="center"/>
    </xf>
    <xf numFmtId="200" fontId="131" fillId="0" borderId="158" xfId="208" applyNumberFormat="1" applyFont="1" applyBorder="1" applyAlignment="1">
      <alignment vertical="center"/>
    </xf>
    <xf numFmtId="200" fontId="132" fillId="61" borderId="150" xfId="208" applyNumberFormat="1" applyFont="1" applyFill="1" applyBorder="1" applyAlignment="1">
      <alignment horizontal="left" vertical="center"/>
    </xf>
    <xf numFmtId="200" fontId="132" fillId="62" borderId="152" xfId="208" applyNumberFormat="1" applyFont="1" applyFill="1" applyBorder="1" applyAlignment="1">
      <alignment horizontal="left" vertical="center"/>
    </xf>
    <xf numFmtId="200" fontId="132" fillId="63" borderId="152" xfId="208" applyNumberFormat="1" applyFont="1" applyFill="1" applyBorder="1" applyAlignment="1">
      <alignment horizontal="left" vertical="center"/>
    </xf>
    <xf numFmtId="200" fontId="142" fillId="64" borderId="150" xfId="208" applyNumberFormat="1" applyFont="1" applyFill="1" applyBorder="1" applyAlignment="1">
      <alignment horizontal="left" vertical="center"/>
    </xf>
    <xf numFmtId="200" fontId="109" fillId="64" borderId="150" xfId="208" applyNumberFormat="1" applyFont="1" applyFill="1" applyBorder="1" applyAlignment="1">
      <alignment horizontal="left" vertical="center"/>
    </xf>
    <xf numFmtId="200" fontId="132" fillId="63" borderId="142" xfId="208" applyNumberFormat="1" applyFont="1" applyFill="1" applyBorder="1" applyAlignment="1">
      <alignment horizontal="center" vertical="center"/>
    </xf>
    <xf numFmtId="200" fontId="131" fillId="0" borderId="152" xfId="208" applyNumberFormat="1" applyFont="1" applyBorder="1" applyAlignment="1">
      <alignment horizontal="center" vertical="center"/>
    </xf>
    <xf numFmtId="204" fontId="131" fillId="0" borderId="150" xfId="256" applyNumberFormat="1" applyFont="1" applyFill="1" applyBorder="1" applyAlignment="1" applyProtection="1">
      <alignment horizontal="center" vertical="center"/>
    </xf>
    <xf numFmtId="0" fontId="132" fillId="0" borderId="150" xfId="208" applyFont="1" applyBorder="1" applyAlignment="1">
      <alignment horizontal="center" vertical="center"/>
    </xf>
    <xf numFmtId="200" fontId="131" fillId="0" borderId="151" xfId="208" applyNumberFormat="1" applyFont="1" applyBorder="1" applyAlignment="1">
      <alignment horizontal="left" vertical="center"/>
    </xf>
    <xf numFmtId="0" fontId="134" fillId="0" borderId="150" xfId="208" applyFont="1" applyBorder="1" applyAlignment="1">
      <alignment horizontal="left" vertical="center"/>
    </xf>
    <xf numFmtId="0" fontId="135" fillId="0" borderId="152" xfId="208" applyFont="1" applyFill="1" applyBorder="1" applyAlignment="1">
      <alignment horizontal="left" vertical="center"/>
    </xf>
    <xf numFmtId="204" fontId="131" fillId="0" borderId="169" xfId="256" applyNumberFormat="1" applyFont="1" applyFill="1" applyBorder="1" applyAlignment="1" applyProtection="1">
      <alignment horizontal="center" vertical="center"/>
    </xf>
    <xf numFmtId="200" fontId="131" fillId="0" borderId="151" xfId="208" applyNumberFormat="1" applyFont="1" applyBorder="1" applyAlignment="1">
      <alignment horizontal="center" vertical="center"/>
    </xf>
    <xf numFmtId="204" fontId="131" fillId="0" borderId="171" xfId="208" applyNumberFormat="1" applyFont="1" applyFill="1" applyBorder="1" applyAlignment="1">
      <alignment horizontal="center" vertical="center"/>
    </xf>
    <xf numFmtId="203" fontId="131" fillId="0" borderId="150" xfId="256" applyNumberFormat="1" applyFont="1" applyFill="1" applyBorder="1" applyAlignment="1" applyProtection="1">
      <alignment horizontal="center"/>
    </xf>
    <xf numFmtId="200" fontId="131" fillId="0" borderId="144" xfId="208" applyNumberFormat="1" applyFont="1" applyBorder="1" applyAlignment="1">
      <alignment horizontal="center" vertical="center"/>
    </xf>
    <xf numFmtId="0" fontId="132" fillId="0" borderId="150" xfId="208" applyFont="1" applyFill="1" applyBorder="1" applyAlignment="1">
      <alignment horizontal="right"/>
    </xf>
    <xf numFmtId="200" fontId="131" fillId="0" borderId="0" xfId="208" applyNumberFormat="1" applyFont="1" applyFill="1" applyBorder="1" applyAlignment="1">
      <alignment horizontal="left"/>
    </xf>
    <xf numFmtId="0" fontId="132" fillId="61" borderId="142" xfId="208" applyFont="1" applyFill="1" applyBorder="1" applyAlignment="1">
      <alignment horizontal="center" vertical="center"/>
    </xf>
    <xf numFmtId="200" fontId="136" fillId="61" borderId="166" xfId="256" applyNumberFormat="1" applyFont="1" applyFill="1" applyBorder="1" applyAlignment="1" applyProtection="1">
      <alignment horizontal="center" vertical="center"/>
    </xf>
    <xf numFmtId="0" fontId="131" fillId="0" borderId="0" xfId="208" applyFont="1" applyBorder="1" applyAlignment="1">
      <alignment horizontal="left" vertical="center"/>
    </xf>
    <xf numFmtId="0" fontId="132" fillId="62" borderId="142" xfId="208" applyFont="1" applyFill="1" applyBorder="1" applyAlignment="1">
      <alignment horizontal="center" vertical="center"/>
    </xf>
    <xf numFmtId="200" fontId="132" fillId="62" borderId="142" xfId="256" applyNumberFormat="1" applyFont="1" applyFill="1" applyBorder="1" applyAlignment="1" applyProtection="1">
      <alignment horizontal="center" vertical="center"/>
    </xf>
    <xf numFmtId="200" fontId="132" fillId="0" borderId="156" xfId="256" applyNumberFormat="1" applyFont="1" applyFill="1" applyBorder="1" applyAlignment="1" applyProtection="1">
      <alignment horizontal="center" vertical="center"/>
    </xf>
    <xf numFmtId="205" fontId="131" fillId="0" borderId="150" xfId="208" applyNumberFormat="1" applyFont="1" applyBorder="1" applyAlignment="1">
      <alignment horizontal="center"/>
    </xf>
    <xf numFmtId="0" fontId="131" fillId="0" borderId="150" xfId="208" applyFont="1" applyBorder="1" applyAlignment="1">
      <alignment horizontal="center"/>
    </xf>
    <xf numFmtId="0" fontId="132" fillId="0" borderId="150" xfId="208" applyFont="1" applyBorder="1" applyAlignment="1">
      <alignment horizontal="right"/>
    </xf>
    <xf numFmtId="204" fontId="132" fillId="59" borderId="150" xfId="208" applyNumberFormat="1" applyFont="1" applyFill="1" applyBorder="1" applyAlignment="1">
      <alignment horizontal="center"/>
    </xf>
    <xf numFmtId="3" fontId="132" fillId="59" borderId="150" xfId="208" applyNumberFormat="1" applyFont="1" applyFill="1" applyBorder="1" applyAlignment="1">
      <alignment horizontal="center"/>
    </xf>
    <xf numFmtId="0" fontId="131" fillId="0" borderId="144" xfId="208" applyFont="1" applyBorder="1" applyAlignment="1">
      <alignment horizontal="center"/>
    </xf>
    <xf numFmtId="3" fontId="131" fillId="0" borderId="144" xfId="208" applyNumberFormat="1" applyFont="1" applyBorder="1" applyAlignment="1">
      <alignment horizontal="center"/>
    </xf>
    <xf numFmtId="0" fontId="128" fillId="0" borderId="0" xfId="208" applyFont="1" applyBorder="1" applyAlignment="1">
      <alignment horizontal="center"/>
    </xf>
    <xf numFmtId="0" fontId="129" fillId="0" borderId="0" xfId="208" applyFont="1" applyBorder="1" applyAlignment="1">
      <alignment horizontal="center"/>
    </xf>
    <xf numFmtId="0" fontId="149" fillId="0" borderId="142" xfId="208" applyFont="1" applyBorder="1" applyAlignment="1">
      <alignment horizontal="center"/>
    </xf>
    <xf numFmtId="0" fontId="149" fillId="59" borderId="141" xfId="208" applyFont="1" applyFill="1" applyBorder="1" applyAlignment="1">
      <alignment horizontal="center"/>
    </xf>
    <xf numFmtId="0" fontId="150" fillId="59" borderId="139" xfId="208" applyFont="1" applyFill="1" applyBorder="1" applyAlignment="1">
      <alignment horizontal="center"/>
    </xf>
    <xf numFmtId="0" fontId="152" fillId="0" borderId="141" xfId="208" applyFont="1" applyFill="1" applyBorder="1" applyAlignment="1">
      <alignment horizontal="center" wrapText="1"/>
    </xf>
    <xf numFmtId="0" fontId="133" fillId="0" borderId="143" xfId="208" applyFont="1" applyBorder="1" applyAlignment="1">
      <alignment horizontal="center"/>
    </xf>
    <xf numFmtId="3" fontId="131" fillId="0" borderId="150" xfId="208" applyNumberFormat="1" applyFont="1" applyBorder="1" applyAlignment="1">
      <alignment horizontal="center"/>
    </xf>
    <xf numFmtId="3" fontId="87" fillId="0" borderId="25" xfId="0" applyNumberFormat="1" applyFont="1" applyBorder="1" applyAlignment="1" applyProtection="1">
      <alignment horizontal="center"/>
    </xf>
    <xf numFmtId="0" fontId="87" fillId="0" borderId="19" xfId="0" applyFont="1" applyBorder="1" applyAlignment="1"/>
    <xf numFmtId="0" fontId="87" fillId="0" borderId="99" xfId="0" applyFont="1" applyBorder="1" applyAlignment="1"/>
    <xf numFmtId="0" fontId="57" fillId="0" borderId="23" xfId="0" applyFont="1" applyBorder="1" applyAlignment="1" applyProtection="1">
      <alignment horizontal="center"/>
    </xf>
    <xf numFmtId="0" fontId="57" fillId="0" borderId="0" xfId="0" applyFont="1" applyBorder="1" applyAlignment="1" applyProtection="1">
      <alignment horizontal="center"/>
    </xf>
    <xf numFmtId="0" fontId="57" fillId="0" borderId="83" xfId="0" applyFont="1" applyBorder="1" applyAlignment="1" applyProtection="1">
      <alignment horizontal="center"/>
    </xf>
    <xf numFmtId="49" fontId="57" fillId="0" borderId="25" xfId="216" applyNumberFormat="1" applyFont="1" applyBorder="1" applyAlignment="1" applyProtection="1">
      <alignment horizontal="center"/>
    </xf>
    <xf numFmtId="49" fontId="57" fillId="0" borderId="19" xfId="216" applyNumberFormat="1" applyFont="1" applyBorder="1" applyAlignment="1" applyProtection="1">
      <alignment horizontal="center"/>
    </xf>
    <xf numFmtId="49" fontId="57" fillId="0" borderId="99" xfId="216" applyNumberFormat="1" applyFont="1" applyBorder="1" applyAlignment="1" applyProtection="1">
      <alignment horizontal="center"/>
    </xf>
    <xf numFmtId="3" fontId="57" fillId="29" borderId="127" xfId="1" applyNumberFormat="1" applyFont="1" applyFill="1" applyBorder="1" applyAlignment="1" applyProtection="1">
      <alignment horizontal="center" vertical="center"/>
    </xf>
    <xf numFmtId="3" fontId="57" fillId="29" borderId="128" xfId="1" applyNumberFormat="1" applyFont="1" applyFill="1" applyBorder="1" applyAlignment="1" applyProtection="1">
      <alignment horizontal="center" vertical="center"/>
    </xf>
    <xf numFmtId="0" fontId="57" fillId="28" borderId="54" xfId="0" applyFont="1" applyFill="1" applyBorder="1" applyAlignment="1" applyProtection="1">
      <alignment horizontal="center" vertical="center"/>
      <protection locked="0"/>
    </xf>
    <xf numFmtId="0" fontId="0" fillId="0" borderId="56" xfId="0" applyBorder="1" applyAlignment="1">
      <alignment horizontal="center" vertical="center"/>
    </xf>
    <xf numFmtId="3" fontId="57" fillId="29" borderId="36" xfId="1" applyNumberFormat="1" applyFont="1" applyFill="1" applyBorder="1" applyAlignment="1" applyProtection="1">
      <alignment horizontal="center" vertical="center"/>
    </xf>
    <xf numFmtId="3" fontId="57" fillId="29" borderId="37" xfId="1" applyNumberFormat="1" applyFont="1" applyFill="1" applyBorder="1" applyAlignment="1" applyProtection="1">
      <alignment horizontal="center" vertical="center"/>
    </xf>
    <xf numFmtId="3" fontId="57" fillId="39" borderId="36" xfId="1" applyNumberFormat="1" applyFont="1" applyFill="1" applyBorder="1" applyAlignment="1" applyProtection="1">
      <alignment horizontal="center" vertical="center"/>
    </xf>
    <xf numFmtId="3" fontId="57" fillId="39" borderId="37" xfId="1" applyNumberFormat="1" applyFont="1" applyFill="1" applyBorder="1" applyAlignment="1" applyProtection="1">
      <alignment horizontal="center" vertical="center"/>
    </xf>
    <xf numFmtId="0" fontId="57" fillId="26" borderId="36" xfId="1" applyFont="1" applyFill="1" applyBorder="1" applyAlignment="1" applyProtection="1">
      <alignment horizontal="center" vertical="center"/>
      <protection locked="0"/>
    </xf>
    <xf numFmtId="0" fontId="57" fillId="26" borderId="37" xfId="1" applyFont="1" applyFill="1" applyBorder="1" applyAlignment="1" applyProtection="1">
      <alignment horizontal="center" vertical="center"/>
      <protection locked="0"/>
    </xf>
    <xf numFmtId="0" fontId="57" fillId="28" borderId="55" xfId="0" applyFont="1" applyFill="1" applyBorder="1" applyAlignment="1" applyProtection="1">
      <alignment horizontal="center" vertical="center"/>
      <protection locked="0"/>
    </xf>
    <xf numFmtId="0" fontId="76" fillId="28" borderId="56" xfId="216" applyFont="1" applyFill="1" applyBorder="1" applyAlignment="1" applyProtection="1">
      <alignment horizontal="center" vertical="center"/>
      <protection locked="0"/>
    </xf>
    <xf numFmtId="0" fontId="57" fillId="0" borderId="49" xfId="0" applyFont="1" applyFill="1" applyBorder="1" applyAlignment="1" applyProtection="1">
      <alignment horizontal="center"/>
      <protection locked="0"/>
    </xf>
    <xf numFmtId="0" fontId="57" fillId="0" borderId="95" xfId="0" applyFont="1" applyFill="1" applyBorder="1" applyAlignment="1" applyProtection="1">
      <alignment horizontal="center"/>
      <protection locked="0"/>
    </xf>
    <xf numFmtId="0" fontId="76" fillId="28" borderId="54" xfId="216" applyFont="1" applyFill="1" applyBorder="1" applyAlignment="1" applyProtection="1">
      <alignment horizontal="center" vertical="center"/>
      <protection locked="0"/>
    </xf>
    <xf numFmtId="3" fontId="69" fillId="0" borderId="0" xfId="218" applyNumberFormat="1" applyFont="1" applyBorder="1" applyAlignment="1" applyProtection="1">
      <alignment horizontal="center" vertical="center"/>
    </xf>
    <xf numFmtId="3" fontId="59" fillId="33" borderId="117" xfId="218" applyNumberFormat="1" applyFont="1" applyFill="1" applyBorder="1" applyAlignment="1" applyProtection="1">
      <alignment horizontal="center" vertical="center"/>
    </xf>
    <xf numFmtId="3" fontId="59" fillId="33" borderId="0" xfId="218" applyNumberFormat="1" applyFont="1" applyFill="1" applyBorder="1" applyAlignment="1" applyProtection="1">
      <alignment horizontal="center" vertical="center"/>
    </xf>
    <xf numFmtId="3" fontId="69" fillId="0" borderId="88" xfId="218" applyNumberFormat="1" applyFont="1" applyFill="1" applyBorder="1" applyAlignment="1" applyProtection="1">
      <alignment horizontal="center" vertical="center"/>
    </xf>
    <xf numFmtId="0" fontId="69" fillId="0" borderId="0" xfId="0" applyFont="1" applyAlignment="1" applyProtection="1">
      <alignment horizontal="center"/>
      <protection locked="0"/>
    </xf>
    <xf numFmtId="0" fontId="69" fillId="0" borderId="40" xfId="0" applyFont="1" applyBorder="1" applyAlignment="1" applyProtection="1">
      <alignment horizontal="center"/>
      <protection locked="0"/>
    </xf>
    <xf numFmtId="3" fontId="78" fillId="0" borderId="0" xfId="0" applyNumberFormat="1" applyFont="1" applyBorder="1" applyAlignment="1" applyProtection="1">
      <alignment horizontal="center"/>
    </xf>
    <xf numFmtId="3" fontId="78" fillId="0" borderId="40" xfId="0" applyNumberFormat="1" applyFont="1" applyBorder="1" applyAlignment="1" applyProtection="1">
      <alignment horizontal="center"/>
    </xf>
    <xf numFmtId="3" fontId="69" fillId="0" borderId="104" xfId="0" applyNumberFormat="1" applyFont="1" applyBorder="1" applyAlignment="1" applyProtection="1">
      <alignment horizontal="center" vertical="center"/>
    </xf>
    <xf numFmtId="3" fontId="69" fillId="0" borderId="50" xfId="0" applyNumberFormat="1" applyFont="1" applyBorder="1" applyAlignment="1" applyProtection="1">
      <alignment horizontal="center" vertical="center"/>
    </xf>
    <xf numFmtId="3" fontId="69" fillId="0" borderId="112" xfId="0" applyNumberFormat="1" applyFont="1" applyBorder="1" applyAlignment="1" applyProtection="1">
      <alignment horizontal="center" vertical="center"/>
    </xf>
    <xf numFmtId="3" fontId="57" fillId="31" borderId="118" xfId="218" applyNumberFormat="1" applyFont="1" applyFill="1" applyBorder="1" applyAlignment="1" applyProtection="1">
      <alignment horizontal="center" vertical="center"/>
    </xf>
    <xf numFmtId="3" fontId="57" fillId="31" borderId="41" xfId="218" applyNumberFormat="1" applyFont="1" applyFill="1" applyBorder="1" applyAlignment="1" applyProtection="1">
      <alignment horizontal="center" vertical="center"/>
    </xf>
    <xf numFmtId="3" fontId="69" fillId="0" borderId="25" xfId="218" applyNumberFormat="1" applyFont="1" applyFill="1" applyBorder="1" applyAlignment="1" applyProtection="1">
      <alignment horizontal="center"/>
    </xf>
    <xf numFmtId="3" fontId="69" fillId="0" borderId="19" xfId="218" applyNumberFormat="1" applyFont="1" applyFill="1" applyBorder="1" applyAlignment="1" applyProtection="1">
      <alignment horizontal="center"/>
    </xf>
    <xf numFmtId="3" fontId="69" fillId="0" borderId="120" xfId="218" applyNumberFormat="1" applyFont="1" applyFill="1" applyBorder="1" applyAlignment="1" applyProtection="1">
      <alignment horizontal="center"/>
    </xf>
    <xf numFmtId="3" fontId="69" fillId="30" borderId="29" xfId="218" applyNumberFormat="1" applyFont="1" applyFill="1" applyBorder="1" applyAlignment="1" applyProtection="1">
      <alignment horizontal="center"/>
    </xf>
    <xf numFmtId="3" fontId="69" fillId="0" borderId="18" xfId="218" applyNumberFormat="1" applyFont="1" applyFill="1" applyBorder="1" applyAlignment="1" applyProtection="1">
      <alignment horizontal="center"/>
    </xf>
    <xf numFmtId="3" fontId="69" fillId="0" borderId="123" xfId="218" applyNumberFormat="1" applyFont="1" applyFill="1" applyBorder="1" applyAlignment="1" applyProtection="1">
      <alignment horizontal="center"/>
    </xf>
    <xf numFmtId="3" fontId="57" fillId="31" borderId="0" xfId="218" applyNumberFormat="1" applyFont="1" applyFill="1" applyBorder="1" applyAlignment="1" applyProtection="1">
      <alignment horizontal="center" vertical="center"/>
    </xf>
    <xf numFmtId="3" fontId="57" fillId="31" borderId="119" xfId="218" applyNumberFormat="1" applyFont="1" applyFill="1" applyBorder="1" applyAlignment="1" applyProtection="1">
      <alignment horizontal="center" vertical="center"/>
    </xf>
    <xf numFmtId="3" fontId="79" fillId="30" borderId="25" xfId="218" applyNumberFormat="1" applyFont="1" applyFill="1" applyBorder="1" applyAlignment="1" applyProtection="1">
      <alignment horizontal="center"/>
    </xf>
    <xf numFmtId="3" fontId="79" fillId="30" borderId="19" xfId="218" applyNumberFormat="1" applyFont="1" applyFill="1" applyBorder="1" applyAlignment="1" applyProtection="1">
      <alignment horizontal="center"/>
    </xf>
    <xf numFmtId="3" fontId="79" fillId="30" borderId="99" xfId="218" applyNumberFormat="1" applyFont="1" applyFill="1" applyBorder="1" applyAlignment="1" applyProtection="1">
      <alignment horizontal="center"/>
    </xf>
    <xf numFmtId="3" fontId="69" fillId="31" borderId="88" xfId="218" applyNumberFormat="1" applyFont="1" applyFill="1" applyBorder="1" applyAlignment="1" applyProtection="1">
      <alignment horizontal="center" vertical="center"/>
    </xf>
    <xf numFmtId="3" fontId="69" fillId="31" borderId="95" xfId="218" applyNumberFormat="1" applyFont="1" applyFill="1" applyBorder="1" applyAlignment="1" applyProtection="1">
      <alignment horizontal="center" vertical="center"/>
    </xf>
    <xf numFmtId="3" fontId="78" fillId="38" borderId="19" xfId="218" applyNumberFormat="1" applyFont="1" applyFill="1" applyBorder="1" applyAlignment="1" applyProtection="1">
      <alignment horizontal="center" vertical="center"/>
      <protection locked="0"/>
    </xf>
    <xf numFmtId="3" fontId="78" fillId="38" borderId="0" xfId="218" applyNumberFormat="1" applyFont="1" applyFill="1" applyBorder="1" applyAlignment="1" applyProtection="1">
      <alignment horizontal="center" vertical="center"/>
      <protection locked="0"/>
    </xf>
    <xf numFmtId="3" fontId="57" fillId="0" borderId="35" xfId="218" applyNumberFormat="1" applyFont="1" applyBorder="1" applyAlignment="1" applyProtection="1">
      <alignment horizontal="center"/>
    </xf>
    <xf numFmtId="3" fontId="57" fillId="0" borderId="36" xfId="218" applyNumberFormat="1" applyFont="1" applyBorder="1" applyAlignment="1" applyProtection="1">
      <alignment horizontal="center"/>
    </xf>
    <xf numFmtId="3" fontId="80" fillId="0" borderId="54" xfId="218" applyNumberFormat="1" applyFont="1" applyBorder="1" applyAlignment="1" applyProtection="1">
      <alignment horizontal="center"/>
    </xf>
    <xf numFmtId="3" fontId="80" fillId="0" borderId="55" xfId="218" applyNumberFormat="1" applyFont="1" applyBorder="1" applyAlignment="1" applyProtection="1">
      <alignment horizontal="center"/>
    </xf>
    <xf numFmtId="3" fontId="69" fillId="0" borderId="20" xfId="218" applyNumberFormat="1" applyFont="1" applyBorder="1" applyAlignment="1" applyProtection="1">
      <alignment horizontal="center"/>
    </xf>
    <xf numFmtId="3" fontId="69" fillId="0" borderId="0" xfId="218" applyNumberFormat="1" applyFont="1" applyBorder="1" applyAlignment="1" applyProtection="1">
      <alignment horizontal="center"/>
    </xf>
    <xf numFmtId="3" fontId="69" fillId="0" borderId="19" xfId="218" applyNumberFormat="1" applyFont="1" applyBorder="1" applyAlignment="1" applyProtection="1">
      <alignment horizontal="center" vertical="center"/>
    </xf>
    <xf numFmtId="3" fontId="69" fillId="0" borderId="29" xfId="218" applyNumberFormat="1" applyFont="1" applyBorder="1" applyAlignment="1" applyProtection="1">
      <alignment horizontal="center" vertical="center"/>
    </xf>
    <xf numFmtId="3" fontId="69" fillId="0" borderId="123" xfId="218" applyNumberFormat="1" applyFont="1" applyBorder="1" applyAlignment="1" applyProtection="1">
      <alignment horizontal="center" vertical="center"/>
    </xf>
    <xf numFmtId="3" fontId="69" fillId="0" borderId="28" xfId="218" applyNumberFormat="1" applyFont="1" applyBorder="1" applyAlignment="1" applyProtection="1">
      <alignment horizontal="center" vertical="center"/>
    </xf>
    <xf numFmtId="3" fontId="69" fillId="0" borderId="40" xfId="218" applyNumberFormat="1" applyFont="1" applyBorder="1" applyAlignment="1" applyProtection="1">
      <alignment horizontal="center"/>
    </xf>
    <xf numFmtId="3" fontId="69" fillId="0" borderId="181" xfId="0" applyNumberFormat="1" applyFont="1" applyBorder="1" applyAlignment="1" applyProtection="1">
      <alignment horizontal="center" vertical="center"/>
    </xf>
    <xf numFmtId="0" fontId="69" fillId="0" borderId="0" xfId="218" applyFont="1" applyAlignment="1" applyProtection="1">
      <alignment horizontal="center"/>
      <protection locked="0"/>
    </xf>
  </cellXfs>
  <cellStyles count="274">
    <cellStyle name="/h" xfId="6"/>
    <cellStyle name="/jour" xfId="7"/>
    <cellStyle name="/mois" xfId="8"/>
    <cellStyle name="20 % - Accent1" xfId="9" builtinId="30" customBuiltin="1"/>
    <cellStyle name="20 % - Accent2" xfId="10" builtinId="34" customBuiltin="1"/>
    <cellStyle name="20 % - Accent3" xfId="11" builtinId="38" customBuiltin="1"/>
    <cellStyle name="20 % - Accent4" xfId="12" builtinId="42" customBuiltin="1"/>
    <cellStyle name="20 % - Accent5" xfId="13" builtinId="46" customBuiltin="1"/>
    <cellStyle name="20 % - Accent6" xfId="14" builtinId="50" customBuiltin="1"/>
    <cellStyle name="40 % - Accent1" xfId="15" builtinId="31" customBuiltin="1"/>
    <cellStyle name="40 % - Accent2" xfId="16" builtinId="35" customBuiltin="1"/>
    <cellStyle name="40 % - Accent3" xfId="17" builtinId="39" customBuiltin="1"/>
    <cellStyle name="40 % - Accent4" xfId="18" builtinId="43" customBuiltin="1"/>
    <cellStyle name="40 % - Accent5" xfId="19" builtinId="47" customBuiltin="1"/>
    <cellStyle name="40 % - Accent6" xfId="20" builtinId="51" customBuiltin="1"/>
    <cellStyle name="60 % - Accent1" xfId="21" builtinId="32" customBuiltin="1"/>
    <cellStyle name="60 % - Accent2" xfId="22" builtinId="36" customBuiltin="1"/>
    <cellStyle name="60 % - Accent3" xfId="23" builtinId="40" customBuiltin="1"/>
    <cellStyle name="60 % - Accent4" xfId="24" builtinId="44" customBuiltin="1"/>
    <cellStyle name="60 % - Accent5" xfId="25" builtinId="48" customBuiltin="1"/>
    <cellStyle name="60 % - Accent6" xfId="26" builtinId="52" customBuiltin="1"/>
    <cellStyle name="A" xfId="27"/>
    <cellStyle name="A_Les Rivages" xfId="28"/>
    <cellStyle name="A_VITTORI LLS" xfId="29"/>
    <cellStyle name="A_VITTORI LLTS+com" xfId="235"/>
    <cellStyle name="AA" xfId="30"/>
    <cellStyle name="Accent1" xfId="31" builtinId="29" customBuiltin="1"/>
    <cellStyle name="Accent2" xfId="32" builtinId="33" customBuiltin="1"/>
    <cellStyle name="Accent3" xfId="33" builtinId="37" customBuiltin="1"/>
    <cellStyle name="Accent4" xfId="34" builtinId="41" customBuiltin="1"/>
    <cellStyle name="Accent5" xfId="35" builtinId="45" customBuiltin="1"/>
    <cellStyle name="Accent6" xfId="36" builtinId="49" customBuiltin="1"/>
    <cellStyle name="Avertissement" xfId="37" builtinId="11" customBuiltin="1"/>
    <cellStyle name="B" xfId="38"/>
    <cellStyle name="B_3.1 Prix de revient P'tit Canal" xfId="39"/>
    <cellStyle name="B_Bdgt APD mars12 déposé DEAL-LLS" xfId="40"/>
    <cellStyle name="B_Bdgt Lavoir PRO" xfId="41"/>
    <cellStyle name="B_Bdgt Lavoir PRO_3.3 Devis total" xfId="42"/>
    <cellStyle name="B_Bdgt Lavoir PRO_Bdg  DCE" xfId="43"/>
    <cellStyle name="B_Bdgt Lavoir PRO_Bdg  DCE inserts marchés" xfId="44"/>
    <cellStyle name="B_Bdgt Lavoir PRO_Bdgt APD mars12 déposé DEAL-LLS" xfId="45"/>
    <cellStyle name="B_Bdgt Lavoir PRO_Bdgt GOURDE" xfId="46"/>
    <cellStyle name="B_Bdgt Lavoir PRO_Bdgt PRO estim MOE" xfId="47"/>
    <cellStyle name="B_Bdgt Lavoir PRO_Budget APD Défisc avec portage" xfId="48"/>
    <cellStyle name="B_Bdgt Lavoir PRO_Budget APD Défisc ratios modifiés" xfId="49"/>
    <cellStyle name="B_Bdgt Lavoir PRO_Budget faisa Bethanie" xfId="50"/>
    <cellStyle name="B_Bdgt Lavoir PRO_Classeur1" xfId="51"/>
    <cellStyle name="B_Bdgt Lavoir PRO_INGEPAR Bdgt APD mars12-LLS" xfId="52"/>
    <cellStyle name="B_Bdgt Lavoir PRO_LLTS+Com" xfId="236"/>
    <cellStyle name="B_Bdgt Lavoir PRO_Matrice Bdgt Défisc" xfId="53"/>
    <cellStyle name="B_Bdgt Lavoir PRO_VITTORI LLS" xfId="54"/>
    <cellStyle name="B_Bdgt Lavoir PRO_VITTORI LLTS+com" xfId="237"/>
    <cellStyle name="B_Bilan FRAFU" xfId="55"/>
    <cellStyle name="B_Bilan FRAFU_3.3 Devis total" xfId="56"/>
    <cellStyle name="B_Bilan FRAFU_Bdg  DCE" xfId="57"/>
    <cellStyle name="B_Bilan FRAFU_Bdg  DCE inserts marchés" xfId="58"/>
    <cellStyle name="B_Bilan FRAFU_Bdgt APD mars12 déposé DEAL-LLS" xfId="59"/>
    <cellStyle name="B_Bilan FRAFU_Bdgt GOURDE" xfId="60"/>
    <cellStyle name="B_Bilan FRAFU_Bdgt PRO estim MOE" xfId="61"/>
    <cellStyle name="B_Bilan FRAFU_Budget APD" xfId="62"/>
    <cellStyle name="B_Bilan FRAFU_Budget APD Défisc avec portage" xfId="63"/>
    <cellStyle name="B_Bilan FRAFU_Budget APD Défisc ratios modifiés" xfId="64"/>
    <cellStyle name="B_Bilan FRAFU_Budget faisa Bethanie" xfId="65"/>
    <cellStyle name="B_Bilan FRAFU_Classeur1" xfId="66"/>
    <cellStyle name="B_Bilan FRAFU_INGEPAR Bdgt APD mars12-LLS" xfId="67"/>
    <cellStyle name="B_Bilan FRAFU_Les Rivages" xfId="68"/>
    <cellStyle name="B_Bilan FRAFU_LLTS+Com" xfId="238"/>
    <cellStyle name="B_Bilan FRAFU_Matrice Bdgt Défisc" xfId="69"/>
    <cellStyle name="B_Bilan FRAFU_VITTORI LLS" xfId="70"/>
    <cellStyle name="B_Bilan FRAFU_VITTORI LLTS+com" xfId="239"/>
    <cellStyle name="B_Budget FB défisc" xfId="71"/>
    <cellStyle name="B_INGEPAR Bdgt APD mars12-LLS" xfId="72"/>
    <cellStyle name="B_Pgr Palissandre APS" xfId="73"/>
    <cellStyle name="B_Pgr SCI Letchis" xfId="74"/>
    <cellStyle name="B_PRLC 0090 Poker d'As APS" xfId="75"/>
    <cellStyle name="B_Tableau comparatif" xfId="76"/>
    <cellStyle name="B_Tableau comparatif APS" xfId="77"/>
    <cellStyle name="B_Tableau comparatif_3.3 Devis total" xfId="78"/>
    <cellStyle name="B_Tableau comparatif_Bdg  DCE" xfId="79"/>
    <cellStyle name="B_Tableau comparatif_Bdg  DCE inserts marchés" xfId="80"/>
    <cellStyle name="B_Tableau comparatif_Bdgt APD mars12 déposé DEAL-LLS" xfId="81"/>
    <cellStyle name="B_Tableau comparatif_Bdgt GOURDE" xfId="82"/>
    <cellStyle name="B_Tableau comparatif_Bdgt PRO estim MOE" xfId="83"/>
    <cellStyle name="B_Tableau comparatif_Budget APD" xfId="84"/>
    <cellStyle name="B_Tableau comparatif_Budget APD Défisc avec portage" xfId="85"/>
    <cellStyle name="B_Tableau comparatif_Budget APD Défisc ratios modifiés" xfId="86"/>
    <cellStyle name="B_Tableau comparatif_Budget faisa Bethanie" xfId="87"/>
    <cellStyle name="B_Tableau comparatif_Classeur1" xfId="88"/>
    <cellStyle name="B_Tableau comparatif_INGEPAR Bdgt APD mars12-LLS" xfId="89"/>
    <cellStyle name="B_Tableau comparatif_Les Rivages" xfId="90"/>
    <cellStyle name="B_Tableau comparatif_LLTS+Com" xfId="240"/>
    <cellStyle name="B_Tableau comparatif_Matrice Bdgt Défisc" xfId="91"/>
    <cellStyle name="B_Tableau comparatif_VITTORI LLS" xfId="92"/>
    <cellStyle name="B_Tableau comparatif_VITTORI LLTS+com" xfId="241"/>
    <cellStyle name="C" xfId="93"/>
    <cellStyle name="C_3.1 Prix de revient P'tit Canal" xfId="94"/>
    <cellStyle name="C_Bdgt APD mars12 déposé DEAL-LLS" xfId="95"/>
    <cellStyle name="C_Bdgt Lavoir PRO" xfId="96"/>
    <cellStyle name="C_Bdgt Lavoir PRO_3.3 Devis total" xfId="97"/>
    <cellStyle name="C_Bdgt Lavoir PRO_Bdg  DCE" xfId="98"/>
    <cellStyle name="C_Bdgt Lavoir PRO_Bdg  DCE inserts marchés" xfId="99"/>
    <cellStyle name="C_Bdgt Lavoir PRO_Bdgt APD mars12 déposé DEAL-LLS" xfId="100"/>
    <cellStyle name="C_Bdgt Lavoir PRO_Bdgt GOURDE" xfId="101"/>
    <cellStyle name="C_Bdgt Lavoir PRO_Bdgt PRO estim MOE" xfId="102"/>
    <cellStyle name="C_Bdgt Lavoir PRO_Budget APD Défisc avec portage" xfId="103"/>
    <cellStyle name="C_Bdgt Lavoir PRO_Budget APD Défisc ratios modifiés" xfId="104"/>
    <cellStyle name="C_Bdgt Lavoir PRO_Budget faisa Bethanie" xfId="105"/>
    <cellStyle name="C_Bdgt Lavoir PRO_Classeur1" xfId="106"/>
    <cellStyle name="C_Bdgt Lavoir PRO_INGEPAR Bdgt APD mars12-LLS" xfId="107"/>
    <cellStyle name="C_Bdgt Lavoir PRO_LLTS+Com" xfId="242"/>
    <cellStyle name="C_Bdgt Lavoir PRO_Matrice Bdgt Défisc" xfId="108"/>
    <cellStyle name="C_Bdgt Lavoir PRO_VITTORI LLS" xfId="109"/>
    <cellStyle name="C_Bdgt Lavoir PRO_VITTORI LLTS+com" xfId="243"/>
    <cellStyle name="C_Bilan FRAFU" xfId="110"/>
    <cellStyle name="C_Bilan FRAFU_3.3 Devis total" xfId="111"/>
    <cellStyle name="C_Bilan FRAFU_Bdg  DCE" xfId="112"/>
    <cellStyle name="C_Bilan FRAFU_Bdg  DCE inserts marchés" xfId="113"/>
    <cellStyle name="C_Bilan FRAFU_Bdgt APD mars12 déposé DEAL-LLS" xfId="114"/>
    <cellStyle name="C_Bilan FRAFU_Bdgt GOURDE" xfId="115"/>
    <cellStyle name="C_Bilan FRAFU_Bdgt PRO estim MOE" xfId="116"/>
    <cellStyle name="C_Bilan FRAFU_Budget APD" xfId="117"/>
    <cellStyle name="C_Bilan FRAFU_Budget APD Défisc avec portage" xfId="118"/>
    <cellStyle name="C_Bilan FRAFU_Budget APD Défisc ratios modifiés" xfId="119"/>
    <cellStyle name="C_Bilan FRAFU_Budget faisa Bethanie" xfId="120"/>
    <cellStyle name="C_Bilan FRAFU_Classeur1" xfId="121"/>
    <cellStyle name="C_Bilan FRAFU_INGEPAR Bdgt APD mars12-LLS" xfId="122"/>
    <cellStyle name="C_Bilan FRAFU_Les Rivages" xfId="123"/>
    <cellStyle name="C_Bilan FRAFU_LLTS+Com" xfId="244"/>
    <cellStyle name="C_Bilan FRAFU_Matrice Bdgt Défisc" xfId="124"/>
    <cellStyle name="C_Bilan FRAFU_VITTORI LLS" xfId="125"/>
    <cellStyle name="C_Bilan FRAFU_VITTORI LLTS+com" xfId="245"/>
    <cellStyle name="C_Budget FB défisc" xfId="126"/>
    <cellStyle name="C_INGEPAR Bdgt APD mars12-LLS" xfId="127"/>
    <cellStyle name="C_Pgr Palissandre APS" xfId="128"/>
    <cellStyle name="C_Pgr SCI Letchis" xfId="129"/>
    <cellStyle name="C_PRLC 0090 Poker d'As APS" xfId="130"/>
    <cellStyle name="C_Tableau comparatif" xfId="131"/>
    <cellStyle name="C_Tableau comparatif APS" xfId="132"/>
    <cellStyle name="C_Tableau comparatif_3.3 Devis total" xfId="133"/>
    <cellStyle name="C_Tableau comparatif_Bdg  DCE" xfId="134"/>
    <cellStyle name="C_Tableau comparatif_Bdg  DCE inserts marchés" xfId="135"/>
    <cellStyle name="C_Tableau comparatif_Bdgt APD mars12 déposé DEAL-LLS" xfId="136"/>
    <cellStyle name="C_Tableau comparatif_Bdgt GOURDE" xfId="137"/>
    <cellStyle name="C_Tableau comparatif_Bdgt PRO estim MOE" xfId="138"/>
    <cellStyle name="C_Tableau comparatif_Budget APD" xfId="139"/>
    <cellStyle name="C_Tableau comparatif_Budget APD Défisc avec portage" xfId="140"/>
    <cellStyle name="C_Tableau comparatif_Budget APD Défisc ratios modifiés" xfId="141"/>
    <cellStyle name="C_Tableau comparatif_Budget faisa Bethanie" xfId="142"/>
    <cellStyle name="C_Tableau comparatif_Classeur1" xfId="143"/>
    <cellStyle name="C_Tableau comparatif_INGEPAR Bdgt APD mars12-LLS" xfId="144"/>
    <cellStyle name="C_Tableau comparatif_Les Rivages" xfId="145"/>
    <cellStyle name="C_Tableau comparatif_LLTS+Com" xfId="246"/>
    <cellStyle name="C_Tableau comparatif_Matrice Bdgt Défisc" xfId="146"/>
    <cellStyle name="C_Tableau comparatif_VITTORI LLS" xfId="147"/>
    <cellStyle name="C_Tableau comparatif_VITTORI LLTS+com" xfId="247"/>
    <cellStyle name="Calcul" xfId="148" builtinId="22" customBuiltin="1"/>
    <cellStyle name="Cellule liée" xfId="149" builtinId="24" customBuiltin="1"/>
    <cellStyle name="Comma [0]_Erection.lot5" xfId="150"/>
    <cellStyle name="Comma_Erection.lot5" xfId="151"/>
    <cellStyle name="Commentaire" xfId="152" builtinId="10" customBuiltin="1"/>
    <cellStyle name="Currency [0]_Erection.lot5" xfId="153"/>
    <cellStyle name="Currency_Erection.lot5" xfId="154"/>
    <cellStyle name="D" xfId="155"/>
    <cellStyle name="D_Les Rivages" xfId="156"/>
    <cellStyle name="D_VITTORI LLS" xfId="157"/>
    <cellStyle name="D_VITTORI LLTS+com" xfId="248"/>
    <cellStyle name="données" xfId="158"/>
    <cellStyle name="E" xfId="159"/>
    <cellStyle name="E_Les Rivages" xfId="160"/>
    <cellStyle name="E_VITTORI LLS" xfId="161"/>
    <cellStyle name="E_VITTORI LLTS+com" xfId="249"/>
    <cellStyle name="Entrée" xfId="162" builtinId="20" customBuiltin="1"/>
    <cellStyle name="Euro" xfId="163"/>
    <cellStyle name="Euro 2" xfId="164"/>
    <cellStyle name="Euro 3" xfId="250"/>
    <cellStyle name="Euro 4" xfId="256"/>
    <cellStyle name="Euro 5" xfId="265"/>
    <cellStyle name="Euro_3.1 Prix de revient P'tit Canal" xfId="165"/>
    <cellStyle name="F" xfId="166"/>
    <cellStyle name="F_Les Rivages" xfId="167"/>
    <cellStyle name="F_VITTORI LLS" xfId="168"/>
    <cellStyle name="F_VITTORI LLTS+com" xfId="251"/>
    <cellStyle name="G" xfId="169"/>
    <cellStyle name="G_Les Rivages" xfId="170"/>
    <cellStyle name="G_VITTORI LLS" xfId="171"/>
    <cellStyle name="G_VITTORI LLTS+com" xfId="252"/>
    <cellStyle name="gris" xfId="172"/>
    <cellStyle name="gris 2" xfId="267"/>
    <cellStyle name="H" xfId="173"/>
    <cellStyle name="h/mois" xfId="174"/>
    <cellStyle name="H_Les Rivages" xfId="175"/>
    <cellStyle name="H_VITTORI LLS" xfId="176"/>
    <cellStyle name="H_VITTORI LLTS+com" xfId="253"/>
    <cellStyle name="heures" xfId="177"/>
    <cellStyle name="Insatisfaisant" xfId="178" builtinId="27" customBuiltin="1"/>
    <cellStyle name="jours" xfId="179"/>
    <cellStyle name="Lien hypertexte" xfId="259" builtinId="8"/>
    <cellStyle name="Lien hypertexte 2" xfId="264"/>
    <cellStyle name="Milliers 10" xfId="180"/>
    <cellStyle name="Milliers 11" xfId="181"/>
    <cellStyle name="Milliers 12" xfId="182"/>
    <cellStyle name="Milliers 13" xfId="268"/>
    <cellStyle name="Milliers 13 2" xfId="266"/>
    <cellStyle name="Milliers 14" xfId="271"/>
    <cellStyle name="Milliers 2" xfId="183"/>
    <cellStyle name="Milliers 3" xfId="184"/>
    <cellStyle name="Milliers 4" xfId="185"/>
    <cellStyle name="Milliers 5" xfId="186"/>
    <cellStyle name="Milliers 6" xfId="187"/>
    <cellStyle name="Milliers 7" xfId="188"/>
    <cellStyle name="Milliers 8" xfId="189"/>
    <cellStyle name="Milliers 9" xfId="190"/>
    <cellStyle name="mois" xfId="191"/>
    <cellStyle name="Monétaire" xfId="192" builtinId="4"/>
    <cellStyle name="Monétaire 10" xfId="257"/>
    <cellStyle name="Monétaire 2" xfId="193"/>
    <cellStyle name="Monétaire 3" xfId="194"/>
    <cellStyle name="Monétaire 4" xfId="195"/>
    <cellStyle name="Monétaire 5" xfId="196"/>
    <cellStyle name="Monétaire 6" xfId="197"/>
    <cellStyle name="Monétaire 7" xfId="198"/>
    <cellStyle name="Monétaire 8" xfId="254"/>
    <cellStyle name="Monétaire 9" xfId="255"/>
    <cellStyle name="Neutre" xfId="199" builtinId="28" customBuiltin="1"/>
    <cellStyle name="NiveauColonne_1" xfId="2" builtinId="2" iLevel="0"/>
    <cellStyle name="NiveauColonne_2" xfId="4" builtinId="2" iLevel="1"/>
    <cellStyle name="NiveauLigne_1" xfId="1" builtinId="1" iLevel="0"/>
    <cellStyle name="NiveauLigne_1 2" xfId="270"/>
    <cellStyle name="NiveauLigne_2" xfId="3" builtinId="1" iLevel="1"/>
    <cellStyle name="NiveauLigne_2 2" xfId="272"/>
    <cellStyle name="NiveauLigne_3" xfId="5" builtinId="1" iLevel="2"/>
    <cellStyle name="Normal" xfId="0" builtinId="0"/>
    <cellStyle name="Normal - Style1" xfId="200"/>
    <cellStyle name="Normal - Style2" xfId="201"/>
    <cellStyle name="Normal - Style3" xfId="202"/>
    <cellStyle name="Normal - Style4" xfId="203"/>
    <cellStyle name="Normal - Style5" xfId="204"/>
    <cellStyle name="Normal - Style6" xfId="205"/>
    <cellStyle name="Normal - Style7" xfId="206"/>
    <cellStyle name="Normal - Style8" xfId="207"/>
    <cellStyle name="Normal 1" xfId="208"/>
    <cellStyle name="Normal 2" xfId="209"/>
    <cellStyle name="Normal 2 2" xfId="210"/>
    <cellStyle name="Normal 2 3" xfId="211"/>
    <cellStyle name="Normal 2_3.3 Devis total" xfId="212"/>
    <cellStyle name="Normal 3" xfId="213"/>
    <cellStyle name="Normal 3 2" xfId="214"/>
    <cellStyle name="Normal 3_3.1 Prix de revient P'tit Canal" xfId="215"/>
    <cellStyle name="Normal 4" xfId="258"/>
    <cellStyle name="Normal 5" xfId="260"/>
    <cellStyle name="Normal 6" xfId="261"/>
    <cellStyle name="Normal 7" xfId="262"/>
    <cellStyle name="Normal 8" xfId="263"/>
    <cellStyle name="Normal_55 Budget" xfId="216"/>
    <cellStyle name="Normal_55 Budget 2" xfId="269"/>
    <cellStyle name="Normal_58 Fiche programme" xfId="217"/>
    <cellStyle name="Normal_58 Fiche programme 2" xfId="273"/>
    <cellStyle name="Normal_58 Fiche programme_Pgr PRLC 0110 APD" xfId="218"/>
    <cellStyle name="Pourcentage" xfId="219" builtinId="5"/>
    <cellStyle name="Pourcentage 2" xfId="220"/>
    <cellStyle name="Pourcentage 2 2" xfId="221"/>
    <cellStyle name="Pourcentage 3" xfId="222"/>
    <cellStyle name="QQQQ" xfId="223"/>
    <cellStyle name="rien" xfId="224"/>
    <cellStyle name="Satisfaisant" xfId="225" builtinId="26" customBuiltin="1"/>
    <cellStyle name="Sortie" xfId="226" builtinId="21" customBuiltin="1"/>
    <cellStyle name="Texte explicatif" xfId="227" builtinId="53" customBuiltin="1"/>
    <cellStyle name="Titre" xfId="228" builtinId="15" customBuiltin="1"/>
    <cellStyle name="Titre 1" xfId="229" builtinId="16" customBuiltin="1"/>
    <cellStyle name="Titre 2" xfId="230" builtinId="17" customBuiltin="1"/>
    <cellStyle name="Titre 3" xfId="231" builtinId="18" customBuiltin="1"/>
    <cellStyle name="Titre 4" xfId="232" builtinId="19" customBuiltin="1"/>
    <cellStyle name="Total" xfId="233" builtinId="25" customBuiltin="1"/>
    <cellStyle name="Vérification" xfId="234" builtinId="23" customBuiltin="1"/>
  </cellStyles>
  <dxfs count="2">
    <dxf>
      <font>
        <condense val="0"/>
        <extend val="0"/>
        <color indexed="10"/>
      </font>
    </dxf>
    <dxf>
      <font>
        <condense val="0"/>
        <extend val="0"/>
        <color indexed="1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4.jpe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4.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_rels/drawing5.xml.rels><?xml version="1.0" encoding="UTF-8" standalone="yes"?>
<Relationships xmlns="http://schemas.openxmlformats.org/package/2006/relationships"><Relationship Id="rId1" Type="http://schemas.openxmlformats.org/officeDocument/2006/relationships/image" Target="../media/image4.jpeg"/></Relationships>
</file>

<file path=xl/drawings/_rels/drawing6.xml.rels><?xml version="1.0" encoding="UTF-8" standalone="yes"?>
<Relationships xmlns="http://schemas.openxmlformats.org/package/2006/relationships"><Relationship Id="rId1" Type="http://schemas.openxmlformats.org/officeDocument/2006/relationships/image" Target="../media/image4.jpeg"/></Relationships>
</file>

<file path=xl/drawings/_rels/drawing7.xml.rels><?xml version="1.0" encoding="UTF-8" standalone="yes"?>
<Relationships xmlns="http://schemas.openxmlformats.org/package/2006/relationships"><Relationship Id="rId1" Type="http://schemas.openxmlformats.org/officeDocument/2006/relationships/image" Target="../media/image4.jpeg"/></Relationships>
</file>

<file path=xl/drawings/_rels/drawing8.xml.rels><?xml version="1.0" encoding="UTF-8" standalone="yes"?>
<Relationships xmlns="http://schemas.openxmlformats.org/package/2006/relationships"><Relationship Id="rId1" Type="http://schemas.openxmlformats.org/officeDocument/2006/relationships/image" Target="../media/image4.jpeg"/></Relationships>
</file>

<file path=xl/drawings/_rels/drawing9.xml.rels><?xml version="1.0" encoding="UTF-8" standalone="yes"?>
<Relationships xmlns="http://schemas.openxmlformats.org/package/2006/relationships"><Relationship Id="rId2" Type="http://schemas.openxmlformats.org/officeDocument/2006/relationships/image" Target="../media/image5.jpeg"/><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38101</xdr:rowOff>
    </xdr:from>
    <xdr:to>
      <xdr:col>2</xdr:col>
      <xdr:colOff>815340</xdr:colOff>
      <xdr:row>3</xdr:row>
      <xdr:rowOff>144415</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20981"/>
          <a:ext cx="2110740" cy="472074"/>
        </a:xfrm>
        <a:prstGeom prst="rect">
          <a:avLst/>
        </a:prstGeom>
      </xdr:spPr>
    </xdr:pic>
    <xdr:clientData/>
  </xdr:twoCellAnchor>
  <xdr:twoCellAnchor editAs="oneCell">
    <xdr:from>
      <xdr:col>8</xdr:col>
      <xdr:colOff>457200</xdr:colOff>
      <xdr:row>1</xdr:row>
      <xdr:rowOff>166254</xdr:rowOff>
    </xdr:from>
    <xdr:to>
      <xdr:col>13</xdr:col>
      <xdr:colOff>632520</xdr:colOff>
      <xdr:row>6</xdr:row>
      <xdr:rowOff>27708</xdr:rowOff>
    </xdr:to>
    <xdr:pic>
      <xdr:nvPicPr>
        <xdr:cNvPr id="5" name="Imag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7218218" y="346363"/>
          <a:ext cx="3458847" cy="762000"/>
        </a:xfrm>
        <a:prstGeom prst="rect">
          <a:avLst/>
        </a:prstGeom>
      </xdr:spPr>
    </xdr:pic>
    <xdr:clientData/>
  </xdr:twoCellAnchor>
  <xdr:twoCellAnchor editAs="oneCell">
    <xdr:from>
      <xdr:col>16</xdr:col>
      <xdr:colOff>443346</xdr:colOff>
      <xdr:row>1</xdr:row>
      <xdr:rowOff>152400</xdr:rowOff>
    </xdr:from>
    <xdr:to>
      <xdr:col>20</xdr:col>
      <xdr:colOff>632520</xdr:colOff>
      <xdr:row>6</xdr:row>
      <xdr:rowOff>13854</xdr:rowOff>
    </xdr:to>
    <xdr:pic>
      <xdr:nvPicPr>
        <xdr:cNvPr id="7" name="Image 6"/>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898582" y="332509"/>
          <a:ext cx="3458847" cy="76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54</xdr:row>
      <xdr:rowOff>0</xdr:rowOff>
    </xdr:from>
    <xdr:to>
      <xdr:col>5</xdr:col>
      <xdr:colOff>263237</xdr:colOff>
      <xdr:row>58</xdr:row>
      <xdr:rowOff>173406</xdr:rowOff>
    </xdr:to>
    <xdr:pic>
      <xdr:nvPicPr>
        <xdr:cNvPr id="10" name="Image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9933709"/>
          <a:ext cx="4128655" cy="907697"/>
        </a:xfrm>
        <a:prstGeom prst="rect">
          <a:avLst/>
        </a:prstGeom>
      </xdr:spPr>
    </xdr:pic>
    <xdr:clientData/>
  </xdr:twoCellAnchor>
  <xdr:oneCellAnchor>
    <xdr:from>
      <xdr:col>0</xdr:col>
      <xdr:colOff>0</xdr:colOff>
      <xdr:row>103</xdr:row>
      <xdr:rowOff>180108</xdr:rowOff>
    </xdr:from>
    <xdr:ext cx="4107568" cy="900186"/>
    <xdr:pic>
      <xdr:nvPicPr>
        <xdr:cNvPr id="9" name="Image 8"/>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19036144"/>
          <a:ext cx="4107568" cy="900186"/>
        </a:xfrm>
        <a:prstGeom prst="rect">
          <a:avLst/>
        </a:prstGeom>
      </xdr:spPr>
    </xdr:pic>
    <xdr:clientData/>
  </xdr:oneCellAnchor>
  <xdr:oneCellAnchor>
    <xdr:from>
      <xdr:col>15</xdr:col>
      <xdr:colOff>197641</xdr:colOff>
      <xdr:row>59</xdr:row>
      <xdr:rowOff>41564</xdr:rowOff>
    </xdr:from>
    <xdr:ext cx="3873689" cy="1469890"/>
    <xdr:sp macro="" textlink="">
      <xdr:nvSpPr>
        <xdr:cNvPr id="4" name="Rectangle 3"/>
        <xdr:cNvSpPr/>
      </xdr:nvSpPr>
      <xdr:spPr>
        <a:xfrm>
          <a:off x="12008641" y="11436928"/>
          <a:ext cx="3873689" cy="1469890"/>
        </a:xfrm>
        <a:prstGeom prst="rect">
          <a:avLst/>
        </a:prstGeom>
        <a:noFill/>
      </xdr:spPr>
      <xdr:txBody>
        <a:bodyPr wrap="none" lIns="91440" tIns="45720" rIns="91440" bIns="45720">
          <a:spAutoFit/>
        </a:bodyPr>
        <a:lstStyle/>
        <a:p>
          <a:pPr algn="ctr"/>
          <a:r>
            <a:rPr lang="fr-FR"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Mettre tableau </a:t>
          </a:r>
        </a:p>
        <a:p>
          <a:pPr algn="ctr"/>
          <a:r>
            <a:rPr lang="fr-FR"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architecte </a:t>
          </a:r>
        </a:p>
      </xdr:txBody>
    </xdr:sp>
    <xdr:clientData/>
  </xdr:oneCellAnchor>
  <xdr:oneCellAnchor>
    <xdr:from>
      <xdr:col>15</xdr:col>
      <xdr:colOff>228047</xdr:colOff>
      <xdr:row>104</xdr:row>
      <xdr:rowOff>41564</xdr:rowOff>
    </xdr:from>
    <xdr:ext cx="3873689" cy="1469890"/>
    <xdr:sp macro="" textlink="">
      <xdr:nvSpPr>
        <xdr:cNvPr id="5" name="Rectangle 4"/>
        <xdr:cNvSpPr/>
      </xdr:nvSpPr>
      <xdr:spPr>
        <a:xfrm>
          <a:off x="12039047" y="20338473"/>
          <a:ext cx="3873689" cy="1469890"/>
        </a:xfrm>
        <a:prstGeom prst="rect">
          <a:avLst/>
        </a:prstGeom>
        <a:noFill/>
      </xdr:spPr>
      <xdr:txBody>
        <a:bodyPr wrap="none" lIns="91440" tIns="45720" rIns="91440" bIns="45720">
          <a:spAutoFit/>
        </a:bodyPr>
        <a:lstStyle/>
        <a:p>
          <a:pPr algn="ctr"/>
          <a:r>
            <a:rPr lang="fr-FR"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Mettre tableau </a:t>
          </a:r>
        </a:p>
        <a:p>
          <a:pPr algn="ctr"/>
          <a:r>
            <a:rPr lang="fr-FR" sz="4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architecte </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96982</xdr:colOff>
      <xdr:row>54</xdr:row>
      <xdr:rowOff>96982</xdr:rowOff>
    </xdr:from>
    <xdr:ext cx="4107568" cy="900186"/>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2" y="9919855"/>
          <a:ext cx="4107568" cy="900186"/>
        </a:xfrm>
        <a:prstGeom prst="rect">
          <a:avLst/>
        </a:prstGeom>
      </xdr:spPr>
    </xdr:pic>
    <xdr:clientData/>
  </xdr:oneCellAnchor>
  <xdr:oneCellAnchor>
    <xdr:from>
      <xdr:col>14</xdr:col>
      <xdr:colOff>141159</xdr:colOff>
      <xdr:row>54</xdr:row>
      <xdr:rowOff>47054</xdr:rowOff>
    </xdr:from>
    <xdr:ext cx="4107568" cy="900186"/>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731924" y="10210539"/>
          <a:ext cx="4107568" cy="900186"/>
        </a:xfrm>
        <a:prstGeom prst="rect">
          <a:avLst/>
        </a:prstGeom>
      </xdr:spPr>
    </xdr:pic>
    <xdr:clientData/>
  </xdr:oneCellAnchor>
  <xdr:twoCellAnchor editAs="oneCell">
    <xdr:from>
      <xdr:col>7</xdr:col>
      <xdr:colOff>174625</xdr:colOff>
      <xdr:row>53</xdr:row>
      <xdr:rowOff>158750</xdr:rowOff>
    </xdr:from>
    <xdr:to>
      <xdr:col>12</xdr:col>
      <xdr:colOff>317500</xdr:colOff>
      <xdr:row>58</xdr:row>
      <xdr:rowOff>111125</xdr:rowOff>
    </xdr:to>
    <xdr:pic>
      <xdr:nvPicPr>
        <xdr:cNvPr id="5"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89625" y="10175875"/>
          <a:ext cx="3952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111125</xdr:colOff>
      <xdr:row>103</xdr:row>
      <xdr:rowOff>158750</xdr:rowOff>
    </xdr:from>
    <xdr:to>
      <xdr:col>12</xdr:col>
      <xdr:colOff>254000</xdr:colOff>
      <xdr:row>108</xdr:row>
      <xdr:rowOff>111125</xdr:rowOff>
    </xdr:to>
    <xdr:pic>
      <xdr:nvPicPr>
        <xdr:cNvPr id="6" name="Image 1"/>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826125" y="19669125"/>
          <a:ext cx="3952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7</xdr:col>
      <xdr:colOff>86591</xdr:colOff>
      <xdr:row>104</xdr:row>
      <xdr:rowOff>166256</xdr:rowOff>
    </xdr:from>
    <xdr:ext cx="4107568" cy="900186"/>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15000" y="20012892"/>
          <a:ext cx="4107568" cy="900186"/>
        </a:xfrm>
        <a:prstGeom prst="rect">
          <a:avLst/>
        </a:prstGeom>
      </xdr:spPr>
    </xdr:pic>
    <xdr:clientData/>
  </xdr:oneCellAnchor>
  <xdr:oneCellAnchor>
    <xdr:from>
      <xdr:col>7</xdr:col>
      <xdr:colOff>103909</xdr:colOff>
      <xdr:row>54</xdr:row>
      <xdr:rowOff>128155</xdr:rowOff>
    </xdr:from>
    <xdr:ext cx="4107568" cy="900186"/>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32318" y="10536382"/>
          <a:ext cx="4107568" cy="900186"/>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300788</xdr:colOff>
      <xdr:row>63</xdr:row>
      <xdr:rowOff>0</xdr:rowOff>
    </xdr:from>
    <xdr:ext cx="4110742" cy="937629"/>
    <xdr:sp macro="" textlink="">
      <xdr:nvSpPr>
        <xdr:cNvPr id="3" name="Rectangle 2"/>
        <xdr:cNvSpPr/>
      </xdr:nvSpPr>
      <xdr:spPr>
        <a:xfrm>
          <a:off x="1104352" y="11457709"/>
          <a:ext cx="4110742" cy="937629"/>
        </a:xfrm>
        <a:prstGeom prst="rect">
          <a:avLst/>
        </a:prstGeom>
        <a:noFill/>
      </xdr:spPr>
      <xdr:txBody>
        <a:bodyPr wrap="none" lIns="91440" tIns="45720" rIns="91440" bIns="45720">
          <a:spAutoFit/>
        </a:bodyPr>
        <a:lstStyle/>
        <a:p>
          <a:pPr algn="ctr"/>
          <a:r>
            <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Mettre la FFD</a:t>
          </a:r>
        </a:p>
      </xdr:txBody>
    </xdr:sp>
    <xdr:clientData/>
  </xdr:oneCellAnchor>
  <xdr:oneCellAnchor>
    <xdr:from>
      <xdr:col>0</xdr:col>
      <xdr:colOff>554182</xdr:colOff>
      <xdr:row>119</xdr:row>
      <xdr:rowOff>13855</xdr:rowOff>
    </xdr:from>
    <xdr:ext cx="4110742" cy="937629"/>
    <xdr:sp macro="" textlink="">
      <xdr:nvSpPr>
        <xdr:cNvPr id="4" name="Rectangle 3"/>
        <xdr:cNvSpPr/>
      </xdr:nvSpPr>
      <xdr:spPr>
        <a:xfrm>
          <a:off x="554182" y="21557673"/>
          <a:ext cx="4110742" cy="937629"/>
        </a:xfrm>
        <a:prstGeom prst="rect">
          <a:avLst/>
        </a:prstGeom>
        <a:noFill/>
      </xdr:spPr>
      <xdr:txBody>
        <a:bodyPr wrap="none" lIns="91440" tIns="45720" rIns="91440" bIns="45720">
          <a:spAutoFit/>
        </a:bodyPr>
        <a:lstStyle/>
        <a:p>
          <a:pPr algn="ctr"/>
          <a:r>
            <a:rPr lang="fr-FR" sz="5400" b="1" cap="none" spc="0">
              <a:ln w="17780" cmpd="sng">
                <a:solidFill>
                  <a:srgbClr val="FFFFFF"/>
                </a:solidFill>
                <a:prstDash val="solid"/>
                <a:miter lim="800000"/>
              </a:ln>
              <a:gradFill rotWithShape="1">
                <a:gsLst>
                  <a:gs pos="0">
                    <a:srgbClr val="000000">
                      <a:tint val="92000"/>
                      <a:shade val="100000"/>
                      <a:satMod val="150000"/>
                    </a:srgbClr>
                  </a:gs>
                  <a:gs pos="49000">
                    <a:srgbClr val="000000">
                      <a:tint val="89000"/>
                      <a:shade val="90000"/>
                      <a:satMod val="150000"/>
                    </a:srgbClr>
                  </a:gs>
                  <a:gs pos="50000">
                    <a:srgbClr val="000000">
                      <a:tint val="100000"/>
                      <a:shade val="75000"/>
                      <a:satMod val="150000"/>
                    </a:srgbClr>
                  </a:gs>
                  <a:gs pos="95000">
                    <a:srgbClr val="000000">
                      <a:shade val="47000"/>
                      <a:satMod val="150000"/>
                    </a:srgbClr>
                  </a:gs>
                  <a:gs pos="100000">
                    <a:srgbClr val="000000">
                      <a:shade val="39000"/>
                      <a:satMod val="150000"/>
                    </a:srgbClr>
                  </a:gs>
                </a:gsLst>
                <a:lin ang="5400000"/>
              </a:gradFill>
              <a:effectLst>
                <a:outerShdw blurRad="50800" algn="tl" rotWithShape="0">
                  <a:srgbClr val="000000"/>
                </a:outerShdw>
              </a:effectLst>
            </a:rPr>
            <a:t>Mettre la FFD</a:t>
          </a:r>
        </a:p>
      </xdr:txBody>
    </xdr:sp>
    <xdr:clientData/>
  </xdr:oneCellAnchor>
  <xdr:oneCellAnchor>
    <xdr:from>
      <xdr:col>14</xdr:col>
      <xdr:colOff>276044</xdr:colOff>
      <xdr:row>54</xdr:row>
      <xdr:rowOff>172529</xdr:rowOff>
    </xdr:from>
    <xdr:ext cx="4107568" cy="900186"/>
    <xdr:pic>
      <xdr:nvPicPr>
        <xdr:cNvPr id="5" name="Image 4"/>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68806" y="10430120"/>
          <a:ext cx="4107568" cy="900186"/>
        </a:xfrm>
        <a:prstGeom prst="rect">
          <a:avLst/>
        </a:prstGeom>
      </xdr:spPr>
    </xdr:pic>
    <xdr:clientData/>
  </xdr:oneCellAnchor>
  <xdr:oneCellAnchor>
    <xdr:from>
      <xdr:col>14</xdr:col>
      <xdr:colOff>109007</xdr:colOff>
      <xdr:row>107</xdr:row>
      <xdr:rowOff>13069</xdr:rowOff>
    </xdr:from>
    <xdr:ext cx="4107568" cy="900186"/>
    <xdr:pic>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01769" y="20245933"/>
          <a:ext cx="4107568" cy="900186"/>
        </a:xfrm>
        <a:prstGeom prst="rect">
          <a:avLst/>
        </a:prstGeom>
      </xdr:spPr>
    </xdr:pic>
    <xdr:clientData/>
  </xdr:oneCellAnchor>
  <xdr:oneCellAnchor>
    <xdr:from>
      <xdr:col>14</xdr:col>
      <xdr:colOff>172529</xdr:colOff>
      <xdr:row>213</xdr:row>
      <xdr:rowOff>172528</xdr:rowOff>
    </xdr:from>
    <xdr:ext cx="4107568" cy="900186"/>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65291" y="40402992"/>
          <a:ext cx="4107568" cy="900186"/>
        </a:xfrm>
        <a:prstGeom prst="rect">
          <a:avLst/>
        </a:prstGeom>
      </xdr:spPr>
    </xdr:pic>
    <xdr:clientData/>
  </xdr:oneCellAnchor>
  <xdr:oneCellAnchor>
    <xdr:from>
      <xdr:col>14</xdr:col>
      <xdr:colOff>298003</xdr:colOff>
      <xdr:row>267</xdr:row>
      <xdr:rowOff>109791</xdr:rowOff>
    </xdr:from>
    <xdr:ext cx="4107568" cy="900186"/>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590765" y="50503740"/>
          <a:ext cx="4107568" cy="900186"/>
        </a:xfrm>
        <a:prstGeom prst="rect">
          <a:avLst/>
        </a:prstGeom>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96982</xdr:colOff>
      <xdr:row>55</xdr:row>
      <xdr:rowOff>124691</xdr:rowOff>
    </xdr:from>
    <xdr:ext cx="4107568" cy="900186"/>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2" y="10099964"/>
          <a:ext cx="4107568" cy="900186"/>
        </a:xfrm>
        <a:prstGeom prst="rect">
          <a:avLst/>
        </a:prstGeom>
      </xdr:spPr>
    </xdr:pic>
    <xdr:clientData/>
  </xdr:oneCellAnchor>
  <xdr:oneCellAnchor>
    <xdr:from>
      <xdr:col>7</xdr:col>
      <xdr:colOff>0</xdr:colOff>
      <xdr:row>320</xdr:row>
      <xdr:rowOff>27709</xdr:rowOff>
    </xdr:from>
    <xdr:ext cx="4107568" cy="900186"/>
    <xdr:pic>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539854" y="48961964"/>
          <a:ext cx="4107568" cy="900186"/>
        </a:xfrm>
        <a:prstGeom prst="rect">
          <a:avLst/>
        </a:prstGeom>
      </xdr:spPr>
    </xdr:pic>
    <xdr:clientData/>
  </xdr:oneCellAnchor>
  <xdr:twoCellAnchor editAs="oneCell">
    <xdr:from>
      <xdr:col>0</xdr:col>
      <xdr:colOff>0</xdr:colOff>
      <xdr:row>112</xdr:row>
      <xdr:rowOff>0</xdr:rowOff>
    </xdr:from>
    <xdr:to>
      <xdr:col>4</xdr:col>
      <xdr:colOff>904875</xdr:colOff>
      <xdr:row>116</xdr:row>
      <xdr:rowOff>142875</xdr:rowOff>
    </xdr:to>
    <xdr:pic>
      <xdr:nvPicPr>
        <xdr:cNvPr id="10" name="Image 3"/>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685250"/>
          <a:ext cx="3952875" cy="9048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0</xdr:col>
      <xdr:colOff>124690</xdr:colOff>
      <xdr:row>166</xdr:row>
      <xdr:rowOff>27709</xdr:rowOff>
    </xdr:from>
    <xdr:ext cx="4107568" cy="900186"/>
    <xdr:pic>
      <xdr:nvPicPr>
        <xdr:cNvPr id="11" name="Imag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641040" y="61492534"/>
          <a:ext cx="4107568" cy="900186"/>
        </a:xfrm>
        <a:prstGeom prst="rect">
          <a:avLst/>
        </a:prstGeom>
      </xdr:spPr>
    </xdr:pic>
    <xdr:clientData/>
  </xdr:oneCellAnchor>
</xdr:wsDr>
</file>

<file path=xl/drawings/drawing7.xml><?xml version="1.0" encoding="utf-8"?>
<xdr:wsDr xmlns:xdr="http://schemas.openxmlformats.org/drawingml/2006/spreadsheetDrawing" xmlns:a="http://schemas.openxmlformats.org/drawingml/2006/main">
  <xdr:oneCellAnchor>
    <xdr:from>
      <xdr:col>0</xdr:col>
      <xdr:colOff>96981</xdr:colOff>
      <xdr:row>51</xdr:row>
      <xdr:rowOff>166254</xdr:rowOff>
    </xdr:from>
    <xdr:ext cx="4107568" cy="900186"/>
    <xdr:pic>
      <xdr:nvPicPr>
        <xdr:cNvPr id="8" name="Image 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1" y="9947563"/>
          <a:ext cx="4107568" cy="900186"/>
        </a:xfrm>
        <a:prstGeom prst="rect">
          <a:avLst/>
        </a:prstGeom>
      </xdr:spPr>
    </xdr:pic>
    <xdr:clientData/>
  </xdr:oneCellAnchor>
  <xdr:oneCellAnchor>
    <xdr:from>
      <xdr:col>0</xdr:col>
      <xdr:colOff>96982</xdr:colOff>
      <xdr:row>106</xdr:row>
      <xdr:rowOff>13854</xdr:rowOff>
    </xdr:from>
    <xdr:ext cx="4107568" cy="900186"/>
    <xdr:pic>
      <xdr:nvPicPr>
        <xdr:cNvPr id="9" name="Image 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2" y="19701163"/>
          <a:ext cx="4107568" cy="900186"/>
        </a:xfrm>
        <a:prstGeom prst="rect">
          <a:avLst/>
        </a:prstGeom>
      </xdr:spPr>
    </xdr:pic>
    <xdr:clientData/>
  </xdr:oneCellAnchor>
  <xdr:oneCellAnchor>
    <xdr:from>
      <xdr:col>0</xdr:col>
      <xdr:colOff>81107</xdr:colOff>
      <xdr:row>152</xdr:row>
      <xdr:rowOff>170294</xdr:rowOff>
    </xdr:from>
    <xdr:ext cx="4107568" cy="900186"/>
    <xdr:pic>
      <xdr:nvPicPr>
        <xdr:cNvPr id="10" name="Image 9"/>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1107" y="30237544"/>
          <a:ext cx="4107568" cy="900186"/>
        </a:xfrm>
        <a:prstGeom prst="rect">
          <a:avLst/>
        </a:prstGeom>
      </xdr:spPr>
    </xdr:pic>
    <xdr:clientData/>
  </xdr:oneCellAnchor>
  <xdr:oneCellAnchor>
    <xdr:from>
      <xdr:col>0</xdr:col>
      <xdr:colOff>47434</xdr:colOff>
      <xdr:row>204</xdr:row>
      <xdr:rowOff>94487</xdr:rowOff>
    </xdr:from>
    <xdr:ext cx="4107568" cy="900186"/>
    <xdr:pic>
      <xdr:nvPicPr>
        <xdr:cNvPr id="11" name="Image 10"/>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434" y="40353487"/>
          <a:ext cx="4107568" cy="900186"/>
        </a:xfrm>
        <a:prstGeom prst="rect">
          <a:avLst/>
        </a:prstGeom>
      </xdr:spPr>
    </xdr:pic>
    <xdr:clientData/>
  </xdr:oneCellAnchor>
  <xdr:oneCellAnchor>
    <xdr:from>
      <xdr:col>0</xdr:col>
      <xdr:colOff>96982</xdr:colOff>
      <xdr:row>263</xdr:row>
      <xdr:rowOff>166255</xdr:rowOff>
    </xdr:from>
    <xdr:ext cx="4107568" cy="900186"/>
    <xdr:pic>
      <xdr:nvPicPr>
        <xdr:cNvPr id="12" name="Image 1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2" y="49058946"/>
          <a:ext cx="4107568" cy="900186"/>
        </a:xfrm>
        <a:prstGeom prst="rect">
          <a:avLst/>
        </a:prstGeom>
      </xdr:spPr>
    </xdr:pic>
    <xdr:clientData/>
  </xdr:oneCellAnchor>
  <xdr:oneCellAnchor>
    <xdr:from>
      <xdr:col>0</xdr:col>
      <xdr:colOff>96982</xdr:colOff>
      <xdr:row>315</xdr:row>
      <xdr:rowOff>95250</xdr:rowOff>
    </xdr:from>
    <xdr:ext cx="4107568" cy="900186"/>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6982" y="61325125"/>
          <a:ext cx="4107568" cy="900186"/>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oneCellAnchor>
    <xdr:from>
      <xdr:col>0</xdr:col>
      <xdr:colOff>180109</xdr:colOff>
      <xdr:row>54</xdr:row>
      <xdr:rowOff>138546</xdr:rowOff>
    </xdr:from>
    <xdr:ext cx="4107568" cy="900186"/>
    <xdr:pic>
      <xdr:nvPicPr>
        <xdr:cNvPr id="6" name="Image 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65273" y="9919855"/>
          <a:ext cx="4107568" cy="900186"/>
        </a:xfrm>
        <a:prstGeom prst="rect">
          <a:avLst/>
        </a:prstGeom>
      </xdr:spPr>
    </xdr:pic>
    <xdr:clientData/>
  </xdr:oneCellAnchor>
  <xdr:oneCellAnchor>
    <xdr:from>
      <xdr:col>0</xdr:col>
      <xdr:colOff>180109</xdr:colOff>
      <xdr:row>108</xdr:row>
      <xdr:rowOff>152399</xdr:rowOff>
    </xdr:from>
    <xdr:ext cx="4107568" cy="900186"/>
    <xdr:pic>
      <xdr:nvPicPr>
        <xdr:cNvPr id="7" name="Image 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65273" y="19756581"/>
          <a:ext cx="4107568" cy="900186"/>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twoCellAnchor>
    <xdr:from>
      <xdr:col>25</xdr:col>
      <xdr:colOff>306735</xdr:colOff>
      <xdr:row>71</xdr:row>
      <xdr:rowOff>-1</xdr:rowOff>
    </xdr:from>
    <xdr:to>
      <xdr:col>27</xdr:col>
      <xdr:colOff>484321</xdr:colOff>
      <xdr:row>86</xdr:row>
      <xdr:rowOff>177584</xdr:rowOff>
    </xdr:to>
    <xdr:sp macro="" textlink="">
      <xdr:nvSpPr>
        <xdr:cNvPr id="6" name="ZoneTexte 5"/>
        <xdr:cNvSpPr txBox="1"/>
      </xdr:nvSpPr>
      <xdr:spPr>
        <a:xfrm>
          <a:off x="28157835" y="13677899"/>
          <a:ext cx="1815886" cy="304461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endParaRPr lang="fr-FR" sz="1100" b="0" i="0" baseline="0">
            <a:solidFill>
              <a:schemeClr val="dk1"/>
            </a:solidFill>
            <a:effectLst/>
            <a:latin typeface="+mn-lt"/>
            <a:ea typeface="+mn-ea"/>
            <a:cs typeface="+mn-cs"/>
          </a:endParaRPr>
        </a:p>
        <a:p>
          <a:pPr rtl="0"/>
          <a:r>
            <a:rPr lang="fr-FR" sz="1100" b="0" i="0" baseline="0">
              <a:solidFill>
                <a:schemeClr val="dk1"/>
              </a:solidFill>
              <a:effectLst/>
              <a:latin typeface="+mn-lt"/>
              <a:ea typeface="+mn-ea"/>
              <a:cs typeface="+mn-cs"/>
            </a:rPr>
            <a:t>En cas de modification substantielle du programme portant sur le nombre ou la répartition des logements, je m'engage à transmettre à la DDE - Service Habitat, cette fiche modifiée en conséquence.</a:t>
          </a:r>
          <a:endParaRPr lang="fr-FR">
            <a:effectLst/>
          </a:endParaRPr>
        </a:p>
        <a:p>
          <a:pPr rtl="0"/>
          <a:r>
            <a:rPr lang="fr-FR" sz="1100" b="0" i="0" baseline="0">
              <a:solidFill>
                <a:schemeClr val="dk1"/>
              </a:solidFill>
              <a:effectLst/>
              <a:latin typeface="+mn-lt"/>
              <a:ea typeface="+mn-ea"/>
              <a:cs typeface="+mn-cs"/>
            </a:rPr>
            <a:t>L'identification précise de ces logements sera également transmise trois mois au moins avant la date de mise en location.</a:t>
          </a:r>
        </a:p>
        <a:p>
          <a:pPr rtl="0"/>
          <a:endParaRPr lang="fr-FR" sz="1100" b="0" i="0" baseline="0">
            <a:solidFill>
              <a:schemeClr val="dk1"/>
            </a:solidFill>
            <a:effectLst/>
            <a:latin typeface="+mn-lt"/>
            <a:ea typeface="+mn-ea"/>
            <a:cs typeface="+mn-cs"/>
          </a:endParaRPr>
        </a:p>
        <a:p>
          <a:pPr rtl="0"/>
          <a:endParaRPr lang="fr-FR" sz="1100" b="0" i="0" baseline="0">
            <a:solidFill>
              <a:schemeClr val="dk1"/>
            </a:solidFill>
            <a:effectLst/>
            <a:latin typeface="+mn-lt"/>
            <a:ea typeface="+mn-ea"/>
            <a:cs typeface="+mn-cs"/>
          </a:endParaRPr>
        </a:p>
        <a:p>
          <a:pPr algn="r" rtl="0"/>
          <a:r>
            <a:rPr lang="fr-FR" sz="1100" b="0" i="0" baseline="0">
              <a:solidFill>
                <a:schemeClr val="dk1"/>
              </a:solidFill>
              <a:effectLst/>
              <a:latin typeface="+mn-lt"/>
              <a:ea typeface="+mn-ea"/>
              <a:cs typeface="+mn-cs"/>
            </a:rPr>
            <a:t>Signature M. Ouvrage </a:t>
          </a:r>
          <a:endParaRPr lang="fr-FR">
            <a:effectLst/>
          </a:endParaRPr>
        </a:p>
      </xdr:txBody>
    </xdr:sp>
    <xdr:clientData/>
  </xdr:twoCellAnchor>
  <xdr:twoCellAnchor>
    <xdr:from>
      <xdr:col>25</xdr:col>
      <xdr:colOff>306735</xdr:colOff>
      <xdr:row>121</xdr:row>
      <xdr:rowOff>-1</xdr:rowOff>
    </xdr:from>
    <xdr:to>
      <xdr:col>27</xdr:col>
      <xdr:colOff>484321</xdr:colOff>
      <xdr:row>136</xdr:row>
      <xdr:rowOff>177584</xdr:rowOff>
    </xdr:to>
    <xdr:sp macro="" textlink="">
      <xdr:nvSpPr>
        <xdr:cNvPr id="15" name="ZoneTexte 14"/>
        <xdr:cNvSpPr txBox="1"/>
      </xdr:nvSpPr>
      <xdr:spPr>
        <a:xfrm>
          <a:off x="27779556" y="13702392"/>
          <a:ext cx="1783229" cy="3048692"/>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rtl="0"/>
          <a:endParaRPr lang="fr-FR" sz="1100" b="0" i="0" baseline="0">
            <a:solidFill>
              <a:schemeClr val="dk1"/>
            </a:solidFill>
            <a:effectLst/>
            <a:latin typeface="+mn-lt"/>
            <a:ea typeface="+mn-ea"/>
            <a:cs typeface="+mn-cs"/>
          </a:endParaRPr>
        </a:p>
        <a:p>
          <a:pPr rtl="0"/>
          <a:r>
            <a:rPr lang="fr-FR" sz="1100" b="0" i="0" baseline="0">
              <a:solidFill>
                <a:schemeClr val="dk1"/>
              </a:solidFill>
              <a:effectLst/>
              <a:latin typeface="+mn-lt"/>
              <a:ea typeface="+mn-ea"/>
              <a:cs typeface="+mn-cs"/>
            </a:rPr>
            <a:t>En cas de modification substantielle du programme portant sur le nombre ou la répartition des logements, je m'engage à transmettre à la DDE - Service Habitat, cette fiche modifiée en conséquence.</a:t>
          </a:r>
          <a:endParaRPr lang="fr-FR">
            <a:effectLst/>
          </a:endParaRPr>
        </a:p>
        <a:p>
          <a:pPr rtl="0"/>
          <a:r>
            <a:rPr lang="fr-FR" sz="1100" b="0" i="0" baseline="0">
              <a:solidFill>
                <a:schemeClr val="dk1"/>
              </a:solidFill>
              <a:effectLst/>
              <a:latin typeface="+mn-lt"/>
              <a:ea typeface="+mn-ea"/>
              <a:cs typeface="+mn-cs"/>
            </a:rPr>
            <a:t>L'identification précise de ces logements sera également transmise trois mois au moins avant la date de mise en location.</a:t>
          </a:r>
        </a:p>
        <a:p>
          <a:pPr rtl="0"/>
          <a:endParaRPr lang="fr-FR" sz="1100" b="0" i="0" baseline="0">
            <a:solidFill>
              <a:schemeClr val="dk1"/>
            </a:solidFill>
            <a:effectLst/>
            <a:latin typeface="+mn-lt"/>
            <a:ea typeface="+mn-ea"/>
            <a:cs typeface="+mn-cs"/>
          </a:endParaRPr>
        </a:p>
        <a:p>
          <a:pPr rtl="0"/>
          <a:endParaRPr lang="fr-FR" sz="1100" b="0" i="0" baseline="0">
            <a:solidFill>
              <a:schemeClr val="dk1"/>
            </a:solidFill>
            <a:effectLst/>
            <a:latin typeface="+mn-lt"/>
            <a:ea typeface="+mn-ea"/>
            <a:cs typeface="+mn-cs"/>
          </a:endParaRPr>
        </a:p>
        <a:p>
          <a:pPr algn="r" rtl="0"/>
          <a:r>
            <a:rPr lang="fr-FR" sz="1100" b="0" i="0" baseline="0">
              <a:solidFill>
                <a:schemeClr val="dk1"/>
              </a:solidFill>
              <a:effectLst/>
              <a:latin typeface="+mn-lt"/>
              <a:ea typeface="+mn-ea"/>
              <a:cs typeface="+mn-cs"/>
            </a:rPr>
            <a:t>Signature M. Ouvrage </a:t>
          </a:r>
          <a:endParaRPr lang="fr-FR">
            <a:effectLst/>
          </a:endParaRPr>
        </a:p>
      </xdr:txBody>
    </xdr:sp>
    <xdr:clientData/>
  </xdr:twoCellAnchor>
  <xdr:oneCellAnchor>
    <xdr:from>
      <xdr:col>0</xdr:col>
      <xdr:colOff>61617</xdr:colOff>
      <xdr:row>55</xdr:row>
      <xdr:rowOff>13854</xdr:rowOff>
    </xdr:from>
    <xdr:ext cx="4107568" cy="900186"/>
    <xdr:pic>
      <xdr:nvPicPr>
        <xdr:cNvPr id="23" name="Image 2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1617" y="10242318"/>
          <a:ext cx="4107568" cy="900186"/>
        </a:xfrm>
        <a:prstGeom prst="rect">
          <a:avLst/>
        </a:prstGeom>
      </xdr:spPr>
    </xdr:pic>
    <xdr:clientData/>
  </xdr:oneCellAnchor>
  <xdr:oneCellAnchor>
    <xdr:from>
      <xdr:col>0</xdr:col>
      <xdr:colOff>0</xdr:colOff>
      <xdr:row>106</xdr:row>
      <xdr:rowOff>138545</xdr:rowOff>
    </xdr:from>
    <xdr:ext cx="4107568" cy="900186"/>
    <xdr:pic>
      <xdr:nvPicPr>
        <xdr:cNvPr id="24" name="Image 2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0837" y="19839709"/>
          <a:ext cx="4107568" cy="900186"/>
        </a:xfrm>
        <a:prstGeom prst="rect">
          <a:avLst/>
        </a:prstGeom>
      </xdr:spPr>
    </xdr:pic>
    <xdr:clientData/>
  </xdr:oneCellAnchor>
  <xdr:oneCellAnchor>
    <xdr:from>
      <xdr:col>0</xdr:col>
      <xdr:colOff>152399</xdr:colOff>
      <xdr:row>106</xdr:row>
      <xdr:rowOff>55418</xdr:rowOff>
    </xdr:from>
    <xdr:ext cx="4107568" cy="900186"/>
    <xdr:pic>
      <xdr:nvPicPr>
        <xdr:cNvPr id="26" name="Image 25"/>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054435" y="19396363"/>
          <a:ext cx="4107568" cy="900186"/>
        </a:xfrm>
        <a:prstGeom prst="rect">
          <a:avLst/>
        </a:prstGeom>
      </xdr:spPr>
    </xdr:pic>
    <xdr:clientData/>
  </xdr:oneCellAnchor>
  <xdr:oneCellAnchor>
    <xdr:from>
      <xdr:col>14</xdr:col>
      <xdr:colOff>96982</xdr:colOff>
      <xdr:row>55</xdr:row>
      <xdr:rowOff>41564</xdr:rowOff>
    </xdr:from>
    <xdr:ext cx="4107568" cy="900186"/>
    <xdr:pic>
      <xdr:nvPicPr>
        <xdr:cNvPr id="27" name="Image 26"/>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678400" y="10058400"/>
          <a:ext cx="4107568" cy="900186"/>
        </a:xfrm>
        <a:prstGeom prst="rect">
          <a:avLst/>
        </a:prstGeom>
      </xdr:spPr>
    </xdr:pic>
    <xdr:clientData/>
  </xdr:oneCellAnchor>
  <xdr:oneCellAnchor>
    <xdr:from>
      <xdr:col>14</xdr:col>
      <xdr:colOff>152400</xdr:colOff>
      <xdr:row>105</xdr:row>
      <xdr:rowOff>138545</xdr:rowOff>
    </xdr:from>
    <xdr:ext cx="4107568" cy="900186"/>
    <xdr:pic>
      <xdr:nvPicPr>
        <xdr:cNvPr id="28" name="Image 27"/>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7733818" y="19659600"/>
          <a:ext cx="4107568" cy="900186"/>
        </a:xfrm>
        <a:prstGeom prst="rect">
          <a:avLst/>
        </a:prstGeom>
      </xdr:spPr>
    </xdr:pic>
    <xdr:clientData/>
  </xdr:oneCellAnchor>
  <xdr:oneCellAnchor>
    <xdr:from>
      <xdr:col>28</xdr:col>
      <xdr:colOff>152400</xdr:colOff>
      <xdr:row>54</xdr:row>
      <xdr:rowOff>138546</xdr:rowOff>
    </xdr:from>
    <xdr:ext cx="4107568" cy="900186"/>
    <xdr:pic>
      <xdr:nvPicPr>
        <xdr:cNvPr id="29" name="Image 28"/>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0161345" y="9975273"/>
          <a:ext cx="4107568" cy="900186"/>
        </a:xfrm>
        <a:prstGeom prst="rect">
          <a:avLst/>
        </a:prstGeom>
      </xdr:spPr>
    </xdr:pic>
    <xdr:clientData/>
  </xdr:oneCellAnchor>
  <xdr:oneCellAnchor>
    <xdr:from>
      <xdr:col>28</xdr:col>
      <xdr:colOff>70016</xdr:colOff>
      <xdr:row>105</xdr:row>
      <xdr:rowOff>55170</xdr:rowOff>
    </xdr:from>
    <xdr:ext cx="3821628" cy="837521"/>
    <xdr:pic>
      <xdr:nvPicPr>
        <xdr:cNvPr id="30" name="Image 29"/>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834766" y="20384241"/>
          <a:ext cx="3821628" cy="837521"/>
        </a:xfrm>
        <a:prstGeom prst="rect">
          <a:avLst/>
        </a:prstGeom>
      </xdr:spPr>
    </xdr:pic>
    <xdr:clientData/>
  </xdr:oneCellAnchor>
  <xdr:oneCellAnchor>
    <xdr:from>
      <xdr:col>7</xdr:col>
      <xdr:colOff>136071</xdr:colOff>
      <xdr:row>52</xdr:row>
      <xdr:rowOff>149678</xdr:rowOff>
    </xdr:from>
    <xdr:ext cx="4107568" cy="900186"/>
    <xdr:pic>
      <xdr:nvPicPr>
        <xdr:cNvPr id="13" name="Image 1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783035" y="10110107"/>
          <a:ext cx="4107568" cy="900186"/>
        </a:xfrm>
        <a:prstGeom prst="rect">
          <a:avLst/>
        </a:prstGeom>
      </xdr:spPr>
    </xdr:pic>
    <xdr:clientData/>
  </xdr:one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mailto:sodegis@sodegis.re" TargetMode="External"/><Relationship Id="rId1" Type="http://schemas.openxmlformats.org/officeDocument/2006/relationships/hyperlink" Target="mailto:sodegis@sodegis.re" TargetMode="External"/><Relationship Id="rId4"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J32"/>
  <sheetViews>
    <sheetView showGridLines="0" topLeftCell="A13" zoomScale="85" zoomScaleNormal="85" workbookViewId="0">
      <selection activeCell="D32" sqref="D32"/>
    </sheetView>
  </sheetViews>
  <sheetFormatPr baseColWidth="10" defaultColWidth="11.42578125" defaultRowHeight="15"/>
  <cols>
    <col min="1" max="3" width="11.42578125" style="2040"/>
    <col min="4" max="5" width="17.42578125" style="2040" customWidth="1"/>
    <col min="6" max="16384" width="11.42578125" style="2040"/>
  </cols>
  <sheetData>
    <row r="2" spans="1:10">
      <c r="B2" s="2041" t="s">
        <v>728</v>
      </c>
    </row>
    <row r="4" spans="1:10">
      <c r="A4" s="2042" t="s">
        <v>729</v>
      </c>
      <c r="D4" s="2043"/>
      <c r="E4" s="2043"/>
    </row>
    <row r="5" spans="1:10" ht="15.75" thickBot="1"/>
    <row r="6" spans="1:10" ht="15.75" thickBot="1">
      <c r="A6" s="2040" t="s">
        <v>730</v>
      </c>
      <c r="D6" s="2049">
        <f>nom</f>
        <v>0</v>
      </c>
      <c r="E6" s="2049">
        <f>nom</f>
        <v>0</v>
      </c>
    </row>
    <row r="7" spans="1:10" ht="15.75" thickBot="1"/>
    <row r="8" spans="1:10" ht="15.75" thickBot="1">
      <c r="A8" s="2040" t="s">
        <v>731</v>
      </c>
      <c r="D8" s="2044">
        <f>'Prgr. 2018'!NbreLLS</f>
        <v>35</v>
      </c>
      <c r="E8" s="2044">
        <f>'Prgr. 2018'!NbreLLTS</f>
        <v>35</v>
      </c>
    </row>
    <row r="9" spans="1:10" ht="15.75" thickBot="1"/>
    <row r="10" spans="1:10" ht="15.75" thickBot="1">
      <c r="A10" s="2040" t="s">
        <v>732</v>
      </c>
      <c r="D10" s="2050" t="s">
        <v>2</v>
      </c>
      <c r="E10" s="2050" t="s">
        <v>3</v>
      </c>
      <c r="J10" s="2040">
        <f>87629.93+1155.54</f>
        <v>88785.469999999987</v>
      </c>
    </row>
    <row r="11" spans="1:10" ht="15.75" thickBot="1"/>
    <row r="12" spans="1:10" ht="15.75" customHeight="1">
      <c r="A12" s="2040" t="s">
        <v>733</v>
      </c>
      <c r="D12" s="5"/>
      <c r="E12" s="4"/>
      <c r="F12" s="2043"/>
      <c r="G12" s="2043"/>
      <c r="H12" s="2043"/>
    </row>
    <row r="13" spans="1:10">
      <c r="D13" s="3"/>
      <c r="E13" s="2"/>
      <c r="F13" s="2043"/>
      <c r="G13" s="2043"/>
      <c r="H13" s="2043"/>
    </row>
    <row r="14" spans="1:10" ht="15.75" thickBot="1">
      <c r="D14" s="1"/>
      <c r="E14" s="3296"/>
      <c r="F14" s="2043"/>
      <c r="G14" s="2043"/>
      <c r="H14" s="2043"/>
    </row>
    <row r="15" spans="1:10" ht="15.75" thickBot="1"/>
    <row r="16" spans="1:10" ht="15.75" thickBot="1">
      <c r="A16" s="2040" t="s">
        <v>276</v>
      </c>
      <c r="D16" s="2168"/>
      <c r="E16" s="2044"/>
    </row>
    <row r="17" spans="1:8" ht="15.75" thickBot="1"/>
    <row r="18" spans="1:8" ht="15.75" thickBot="1">
      <c r="A18" s="2040" t="s">
        <v>514</v>
      </c>
      <c r="D18" s="2045">
        <f ca="1">TODAY()</f>
        <v>43403</v>
      </c>
      <c r="E18" s="2045">
        <f ca="1">TODAY()</f>
        <v>43403</v>
      </c>
    </row>
    <row r="19" spans="1:8" ht="15.75" thickBot="1"/>
    <row r="20" spans="1:8" ht="15.75" thickBot="1">
      <c r="A20" s="2040" t="s">
        <v>734</v>
      </c>
      <c r="D20" s="2044"/>
      <c r="E20" s="2044"/>
    </row>
    <row r="21" spans="1:8" ht="15.75" thickBot="1"/>
    <row r="22" spans="1:8" ht="15.75" thickBot="1">
      <c r="A22" s="2183" t="s">
        <v>887</v>
      </c>
      <c r="D22" s="2044"/>
      <c r="E22" s="2044"/>
    </row>
    <row r="23" spans="1:8" ht="15.75" thickBot="1"/>
    <row r="24" spans="1:8" ht="70.150000000000006" customHeight="1" thickBot="1">
      <c r="A24" s="2047" t="s">
        <v>735</v>
      </c>
      <c r="D24" s="3219" t="s">
        <v>1035</v>
      </c>
      <c r="E24" s="2048" t="str">
        <f>adresse_siege</f>
        <v>7, rue Jean Couturier 97831 CS 40030  LE TAMPON CEDEX</v>
      </c>
      <c r="F24"/>
      <c r="G24"/>
      <c r="H24"/>
    </row>
    <row r="25" spans="1:8" ht="15.75" thickBot="1"/>
    <row r="26" spans="1:8" ht="15.75" thickBot="1">
      <c r="A26" s="2047" t="s">
        <v>736</v>
      </c>
      <c r="D26" s="3229" t="s">
        <v>1047</v>
      </c>
      <c r="E26" s="3229" t="s">
        <v>1047</v>
      </c>
      <c r="F26"/>
    </row>
    <row r="27" spans="1:8" ht="15.75" thickBot="1"/>
    <row r="28" spans="1:8" ht="15.75" thickBot="1">
      <c r="A28" s="2040" t="s">
        <v>707</v>
      </c>
      <c r="D28" s="3227" t="e">
        <f>#REF!</f>
        <v>#REF!</v>
      </c>
      <c r="E28" s="3227" t="e">
        <f>#REF!</f>
        <v>#REF!</v>
      </c>
    </row>
    <row r="29" spans="1:8" ht="15.75" thickBot="1"/>
    <row r="30" spans="1:8" ht="15.75" thickBot="1">
      <c r="A30" s="2040" t="s">
        <v>737</v>
      </c>
      <c r="D30" s="3227">
        <f>Bdgt!R157</f>
        <v>204608.84174087626</v>
      </c>
      <c r="E30" s="3227">
        <f>Bdgt!V157</f>
        <v>204608.84174087626</v>
      </c>
    </row>
    <row r="31" spans="1:8" ht="15.75" thickBot="1"/>
    <row r="32" spans="1:8" ht="15.75" thickBot="1">
      <c r="A32" s="2046" t="s">
        <v>738</v>
      </c>
      <c r="D32" s="2051">
        <f>'Prgr. 2018'!SF.LLS</f>
        <v>2623.5</v>
      </c>
      <c r="E32" s="2051">
        <f>'Prgr. 2018'!SF.LLTS</f>
        <v>2623.5</v>
      </c>
    </row>
  </sheetData>
  <mergeCells count="2">
    <mergeCell ref="D12:D14"/>
    <mergeCell ref="E12:E14"/>
  </mergeCells>
  <printOptions headings="1" gridLines="1"/>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6:W73"/>
  <sheetViews>
    <sheetView showGridLines="0" view="pageLayout" topLeftCell="M25" zoomScale="70" zoomScaleNormal="100" zoomScalePageLayoutView="70" workbookViewId="0">
      <selection activeCell="H31" sqref="H31:O31"/>
    </sheetView>
  </sheetViews>
  <sheetFormatPr baseColWidth="10" defaultColWidth="11.42578125" defaultRowHeight="15"/>
  <cols>
    <col min="1" max="1" width="12.42578125" style="2040" customWidth="1"/>
    <col min="2" max="2" width="6.140625" style="2040" customWidth="1"/>
    <col min="3" max="3" width="19.42578125" style="2040" customWidth="1"/>
    <col min="4" max="4" width="9.42578125" style="2040" customWidth="1"/>
    <col min="5" max="5" width="11.42578125" style="2040"/>
    <col min="6" max="6" width="11.42578125" style="2040" customWidth="1"/>
    <col min="7" max="7" width="14.85546875" style="2040" customWidth="1"/>
    <col min="8" max="9" width="11.42578125" style="2040"/>
    <col min="10" max="10" width="11.42578125" style="2040" customWidth="1"/>
    <col min="11" max="11" width="8.140625" style="2040" customWidth="1"/>
    <col min="12" max="12" width="4.42578125" style="2040" customWidth="1"/>
    <col min="13" max="17" width="11.42578125" style="2040"/>
    <col min="18" max="18" width="11.42578125" style="2040" customWidth="1"/>
    <col min="19" max="19" width="12.42578125" style="2040" customWidth="1"/>
    <col min="20" max="16384" width="11.42578125" style="2040"/>
  </cols>
  <sheetData>
    <row r="6" spans="1:21">
      <c r="A6" s="2055" t="s">
        <v>745</v>
      </c>
      <c r="B6" s="2055"/>
      <c r="C6" s="2055"/>
      <c r="D6" s="2055"/>
      <c r="F6" s="2040" t="s">
        <v>746</v>
      </c>
    </row>
    <row r="7" spans="1:21">
      <c r="A7" s="2040" t="s">
        <v>747</v>
      </c>
      <c r="F7" s="2040" t="s">
        <v>748</v>
      </c>
    </row>
    <row r="8" spans="1:21">
      <c r="F8" s="2040" t="s">
        <v>749</v>
      </c>
    </row>
    <row r="9" spans="1:21">
      <c r="F9" s="2040" t="s">
        <v>750</v>
      </c>
      <c r="R9" s="3298" t="s">
        <v>752</v>
      </c>
      <c r="S9" s="3298"/>
      <c r="T9" s="3298"/>
      <c r="U9" s="2077"/>
    </row>
    <row r="10" spans="1:21">
      <c r="A10" s="2040" t="s">
        <v>751</v>
      </c>
      <c r="J10" s="3298" t="s">
        <v>752</v>
      </c>
      <c r="K10" s="3298"/>
      <c r="L10" s="3298"/>
      <c r="M10" s="3298"/>
    </row>
    <row r="11" spans="1:21">
      <c r="A11" s="2040" t="s">
        <v>753</v>
      </c>
    </row>
    <row r="12" spans="1:21">
      <c r="A12" s="2040" t="s">
        <v>754</v>
      </c>
    </row>
    <row r="15" spans="1:21">
      <c r="A15" s="2040" t="s">
        <v>755</v>
      </c>
      <c r="C15" s="2040">
        <f>[0]!nom</f>
        <v>0</v>
      </c>
      <c r="D15" s="2040" t="s">
        <v>756</v>
      </c>
      <c r="E15" s="2056" t="s">
        <v>757</v>
      </c>
      <c r="F15" s="2057">
        <f ca="1">TODAY()</f>
        <v>43403</v>
      </c>
    </row>
    <row r="16" spans="1:21">
      <c r="A16" s="2040" t="s">
        <v>758</v>
      </c>
      <c r="B16" s="2040">
        <f>'Donnée d''entrée'!E16</f>
        <v>0</v>
      </c>
    </row>
    <row r="18" spans="1:23">
      <c r="A18" s="2040" t="s">
        <v>759</v>
      </c>
    </row>
    <row r="19" spans="1:23">
      <c r="I19" s="2040" t="s">
        <v>760</v>
      </c>
      <c r="L19" s="2058">
        <f>[0]!nombreLLS</f>
        <v>35</v>
      </c>
      <c r="M19" s="2040" t="s">
        <v>769</v>
      </c>
      <c r="P19" s="2090" t="s">
        <v>760</v>
      </c>
      <c r="S19" s="2090">
        <f>[0]!nombreLLTS</f>
        <v>35</v>
      </c>
      <c r="T19" s="2090" t="s">
        <v>770</v>
      </c>
    </row>
    <row r="20" spans="1:23">
      <c r="A20" s="2059" t="s">
        <v>761</v>
      </c>
      <c r="B20" s="2060"/>
      <c r="C20" s="2060"/>
      <c r="D20" s="2052" t="s">
        <v>762</v>
      </c>
      <c r="E20" s="2060" t="s">
        <v>739</v>
      </c>
      <c r="F20" s="2060"/>
      <c r="G20" s="2061"/>
      <c r="I20" s="3299" t="s">
        <v>763</v>
      </c>
      <c r="J20" s="3299"/>
      <c r="K20" s="3299"/>
      <c r="L20" s="3299"/>
      <c r="M20" s="3299"/>
      <c r="N20" s="3299"/>
      <c r="P20" s="3299" t="s">
        <v>763</v>
      </c>
      <c r="Q20" s="3299"/>
      <c r="R20" s="3299"/>
      <c r="S20" s="3299"/>
      <c r="T20" s="3299"/>
      <c r="U20" s="3299"/>
    </row>
    <row r="21" spans="1:23">
      <c r="A21" s="2062" t="s">
        <v>764</v>
      </c>
      <c r="B21" s="2063"/>
      <c r="C21" s="2064"/>
      <c r="D21" s="2065" t="s">
        <v>765</v>
      </c>
      <c r="E21" s="2066" t="s">
        <v>766</v>
      </c>
      <c r="F21" s="2063"/>
      <c r="G21" s="2064"/>
    </row>
    <row r="22" spans="1:23">
      <c r="A22" s="2067"/>
      <c r="B22" s="2043"/>
      <c r="C22" s="2068"/>
      <c r="D22" s="2053"/>
      <c r="E22" s="2067"/>
      <c r="F22" s="2043"/>
      <c r="G22" s="2068"/>
    </row>
    <row r="23" spans="1:23">
      <c r="A23" s="2067"/>
      <c r="B23" s="2043"/>
      <c r="C23" s="2068"/>
      <c r="D23" s="2053"/>
      <c r="E23" s="2067"/>
      <c r="F23" s="2043"/>
      <c r="G23" s="2068"/>
    </row>
    <row r="24" spans="1:23">
      <c r="A24" s="2067"/>
      <c r="B24" s="2043"/>
      <c r="C24" s="2068"/>
      <c r="D24" s="2053"/>
      <c r="E24" s="2067"/>
      <c r="F24" s="2043"/>
      <c r="G24" s="2068"/>
    </row>
    <row r="25" spans="1:23">
      <c r="A25" s="2067"/>
      <c r="B25" s="2043"/>
      <c r="C25" s="2068"/>
      <c r="D25" s="2053"/>
      <c r="E25" s="2067"/>
      <c r="F25" s="2043"/>
      <c r="G25" s="2068"/>
      <c r="I25" s="2056" t="s">
        <v>756</v>
      </c>
      <c r="J25" s="2228" t="str">
        <f>"Opération "&amp;nom&amp;""</f>
        <v xml:space="preserve">Opération </v>
      </c>
      <c r="L25" s="2040" t="s">
        <v>756</v>
      </c>
      <c r="M25" s="2040">
        <f>Commune_LLS</f>
        <v>0</v>
      </c>
      <c r="P25" s="2056" t="s">
        <v>756</v>
      </c>
      <c r="Q25" s="2076">
        <f>[0]!nom</f>
        <v>0</v>
      </c>
      <c r="S25" s="2040" t="s">
        <v>756</v>
      </c>
      <c r="T25" s="2040">
        <f>Commune_LLTS</f>
        <v>0</v>
      </c>
    </row>
    <row r="26" spans="1:23">
      <c r="A26" s="2067"/>
      <c r="B26" s="2043"/>
      <c r="C26" s="2068"/>
      <c r="D26" s="2053"/>
      <c r="E26" s="2067"/>
      <c r="F26" s="2043"/>
      <c r="G26" s="2068"/>
    </row>
    <row r="27" spans="1:23">
      <c r="A27" s="2067"/>
      <c r="B27" s="2043"/>
      <c r="C27" s="2068"/>
      <c r="D27" s="2053"/>
      <c r="E27" s="2067"/>
      <c r="F27" s="2043"/>
      <c r="G27" s="2068"/>
    </row>
    <row r="28" spans="1:23">
      <c r="A28" s="2067"/>
      <c r="B28" s="2043"/>
      <c r="C28" s="2068"/>
      <c r="D28" s="2053"/>
      <c r="E28" s="2067"/>
      <c r="F28" s="2043"/>
      <c r="G28" s="2068"/>
    </row>
    <row r="29" spans="1:23">
      <c r="A29" s="2067"/>
      <c r="B29" s="2043"/>
      <c r="C29" s="2068"/>
      <c r="D29" s="2053"/>
      <c r="E29" s="2067"/>
      <c r="F29" s="2043"/>
      <c r="G29" s="2068"/>
      <c r="H29" s="2069"/>
      <c r="I29" s="3299" t="s">
        <v>767</v>
      </c>
      <c r="J29" s="3299"/>
      <c r="K29" s="3299"/>
      <c r="L29" s="3299"/>
      <c r="M29" s="3299"/>
      <c r="N29" s="3299"/>
      <c r="O29" s="2070"/>
      <c r="P29" s="2069"/>
      <c r="Q29" s="3299" t="s">
        <v>767</v>
      </c>
      <c r="R29" s="3299"/>
      <c r="S29" s="3299"/>
      <c r="T29" s="3299"/>
      <c r="U29" s="3299"/>
      <c r="V29" s="3299"/>
      <c r="W29" s="2070"/>
    </row>
    <row r="30" spans="1:23">
      <c r="A30" s="2067"/>
      <c r="B30" s="2043"/>
      <c r="C30" s="2068"/>
      <c r="D30" s="2053"/>
      <c r="E30" s="2067"/>
      <c r="F30" s="2043"/>
      <c r="G30" s="2068"/>
      <c r="I30" s="3300" t="s">
        <v>894</v>
      </c>
      <c r="J30" s="3301"/>
      <c r="K30" s="3301"/>
      <c r="L30" s="3301"/>
      <c r="M30" s="3301"/>
      <c r="N30" s="3301"/>
      <c r="O30" s="2070"/>
      <c r="Q30" s="3300" t="s">
        <v>894</v>
      </c>
      <c r="R30" s="3301"/>
      <c r="S30" s="3301"/>
      <c r="T30" s="3301"/>
      <c r="U30" s="3301"/>
      <c r="V30" s="3301"/>
      <c r="W30" s="2070"/>
    </row>
    <row r="31" spans="1:23">
      <c r="A31" s="2067"/>
      <c r="B31" s="2043"/>
      <c r="C31" s="2068"/>
      <c r="D31" s="2053"/>
      <c r="E31" s="2067"/>
      <c r="F31" s="2043"/>
      <c r="G31" s="2068"/>
      <c r="H31" s="3297" t="s">
        <v>1040</v>
      </c>
      <c r="I31" s="3297"/>
      <c r="J31" s="3297"/>
      <c r="K31" s="3297"/>
      <c r="L31" s="3297"/>
      <c r="M31" s="3297"/>
      <c r="N31" s="3297"/>
      <c r="O31" s="3297"/>
      <c r="P31" s="3302" t="s">
        <v>1040</v>
      </c>
      <c r="Q31" s="3301"/>
      <c r="R31" s="3301"/>
      <c r="S31" s="3301"/>
      <c r="T31" s="3301"/>
      <c r="U31" s="3301"/>
      <c r="V31" s="3301"/>
      <c r="W31" s="3301"/>
    </row>
    <row r="32" spans="1:23">
      <c r="A32" s="2067"/>
      <c r="B32" s="2043"/>
      <c r="C32" s="2068"/>
      <c r="D32" s="2053"/>
      <c r="E32" s="2067"/>
      <c r="F32" s="2043"/>
      <c r="G32" s="2068"/>
    </row>
    <row r="33" spans="1:21">
      <c r="A33" s="2071"/>
      <c r="B33" s="2072"/>
      <c r="C33" s="2073"/>
      <c r="D33" s="2054"/>
      <c r="E33" s="2071"/>
      <c r="F33" s="2072"/>
      <c r="G33" s="2073"/>
    </row>
    <row r="35" spans="1:21">
      <c r="A35" s="2040" t="s">
        <v>768</v>
      </c>
    </row>
    <row r="38" spans="1:21">
      <c r="I38"/>
      <c r="J38"/>
      <c r="K38"/>
      <c r="L38"/>
      <c r="M38"/>
      <c r="N38"/>
      <c r="Q38"/>
      <c r="R38"/>
      <c r="S38"/>
      <c r="T38"/>
      <c r="U38"/>
    </row>
    <row r="39" spans="1:21">
      <c r="I39"/>
      <c r="J39"/>
      <c r="K39"/>
      <c r="L39"/>
      <c r="M39"/>
      <c r="N39"/>
      <c r="Q39"/>
      <c r="R39"/>
      <c r="S39"/>
      <c r="T39"/>
      <c r="U39"/>
    </row>
    <row r="40" spans="1:21">
      <c r="I40"/>
      <c r="J40"/>
      <c r="K40"/>
      <c r="L40"/>
      <c r="M40"/>
      <c r="N40"/>
      <c r="Q40"/>
      <c r="R40"/>
      <c r="S40"/>
      <c r="T40"/>
      <c r="U40"/>
    </row>
    <row r="49" spans="1:7">
      <c r="A49" s="2074"/>
      <c r="B49" s="2074"/>
      <c r="C49" s="2074"/>
      <c r="D49" s="2074"/>
      <c r="E49" s="2074"/>
      <c r="F49" s="2074"/>
      <c r="G49" s="2074"/>
    </row>
    <row r="50" spans="1:7">
      <c r="A50" s="2074"/>
      <c r="B50" s="2074"/>
      <c r="C50" s="2074"/>
      <c r="D50" s="2074"/>
      <c r="E50" s="2074"/>
      <c r="F50" s="2074"/>
      <c r="G50" s="2074"/>
    </row>
    <row r="68" spans="2:5">
      <c r="E68" s="2075"/>
    </row>
    <row r="73" spans="2:5">
      <c r="B73" s="2056"/>
    </row>
  </sheetData>
  <mergeCells count="10">
    <mergeCell ref="H31:O31"/>
    <mergeCell ref="R9:T9"/>
    <mergeCell ref="J10:M10"/>
    <mergeCell ref="I20:N20"/>
    <mergeCell ref="I29:N29"/>
    <mergeCell ref="I30:N30"/>
    <mergeCell ref="P20:U20"/>
    <mergeCell ref="Q29:V29"/>
    <mergeCell ref="Q30:V30"/>
    <mergeCell ref="P31:W31"/>
  </mergeCells>
  <pageMargins left="0.70866141732283472" right="0.70866141732283472" top="0.74803149606299213" bottom="0.74803149606299213" header="0.31496062992125984" footer="0.31496062992125984"/>
  <pageSetup paperSize="9" pageOrder="overThenDown"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3:AI152"/>
  <sheetViews>
    <sheetView tabSelected="1" view="pageBreakPreview" topLeftCell="Q44" zoomScale="55" zoomScaleNormal="71" zoomScaleSheetLayoutView="55" zoomScalePageLayoutView="70" workbookViewId="0">
      <selection activeCell="AJ44" sqref="AJ1:AP1048576"/>
    </sheetView>
  </sheetViews>
  <sheetFormatPr baseColWidth="10" defaultColWidth="11.42578125" defaultRowHeight="15"/>
  <cols>
    <col min="1" max="3" width="11.42578125" style="2040"/>
    <col min="4" max="4" width="11.42578125" style="2040" customWidth="1"/>
    <col min="5" max="5" width="10.42578125" style="2040" customWidth="1"/>
    <col min="6" max="6" width="11.42578125" style="2040" customWidth="1"/>
    <col min="7" max="7" width="16" style="2040" customWidth="1"/>
    <col min="8" max="9" width="11.42578125" style="2040"/>
    <col min="10" max="10" width="13.42578125" style="2040" customWidth="1"/>
    <col min="11" max="27" width="11.42578125" style="2040"/>
    <col min="28" max="28" width="13.5703125" style="2040" customWidth="1"/>
    <col min="29" max="29" width="11.42578125" style="2040" customWidth="1"/>
    <col min="30" max="31" width="11.42578125" style="2040"/>
    <col min="32" max="32" width="17.42578125" style="2040" customWidth="1"/>
    <col min="33" max="16384" width="11.42578125" style="2040"/>
  </cols>
  <sheetData>
    <row r="23" spans="1:35" ht="14.45" customHeight="1">
      <c r="AB23" s="2093"/>
      <c r="AC23" s="2093"/>
      <c r="AD23" s="2093"/>
      <c r="AE23" s="2093"/>
      <c r="AF23" s="2093"/>
      <c r="AG23" s="2093"/>
      <c r="AH23" s="2093"/>
    </row>
    <row r="24" spans="1:35" ht="15" customHeight="1">
      <c r="AB24" s="2093"/>
      <c r="AC24" s="3305" t="s">
        <v>771</v>
      </c>
      <c r="AD24" s="3305"/>
      <c r="AE24" s="3305"/>
      <c r="AF24" s="3305"/>
      <c r="AG24" s="3305"/>
      <c r="AH24" s="3305"/>
      <c r="AI24" s="3305"/>
    </row>
    <row r="25" spans="1:35" ht="19.149999999999999" customHeight="1">
      <c r="A25" s="3307" t="s">
        <v>1081</v>
      </c>
      <c r="B25" s="3307"/>
      <c r="C25" s="3307"/>
      <c r="D25" s="3307"/>
      <c r="E25" s="3307"/>
      <c r="F25" s="3307"/>
      <c r="G25" s="3307"/>
      <c r="H25" s="3305" t="s">
        <v>772</v>
      </c>
      <c r="I25" s="3305"/>
      <c r="J25" s="3305"/>
      <c r="K25" s="3305"/>
      <c r="L25" s="3305"/>
      <c r="M25" s="3305"/>
      <c r="N25" s="3305"/>
      <c r="O25" s="3308" t="s">
        <v>773</v>
      </c>
      <c r="P25" s="3308"/>
      <c r="Q25" s="3308"/>
      <c r="R25" s="3308"/>
      <c r="S25" s="3308"/>
      <c r="T25" s="3308"/>
      <c r="U25" s="3308"/>
      <c r="V25" s="3305" t="s">
        <v>774</v>
      </c>
      <c r="W25" s="3305"/>
      <c r="X25" s="3305"/>
      <c r="Y25" s="3305"/>
      <c r="Z25" s="3305"/>
      <c r="AA25" s="3305"/>
      <c r="AB25" s="3305"/>
      <c r="AC25" s="3305"/>
      <c r="AD25" s="3305"/>
      <c r="AE25" s="3305"/>
      <c r="AF25" s="3305"/>
      <c r="AG25" s="3305"/>
      <c r="AH25" s="3305"/>
      <c r="AI25" s="3305"/>
    </row>
    <row r="26" spans="1:35" ht="18.399999999999999" customHeight="1">
      <c r="A26" s="3307"/>
      <c r="B26" s="3307"/>
      <c r="C26" s="3307"/>
      <c r="D26" s="3307"/>
      <c r="E26" s="3307"/>
      <c r="F26" s="3307"/>
      <c r="G26" s="3307"/>
      <c r="H26" s="3305"/>
      <c r="I26" s="3305"/>
      <c r="J26" s="3305"/>
      <c r="K26" s="3305"/>
      <c r="L26" s="3305"/>
      <c r="M26" s="3305"/>
      <c r="N26" s="3305"/>
      <c r="O26" s="3308"/>
      <c r="P26" s="3308"/>
      <c r="Q26" s="3308"/>
      <c r="R26" s="3308"/>
      <c r="S26" s="3308"/>
      <c r="T26" s="3308"/>
      <c r="U26" s="3308"/>
      <c r="V26" s="3305"/>
      <c r="W26" s="3305"/>
      <c r="X26" s="3305"/>
      <c r="Y26" s="3305"/>
      <c r="Z26" s="3305"/>
      <c r="AA26" s="3305"/>
      <c r="AB26" s="3305"/>
      <c r="AC26" s="3305"/>
      <c r="AD26" s="3305"/>
      <c r="AE26" s="3305"/>
      <c r="AF26" s="3305"/>
      <c r="AG26" s="3305"/>
      <c r="AH26" s="3305"/>
      <c r="AI26" s="3305"/>
    </row>
    <row r="27" spans="1:35" ht="19.149999999999999" customHeight="1">
      <c r="AB27" s="2093"/>
      <c r="AC27" s="3305"/>
      <c r="AD27" s="3305"/>
      <c r="AE27" s="3305"/>
      <c r="AF27" s="3305"/>
      <c r="AG27" s="3305"/>
      <c r="AH27" s="3305"/>
      <c r="AI27" s="3305"/>
    </row>
    <row r="28" spans="1:35" ht="14.45" customHeight="1">
      <c r="AB28" s="2093"/>
      <c r="AC28" s="2093"/>
      <c r="AD28" s="2093"/>
      <c r="AE28" s="2093"/>
      <c r="AF28" s="2093"/>
      <c r="AG28" s="2093"/>
      <c r="AH28" s="2093"/>
      <c r="AI28" s="2093"/>
    </row>
    <row r="29" spans="1:35" ht="18.75">
      <c r="AC29" s="2093"/>
      <c r="AD29" s="2093"/>
      <c r="AE29" s="2093"/>
      <c r="AF29" s="2093"/>
      <c r="AG29" s="2093"/>
      <c r="AH29" s="2093"/>
      <c r="AI29" s="2093"/>
    </row>
    <row r="56" spans="1:35" ht="15" customHeight="1">
      <c r="H56" s="2079" t="s">
        <v>772</v>
      </c>
      <c r="I56" s="2079"/>
      <c r="J56" s="2079"/>
      <c r="K56" s="2079"/>
      <c r="L56" s="2079"/>
      <c r="M56" s="2079"/>
      <c r="N56" s="2079"/>
      <c r="AC56" s="2078" t="s">
        <v>775</v>
      </c>
    </row>
    <row r="58" spans="1:35" ht="15" customHeight="1">
      <c r="H58" s="2040" t="s">
        <v>673</v>
      </c>
      <c r="I58" s="2076">
        <f>nom</f>
        <v>0</v>
      </c>
    </row>
    <row r="59" spans="1:35">
      <c r="AC59" s="2080" t="s">
        <v>777</v>
      </c>
      <c r="AD59" s="2091"/>
      <c r="AE59" s="2063"/>
      <c r="AF59" s="2091">
        <f>nom</f>
        <v>0</v>
      </c>
      <c r="AG59" s="2063"/>
      <c r="AH59" s="2064"/>
    </row>
    <row r="60" spans="1:35">
      <c r="AC60" s="2067"/>
      <c r="AD60" s="2043"/>
      <c r="AE60" s="2043"/>
      <c r="AF60" s="2043"/>
      <c r="AG60" s="2043"/>
      <c r="AH60" s="2068"/>
      <c r="AI60" s="2043"/>
    </row>
    <row r="61" spans="1:35">
      <c r="H61" s="2040" t="s">
        <v>779</v>
      </c>
      <c r="J61" s="2262" t="s">
        <v>1020</v>
      </c>
      <c r="K61" s="2089">
        <v>2017</v>
      </c>
      <c r="AC61" s="2095" t="s">
        <v>778</v>
      </c>
      <c r="AD61" s="2096"/>
      <c r="AE61" s="2043"/>
      <c r="AF61" s="2043">
        <f>[0]!nombreLLS</f>
        <v>35</v>
      </c>
      <c r="AG61" s="2043"/>
      <c r="AH61" s="2068"/>
      <c r="AI61" s="2043"/>
    </row>
    <row r="62" spans="1:35" ht="15" customHeight="1">
      <c r="J62" s="2041"/>
      <c r="K62" s="2089"/>
      <c r="AC62" s="2067"/>
      <c r="AD62" s="2043"/>
      <c r="AE62" s="2043"/>
      <c r="AF62" s="2043"/>
      <c r="AG62" s="2043"/>
      <c r="AH62" s="2068"/>
      <c r="AI62" s="2043"/>
    </row>
    <row r="63" spans="1:35" ht="20.100000000000001" customHeight="1">
      <c r="A63" s="2078" t="s">
        <v>799</v>
      </c>
      <c r="D63" s="2076">
        <f>'Donnée d''entrée'!D6</f>
        <v>0</v>
      </c>
      <c r="H63" s="2040" t="s">
        <v>781</v>
      </c>
      <c r="J63" s="2262" t="s">
        <v>1021</v>
      </c>
      <c r="K63" s="2089">
        <v>2017</v>
      </c>
      <c r="AC63" s="2098" t="s">
        <v>780</v>
      </c>
      <c r="AD63" s="2099"/>
      <c r="AE63" s="3306">
        <f>adresse_LLS</f>
        <v>0</v>
      </c>
      <c r="AF63" s="3306"/>
      <c r="AG63" s="3306"/>
      <c r="AH63" s="2068"/>
      <c r="AI63" s="2043"/>
    </row>
    <row r="64" spans="1:35">
      <c r="A64" s="2078"/>
      <c r="J64" s="2041"/>
      <c r="K64" s="2089"/>
      <c r="AC64" s="2100"/>
      <c r="AD64" s="2099"/>
      <c r="AE64" s="3306"/>
      <c r="AF64" s="3306"/>
      <c r="AG64" s="3306"/>
      <c r="AH64" s="2068"/>
      <c r="AI64" s="2043"/>
    </row>
    <row r="65" spans="1:35">
      <c r="A65" s="2078" t="s">
        <v>800</v>
      </c>
      <c r="D65" s="2040">
        <f>[0]!nombreLLS</f>
        <v>35</v>
      </c>
      <c r="H65" s="3044" t="s">
        <v>1003</v>
      </c>
      <c r="J65" s="2262" t="s">
        <v>1022</v>
      </c>
      <c r="K65" s="2089">
        <v>2017</v>
      </c>
      <c r="AC65" s="2067"/>
      <c r="AD65" s="2097"/>
      <c r="AE65" s="2097"/>
      <c r="AF65" s="2097"/>
      <c r="AG65" s="2043"/>
      <c r="AH65" s="2068"/>
      <c r="AI65" s="2043"/>
    </row>
    <row r="66" spans="1:35">
      <c r="A66" s="2078"/>
      <c r="AC66" s="2067"/>
      <c r="AD66" s="2043"/>
      <c r="AE66" s="2043"/>
      <c r="AF66" s="2043"/>
      <c r="AG66" s="2043"/>
      <c r="AH66" s="2068"/>
      <c r="AI66" s="2043"/>
    </row>
    <row r="67" spans="1:35" ht="15" customHeight="1">
      <c r="A67" s="2078" t="s">
        <v>1002</v>
      </c>
      <c r="H67" s="2261" t="s">
        <v>916</v>
      </c>
      <c r="J67" s="2262" t="s">
        <v>917</v>
      </c>
      <c r="K67" s="2089">
        <v>2018</v>
      </c>
      <c r="AC67" s="3303" t="s">
        <v>782</v>
      </c>
      <c r="AD67" s="3304"/>
      <c r="AE67" s="3304"/>
      <c r="AF67" s="2072" t="s">
        <v>776</v>
      </c>
      <c r="AG67" s="2072"/>
      <c r="AH67" s="2073"/>
    </row>
    <row r="69" spans="1:35" ht="14.45" customHeight="1">
      <c r="A69" s="3309" t="s">
        <v>1082</v>
      </c>
      <c r="B69" s="3309"/>
      <c r="C69" s="3309"/>
      <c r="H69" s="3044" t="s">
        <v>1004</v>
      </c>
      <c r="J69" s="2262" t="s">
        <v>917</v>
      </c>
      <c r="K69" s="2089">
        <v>2018</v>
      </c>
    </row>
    <row r="70" spans="1:35">
      <c r="A70" s="3309"/>
      <c r="B70" s="3309"/>
      <c r="C70" s="3309"/>
      <c r="J70" s="2041"/>
      <c r="K70" s="2089"/>
      <c r="AC70" s="2040" t="s">
        <v>786</v>
      </c>
      <c r="AE70" s="2056">
        <f>[0]!nombreLLS</f>
        <v>35</v>
      </c>
      <c r="AF70" s="2040" t="str">
        <f>type_lg_LLS</f>
        <v>LLS</v>
      </c>
      <c r="AI70" s="2094"/>
    </row>
    <row r="71" spans="1:35">
      <c r="A71" s="3234"/>
      <c r="B71" s="3234"/>
      <c r="C71" s="3234"/>
      <c r="H71" s="2040" t="s">
        <v>784</v>
      </c>
      <c r="J71" s="2262" t="s">
        <v>918</v>
      </c>
      <c r="K71" s="2089">
        <v>2018</v>
      </c>
      <c r="AC71" s="2040" t="s">
        <v>787</v>
      </c>
      <c r="AE71" s="2088">
        <f>'Prgr. 2018'!SH.LLS</f>
        <v>2186</v>
      </c>
      <c r="AF71" s="2040" t="s">
        <v>723</v>
      </c>
    </row>
    <row r="72" spans="1:35" ht="14.45" customHeight="1">
      <c r="A72" s="3309" t="s">
        <v>1083</v>
      </c>
      <c r="B72" s="3309"/>
      <c r="C72" s="3309"/>
      <c r="D72" s="2040" t="s">
        <v>776</v>
      </c>
      <c r="J72" s="2041"/>
      <c r="K72" s="2089"/>
      <c r="AC72" s="2040" t="s">
        <v>789</v>
      </c>
      <c r="AE72" s="2088">
        <f>SF_LLS</f>
        <v>2623.5</v>
      </c>
      <c r="AF72" s="2040" t="s">
        <v>723</v>
      </c>
    </row>
    <row r="73" spans="1:35" ht="30.75" customHeight="1">
      <c r="A73" s="3309"/>
      <c r="B73" s="3309"/>
      <c r="C73" s="3309"/>
      <c r="D73" s="3310" t="str">
        <f>adresse_siege</f>
        <v>7, rue Jean Couturier 97831 CS 40030  LE TAMPON CEDEX</v>
      </c>
      <c r="E73" s="3310"/>
      <c r="F73" s="3310"/>
      <c r="G73" s="3310"/>
      <c r="J73" s="2262"/>
      <c r="K73" s="2089"/>
    </row>
    <row r="74" spans="1:35">
      <c r="A74" s="3309"/>
      <c r="B74" s="3309"/>
      <c r="C74" s="3309"/>
      <c r="D74" s="2040" t="s">
        <v>785</v>
      </c>
      <c r="E74" s="3239" t="s">
        <v>1019</v>
      </c>
    </row>
    <row r="75" spans="1:35" ht="14.45" customHeight="1">
      <c r="D75" s="2040" t="s">
        <v>788</v>
      </c>
      <c r="E75" s="2084" t="s">
        <v>1084</v>
      </c>
      <c r="AC75" s="2040" t="s">
        <v>790</v>
      </c>
      <c r="AG75" s="2088">
        <f>AG76/AE71*AE72</f>
        <v>8.099747403934126</v>
      </c>
      <c r="AH75" s="2040" t="s">
        <v>791</v>
      </c>
    </row>
    <row r="76" spans="1:35">
      <c r="A76" s="3234"/>
      <c r="B76" s="3234"/>
      <c r="C76" s="3234"/>
      <c r="AC76" s="2085" t="s">
        <v>792</v>
      </c>
      <c r="AD76" s="2085"/>
      <c r="AE76" s="2085"/>
      <c r="AF76" s="2085"/>
      <c r="AG76" s="2088">
        <f>LP_LLS</f>
        <v>6.7490176577091674</v>
      </c>
      <c r="AH76" s="2040" t="s">
        <v>793</v>
      </c>
    </row>
    <row r="77" spans="1:35" ht="14.45" customHeight="1">
      <c r="A77" s="2078" t="s">
        <v>801</v>
      </c>
      <c r="D77" s="2040" t="str">
        <f>type_lg_LLS</f>
        <v>LLS</v>
      </c>
      <c r="E77" s="2040" t="s">
        <v>1085</v>
      </c>
    </row>
    <row r="78" spans="1:35">
      <c r="A78" s="2078"/>
      <c r="L78" s="2056" t="s">
        <v>757</v>
      </c>
      <c r="M78" s="2057">
        <f ca="1">TODAY()</f>
        <v>43403</v>
      </c>
      <c r="AC78" s="2040" t="s">
        <v>794</v>
      </c>
      <c r="AF78" s="2088">
        <f>AF79/AE71*AE72</f>
        <v>0</v>
      </c>
      <c r="AG78" s="2040" t="s">
        <v>791</v>
      </c>
    </row>
    <row r="79" spans="1:35">
      <c r="A79" s="2078" t="s">
        <v>802</v>
      </c>
      <c r="D79" s="2040">
        <f>adresse_LLS</f>
        <v>0</v>
      </c>
      <c r="AC79" s="2040" t="s">
        <v>794</v>
      </c>
      <c r="AF79" s="2171"/>
      <c r="AG79" s="2040" t="s">
        <v>793</v>
      </c>
    </row>
    <row r="80" spans="1:35" ht="14.45" customHeight="1">
      <c r="A80" s="2078"/>
      <c r="L80" s="3299" t="s">
        <v>783</v>
      </c>
      <c r="M80" s="3299"/>
    </row>
    <row r="81" spans="1:33" s="2047" customFormat="1" ht="22.5" customHeight="1">
      <c r="A81" s="3243" t="s">
        <v>1086</v>
      </c>
      <c r="AC81" s="2047" t="s">
        <v>795</v>
      </c>
      <c r="AF81" s="2092">
        <f>AG75</f>
        <v>8.099747403934126</v>
      </c>
      <c r="AG81" s="2047" t="s">
        <v>791</v>
      </c>
    </row>
    <row r="82" spans="1:33" ht="14.45" customHeight="1">
      <c r="A82" s="2078"/>
      <c r="AC82" s="2040" t="s">
        <v>796</v>
      </c>
      <c r="AF82" s="2088">
        <f>AG76</f>
        <v>6.7490176577091674</v>
      </c>
      <c r="AG82" s="2040" t="str">
        <f>"€ × ("&amp;AE72&amp;" m² SF/"&amp; AE71&amp;" m² SH)"</f>
        <v>€ × (2623,5 m² SF/2186 m² SH)</v>
      </c>
    </row>
    <row r="83" spans="1:33" ht="14.45" customHeight="1">
      <c r="A83" s="3240" t="s">
        <v>803</v>
      </c>
      <c r="B83" s="2047"/>
      <c r="C83" s="2047"/>
      <c r="D83" s="3241">
        <f>S_terrain</f>
        <v>0</v>
      </c>
      <c r="E83" s="2047" t="s">
        <v>723</v>
      </c>
      <c r="F83" s="2047"/>
      <c r="G83" s="2047"/>
    </row>
    <row r="84" spans="1:33" ht="12.75" customHeight="1">
      <c r="A84" s="2078"/>
      <c r="AC84" s="2040" t="s">
        <v>797</v>
      </c>
      <c r="AF84" s="2088">
        <f>AG76</f>
        <v>6.7490176577091674</v>
      </c>
      <c r="AG84" s="2055" t="s">
        <v>798</v>
      </c>
    </row>
    <row r="85" spans="1:33" s="2047" customFormat="1" ht="20.25" customHeight="1">
      <c r="A85" s="3240" t="s">
        <v>804</v>
      </c>
      <c r="D85" s="2092">
        <f>Bdgt!Q4</f>
        <v>0</v>
      </c>
      <c r="E85" s="2047" t="s">
        <v>723</v>
      </c>
      <c r="L85" s="2047" t="str">
        <f>directeur_g</f>
        <v>Patrick CORRE</v>
      </c>
      <c r="AC85" s="2047" t="s">
        <v>796</v>
      </c>
      <c r="AF85" s="2092">
        <f>AG75</f>
        <v>8.099747403934126</v>
      </c>
      <c r="AG85" s="2047" t="str">
        <f>"€ × ("&amp;AE71&amp;" m² SH/ "&amp;AE72&amp;" m² SF)"</f>
        <v>€ × (2186 m² SH/ 2623,5 m² SF)</v>
      </c>
    </row>
    <row r="86" spans="1:33" ht="14.25" customHeight="1">
      <c r="A86" s="2086"/>
      <c r="B86" s="2087"/>
      <c r="C86" s="2087"/>
      <c r="D86" s="2087"/>
      <c r="E86" s="2087"/>
      <c r="F86" s="2087"/>
      <c r="G86" s="2087"/>
    </row>
    <row r="87" spans="1:33" ht="14.45" customHeight="1">
      <c r="A87" s="3242" t="s">
        <v>1087</v>
      </c>
      <c r="B87" s="2087"/>
      <c r="C87" s="2087"/>
      <c r="D87" s="2087"/>
      <c r="E87" s="2087"/>
      <c r="F87" s="2087"/>
      <c r="G87" s="2087"/>
    </row>
    <row r="88" spans="1:33">
      <c r="A88"/>
      <c r="B88"/>
      <c r="C88"/>
      <c r="D88"/>
      <c r="E88"/>
      <c r="F88"/>
      <c r="G88"/>
    </row>
    <row r="89" spans="1:33" ht="16.5" customHeight="1">
      <c r="B89" s="2041" t="s">
        <v>1041</v>
      </c>
      <c r="C89"/>
      <c r="D89"/>
      <c r="E89"/>
      <c r="F89"/>
      <c r="G89"/>
    </row>
    <row r="90" spans="1:33">
      <c r="B90" s="2041" t="s">
        <v>805</v>
      </c>
      <c r="C90"/>
      <c r="D90"/>
      <c r="E90"/>
      <c r="F90"/>
      <c r="G90"/>
    </row>
    <row r="91" spans="1:33">
      <c r="B91" s="2041" t="s">
        <v>806</v>
      </c>
      <c r="C91"/>
      <c r="D91"/>
      <c r="E91"/>
      <c r="F91"/>
      <c r="G91"/>
    </row>
    <row r="92" spans="1:33" ht="14.45" customHeight="1">
      <c r="B92" s="2041" t="s">
        <v>807</v>
      </c>
      <c r="C92"/>
      <c r="D92"/>
      <c r="E92"/>
      <c r="F92"/>
      <c r="G92"/>
    </row>
    <row r="93" spans="1:33">
      <c r="B93" s="2041" t="s">
        <v>808</v>
      </c>
      <c r="C93"/>
      <c r="D93"/>
      <c r="E93"/>
      <c r="F93"/>
      <c r="G93"/>
    </row>
    <row r="94" spans="1:33" ht="21.75" customHeight="1">
      <c r="A94"/>
      <c r="B94"/>
      <c r="C94"/>
      <c r="D94"/>
      <c r="E94"/>
      <c r="F94"/>
      <c r="G94"/>
    </row>
    <row r="95" spans="1:33">
      <c r="A95" s="3242" t="s">
        <v>1088</v>
      </c>
      <c r="B95"/>
      <c r="C95"/>
      <c r="D95"/>
      <c r="E95"/>
      <c r="F95"/>
      <c r="G95"/>
    </row>
    <row r="96" spans="1:33">
      <c r="A96"/>
      <c r="B96"/>
      <c r="C96"/>
      <c r="D96"/>
      <c r="E96"/>
      <c r="F96"/>
      <c r="G96"/>
    </row>
    <row r="97" spans="1:35">
      <c r="A97" s="2183" t="str">
        <f>"-"&amp;parking_a_LLS&amp;" places de parkings aériennes"</f>
        <v>- places de parkings aériennes</v>
      </c>
      <c r="B97"/>
      <c r="C97"/>
      <c r="D97"/>
      <c r="E97"/>
      <c r="F97"/>
      <c r="G97"/>
    </row>
    <row r="98" spans="1:35" ht="15" customHeight="1">
      <c r="A98" s="2040" t="str">
        <f>"-"&amp;parking_c_LLS&amp;" places de parkings couvertes."</f>
        <v>- places de parkings couvertes.</v>
      </c>
      <c r="B98"/>
      <c r="C98"/>
      <c r="D98"/>
      <c r="E98"/>
      <c r="F98"/>
      <c r="G98"/>
      <c r="J98" s="2079"/>
      <c r="K98" s="2079"/>
      <c r="L98" s="2079"/>
      <c r="M98" s="2079"/>
      <c r="N98" s="2079"/>
    </row>
    <row r="99" spans="1:35">
      <c r="A99"/>
      <c r="B99"/>
      <c r="C99"/>
      <c r="D99"/>
      <c r="E99"/>
      <c r="F99"/>
      <c r="G99"/>
      <c r="AC99" s="2078" t="s">
        <v>775</v>
      </c>
    </row>
    <row r="100" spans="1:35" ht="15" customHeight="1">
      <c r="A100"/>
      <c r="B100"/>
      <c r="C100"/>
      <c r="D100"/>
      <c r="E100"/>
      <c r="F100"/>
      <c r="G100"/>
    </row>
    <row r="101" spans="1:35">
      <c r="A101"/>
      <c r="B101"/>
      <c r="C101"/>
      <c r="D101"/>
      <c r="E101"/>
      <c r="F101"/>
      <c r="G101"/>
      <c r="H101" s="2079" t="s">
        <v>772</v>
      </c>
      <c r="I101" s="2079"/>
      <c r="AC101" s="2080" t="s">
        <v>777</v>
      </c>
      <c r="AD101" s="2091"/>
      <c r="AE101" s="2091"/>
      <c r="AF101" s="2091">
        <f>nom</f>
        <v>0</v>
      </c>
      <c r="AG101" s="2063"/>
      <c r="AH101" s="2064"/>
    </row>
    <row r="102" spans="1:35">
      <c r="A102"/>
      <c r="B102"/>
      <c r="C102"/>
      <c r="D102"/>
      <c r="E102"/>
      <c r="F102"/>
      <c r="G102"/>
      <c r="AC102" s="2067"/>
      <c r="AD102" s="2043"/>
      <c r="AE102" s="2043"/>
      <c r="AF102" s="2043"/>
      <c r="AG102" s="2043"/>
      <c r="AH102" s="2068"/>
    </row>
    <row r="103" spans="1:35">
      <c r="A103"/>
      <c r="B103"/>
      <c r="C103"/>
      <c r="D103"/>
      <c r="E103"/>
      <c r="F103"/>
      <c r="G103"/>
      <c r="H103" s="2040" t="s">
        <v>673</v>
      </c>
      <c r="I103" s="2076">
        <f>nom</f>
        <v>0</v>
      </c>
      <c r="J103" s="2041"/>
      <c r="K103" s="2089"/>
      <c r="AC103" s="2095" t="s">
        <v>778</v>
      </c>
      <c r="AD103" s="2096"/>
      <c r="AE103" s="2043"/>
      <c r="AF103" s="2043">
        <f>nombreLLTS</f>
        <v>35</v>
      </c>
      <c r="AG103" s="2043"/>
      <c r="AH103" s="2068"/>
    </row>
    <row r="104" spans="1:35" ht="15" customHeight="1">
      <c r="J104" s="2041"/>
      <c r="K104" s="2089"/>
      <c r="AC104" s="2067"/>
      <c r="AD104" s="2043"/>
      <c r="AE104" s="2043"/>
      <c r="AF104" s="2043"/>
      <c r="AG104" s="2043"/>
      <c r="AH104" s="2068"/>
    </row>
    <row r="105" spans="1:35" ht="14.45" customHeight="1">
      <c r="H105" s="2040" t="s">
        <v>779</v>
      </c>
      <c r="J105" s="2262"/>
      <c r="K105" s="2089"/>
      <c r="AC105" s="2081" t="s">
        <v>780</v>
      </c>
      <c r="AD105" s="2097"/>
      <c r="AE105" s="3311">
        <f>adresse_LLTS</f>
        <v>0</v>
      </c>
      <c r="AF105" s="3311"/>
      <c r="AG105" s="3311"/>
      <c r="AH105" s="2068"/>
    </row>
    <row r="106" spans="1:35">
      <c r="J106" s="2041"/>
      <c r="K106" s="2089"/>
      <c r="AC106" s="2067"/>
      <c r="AD106" s="2097"/>
      <c r="AE106" s="3311"/>
      <c r="AF106" s="3311"/>
      <c r="AG106" s="3311"/>
      <c r="AH106" s="2068"/>
    </row>
    <row r="107" spans="1:35">
      <c r="H107" s="2040" t="s">
        <v>781</v>
      </c>
      <c r="J107" s="2262"/>
      <c r="K107" s="2089"/>
      <c r="AC107" s="2067"/>
      <c r="AD107" s="2097"/>
      <c r="AE107" s="2097"/>
      <c r="AF107" s="2097"/>
      <c r="AG107" s="2097"/>
      <c r="AH107" s="2068"/>
    </row>
    <row r="108" spans="1:35">
      <c r="J108" s="2041"/>
      <c r="K108" s="2089"/>
      <c r="AC108" s="2067"/>
      <c r="AD108" s="2043"/>
      <c r="AE108" s="2043"/>
      <c r="AF108" s="2043"/>
      <c r="AG108" s="2043"/>
      <c r="AH108" s="2068"/>
    </row>
    <row r="109" spans="1:35" ht="15" customHeight="1">
      <c r="H109" s="3044" t="s">
        <v>1003</v>
      </c>
      <c r="J109" s="2262"/>
      <c r="K109" s="2089"/>
      <c r="AC109" s="2082" t="s">
        <v>782</v>
      </c>
      <c r="AD109" s="2083"/>
      <c r="AE109" s="2072"/>
      <c r="AF109" s="2072" t="s">
        <v>776</v>
      </c>
      <c r="AG109" s="2072"/>
      <c r="AH109" s="2073"/>
    </row>
    <row r="111" spans="1:35" ht="14.45" customHeight="1">
      <c r="H111" s="2261" t="s">
        <v>916</v>
      </c>
      <c r="J111" s="2262"/>
      <c r="K111" s="2089"/>
    </row>
    <row r="112" spans="1:35">
      <c r="AC112" s="2040" t="s">
        <v>786</v>
      </c>
      <c r="AE112" s="2056">
        <f>[0]!nombreLLTS</f>
        <v>35</v>
      </c>
      <c r="AF112" s="2040" t="str">
        <f>type_lg_LLTS</f>
        <v>LLTS</v>
      </c>
      <c r="AI112" s="2094"/>
    </row>
    <row r="113" spans="1:34">
      <c r="A113" s="2078" t="s">
        <v>799</v>
      </c>
      <c r="D113" s="2076">
        <f>[0]!nom</f>
        <v>0</v>
      </c>
      <c r="H113" s="3044" t="s">
        <v>1004</v>
      </c>
      <c r="J113" s="2262"/>
      <c r="K113" s="2089"/>
      <c r="AC113" s="2040" t="s">
        <v>787</v>
      </c>
      <c r="AE113" s="2088">
        <f>'Prgr. 2018'!SH.LLTS</f>
        <v>2186</v>
      </c>
      <c r="AF113" s="2040" t="s">
        <v>723</v>
      </c>
    </row>
    <row r="114" spans="1:34" ht="14.45" customHeight="1">
      <c r="A114" s="2078"/>
      <c r="J114" s="2041"/>
      <c r="K114" s="2089"/>
      <c r="AC114" s="2040" t="s">
        <v>789</v>
      </c>
      <c r="AE114" s="2088">
        <f>SF_LLTS</f>
        <v>2623.5</v>
      </c>
      <c r="AF114" s="2040" t="s">
        <v>723</v>
      </c>
    </row>
    <row r="115" spans="1:34" ht="14.45" customHeight="1">
      <c r="A115" s="2078" t="s">
        <v>800</v>
      </c>
      <c r="D115" s="2040">
        <f>[0]!nombreLLTS</f>
        <v>35</v>
      </c>
      <c r="H115" s="2040" t="s">
        <v>784</v>
      </c>
      <c r="J115" s="2262"/>
      <c r="K115" s="2089"/>
    </row>
    <row r="116" spans="1:34">
      <c r="A116" s="2078"/>
    </row>
    <row r="117" spans="1:34" ht="14.45" customHeight="1">
      <c r="A117" s="2078" t="s">
        <v>1002</v>
      </c>
      <c r="AC117" s="2040" t="s">
        <v>790</v>
      </c>
      <c r="AG117" s="2088">
        <f>AG118/AE113*AE114</f>
        <v>6.4797979231473022</v>
      </c>
      <c r="AH117" s="2040" t="s">
        <v>791</v>
      </c>
    </row>
    <row r="118" spans="1:34">
      <c r="AC118" s="2085" t="s">
        <v>792</v>
      </c>
      <c r="AD118" s="2085"/>
      <c r="AE118" s="2085"/>
      <c r="AF118" s="2085"/>
      <c r="AG118" s="2088">
        <f>LP_LLTS</f>
        <v>5.399214126167335</v>
      </c>
      <c r="AH118" s="2040" t="s">
        <v>793</v>
      </c>
    </row>
    <row r="119" spans="1:34" ht="14.45" customHeight="1">
      <c r="A119" s="3309" t="s">
        <v>1082</v>
      </c>
      <c r="B119" s="3309"/>
      <c r="C119" s="3309"/>
    </row>
    <row r="120" spans="1:34">
      <c r="A120" s="3309"/>
      <c r="B120" s="3309"/>
      <c r="C120" s="3309"/>
      <c r="AC120" s="2040" t="s">
        <v>794</v>
      </c>
      <c r="AF120" s="2088">
        <f>AF121/AE113*AE114</f>
        <v>0</v>
      </c>
      <c r="AG120" s="2040" t="s">
        <v>791</v>
      </c>
    </row>
    <row r="121" spans="1:34">
      <c r="A121" s="3234"/>
      <c r="B121" s="3234"/>
      <c r="C121" s="3234"/>
      <c r="AC121" s="2040" t="s">
        <v>794</v>
      </c>
      <c r="AF121" s="2171"/>
      <c r="AG121" s="2040" t="s">
        <v>793</v>
      </c>
    </row>
    <row r="122" spans="1:34" ht="14.45" customHeight="1">
      <c r="A122" s="3309" t="s">
        <v>1083</v>
      </c>
      <c r="B122" s="3309"/>
      <c r="C122" s="3309"/>
      <c r="D122" s="2040" t="s">
        <v>776</v>
      </c>
      <c r="L122" s="2056" t="s">
        <v>757</v>
      </c>
      <c r="M122" s="2057">
        <f ca="1">TODAY()</f>
        <v>43403</v>
      </c>
    </row>
    <row r="123" spans="1:34" ht="30" customHeight="1">
      <c r="A123" s="3309"/>
      <c r="B123" s="3309"/>
      <c r="C123" s="3309"/>
      <c r="D123" s="3310" t="str">
        <f>adresse_siege</f>
        <v>7, rue Jean Couturier 97831 CS 40030  LE TAMPON CEDEX</v>
      </c>
      <c r="E123" s="3310"/>
      <c r="F123" s="3310"/>
      <c r="G123" s="3310"/>
      <c r="AC123" s="2040" t="s">
        <v>795</v>
      </c>
      <c r="AF123" s="2088">
        <f>AG117</f>
        <v>6.4797979231473022</v>
      </c>
      <c r="AG123" s="2040" t="s">
        <v>791</v>
      </c>
    </row>
    <row r="124" spans="1:34" ht="14.45" customHeight="1">
      <c r="A124" s="3309"/>
      <c r="B124" s="3309"/>
      <c r="C124" s="3309"/>
      <c r="D124" s="2040" t="s">
        <v>785</v>
      </c>
      <c r="E124" s="3239" t="s">
        <v>1019</v>
      </c>
      <c r="L124" s="3299" t="s">
        <v>783</v>
      </c>
      <c r="M124" s="3299"/>
      <c r="AC124" s="2040" t="s">
        <v>796</v>
      </c>
      <c r="AF124" s="2088">
        <f>AG118</f>
        <v>5.399214126167335</v>
      </c>
      <c r="AG124" s="2040" t="str">
        <f>"€ × ("&amp;AE114&amp;" m² SF/"&amp; AE113&amp;" m² SH)"</f>
        <v>€ × (2623,5 m² SF/2186 m² SH)</v>
      </c>
    </row>
    <row r="125" spans="1:34" ht="14.45" customHeight="1">
      <c r="D125" s="2040" t="s">
        <v>788</v>
      </c>
      <c r="E125" s="2084" t="s">
        <v>1084</v>
      </c>
    </row>
    <row r="126" spans="1:34" ht="28.15" customHeight="1">
      <c r="A126" s="3234"/>
      <c r="B126" s="3234"/>
      <c r="C126" s="3234"/>
      <c r="AC126" s="2040" t="s">
        <v>797</v>
      </c>
      <c r="AF126" s="2088">
        <f>AG118</f>
        <v>5.399214126167335</v>
      </c>
      <c r="AG126" s="2055" t="s">
        <v>798</v>
      </c>
    </row>
    <row r="127" spans="1:34" ht="15" customHeight="1">
      <c r="A127" s="2078" t="s">
        <v>801</v>
      </c>
      <c r="D127" s="2040" t="str">
        <f>type_lg_LLTS</f>
        <v>LLTS</v>
      </c>
      <c r="E127" s="2040" t="s">
        <v>1085</v>
      </c>
      <c r="AC127" s="2047" t="s">
        <v>796</v>
      </c>
      <c r="AF127" s="2092">
        <f>AG117</f>
        <v>6.4797979231473022</v>
      </c>
      <c r="AG127" s="2047" t="str">
        <f>"€ × ("&amp;AE113&amp;" m² SH/ "&amp;AE114&amp;" m² SF)"</f>
        <v>€ × (2186 m² SH/ 2623,5 m² SF)</v>
      </c>
    </row>
    <row r="128" spans="1:34" ht="15" customHeight="1">
      <c r="A128" s="2078"/>
    </row>
    <row r="129" spans="1:12" ht="15" customHeight="1">
      <c r="A129" s="2078" t="s">
        <v>802</v>
      </c>
      <c r="D129" s="2040">
        <f>adresse_LLTS</f>
        <v>0</v>
      </c>
      <c r="L129" s="2040" t="str">
        <f>directeur_g</f>
        <v>Patrick CORRE</v>
      </c>
    </row>
    <row r="130" spans="1:12" ht="15" customHeight="1">
      <c r="A130" s="2078"/>
    </row>
    <row r="131" spans="1:12" ht="15" customHeight="1">
      <c r="A131" s="3242" t="s">
        <v>1086</v>
      </c>
    </row>
    <row r="132" spans="1:12" ht="15" customHeight="1">
      <c r="A132" s="2078"/>
    </row>
    <row r="133" spans="1:12" ht="15" customHeight="1">
      <c r="A133" s="2078" t="s">
        <v>803</v>
      </c>
      <c r="D133" s="2076">
        <f>S_terrain</f>
        <v>0</v>
      </c>
      <c r="E133" s="2040" t="s">
        <v>723</v>
      </c>
    </row>
    <row r="134" spans="1:12" ht="15" customHeight="1">
      <c r="A134" s="2078"/>
    </row>
    <row r="135" spans="1:12">
      <c r="A135" s="2078" t="s">
        <v>804</v>
      </c>
      <c r="D135" s="2088">
        <f>Bdgt!U4</f>
        <v>0</v>
      </c>
      <c r="E135" s="2040" t="s">
        <v>723</v>
      </c>
    </row>
    <row r="136" spans="1:12">
      <c r="A136" s="2086"/>
      <c r="B136" s="2087"/>
      <c r="C136" s="2087"/>
      <c r="D136" s="2087"/>
      <c r="E136" s="2087"/>
      <c r="F136" s="2087"/>
      <c r="G136" s="2087"/>
    </row>
    <row r="137" spans="1:12">
      <c r="A137" s="3242" t="s">
        <v>1087</v>
      </c>
      <c r="B137" s="2087"/>
      <c r="C137" s="2087"/>
      <c r="D137" s="2087"/>
      <c r="E137" s="2087"/>
      <c r="F137" s="2087"/>
      <c r="G137" s="2087"/>
    </row>
    <row r="138" spans="1:12">
      <c r="A138"/>
      <c r="B138"/>
      <c r="C138"/>
      <c r="D138"/>
      <c r="E138"/>
      <c r="F138"/>
      <c r="G138"/>
    </row>
    <row r="139" spans="1:12">
      <c r="B139" s="2041" t="s">
        <v>1041</v>
      </c>
      <c r="C139"/>
      <c r="D139"/>
      <c r="E139"/>
      <c r="F139"/>
      <c r="G139"/>
    </row>
    <row r="140" spans="1:12">
      <c r="B140" s="2041" t="s">
        <v>805</v>
      </c>
      <c r="C140"/>
      <c r="D140"/>
      <c r="E140"/>
      <c r="F140"/>
      <c r="G140"/>
    </row>
    <row r="141" spans="1:12">
      <c r="B141" s="2041" t="s">
        <v>806</v>
      </c>
      <c r="C141"/>
      <c r="D141"/>
      <c r="E141"/>
      <c r="F141"/>
      <c r="G141"/>
    </row>
    <row r="142" spans="1:12">
      <c r="B142" s="2041" t="s">
        <v>807</v>
      </c>
      <c r="C142"/>
      <c r="D142"/>
      <c r="E142"/>
      <c r="F142"/>
      <c r="G142"/>
    </row>
    <row r="143" spans="1:12">
      <c r="B143" s="2041" t="s">
        <v>808</v>
      </c>
      <c r="C143"/>
      <c r="D143"/>
      <c r="E143"/>
      <c r="F143"/>
      <c r="G143"/>
    </row>
    <row r="144" spans="1:12">
      <c r="A144"/>
      <c r="B144"/>
      <c r="C144"/>
      <c r="D144"/>
      <c r="E144"/>
      <c r="F144"/>
      <c r="G144"/>
    </row>
    <row r="145" spans="1:7">
      <c r="A145" s="3242" t="s">
        <v>1088</v>
      </c>
      <c r="B145"/>
      <c r="C145"/>
      <c r="D145"/>
      <c r="E145"/>
      <c r="F145"/>
      <c r="G145"/>
    </row>
    <row r="146" spans="1:7">
      <c r="A146"/>
      <c r="B146"/>
      <c r="C146"/>
      <c r="D146"/>
      <c r="E146"/>
      <c r="F146"/>
      <c r="G146"/>
    </row>
    <row r="147" spans="1:7">
      <c r="A147" s="2183" t="str">
        <f>"-"&amp;parking_a_LLTS&amp;" places de parkings aériennes"</f>
        <v>- places de parkings aériennes</v>
      </c>
      <c r="B147"/>
      <c r="C147"/>
      <c r="D147"/>
      <c r="E147"/>
      <c r="F147"/>
      <c r="G147"/>
    </row>
    <row r="148" spans="1:7">
      <c r="A148" s="2040" t="str">
        <f>"-"&amp;parking_c_LLTS&amp;" places de parkings couvertes."</f>
        <v>- places de parkings couvertes.</v>
      </c>
      <c r="B148"/>
      <c r="C148"/>
      <c r="D148"/>
      <c r="E148"/>
      <c r="F148"/>
      <c r="G148"/>
    </row>
    <row r="149" spans="1:7">
      <c r="A149"/>
      <c r="B149"/>
      <c r="C149"/>
      <c r="D149"/>
      <c r="E149"/>
      <c r="F149"/>
      <c r="G149"/>
    </row>
    <row r="150" spans="1:7">
      <c r="A150"/>
      <c r="B150"/>
      <c r="C150"/>
      <c r="D150"/>
      <c r="E150"/>
      <c r="F150"/>
      <c r="G150"/>
    </row>
    <row r="151" spans="1:7">
      <c r="A151"/>
      <c r="B151"/>
      <c r="C151"/>
      <c r="D151"/>
      <c r="E151"/>
      <c r="F151"/>
      <c r="G151"/>
    </row>
    <row r="152" spans="1:7">
      <c r="A152"/>
      <c r="B152"/>
      <c r="C152"/>
      <c r="D152"/>
      <c r="E152"/>
      <c r="F152"/>
      <c r="G152"/>
    </row>
  </sheetData>
  <mergeCells count="16">
    <mergeCell ref="AE105:AG106"/>
    <mergeCell ref="A119:C120"/>
    <mergeCell ref="A122:C124"/>
    <mergeCell ref="D123:G123"/>
    <mergeCell ref="L80:M80"/>
    <mergeCell ref="A69:C70"/>
    <mergeCell ref="A72:C74"/>
    <mergeCell ref="D73:G73"/>
    <mergeCell ref="L124:M124"/>
    <mergeCell ref="V25:AB26"/>
    <mergeCell ref="AC67:AE67"/>
    <mergeCell ref="AC24:AI27"/>
    <mergeCell ref="AE63:AG64"/>
    <mergeCell ref="A25:G26"/>
    <mergeCell ref="H25:N26"/>
    <mergeCell ref="O25:U26"/>
  </mergeCells>
  <dataValidations count="3">
    <dataValidation type="list" allowBlank="1" showInputMessage="1" showErrorMessage="1" sqref="D67 D117">
      <formula1>"individuelle,collective,mixte"</formula1>
    </dataValidation>
    <dataValidation type="list" allowBlank="1" showInputMessage="1" showErrorMessage="1" sqref="D69 D119">
      <formula1>"RPA,étudiants,familles"</formula1>
    </dataValidation>
    <dataValidation type="list" allowBlank="1" showInputMessage="1" showErrorMessage="1" sqref="D81 D131">
      <formula1>"en QPV,hors QPV"</formula1>
    </dataValidation>
  </dataValidations>
  <hyperlinks>
    <hyperlink ref="E75" r:id="rId1"/>
    <hyperlink ref="E125" r:id="rId2"/>
  </hyperlinks>
  <pageMargins left="0.70866141732283472" right="0.70866141732283472" top="0.74803149606299213" bottom="0.74803149606299213" header="0.31496062992125984" footer="0.31496062992125984"/>
  <pageSetup paperSize="9" scale="94" orientation="portrait" r:id="rId3"/>
  <rowBreaks count="2" manualBreakCount="2">
    <brk id="49" max="41" man="1"/>
    <brk id="100" max="41" man="1"/>
  </rowBreaks>
  <colBreaks count="4" manualBreakCount="4">
    <brk id="7" max="147" man="1"/>
    <brk id="14" max="147" man="1"/>
    <brk id="21" max="147" man="1"/>
    <brk id="28" max="147" man="1"/>
  </colBreaks>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1:AB142"/>
  <sheetViews>
    <sheetView view="pageBreakPreview" topLeftCell="C15" zoomScale="60" zoomScaleNormal="100" zoomScalePageLayoutView="55" workbookViewId="0">
      <selection activeCell="J123" sqref="J123"/>
    </sheetView>
  </sheetViews>
  <sheetFormatPr baseColWidth="10" defaultColWidth="11.42578125" defaultRowHeight="15"/>
  <cols>
    <col min="1" max="4" width="11.42578125" style="2101"/>
    <col min="5" max="5" width="15.42578125" style="2101" customWidth="1"/>
    <col min="6" max="6" width="11.42578125" style="2101"/>
    <col min="7" max="7" width="13" style="2101" customWidth="1"/>
    <col min="8" max="16384" width="11.42578125" style="2101"/>
  </cols>
  <sheetData>
    <row r="21" spans="1:28" ht="14.45" customHeight="1">
      <c r="A21" s="2200" t="s">
        <v>895</v>
      </c>
      <c r="B21" s="3320" t="s">
        <v>740</v>
      </c>
      <c r="C21" s="3320"/>
      <c r="D21" s="3320"/>
      <c r="E21" s="3320"/>
      <c r="F21" s="2200"/>
      <c r="G21" s="2200"/>
    </row>
    <row r="22" spans="1:28" ht="15" customHeight="1">
      <c r="A22" s="2200"/>
      <c r="B22" s="2200"/>
      <c r="C22" s="2200"/>
      <c r="D22" s="2200"/>
      <c r="E22" s="2200"/>
      <c r="F22" s="2200"/>
      <c r="G22" s="2200"/>
      <c r="H22" s="3315" t="s">
        <v>1089</v>
      </c>
      <c r="I22" s="3315"/>
      <c r="J22" s="3315"/>
      <c r="K22" s="3315"/>
      <c r="L22" s="3315"/>
      <c r="M22" s="3315"/>
      <c r="N22" s="3315"/>
      <c r="O22" s="3315" t="s">
        <v>1010</v>
      </c>
      <c r="P22" s="3315"/>
      <c r="Q22" s="3315"/>
      <c r="R22" s="3315"/>
      <c r="S22" s="3315"/>
      <c r="T22" s="3315"/>
      <c r="U22" s="3315"/>
      <c r="V22" s="3315" t="s">
        <v>1009</v>
      </c>
      <c r="W22" s="3315"/>
      <c r="X22" s="3315"/>
      <c r="Y22" s="3315"/>
      <c r="Z22" s="3315"/>
      <c r="AA22" s="3315"/>
      <c r="AB22" s="3315"/>
    </row>
    <row r="23" spans="1:28" ht="15" customHeight="1">
      <c r="A23" s="2200"/>
      <c r="B23" s="3319" t="s">
        <v>741</v>
      </c>
      <c r="C23" s="3319"/>
      <c r="D23" s="3319"/>
      <c r="E23" s="2200"/>
      <c r="F23" s="2200"/>
      <c r="G23" s="2200"/>
      <c r="H23" s="3315"/>
      <c r="I23" s="3315"/>
      <c r="J23" s="3315"/>
      <c r="K23" s="3315"/>
      <c r="L23" s="3315"/>
      <c r="M23" s="3315"/>
      <c r="N23" s="3315"/>
      <c r="O23" s="3315"/>
      <c r="P23" s="3315"/>
      <c r="Q23" s="3315"/>
      <c r="R23" s="3315"/>
      <c r="S23" s="3315"/>
      <c r="T23" s="3315"/>
      <c r="U23" s="3315"/>
      <c r="V23" s="3315"/>
      <c r="W23" s="3315"/>
      <c r="X23" s="3315"/>
      <c r="Y23" s="3315"/>
      <c r="Z23" s="3315"/>
      <c r="AA23" s="3315"/>
      <c r="AB23" s="3315"/>
    </row>
    <row r="24" spans="1:28" ht="15" customHeight="1">
      <c r="A24" s="2200"/>
      <c r="B24" s="3319" t="s">
        <v>742</v>
      </c>
      <c r="C24" s="3319"/>
      <c r="D24" s="3319"/>
      <c r="E24" s="2200"/>
      <c r="F24" s="2200"/>
      <c r="G24" s="2200"/>
      <c r="H24" s="3315"/>
      <c r="I24" s="3315"/>
      <c r="J24" s="3315"/>
      <c r="K24" s="3315"/>
      <c r="L24" s="3315"/>
      <c r="M24" s="3315"/>
      <c r="N24" s="3315"/>
      <c r="O24" s="3315"/>
      <c r="P24" s="3315"/>
      <c r="Q24" s="3315"/>
      <c r="R24" s="3315"/>
      <c r="S24" s="3315"/>
      <c r="T24" s="3315"/>
      <c r="U24" s="3315"/>
      <c r="V24" s="3315"/>
      <c r="W24" s="3315"/>
      <c r="X24" s="3315"/>
      <c r="Y24" s="3315"/>
      <c r="Z24" s="3315"/>
      <c r="AA24" s="3315"/>
      <c r="AB24" s="3315"/>
    </row>
    <row r="25" spans="1:28" ht="15" customHeight="1">
      <c r="A25" s="2200"/>
      <c r="B25" s="3319" t="s">
        <v>743</v>
      </c>
      <c r="C25" s="3319"/>
      <c r="D25" s="3319"/>
      <c r="E25" s="3319"/>
      <c r="F25" s="3319"/>
      <c r="G25" s="2200"/>
      <c r="H25" s="3315"/>
      <c r="I25" s="3315"/>
      <c r="J25" s="3315"/>
      <c r="K25" s="3315"/>
      <c r="L25" s="3315"/>
      <c r="M25" s="3315"/>
      <c r="N25" s="3315"/>
      <c r="O25" s="3315"/>
      <c r="P25" s="3315"/>
      <c r="Q25" s="3315"/>
      <c r="R25" s="3315"/>
      <c r="S25" s="3315"/>
      <c r="T25" s="3315"/>
      <c r="U25" s="3315"/>
      <c r="V25" s="3315"/>
      <c r="W25" s="3315"/>
      <c r="X25" s="3315"/>
      <c r="Y25" s="3315"/>
      <c r="Z25" s="3315"/>
      <c r="AA25" s="3315"/>
      <c r="AB25" s="3315"/>
    </row>
    <row r="26" spans="1:28" ht="15" customHeight="1">
      <c r="A26" s="2200"/>
      <c r="B26" s="2200"/>
      <c r="C26" s="2200"/>
      <c r="D26" s="2200"/>
      <c r="E26" s="2200"/>
      <c r="F26" s="2200"/>
      <c r="G26" s="2200"/>
      <c r="H26" s="3315"/>
      <c r="I26" s="3315"/>
      <c r="J26" s="3315"/>
      <c r="K26" s="3315"/>
      <c r="L26" s="3315"/>
      <c r="M26" s="3315"/>
      <c r="N26" s="3315"/>
      <c r="O26" s="3315"/>
      <c r="P26" s="3315"/>
      <c r="Q26" s="3315"/>
      <c r="R26" s="3315"/>
      <c r="S26" s="3315"/>
      <c r="T26" s="3315"/>
      <c r="U26" s="3315"/>
      <c r="V26" s="3315"/>
      <c r="W26" s="3315"/>
      <c r="X26" s="3315"/>
      <c r="Y26" s="3315"/>
      <c r="Z26" s="3315"/>
      <c r="AA26" s="3315"/>
      <c r="AB26" s="3315"/>
    </row>
    <row r="27" spans="1:28" ht="15" customHeight="1">
      <c r="A27" s="2200"/>
      <c r="B27" s="2200"/>
      <c r="C27" s="2200"/>
      <c r="D27" s="2200"/>
      <c r="E27" s="2200"/>
      <c r="F27" s="2200"/>
      <c r="G27" s="2200"/>
      <c r="H27" s="3315"/>
      <c r="I27" s="3315"/>
      <c r="J27" s="3315"/>
      <c r="K27" s="3315"/>
      <c r="L27" s="3315"/>
      <c r="M27" s="3315"/>
      <c r="N27" s="3315"/>
      <c r="O27" s="3315"/>
      <c r="P27" s="3315"/>
      <c r="Q27" s="3315"/>
      <c r="R27" s="3315"/>
      <c r="S27" s="3315"/>
      <c r="T27" s="3315"/>
      <c r="U27" s="3315"/>
      <c r="V27" s="3315"/>
      <c r="W27" s="3315"/>
      <c r="X27" s="3315"/>
      <c r="Y27" s="3315"/>
      <c r="Z27" s="3315"/>
      <c r="AA27" s="3315"/>
      <c r="AB27" s="3315"/>
    </row>
    <row r="28" spans="1:28" ht="15" customHeight="1">
      <c r="A28" s="2200"/>
      <c r="B28" s="3320" t="s">
        <v>744</v>
      </c>
      <c r="C28" s="3320"/>
      <c r="D28" s="3320"/>
      <c r="E28" s="3320"/>
      <c r="F28" s="3320"/>
      <c r="G28" s="2200"/>
      <c r="H28" s="3315"/>
      <c r="I28" s="3315"/>
      <c r="J28" s="3315"/>
      <c r="K28" s="3315"/>
      <c r="L28" s="3315"/>
      <c r="M28" s="3315"/>
      <c r="N28" s="3315"/>
      <c r="O28" s="3315"/>
      <c r="P28" s="3315"/>
      <c r="Q28" s="3315"/>
      <c r="R28" s="3315"/>
      <c r="S28" s="3315"/>
      <c r="T28" s="3315"/>
      <c r="U28" s="3315"/>
      <c r="V28" s="3315"/>
      <c r="W28" s="3315"/>
      <c r="X28" s="3315"/>
      <c r="Y28" s="3315"/>
      <c r="Z28" s="3315"/>
      <c r="AA28" s="3315"/>
      <c r="AB28" s="3315"/>
    </row>
    <row r="29" spans="1:28" ht="14.45" customHeight="1">
      <c r="A29" s="2200"/>
      <c r="B29" s="3320"/>
      <c r="C29" s="3320"/>
      <c r="D29" s="3320"/>
      <c r="E29" s="3320"/>
      <c r="F29" s="3320"/>
      <c r="G29" s="2200"/>
      <c r="H29" s="3315"/>
      <c r="I29" s="3315"/>
      <c r="J29" s="3315"/>
      <c r="K29" s="3315"/>
      <c r="L29" s="3315"/>
      <c r="M29" s="3315"/>
      <c r="N29" s="3315"/>
      <c r="O29" s="3315"/>
      <c r="P29" s="3315"/>
      <c r="Q29" s="3315"/>
      <c r="R29" s="3315"/>
      <c r="S29" s="3315"/>
      <c r="T29" s="3315"/>
      <c r="U29" s="3315"/>
      <c r="V29" s="3315"/>
      <c r="W29" s="3315"/>
      <c r="X29" s="3315"/>
      <c r="Y29" s="3315"/>
      <c r="Z29" s="3315"/>
      <c r="AA29" s="3315"/>
      <c r="AB29" s="3315"/>
    </row>
    <row r="30" spans="1:28" ht="14.45" customHeight="1">
      <c r="B30" s="3320"/>
      <c r="C30" s="3320"/>
      <c r="D30" s="3320"/>
      <c r="E30" s="3320"/>
      <c r="F30" s="3320"/>
    </row>
    <row r="31" spans="1:28" ht="14.45" customHeight="1">
      <c r="B31" s="3320"/>
      <c r="C31" s="3320"/>
      <c r="D31" s="3320"/>
      <c r="E31" s="3320"/>
      <c r="F31" s="3320"/>
    </row>
    <row r="32" spans="1:28" ht="14.45" customHeight="1">
      <c r="B32" s="3320"/>
      <c r="C32" s="3320"/>
      <c r="D32" s="3320"/>
      <c r="E32" s="3320"/>
      <c r="F32" s="3320"/>
    </row>
    <row r="33" spans="2:6">
      <c r="B33" s="3320"/>
      <c r="C33" s="3320"/>
      <c r="D33" s="3320"/>
      <c r="E33" s="3320"/>
      <c r="F33" s="3320"/>
    </row>
    <row r="56" spans="1:21" ht="15" customHeight="1"/>
    <row r="62" spans="1:21" ht="14.25" customHeight="1">
      <c r="A62" s="3321" t="s">
        <v>1045</v>
      </c>
      <c r="B62" s="3321"/>
      <c r="C62" s="3321"/>
      <c r="D62" s="3321"/>
      <c r="E62" s="3321"/>
      <c r="F62" s="3321"/>
      <c r="G62" s="3321"/>
      <c r="H62" s="3321" t="s">
        <v>1090</v>
      </c>
      <c r="I62" s="3321"/>
      <c r="J62" s="3321"/>
      <c r="K62" s="3321"/>
      <c r="L62" s="3321"/>
      <c r="M62" s="3321"/>
      <c r="N62" s="3321"/>
      <c r="O62" s="3321" t="s">
        <v>1011</v>
      </c>
      <c r="P62" s="3321"/>
      <c r="Q62" s="3321"/>
      <c r="R62" s="3321"/>
      <c r="S62" s="3321"/>
      <c r="T62" s="3321"/>
      <c r="U62" s="3321"/>
    </row>
    <row r="63" spans="1:21">
      <c r="A63" s="3321"/>
      <c r="B63" s="3321"/>
      <c r="C63" s="3321"/>
      <c r="D63" s="3321"/>
      <c r="E63" s="3321"/>
      <c r="F63" s="3321"/>
      <c r="G63" s="3321"/>
      <c r="H63" s="3321"/>
      <c r="I63" s="3321"/>
      <c r="J63" s="3321"/>
      <c r="K63" s="3321"/>
      <c r="L63" s="3321"/>
      <c r="M63" s="3321"/>
      <c r="N63" s="3321"/>
      <c r="O63" s="3321"/>
      <c r="P63" s="3321"/>
      <c r="Q63" s="3321"/>
      <c r="R63" s="3321"/>
      <c r="S63" s="3321"/>
      <c r="T63" s="3321"/>
      <c r="U63" s="3321"/>
    </row>
    <row r="64" spans="1:21" ht="15" customHeight="1">
      <c r="A64" s="3321"/>
      <c r="B64" s="3321"/>
      <c r="C64" s="3321"/>
      <c r="D64" s="3321"/>
      <c r="E64" s="3321"/>
      <c r="F64" s="3321"/>
      <c r="G64" s="3321"/>
      <c r="H64" s="3321"/>
      <c r="I64" s="3321"/>
      <c r="J64" s="3321"/>
      <c r="K64" s="3321"/>
      <c r="L64" s="3321"/>
      <c r="M64" s="3321"/>
      <c r="N64" s="3321"/>
      <c r="O64" s="3321"/>
      <c r="P64" s="3321"/>
      <c r="Q64" s="3321"/>
      <c r="R64" s="3321"/>
      <c r="S64" s="3321"/>
      <c r="T64" s="3321"/>
      <c r="U64" s="3321"/>
    </row>
    <row r="65" spans="1:15">
      <c r="A65" s="3321"/>
      <c r="B65" s="3321"/>
      <c r="C65" s="3321"/>
      <c r="D65" s="3321"/>
      <c r="E65" s="3321"/>
      <c r="F65" s="3321"/>
      <c r="G65" s="3321"/>
      <c r="H65" s="3321"/>
      <c r="I65" s="3321"/>
      <c r="J65" s="3321"/>
      <c r="K65" s="3321"/>
      <c r="L65" s="3321"/>
      <c r="M65" s="3321"/>
      <c r="N65" s="3321"/>
    </row>
    <row r="66" spans="1:15">
      <c r="A66" s="3321"/>
      <c r="B66" s="3321"/>
      <c r="C66" s="3321"/>
      <c r="D66" s="3321"/>
      <c r="E66" s="3321"/>
      <c r="F66" s="3321"/>
      <c r="G66" s="3321"/>
    </row>
    <row r="68" spans="1:15">
      <c r="A68" s="2104" t="s">
        <v>811</v>
      </c>
    </row>
    <row r="69" spans="1:15">
      <c r="A69" s="3317" t="s">
        <v>830</v>
      </c>
      <c r="B69" s="3317"/>
      <c r="C69" s="3317"/>
      <c r="D69" s="3317"/>
      <c r="E69" s="3317"/>
      <c r="F69" s="3317"/>
      <c r="G69" s="3317"/>
    </row>
    <row r="70" spans="1:15">
      <c r="A70" s="3317"/>
      <c r="B70" s="3317"/>
      <c r="C70" s="3317"/>
      <c r="D70" s="3317"/>
      <c r="E70" s="3317"/>
      <c r="F70" s="3317"/>
      <c r="G70" s="3317"/>
      <c r="H70" s="2103" t="s">
        <v>816</v>
      </c>
    </row>
    <row r="71" spans="1:15">
      <c r="A71" s="3317" t="s">
        <v>809</v>
      </c>
      <c r="B71" s="3317"/>
      <c r="C71" s="3317"/>
      <c r="D71" s="3317"/>
      <c r="E71" s="3317"/>
      <c r="F71" s="3317"/>
      <c r="G71" s="3317"/>
      <c r="O71" s="2101" t="s">
        <v>816</v>
      </c>
    </row>
    <row r="72" spans="1:15">
      <c r="A72" s="3317"/>
      <c r="B72" s="3317"/>
      <c r="C72" s="3317"/>
      <c r="D72" s="3317"/>
      <c r="E72" s="3317"/>
      <c r="F72" s="3317"/>
      <c r="G72" s="3317"/>
      <c r="H72" s="3314" t="str">
        <f>"Dans le cadre de l'article 244 quater X du CGI, la SODEGIS initie un programme immobilier totalisant "&amp;nombreLLS&amp;" logements LLS dans le secteur social."</f>
        <v>Dans le cadre de l'article 244 quater X du CGI, la SODEGIS initie un programme immobilier totalisant 35 logements LLS dans le secteur social.</v>
      </c>
      <c r="I72" s="3314"/>
      <c r="J72" s="3314"/>
      <c r="K72" s="3314"/>
      <c r="L72" s="3314"/>
      <c r="M72" s="3314"/>
      <c r="N72" s="3314"/>
    </row>
    <row r="73" spans="1:15">
      <c r="A73" s="3317" t="s">
        <v>831</v>
      </c>
      <c r="B73" s="3317"/>
      <c r="C73" s="3317"/>
      <c r="D73" s="3317"/>
      <c r="E73" s="3317"/>
      <c r="F73" s="3317"/>
      <c r="G73" s="3317"/>
      <c r="H73" s="3314"/>
      <c r="I73" s="3314"/>
      <c r="J73" s="3314"/>
      <c r="K73" s="3314"/>
      <c r="L73" s="3314"/>
      <c r="M73" s="3314"/>
      <c r="N73" s="3314"/>
    </row>
    <row r="74" spans="1:15">
      <c r="A74" s="3317"/>
      <c r="B74" s="3317"/>
      <c r="C74" s="3317"/>
      <c r="D74" s="3317"/>
      <c r="E74" s="3317"/>
      <c r="F74" s="3317"/>
      <c r="G74" s="3317"/>
      <c r="H74" s="2105"/>
      <c r="I74" s="2105"/>
      <c r="J74" s="2105"/>
      <c r="K74" s="2105"/>
      <c r="L74" s="2105"/>
      <c r="M74" s="2105"/>
      <c r="N74" s="2105"/>
    </row>
    <row r="75" spans="1:15">
      <c r="A75" s="2115"/>
      <c r="B75" s="2115"/>
      <c r="C75" s="2115"/>
      <c r="D75" s="2115"/>
      <c r="E75" s="2115"/>
      <c r="F75" s="2115"/>
      <c r="G75" s="2115"/>
      <c r="H75" s="3312" t="str">
        <f>"Cette pièce est sans objet dans le cadre de l'opération " &amp; nom &amp; ", qui est une opération de logement social à 100%."</f>
        <v>Cette pièce est sans objet dans le cadre de l'opération , qui est une opération de logement social à 100%.</v>
      </c>
      <c r="I75" s="3312"/>
      <c r="J75" s="3312"/>
      <c r="K75" s="3312"/>
      <c r="L75" s="3312"/>
      <c r="M75" s="3312"/>
      <c r="N75" s="3312"/>
    </row>
    <row r="76" spans="1:15">
      <c r="A76" s="3317" t="s">
        <v>832</v>
      </c>
      <c r="B76" s="3317"/>
      <c r="C76" s="3317"/>
      <c r="D76" s="3317"/>
      <c r="E76" s="3317"/>
      <c r="F76" s="3317"/>
      <c r="G76" s="3317"/>
      <c r="H76" s="3312"/>
      <c r="I76" s="3312"/>
      <c r="J76" s="3312"/>
      <c r="K76" s="3312"/>
      <c r="L76" s="3312"/>
      <c r="M76" s="3312"/>
      <c r="N76" s="3312"/>
    </row>
    <row r="77" spans="1:15">
      <c r="A77" s="3317"/>
      <c r="B77" s="3317"/>
      <c r="C77" s="3317"/>
      <c r="D77" s="3317"/>
      <c r="E77" s="3317"/>
      <c r="F77" s="3317"/>
      <c r="G77" s="3317"/>
      <c r="H77" s="3244" t="s">
        <v>818</v>
      </c>
    </row>
    <row r="78" spans="1:15">
      <c r="A78" s="3317"/>
      <c r="B78" s="3317"/>
      <c r="C78" s="3317"/>
      <c r="D78" s="3317"/>
      <c r="E78" s="3317"/>
      <c r="F78" s="3317"/>
      <c r="G78" s="3317"/>
      <c r="H78" s="3312" t="str">
        <f>"Ainsi dans le cas de l'opération "&amp;nom&amp;", sur les postes à usage mixte (les montants à répartir entre les logements), la clé de répartition se fera à la surface habitable finançable. "</f>
        <v xml:space="preserve">Ainsi dans le cas de l'opération , sur les postes à usage mixte (les montants à répartir entre les logements), la clé de répartition se fera à la surface habitable finançable. </v>
      </c>
      <c r="I78" s="3312"/>
      <c r="J78" s="3312"/>
      <c r="K78" s="3312"/>
      <c r="L78" s="3312"/>
      <c r="M78" s="3312"/>
      <c r="N78" s="3312"/>
    </row>
    <row r="79" spans="1:15">
      <c r="H79" s="3312"/>
      <c r="I79" s="3312"/>
      <c r="J79" s="3312"/>
      <c r="K79" s="3312"/>
      <c r="L79" s="3312"/>
      <c r="M79" s="3312"/>
      <c r="N79" s="3312"/>
    </row>
    <row r="80" spans="1:15">
      <c r="H80" s="3312"/>
      <c r="I80" s="3312"/>
      <c r="J80" s="3312"/>
      <c r="K80" s="3312"/>
      <c r="L80" s="3312"/>
      <c r="M80" s="3312"/>
      <c r="N80" s="3312"/>
    </row>
    <row r="81" spans="1:11">
      <c r="E81" s="3205" t="s">
        <v>1023</v>
      </c>
      <c r="F81" s="2102">
        <f ca="1">TODAY()</f>
        <v>43403</v>
      </c>
    </row>
    <row r="82" spans="1:11">
      <c r="F82" s="2102"/>
      <c r="H82" s="3245" t="s">
        <v>825</v>
      </c>
      <c r="I82" s="3245"/>
      <c r="J82" s="3245">
        <f>SF_LLS</f>
        <v>2623.5</v>
      </c>
      <c r="K82" s="3245" t="s">
        <v>723</v>
      </c>
    </row>
    <row r="83" spans="1:11">
      <c r="E83" s="3318" t="s">
        <v>810</v>
      </c>
      <c r="F83" s="3318"/>
      <c r="H83" s="3245" t="s">
        <v>826</v>
      </c>
      <c r="I83" s="3246"/>
      <c r="J83" s="3245">
        <f>SF_LLTS</f>
        <v>2623.5</v>
      </c>
      <c r="K83" s="3245" t="s">
        <v>723</v>
      </c>
    </row>
    <row r="84" spans="1:11">
      <c r="H84" s="3245" t="s">
        <v>1091</v>
      </c>
      <c r="I84" s="3245"/>
      <c r="J84" s="3245"/>
      <c r="K84" s="3245" t="s">
        <v>723</v>
      </c>
    </row>
    <row r="86" spans="1:11">
      <c r="H86" s="3245" t="s">
        <v>819</v>
      </c>
    </row>
    <row r="87" spans="1:11">
      <c r="A87" s="2104" t="s">
        <v>812</v>
      </c>
      <c r="E87" s="2101" t="str">
        <f>directeur_g</f>
        <v>Patrick CORRE</v>
      </c>
      <c r="H87" s="3245" t="str">
        <f>"- Revêtements de sols durs"</f>
        <v>- Revêtements de sols durs</v>
      </c>
    </row>
    <row r="88" spans="1:11" ht="14.45" customHeight="1">
      <c r="H88" s="3245" t="str">
        <f>"- Menuiseries intérieures"</f>
        <v>- Menuiseries intérieures</v>
      </c>
    </row>
    <row r="89" spans="1:11">
      <c r="A89" s="3317" t="s">
        <v>833</v>
      </c>
      <c r="B89" s="3317"/>
      <c r="C89" s="3317"/>
      <c r="D89" s="3317"/>
      <c r="E89" s="3317"/>
      <c r="F89" s="3317"/>
      <c r="G89" s="3317"/>
      <c r="H89" s="3245" t="str">
        <f>"- Production eau chaude solaire"</f>
        <v>- Production eau chaude solaire</v>
      </c>
    </row>
    <row r="90" spans="1:11">
      <c r="A90" s="3317"/>
      <c r="B90" s="3317"/>
      <c r="C90" s="3317"/>
      <c r="D90" s="3317"/>
      <c r="E90" s="3317"/>
      <c r="F90" s="3317"/>
      <c r="G90" s="3317"/>
      <c r="H90" s="3245" t="str">
        <f>"- Peinture"</f>
        <v>- Peinture</v>
      </c>
    </row>
    <row r="91" spans="1:11">
      <c r="A91" s="2115"/>
      <c r="B91" s="2115"/>
      <c r="C91" s="2115"/>
      <c r="D91" s="2115"/>
      <c r="E91" s="2115"/>
      <c r="F91" s="2115"/>
      <c r="G91" s="2115"/>
      <c r="H91" s="3245" t="str">
        <f>"- Sols souples"</f>
        <v>- Sols souples</v>
      </c>
    </row>
    <row r="92" spans="1:11">
      <c r="A92" s="3317" t="s">
        <v>834</v>
      </c>
      <c r="B92" s="3317"/>
      <c r="C92" s="3317"/>
      <c r="D92" s="3317"/>
      <c r="E92" s="3317"/>
      <c r="F92" s="3317"/>
      <c r="G92" s="3317"/>
    </row>
    <row r="93" spans="1:11">
      <c r="A93" s="3317"/>
      <c r="B93" s="3317"/>
      <c r="C93" s="3317"/>
      <c r="D93" s="3317"/>
      <c r="E93" s="3317"/>
      <c r="F93" s="3317"/>
      <c r="G93" s="3317"/>
      <c r="H93" t="s">
        <v>1024</v>
      </c>
      <c r="I93" t="s">
        <v>1025</v>
      </c>
      <c r="J93" s="2109">
        <f ca="1">TODAY()</f>
        <v>43403</v>
      </c>
    </row>
    <row r="94" spans="1:11">
      <c r="A94" s="2115"/>
      <c r="B94" s="2115"/>
      <c r="C94" s="2115"/>
      <c r="D94" s="2115"/>
      <c r="E94" s="2115"/>
      <c r="F94" s="2115"/>
      <c r="G94" s="2115"/>
    </row>
    <row r="95" spans="1:11">
      <c r="A95" s="3316" t="s">
        <v>813</v>
      </c>
      <c r="B95" s="3316"/>
      <c r="C95" s="3316"/>
      <c r="D95" s="3316"/>
      <c r="E95" s="3316"/>
      <c r="F95" s="3316"/>
      <c r="G95" s="3316"/>
      <c r="H95" s="2110" t="s">
        <v>820</v>
      </c>
    </row>
    <row r="96" spans="1:11">
      <c r="A96" s="3316"/>
      <c r="B96" s="3316"/>
      <c r="C96" s="3316"/>
      <c r="D96" s="3316"/>
      <c r="E96" s="3316"/>
      <c r="F96" s="3316"/>
      <c r="G96" s="3316"/>
      <c r="H96" s="3247"/>
      <c r="I96" s="3247"/>
      <c r="J96" s="3247"/>
      <c r="K96" s="3247"/>
    </row>
    <row r="97" spans="1:14">
      <c r="A97" s="3316"/>
      <c r="B97" s="3316"/>
      <c r="C97" s="3316"/>
      <c r="D97" s="3316"/>
      <c r="E97" s="3316"/>
      <c r="F97" s="3316"/>
      <c r="G97" s="3316"/>
      <c r="H97" s="3313"/>
      <c r="I97" s="3313"/>
      <c r="J97" s="3313"/>
      <c r="K97" s="3313"/>
    </row>
    <row r="98" spans="1:14">
      <c r="A98" s="3316"/>
      <c r="B98" s="3316"/>
      <c r="C98" s="3316"/>
      <c r="D98" s="3316"/>
      <c r="E98" s="3316"/>
      <c r="F98" s="3316"/>
      <c r="G98" s="3316"/>
      <c r="H98" t="s">
        <v>810</v>
      </c>
      <c r="I98"/>
    </row>
    <row r="99" spans="1:14">
      <c r="A99" s="2115" t="s">
        <v>814</v>
      </c>
      <c r="B99" s="2115"/>
      <c r="C99" s="2115"/>
      <c r="D99" s="2115"/>
      <c r="E99" s="2115"/>
      <c r="F99" s="2115"/>
      <c r="G99" s="2115"/>
    </row>
    <row r="102" spans="1:14">
      <c r="A102" s="2104" t="s">
        <v>815</v>
      </c>
      <c r="H102" s="2110" t="str">
        <f>directeur_g</f>
        <v>Patrick CORRE</v>
      </c>
    </row>
    <row r="110" spans="1:14">
      <c r="H110" s="2103" t="s">
        <v>816</v>
      </c>
    </row>
    <row r="112" spans="1:14">
      <c r="H112" s="3314" t="str">
        <f>"Dans le cadre de l'article 244 quater X du CGI, la SODEGIS initie un programme immobilier totalisant "&amp;nombreLLTS&amp;" logements LLTS dans le secteur social."</f>
        <v>Dans le cadre de l'article 244 quater X du CGI, la SODEGIS initie un programme immobilier totalisant 35 logements LLTS dans le secteur social.</v>
      </c>
      <c r="I112" s="3314"/>
      <c r="J112" s="3314"/>
      <c r="K112" s="3314"/>
      <c r="L112" s="3314"/>
      <c r="M112" s="3314"/>
      <c r="N112" s="3314"/>
    </row>
    <row r="113" spans="8:14">
      <c r="H113" s="3314"/>
      <c r="I113" s="3314"/>
      <c r="J113" s="3314"/>
      <c r="K113" s="3314"/>
      <c r="L113" s="3314"/>
      <c r="M113" s="3314"/>
      <c r="N113" s="3314"/>
    </row>
    <row r="114" spans="8:14">
      <c r="H114" s="2105"/>
      <c r="I114" s="2105"/>
      <c r="J114" s="2105"/>
      <c r="K114" s="2105"/>
      <c r="L114" s="2105"/>
      <c r="M114" s="2105"/>
      <c r="N114" s="2105"/>
    </row>
    <row r="115" spans="8:14">
      <c r="H115" s="3312" t="str">
        <f>"Cette pièce est sans objet dans le cadre de l'opération " &amp; nom &amp; ", qui est une opération de logement social à 100%."</f>
        <v>Cette pièce est sans objet dans le cadre de l'opération , qui est une opération de logement social à 100%.</v>
      </c>
      <c r="I115" s="3312"/>
      <c r="J115" s="3312"/>
      <c r="K115" s="3312"/>
      <c r="L115" s="3312"/>
      <c r="M115" s="3312"/>
      <c r="N115" s="3312"/>
    </row>
    <row r="116" spans="8:14">
      <c r="H116" s="3312"/>
      <c r="I116" s="3312"/>
      <c r="J116" s="3312"/>
      <c r="K116" s="3312"/>
      <c r="L116" s="3312"/>
      <c r="M116" s="3312"/>
      <c r="N116" s="3312"/>
    </row>
    <row r="117" spans="8:14">
      <c r="H117" s="3244" t="s">
        <v>818</v>
      </c>
    </row>
    <row r="118" spans="8:14">
      <c r="H118" s="3312" t="str">
        <f>"Ainsi dans le cas de l'opération "&amp;nom&amp;", sur les postes à usage mixte (les montants à répartir entre les logements), la clé de répartition se fera à la surface habitable finançable. "</f>
        <v xml:space="preserve">Ainsi dans le cas de l'opération , sur les postes à usage mixte (les montants à répartir entre les logements), la clé de répartition se fera à la surface habitable finançable. </v>
      </c>
      <c r="I118" s="3312"/>
      <c r="J118" s="3312"/>
      <c r="K118" s="3312"/>
      <c r="L118" s="3312"/>
      <c r="M118" s="3312"/>
      <c r="N118" s="3312"/>
    </row>
    <row r="119" spans="8:14">
      <c r="H119" s="3312"/>
      <c r="I119" s="3312"/>
      <c r="J119" s="3312"/>
      <c r="K119" s="3312"/>
      <c r="L119" s="3312"/>
      <c r="M119" s="3312"/>
      <c r="N119" s="3312"/>
    </row>
    <row r="120" spans="8:14">
      <c r="H120" s="3312"/>
      <c r="I120" s="3312"/>
      <c r="J120" s="3312"/>
      <c r="K120" s="3312"/>
      <c r="L120" s="3312"/>
      <c r="M120" s="3312"/>
      <c r="N120" s="3312"/>
    </row>
    <row r="122" spans="8:14">
      <c r="H122" s="3245" t="s">
        <v>825</v>
      </c>
      <c r="I122" s="3245"/>
      <c r="J122" s="3245">
        <f>SF_LLS</f>
        <v>2623.5</v>
      </c>
      <c r="K122" s="3245" t="s">
        <v>723</v>
      </c>
    </row>
    <row r="123" spans="8:14">
      <c r="H123" s="3245" t="s">
        <v>826</v>
      </c>
      <c r="I123" s="3246"/>
      <c r="J123" s="3245">
        <f>SF_LLTS</f>
        <v>2623.5</v>
      </c>
      <c r="K123" s="3245" t="s">
        <v>723</v>
      </c>
    </row>
    <row r="124" spans="8:14">
      <c r="H124" s="3245" t="s">
        <v>1091</v>
      </c>
      <c r="I124" s="3245"/>
      <c r="J124" s="3245"/>
      <c r="K124" s="3245" t="s">
        <v>723</v>
      </c>
    </row>
    <row r="126" spans="8:14">
      <c r="H126" s="3245" t="s">
        <v>819</v>
      </c>
    </row>
    <row r="127" spans="8:14">
      <c r="H127" s="3245" t="str">
        <f>"- Revêtements de sols durs"</f>
        <v>- Revêtements de sols durs</v>
      </c>
    </row>
    <row r="128" spans="8:14">
      <c r="H128" s="3245" t="str">
        <f>"- Menuiseries intérieures"</f>
        <v>- Menuiseries intérieures</v>
      </c>
    </row>
    <row r="129" spans="8:11">
      <c r="H129" s="3245" t="str">
        <f>"- Production eau chaude solaire"</f>
        <v>- Production eau chaude solaire</v>
      </c>
    </row>
    <row r="130" spans="8:11">
      <c r="H130" s="3245" t="str">
        <f>"- Peinture"</f>
        <v>- Peinture</v>
      </c>
    </row>
    <row r="131" spans="8:11">
      <c r="H131" s="3245" t="str">
        <f>"- Sols souples"</f>
        <v>- Sols souples</v>
      </c>
    </row>
    <row r="133" spans="8:11">
      <c r="H133" t="s">
        <v>1024</v>
      </c>
      <c r="I133" t="s">
        <v>1025</v>
      </c>
      <c r="J133" s="2109">
        <f ca="1">TODAY()</f>
        <v>43403</v>
      </c>
    </row>
    <row r="135" spans="8:11">
      <c r="H135" s="2110" t="s">
        <v>820</v>
      </c>
    </row>
    <row r="136" spans="8:11">
      <c r="H136" s="3247"/>
      <c r="I136" s="3247"/>
      <c r="J136" s="3247"/>
      <c r="K136" s="3247"/>
    </row>
    <row r="137" spans="8:11">
      <c r="H137" s="3313"/>
      <c r="I137" s="3313"/>
      <c r="J137" s="3313"/>
      <c r="K137" s="3313"/>
    </row>
    <row r="138" spans="8:11">
      <c r="H138" t="s">
        <v>810</v>
      </c>
      <c r="I138"/>
    </row>
    <row r="142" spans="8:11">
      <c r="H142" s="2110" t="str">
        <f>directeur_g</f>
        <v>Patrick CORRE</v>
      </c>
    </row>
  </sheetData>
  <mergeCells count="27">
    <mergeCell ref="B21:E21"/>
    <mergeCell ref="B23:D23"/>
    <mergeCell ref="B24:D24"/>
    <mergeCell ref="O22:U29"/>
    <mergeCell ref="O62:U64"/>
    <mergeCell ref="V22:AB29"/>
    <mergeCell ref="A95:G98"/>
    <mergeCell ref="H22:N29"/>
    <mergeCell ref="A76:G78"/>
    <mergeCell ref="E83:F83"/>
    <mergeCell ref="A89:G90"/>
    <mergeCell ref="A92:G93"/>
    <mergeCell ref="A69:G70"/>
    <mergeCell ref="A71:G72"/>
    <mergeCell ref="A73:G74"/>
    <mergeCell ref="B25:F25"/>
    <mergeCell ref="B28:F33"/>
    <mergeCell ref="A62:G66"/>
    <mergeCell ref="H62:N65"/>
    <mergeCell ref="H72:N73"/>
    <mergeCell ref="H118:N120"/>
    <mergeCell ref="H137:K137"/>
    <mergeCell ref="H75:N76"/>
    <mergeCell ref="H78:N80"/>
    <mergeCell ref="H97:K97"/>
    <mergeCell ref="H112:N113"/>
    <mergeCell ref="H115:N116"/>
  </mergeCells>
  <pageMargins left="0.7" right="0.7" top="0.75" bottom="0.75" header="0.3" footer="0.3"/>
  <pageSetup paperSize="9" scale="95" orientation="portrait" r:id="rId1"/>
  <rowBreaks count="1" manualBreakCount="1">
    <brk id="50" max="27" man="1"/>
  </rowBreaks>
  <colBreaks count="2" manualBreakCount="2">
    <brk id="14" max="148" man="1"/>
    <brk id="21" max="148"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3:W147"/>
  <sheetViews>
    <sheetView view="pageBreakPreview" topLeftCell="A11" zoomScale="55" zoomScaleNormal="100" zoomScaleSheetLayoutView="55" zoomScalePageLayoutView="10" workbookViewId="0">
      <selection activeCell="P27" sqref="P27"/>
    </sheetView>
  </sheetViews>
  <sheetFormatPr baseColWidth="10" defaultColWidth="11.42578125" defaultRowHeight="15"/>
  <cols>
    <col min="1" max="4" width="11.42578125" style="2101"/>
    <col min="5" max="5" width="8.85546875" style="2101" customWidth="1"/>
    <col min="6" max="6" width="16.42578125" style="2101" customWidth="1"/>
    <col min="7" max="7" width="13.42578125" style="2101" customWidth="1"/>
    <col min="8" max="16384" width="11.42578125" style="2101"/>
  </cols>
  <sheetData>
    <row r="23" spans="1:23" ht="15" customHeight="1"/>
    <row r="24" spans="1:23" ht="15" customHeight="1">
      <c r="A24" s="3315" t="s">
        <v>1012</v>
      </c>
      <c r="B24" s="3315"/>
      <c r="C24" s="3315"/>
      <c r="D24" s="3315"/>
      <c r="E24" s="3315"/>
      <c r="F24" s="3315"/>
      <c r="G24" s="3315"/>
      <c r="H24" s="3315" t="s">
        <v>1046</v>
      </c>
      <c r="I24" s="3315"/>
      <c r="J24" s="3315"/>
      <c r="K24" s="3315"/>
      <c r="L24" s="3315"/>
      <c r="M24" s="3315"/>
      <c r="N24" s="3315"/>
      <c r="O24" s="3315"/>
      <c r="P24" s="3315" t="s">
        <v>1095</v>
      </c>
      <c r="Q24" s="3315"/>
      <c r="R24" s="3315"/>
      <c r="S24" s="3315"/>
      <c r="T24" s="3315"/>
      <c r="U24" s="3315"/>
      <c r="V24" s="3315"/>
      <c r="W24" s="3315"/>
    </row>
    <row r="25" spans="1:23" ht="21.2" customHeight="1">
      <c r="A25" s="3315"/>
      <c r="B25" s="3315"/>
      <c r="C25" s="3315"/>
      <c r="D25" s="3315"/>
      <c r="E25" s="3315"/>
      <c r="F25" s="3315"/>
      <c r="G25" s="3315"/>
      <c r="H25" s="3315"/>
      <c r="I25" s="3315"/>
      <c r="J25" s="3315"/>
      <c r="K25" s="3315"/>
      <c r="L25" s="3315"/>
      <c r="M25" s="3315"/>
      <c r="N25" s="3315"/>
      <c r="O25" s="3315"/>
      <c r="P25" s="3315"/>
      <c r="Q25" s="3315"/>
      <c r="R25" s="3315"/>
      <c r="S25" s="3315"/>
      <c r="T25" s="3315"/>
      <c r="U25" s="3315"/>
      <c r="V25" s="3315"/>
      <c r="W25" s="3315"/>
    </row>
    <row r="26" spans="1:23" ht="15" customHeight="1">
      <c r="A26" s="3315"/>
      <c r="B26" s="3315"/>
      <c r="C26" s="3315"/>
      <c r="D26" s="3315"/>
      <c r="E26" s="3315"/>
      <c r="F26" s="3315"/>
      <c r="G26" s="3315"/>
      <c r="H26" s="3315"/>
      <c r="I26" s="3315"/>
      <c r="J26" s="3315"/>
      <c r="K26" s="3315"/>
      <c r="L26" s="3315"/>
      <c r="M26" s="3315"/>
      <c r="N26" s="3315"/>
      <c r="O26" s="3315"/>
      <c r="P26" s="3315"/>
      <c r="Q26" s="3315"/>
      <c r="R26" s="3315"/>
      <c r="S26" s="3315"/>
      <c r="T26" s="3315"/>
      <c r="U26" s="3315"/>
      <c r="V26" s="3315"/>
      <c r="W26" s="3315"/>
    </row>
    <row r="27" spans="1:23" ht="15" customHeight="1"/>
    <row r="28" spans="1:23">
      <c r="A28" s="3324" t="s">
        <v>1092</v>
      </c>
      <c r="B28" s="3324"/>
      <c r="C28" s="3324"/>
      <c r="D28" s="3324"/>
      <c r="E28" s="3324"/>
      <c r="F28" s="3324"/>
      <c r="G28" s="3324"/>
    </row>
    <row r="29" spans="1:23">
      <c r="A29" s="3324"/>
      <c r="B29" s="3324"/>
      <c r="C29" s="3324"/>
      <c r="D29" s="3324"/>
      <c r="E29" s="3324"/>
      <c r="F29" s="3324"/>
      <c r="G29" s="3324"/>
    </row>
    <row r="30" spans="1:23" ht="15" customHeight="1">
      <c r="A30" s="3324" t="s">
        <v>1093</v>
      </c>
      <c r="B30" s="3324"/>
      <c r="C30" s="3324"/>
      <c r="D30" s="3324"/>
      <c r="E30" s="3324"/>
      <c r="F30" s="3324"/>
      <c r="G30" s="3324"/>
    </row>
    <row r="31" spans="1:23" ht="15" customHeight="1">
      <c r="A31" s="3324"/>
      <c r="B31" s="3324"/>
      <c r="C31" s="3324"/>
      <c r="D31" s="3324"/>
      <c r="E31" s="3324"/>
      <c r="F31" s="3324"/>
      <c r="G31" s="3324"/>
    </row>
    <row r="32" spans="1:23" ht="18.75" customHeight="1">
      <c r="A32" s="3324"/>
      <c r="B32" s="3324"/>
      <c r="C32" s="3324"/>
      <c r="D32" s="3324"/>
      <c r="E32" s="3324"/>
      <c r="F32" s="3324"/>
      <c r="G32" s="3324"/>
    </row>
    <row r="56" spans="1:14">
      <c r="A56" s="3321" t="s">
        <v>1094</v>
      </c>
      <c r="B56" s="3321"/>
      <c r="C56" s="3321"/>
      <c r="D56" s="3321"/>
      <c r="E56" s="3321"/>
      <c r="F56" s="3321"/>
      <c r="G56" s="3321"/>
    </row>
    <row r="57" spans="1:14">
      <c r="A57" s="3321"/>
      <c r="B57" s="3321"/>
      <c r="C57" s="3321"/>
      <c r="D57" s="3321"/>
      <c r="E57" s="3321"/>
      <c r="F57" s="3321"/>
      <c r="G57" s="3321"/>
    </row>
    <row r="59" spans="1:14" ht="15" customHeight="1">
      <c r="A59" s="3323"/>
      <c r="B59" s="3323"/>
      <c r="C59" s="3323"/>
      <c r="D59" s="3323"/>
      <c r="E59" s="3323"/>
      <c r="F59" s="3323"/>
      <c r="G59" s="3323"/>
    </row>
    <row r="60" spans="1:14">
      <c r="A60" s="3323"/>
      <c r="B60" s="3323"/>
      <c r="C60" s="3323"/>
      <c r="D60" s="3323"/>
      <c r="E60" s="3323"/>
      <c r="F60" s="3323"/>
      <c r="G60" s="3323"/>
    </row>
    <row r="61" spans="1:14" ht="15" customHeight="1"/>
    <row r="62" spans="1:14" ht="14.45" customHeight="1">
      <c r="A62" s="2101" t="s">
        <v>821</v>
      </c>
      <c r="F62" s="2111" t="e">
        <f>PA_SAS_HT_LLS</f>
        <v>#REF!</v>
      </c>
      <c r="G62" s="2101" t="s">
        <v>823</v>
      </c>
    </row>
    <row r="63" spans="1:14" ht="14.45" customHeight="1">
      <c r="A63" s="2101" t="s">
        <v>824</v>
      </c>
    </row>
    <row r="64" spans="1:14" ht="14.45" customHeight="1">
      <c r="H64" s="3321" t="s">
        <v>1051</v>
      </c>
      <c r="I64" s="3321"/>
      <c r="J64" s="3321"/>
      <c r="K64" s="3321"/>
      <c r="L64" s="3321"/>
      <c r="M64" s="3321"/>
      <c r="N64" s="3321"/>
    </row>
    <row r="65" spans="4:14" ht="14.45" customHeight="1">
      <c r="H65" s="3321"/>
      <c r="I65" s="3321"/>
      <c r="J65" s="3321"/>
      <c r="K65" s="3321"/>
      <c r="L65" s="3321"/>
      <c r="M65" s="3321"/>
      <c r="N65" s="3321"/>
    </row>
    <row r="66" spans="4:14" ht="14.45" customHeight="1">
      <c r="D66" s="3230" t="s">
        <v>1023</v>
      </c>
      <c r="F66" s="2106">
        <f ca="1">TODAY()</f>
        <v>43403</v>
      </c>
    </row>
    <row r="67" spans="4:14">
      <c r="H67" s="3312" t="s">
        <v>817</v>
      </c>
      <c r="I67" s="3312"/>
      <c r="J67" s="3312"/>
      <c r="K67" s="3312"/>
      <c r="L67" s="3312"/>
      <c r="M67" s="3312"/>
      <c r="N67" s="3312"/>
    </row>
    <row r="68" spans="4:14" ht="15" customHeight="1">
      <c r="E68" s="3322" t="s">
        <v>810</v>
      </c>
      <c r="F68" s="3322"/>
      <c r="H68" s="3312"/>
      <c r="I68" s="3312"/>
      <c r="J68" s="3312"/>
      <c r="K68" s="3312"/>
      <c r="L68" s="3312"/>
      <c r="M68" s="3312"/>
      <c r="N68" s="3312"/>
    </row>
    <row r="69" spans="4:14" ht="15" customHeight="1">
      <c r="H69" s="3312"/>
      <c r="I69" s="3312"/>
      <c r="J69" s="3312"/>
      <c r="K69" s="3312"/>
      <c r="L69" s="3312"/>
      <c r="M69" s="3312"/>
      <c r="N69" s="3312"/>
    </row>
    <row r="70" spans="4:14">
      <c r="H70" s="3312"/>
      <c r="I70" s="3312"/>
      <c r="J70" s="3312"/>
      <c r="K70" s="3312"/>
      <c r="L70" s="3312"/>
      <c r="M70" s="3312"/>
      <c r="N70" s="3312"/>
    </row>
    <row r="72" spans="4:14" ht="15" customHeight="1">
      <c r="H72" s="2184" t="s">
        <v>888</v>
      </c>
    </row>
    <row r="74" spans="4:14">
      <c r="E74" s="2101" t="str">
        <f>directeur_g</f>
        <v>Patrick CORRE</v>
      </c>
    </row>
    <row r="75" spans="4:14" ht="15" customHeight="1">
      <c r="H75" s="2188" t="s">
        <v>889</v>
      </c>
      <c r="I75" s="2108"/>
      <c r="J75" s="2108"/>
      <c r="K75" s="2192" t="e">
        <f>#REF!</f>
        <v>#REF!</v>
      </c>
    </row>
    <row r="76" spans="4:14">
      <c r="H76" s="2189" t="s">
        <v>890</v>
      </c>
      <c r="I76" s="2110"/>
      <c r="J76" s="2110"/>
      <c r="K76" s="2193" t="e">
        <f>#REF!</f>
        <v>#REF!</v>
      </c>
    </row>
    <row r="77" spans="4:14">
      <c r="H77" s="2189" t="s">
        <v>613</v>
      </c>
      <c r="I77" s="2110"/>
      <c r="J77" s="2110"/>
      <c r="K77" s="2193" t="e">
        <f>#REF!</f>
        <v>#REF!</v>
      </c>
    </row>
    <row r="78" spans="4:14" ht="15" customHeight="1">
      <c r="H78" s="3222" t="s">
        <v>1036</v>
      </c>
      <c r="I78" s="2110"/>
      <c r="J78" s="2110"/>
      <c r="K78" s="2193" t="e">
        <f>#REF!</f>
        <v>#REF!</v>
      </c>
    </row>
    <row r="79" spans="4:14">
      <c r="H79" s="2189" t="s">
        <v>891</v>
      </c>
      <c r="I79" s="2110"/>
      <c r="J79" s="2110"/>
      <c r="K79" s="2193" t="e">
        <f>#REF!</f>
        <v>#REF!</v>
      </c>
    </row>
    <row r="80" spans="4:14">
      <c r="H80" s="2190" t="s">
        <v>892</v>
      </c>
      <c r="I80" s="2191"/>
      <c r="J80" s="2191"/>
      <c r="K80" s="2194" t="e">
        <f>#REF!</f>
        <v>#REF!</v>
      </c>
    </row>
    <row r="81" spans="11:14">
      <c r="K81" s="2195" t="e">
        <f>SUM(K75:K80)</f>
        <v>#REF!</v>
      </c>
    </row>
    <row r="89" spans="11:14">
      <c r="L89" s="3203" t="s">
        <v>1023</v>
      </c>
      <c r="N89" s="2107">
        <f ca="1">TODAY()</f>
        <v>43403</v>
      </c>
    </row>
    <row r="91" spans="11:14">
      <c r="L91" s="3322" t="s">
        <v>810</v>
      </c>
      <c r="M91" s="3322"/>
    </row>
    <row r="97" spans="1:12">
      <c r="L97" s="2101" t="str">
        <f>directeur_g</f>
        <v>Patrick CORRE</v>
      </c>
    </row>
    <row r="109" spans="1:12">
      <c r="A109" s="3321" t="s">
        <v>1012</v>
      </c>
      <c r="B109" s="3321"/>
      <c r="C109" s="3321"/>
      <c r="D109" s="3321"/>
      <c r="E109" s="3321"/>
      <c r="F109" s="3321"/>
      <c r="G109" s="3321"/>
    </row>
    <row r="110" spans="1:12">
      <c r="A110" s="3321"/>
      <c r="B110" s="3321"/>
      <c r="C110" s="3321"/>
      <c r="D110" s="3321"/>
      <c r="E110" s="3321"/>
      <c r="F110" s="3321"/>
      <c r="G110" s="3321"/>
    </row>
    <row r="112" spans="1:12">
      <c r="A112" s="2101" t="s">
        <v>822</v>
      </c>
      <c r="F112" s="2111" t="e">
        <f>PA_SAS_HT_LLTS</f>
        <v>#REF!</v>
      </c>
      <c r="G112" s="2101" t="s">
        <v>823</v>
      </c>
    </row>
    <row r="113" spans="1:15">
      <c r="A113" s="2101" t="s">
        <v>824</v>
      </c>
    </row>
    <row r="116" spans="1:15">
      <c r="E116" s="2101" t="s">
        <v>1023</v>
      </c>
      <c r="F116" s="2106">
        <f ca="1">TODAY()</f>
        <v>43403</v>
      </c>
    </row>
    <row r="118" spans="1:15" ht="14.25" customHeight="1">
      <c r="E118" s="3322" t="s">
        <v>810</v>
      </c>
      <c r="F118" s="3322"/>
      <c r="L118" s="3220"/>
      <c r="M118" s="3220"/>
      <c r="N118" s="3220"/>
      <c r="O118" s="3220"/>
    </row>
    <row r="119" spans="1:15" ht="27.75" customHeight="1">
      <c r="H119" s="3321" t="s">
        <v>1051</v>
      </c>
      <c r="I119" s="3321"/>
      <c r="J119" s="3321"/>
      <c r="K119" s="3321"/>
      <c r="L119" s="3321"/>
      <c r="M119" s="3321"/>
      <c r="N119" s="3321"/>
      <c r="O119" s="3321"/>
    </row>
    <row r="120" spans="1:15" ht="31.7" customHeight="1">
      <c r="H120" s="3220"/>
      <c r="I120" s="3220"/>
      <c r="J120" s="3220"/>
      <c r="K120" s="3220"/>
    </row>
    <row r="121" spans="1:15" ht="14.25" customHeight="1">
      <c r="L121" s="3221"/>
      <c r="M121" s="3221"/>
      <c r="N121" s="3221"/>
      <c r="O121" s="3221"/>
    </row>
    <row r="122" spans="1:15" ht="54.75" customHeight="1">
      <c r="H122" s="3314" t="s">
        <v>817</v>
      </c>
      <c r="I122" s="3314"/>
      <c r="J122" s="3314"/>
      <c r="K122" s="3314"/>
      <c r="L122" s="3314"/>
      <c r="M122" s="3314"/>
      <c r="N122" s="3314"/>
      <c r="O122" s="3314"/>
    </row>
    <row r="123" spans="1:15" ht="15" customHeight="1">
      <c r="E123" s="2101" t="str">
        <f>directeur_g</f>
        <v>Patrick CORRE</v>
      </c>
      <c r="H123" s="3221"/>
      <c r="I123" s="3221"/>
      <c r="J123" s="3221"/>
      <c r="K123" s="3221"/>
      <c r="L123" s="3221"/>
      <c r="M123" s="3221"/>
      <c r="N123" s="3221"/>
      <c r="O123" s="3221"/>
    </row>
    <row r="124" spans="1:15">
      <c r="H124" s="3221"/>
      <c r="I124" s="3221"/>
      <c r="J124" s="3221"/>
      <c r="K124" s="3221"/>
      <c r="L124" s="3221"/>
      <c r="M124" s="3221"/>
      <c r="N124" s="3221"/>
      <c r="O124" s="3221"/>
    </row>
    <row r="125" spans="1:15">
      <c r="H125" s="3221"/>
      <c r="I125" s="3221"/>
      <c r="J125" s="3221"/>
      <c r="K125" s="3221"/>
    </row>
    <row r="126" spans="1:15" ht="15" customHeight="1"/>
    <row r="127" spans="1:15">
      <c r="H127" s="2184" t="s">
        <v>888</v>
      </c>
    </row>
    <row r="129" spans="8:14" ht="15" customHeight="1"/>
    <row r="130" spans="8:14">
      <c r="H130" s="2196" t="s">
        <v>893</v>
      </c>
      <c r="I130" s="2108"/>
      <c r="J130" s="2108"/>
      <c r="K130" s="2197" t="e">
        <f>#REF!</f>
        <v>#REF!</v>
      </c>
    </row>
    <row r="131" spans="8:14">
      <c r="H131" s="2189" t="s">
        <v>890</v>
      </c>
      <c r="I131" s="2110"/>
      <c r="J131" s="2110"/>
      <c r="K131" s="2193" t="e">
        <f>#REF!</f>
        <v>#REF!</v>
      </c>
    </row>
    <row r="132" spans="8:14">
      <c r="H132" s="2189" t="s">
        <v>613</v>
      </c>
      <c r="I132" s="2110"/>
      <c r="J132" s="2110"/>
      <c r="K132" s="2193" t="e">
        <f>#REF!</f>
        <v>#REF!</v>
      </c>
    </row>
    <row r="133" spans="8:14">
      <c r="H133" s="3222" t="s">
        <v>1036</v>
      </c>
      <c r="I133" s="2110"/>
      <c r="J133" s="2110"/>
      <c r="K133" s="2193" t="e">
        <f>#REF!</f>
        <v>#REF!</v>
      </c>
    </row>
    <row r="134" spans="8:14">
      <c r="H134" s="2189" t="s">
        <v>891</v>
      </c>
      <c r="I134" s="2110"/>
      <c r="J134" s="2110"/>
      <c r="K134" s="2193" t="e">
        <f>#REF!</f>
        <v>#REF!</v>
      </c>
    </row>
    <row r="135" spans="8:14">
      <c r="H135" s="2190" t="s">
        <v>892</v>
      </c>
      <c r="I135" s="2191"/>
      <c r="J135" s="2191"/>
      <c r="K135" s="2194" t="e">
        <f>#REF!</f>
        <v>#REF!</v>
      </c>
    </row>
    <row r="136" spans="8:14">
      <c r="K136" s="2195" t="e">
        <f>SUM(K130:K135)</f>
        <v>#REF!</v>
      </c>
    </row>
    <row r="139" spans="8:14">
      <c r="L139" s="3203" t="s">
        <v>1023</v>
      </c>
      <c r="N139" s="2107">
        <f ca="1">TODAY()</f>
        <v>43403</v>
      </c>
    </row>
    <row r="141" spans="8:14">
      <c r="L141" s="3322" t="s">
        <v>810</v>
      </c>
      <c r="M141" s="3322"/>
    </row>
    <row r="147" spans="12:12">
      <c r="L147" s="2101" t="str">
        <f>directeur_g</f>
        <v>Patrick CORRE</v>
      </c>
    </row>
  </sheetData>
  <mergeCells count="16">
    <mergeCell ref="A24:G26"/>
    <mergeCell ref="A28:G29"/>
    <mergeCell ref="A30:G32"/>
    <mergeCell ref="H67:N70"/>
    <mergeCell ref="L91:M91"/>
    <mergeCell ref="E118:F118"/>
    <mergeCell ref="A109:G110"/>
    <mergeCell ref="A56:G57"/>
    <mergeCell ref="A59:G60"/>
    <mergeCell ref="E68:F68"/>
    <mergeCell ref="L141:M141"/>
    <mergeCell ref="H119:O119"/>
    <mergeCell ref="H122:O122"/>
    <mergeCell ref="H24:O26"/>
    <mergeCell ref="P24:W26"/>
    <mergeCell ref="H64:N65"/>
  </mergeCells>
  <pageMargins left="0.54545454545454541" right="0.7" top="0.75" bottom="0.75" header="0.3" footer="0.3"/>
  <pageSetup paperSize="9" scale="94" orientation="portrait" r:id="rId1"/>
  <rowBreaks count="2" manualBreakCount="2">
    <brk id="52" max="22" man="1"/>
    <brk id="104" max="16383" man="1"/>
  </rowBreaks>
  <colBreaks count="2" manualBreakCount="2">
    <brk id="7" max="148" man="1"/>
    <brk id="15" max="1048575" man="1"/>
  </col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4:AB299"/>
  <sheetViews>
    <sheetView view="pageBreakPreview" topLeftCell="Q1" zoomScale="60" zoomScaleNormal="100" zoomScalePageLayoutView="55" workbookViewId="0">
      <selection activeCell="AD27" sqref="AD27"/>
    </sheetView>
  </sheetViews>
  <sheetFormatPr baseColWidth="10" defaultColWidth="11.42578125" defaultRowHeight="15"/>
  <cols>
    <col min="1" max="11" width="11.42578125" style="2112"/>
    <col min="12" max="12" width="12.85546875" style="2112" customWidth="1"/>
    <col min="13" max="17" width="11.42578125" style="2112"/>
    <col min="18" max="18" width="12.42578125" style="2112" customWidth="1"/>
    <col min="19" max="16384" width="11.42578125" style="2112"/>
  </cols>
  <sheetData>
    <row r="24" spans="1:28" ht="15" customHeight="1">
      <c r="O24" s="3333" t="s">
        <v>1014</v>
      </c>
      <c r="P24" s="3333"/>
      <c r="Q24" s="3333"/>
      <c r="R24" s="3333"/>
      <c r="S24" s="3333"/>
      <c r="T24" s="3333"/>
      <c r="U24" s="3333"/>
      <c r="V24" s="3333" t="s">
        <v>1013</v>
      </c>
      <c r="W24" s="3333"/>
      <c r="X24" s="3333"/>
      <c r="Y24" s="3333"/>
      <c r="Z24" s="3333"/>
      <c r="AA24" s="3333"/>
      <c r="AB24" s="3333"/>
    </row>
    <row r="25" spans="1:28" ht="22.5" customHeight="1">
      <c r="A25" s="3337" t="s">
        <v>827</v>
      </c>
      <c r="B25" s="3337"/>
      <c r="C25" s="3337"/>
      <c r="D25" s="3337"/>
      <c r="E25" s="3337"/>
      <c r="F25" s="3337"/>
      <c r="G25" s="3337"/>
      <c r="H25" s="3334" t="s">
        <v>1015</v>
      </c>
      <c r="I25" s="3334"/>
      <c r="J25" s="3334"/>
      <c r="K25" s="3334"/>
      <c r="L25" s="3334"/>
      <c r="M25" s="3334"/>
      <c r="N25" s="3334"/>
      <c r="O25" s="3333"/>
      <c r="P25" s="3333"/>
      <c r="Q25" s="3333"/>
      <c r="R25" s="3333"/>
      <c r="S25" s="3333"/>
      <c r="T25" s="3333"/>
      <c r="U25" s="3333"/>
      <c r="V25" s="3333"/>
      <c r="W25" s="3333"/>
      <c r="X25" s="3333"/>
      <c r="Y25" s="3333"/>
      <c r="Z25" s="3333"/>
      <c r="AA25" s="3333"/>
      <c r="AB25" s="3333"/>
    </row>
    <row r="26" spans="1:28" ht="15" customHeight="1">
      <c r="H26" s="3334"/>
      <c r="I26" s="3334"/>
      <c r="J26" s="3334"/>
      <c r="K26" s="3334"/>
      <c r="L26" s="3334"/>
      <c r="M26" s="3334"/>
      <c r="N26" s="3334"/>
      <c r="O26" s="3333"/>
      <c r="P26" s="3333"/>
      <c r="Q26" s="3333"/>
      <c r="R26" s="3333"/>
      <c r="S26" s="3333"/>
      <c r="T26" s="3333"/>
      <c r="U26" s="3333"/>
      <c r="V26" s="3333"/>
      <c r="W26" s="3333"/>
      <c r="X26" s="3333"/>
      <c r="Y26" s="3333"/>
      <c r="Z26" s="3333"/>
      <c r="AA26" s="3333"/>
      <c r="AB26" s="3333"/>
    </row>
    <row r="27" spans="1:28" ht="15" customHeight="1"/>
    <row r="57" spans="3:21" ht="15" customHeight="1"/>
    <row r="59" spans="3:21">
      <c r="C59" s="2170"/>
    </row>
    <row r="61" spans="3:21" ht="15" customHeight="1"/>
    <row r="64" spans="3:21">
      <c r="O64" s="3335" t="s">
        <v>1027</v>
      </c>
      <c r="P64" s="3335"/>
      <c r="Q64" s="3335"/>
      <c r="R64" s="3335"/>
      <c r="S64" s="3335"/>
      <c r="T64" s="3335"/>
      <c r="U64" s="3335"/>
    </row>
    <row r="65" spans="15:21">
      <c r="O65" s="3336" t="s">
        <v>828</v>
      </c>
      <c r="P65" s="3336"/>
      <c r="Q65" s="3336"/>
      <c r="R65" s="3336"/>
      <c r="S65" s="3336"/>
      <c r="T65" s="3336"/>
      <c r="U65" s="3336"/>
    </row>
    <row r="66" spans="15:21">
      <c r="O66" s="3336"/>
      <c r="P66" s="3336"/>
      <c r="Q66" s="3336"/>
      <c r="R66" s="3336"/>
      <c r="S66" s="3336"/>
      <c r="T66" s="3336"/>
      <c r="U66" s="3336"/>
    </row>
    <row r="67" spans="15:21">
      <c r="O67" s="3336"/>
      <c r="P67" s="3336"/>
      <c r="Q67" s="3336"/>
      <c r="R67" s="3336"/>
      <c r="S67" s="3336"/>
      <c r="T67" s="3336"/>
      <c r="U67" s="3336"/>
    </row>
    <row r="69" spans="15:21">
      <c r="O69" s="3331" t="str">
        <f>"Dans le cadre de l'Opération "&amp;nom&amp;", SODEGIS sollicite une subvention de l'Etat LBU auprès de la DEAL, à hauteur de "&amp;TEXT(Sub_LLS,"0 000,00")&amp;" €."</f>
        <v>Dans le cadre de l'Opération , SODEGIS sollicite une subvention de l'Etat LBU auprès de la DEAL, à hauteur de 0 000,00 €.</v>
      </c>
      <c r="P69" s="3331"/>
      <c r="Q69" s="3331"/>
      <c r="R69" s="3331"/>
      <c r="S69" s="3331"/>
      <c r="T69" s="3331"/>
      <c r="U69" s="3331"/>
    </row>
    <row r="70" spans="15:21">
      <c r="O70" s="3331"/>
      <c r="P70" s="3331"/>
      <c r="Q70" s="3331"/>
      <c r="R70" s="3331"/>
      <c r="S70" s="3331"/>
      <c r="T70" s="3331"/>
      <c r="U70" s="3331"/>
    </row>
    <row r="72" spans="15:21">
      <c r="O72" s="3215" t="s">
        <v>829</v>
      </c>
    </row>
    <row r="76" spans="15:21">
      <c r="R76" s="3206" t="s">
        <v>1026</v>
      </c>
      <c r="S76" s="3207" t="s">
        <v>757</v>
      </c>
      <c r="T76" s="2113">
        <f ca="1">TODAY()</f>
        <v>43403</v>
      </c>
    </row>
    <row r="78" spans="15:21">
      <c r="S78" s="3332" t="s">
        <v>810</v>
      </c>
      <c r="T78" s="3332"/>
    </row>
    <row r="84" spans="19:19">
      <c r="S84" s="2112" t="str">
        <f>directeur_g</f>
        <v>Patrick CORRE</v>
      </c>
    </row>
    <row r="113" spans="3:21">
      <c r="C113" s="2170"/>
    </row>
    <row r="116" spans="3:21">
      <c r="H116"/>
      <c r="I116"/>
      <c r="J116"/>
      <c r="K116"/>
      <c r="L116"/>
      <c r="M116"/>
      <c r="N116"/>
    </row>
    <row r="117" spans="3:21">
      <c r="H117"/>
      <c r="I117"/>
      <c r="J117"/>
      <c r="K117"/>
      <c r="L117"/>
      <c r="M117"/>
      <c r="N117"/>
    </row>
    <row r="118" spans="3:21">
      <c r="H118"/>
      <c r="I118"/>
      <c r="J118"/>
      <c r="K118"/>
      <c r="L118"/>
      <c r="M118"/>
      <c r="N118"/>
      <c r="O118" s="3335" t="s">
        <v>1027</v>
      </c>
      <c r="P118" s="3335"/>
      <c r="Q118" s="3335"/>
      <c r="R118" s="3335"/>
      <c r="S118" s="3335"/>
      <c r="T118" s="3335"/>
      <c r="U118" s="3335"/>
    </row>
    <row r="119" spans="3:21" ht="14.25" customHeight="1">
      <c r="H119"/>
      <c r="I119"/>
      <c r="J119"/>
      <c r="K119"/>
      <c r="L119"/>
      <c r="M119"/>
      <c r="N119"/>
      <c r="O119" s="3336" t="s">
        <v>828</v>
      </c>
      <c r="P119" s="3336"/>
      <c r="Q119" s="3336"/>
      <c r="R119" s="3336"/>
      <c r="S119" s="3336"/>
      <c r="T119" s="3336"/>
      <c r="U119" s="3336"/>
    </row>
    <row r="120" spans="3:21">
      <c r="H120"/>
      <c r="I120"/>
      <c r="J120"/>
      <c r="K120"/>
      <c r="L120"/>
      <c r="M120"/>
      <c r="N120"/>
      <c r="O120" s="3336"/>
      <c r="P120" s="3336"/>
      <c r="Q120" s="3336"/>
      <c r="R120" s="3336"/>
      <c r="S120" s="3336"/>
      <c r="T120" s="3336"/>
      <c r="U120" s="3336"/>
    </row>
    <row r="121" spans="3:21">
      <c r="H121"/>
      <c r="I121"/>
      <c r="J121"/>
      <c r="K121"/>
      <c r="L121"/>
      <c r="M121"/>
      <c r="N121"/>
      <c r="O121" s="3336"/>
      <c r="P121" s="3336"/>
      <c r="Q121" s="3336"/>
      <c r="R121" s="3336"/>
      <c r="S121" s="3336"/>
      <c r="T121" s="3336"/>
      <c r="U121" s="3336"/>
    </row>
    <row r="122" spans="3:21">
      <c r="H122"/>
      <c r="I122"/>
      <c r="J122"/>
      <c r="K122"/>
      <c r="L122"/>
      <c r="M122"/>
      <c r="N122"/>
      <c r="O122" s="3336"/>
      <c r="P122" s="3336"/>
      <c r="Q122" s="3336"/>
      <c r="R122" s="3336"/>
      <c r="S122" s="3336"/>
      <c r="T122" s="3336"/>
      <c r="U122" s="3336"/>
    </row>
    <row r="123" spans="3:21">
      <c r="H123"/>
      <c r="I123"/>
      <c r="J123"/>
      <c r="K123"/>
      <c r="L123"/>
      <c r="M123"/>
      <c r="N123"/>
    </row>
    <row r="124" spans="3:21">
      <c r="H124"/>
      <c r="I124"/>
      <c r="J124"/>
      <c r="K124"/>
      <c r="L124"/>
      <c r="M124"/>
      <c r="N124"/>
      <c r="O124" s="3331" t="str">
        <f>"Dans le cadre de l'Opération "&amp;nom&amp;", SODEGIS sollicite une subvention de l'Etat LBU auprès de la DEAL, à hauteur de "&amp;TEXT(Sub_LLTS,"0 000,00")&amp;" €."</f>
        <v>Dans le cadre de l'Opération , SODEGIS sollicite une subvention de l'Etat LBU auprès de la DEAL, à hauteur de 0 000,00 €.</v>
      </c>
      <c r="P124" s="3331"/>
      <c r="Q124" s="3331"/>
      <c r="R124" s="3331"/>
      <c r="S124" s="3331"/>
      <c r="T124" s="3331"/>
      <c r="U124" s="3331"/>
    </row>
    <row r="125" spans="3:21">
      <c r="O125" s="3331"/>
      <c r="P125" s="3331"/>
      <c r="Q125" s="3331"/>
      <c r="R125" s="3331"/>
      <c r="S125" s="3331"/>
      <c r="T125" s="3331"/>
      <c r="U125" s="3331"/>
    </row>
    <row r="127" spans="3:21">
      <c r="O127" s="2112" t="s">
        <v>829</v>
      </c>
    </row>
    <row r="130" spans="8:21">
      <c r="S130" s="3206" t="s">
        <v>1026</v>
      </c>
      <c r="T130" s="3207" t="s">
        <v>757</v>
      </c>
      <c r="U130" s="2113">
        <f ca="1">TODAY()</f>
        <v>43403</v>
      </c>
    </row>
    <row r="132" spans="8:21">
      <c r="S132" s="3332" t="s">
        <v>810</v>
      </c>
      <c r="T132" s="3332"/>
    </row>
    <row r="136" spans="8:21">
      <c r="H136" s="2114"/>
    </row>
    <row r="138" spans="8:21">
      <c r="S138" s="2112" t="str">
        <f>directeur_g</f>
        <v>Patrick CORRE</v>
      </c>
    </row>
    <row r="180" spans="15:21" ht="18.75">
      <c r="O180" s="3330" t="str">
        <f>"- Attestation FRAFU -"</f>
        <v>- Attestation FRAFU -</v>
      </c>
      <c r="P180" s="3330"/>
      <c r="Q180" s="3330"/>
      <c r="R180" s="3330"/>
      <c r="S180" s="3330"/>
      <c r="T180" s="3330"/>
      <c r="U180" s="3330"/>
    </row>
    <row r="222" spans="15:15">
      <c r="O222" s="2129" t="str">
        <f>"Objet : Opération "&amp;nom</f>
        <v xml:space="preserve">Objet : Opération </v>
      </c>
    </row>
    <row r="225" spans="15:21">
      <c r="O225" s="2125" t="str">
        <f>"Je soussigné, Monsieur " &amp; directeur_g &amp; ","</f>
        <v>Je soussigné, Monsieur Patrick CORRE,</v>
      </c>
    </row>
    <row r="227" spans="15:21" ht="14.25" customHeight="1">
      <c r="O227" s="3325" t="s">
        <v>1031</v>
      </c>
      <c r="P227" s="3326"/>
      <c r="Q227" s="3326"/>
      <c r="R227" s="3326"/>
      <c r="S227" s="3326"/>
      <c r="T227" s="3326"/>
      <c r="U227" s="3326"/>
    </row>
    <row r="228" spans="15:21">
      <c r="O228" s="3326"/>
      <c r="P228" s="3326"/>
      <c r="Q228" s="3326"/>
      <c r="R228" s="3326"/>
      <c r="S228" s="3326"/>
      <c r="T228" s="3326"/>
      <c r="U228" s="3326"/>
    </row>
    <row r="229" spans="15:21">
      <c r="O229" s="3326"/>
      <c r="P229" s="3326"/>
      <c r="Q229" s="3326"/>
      <c r="R229" s="3326"/>
      <c r="S229" s="3326"/>
      <c r="T229" s="3326"/>
      <c r="U229" s="3326"/>
    </row>
    <row r="230" spans="15:21">
      <c r="O230" s="3326"/>
      <c r="P230" s="3326"/>
      <c r="Q230" s="3326"/>
      <c r="R230" s="3326"/>
      <c r="S230" s="3326"/>
      <c r="T230" s="3326"/>
      <c r="U230" s="3326"/>
    </row>
    <row r="231" spans="15:21">
      <c r="O231" s="3326"/>
      <c r="P231" s="3326"/>
      <c r="Q231" s="3326"/>
      <c r="R231" s="3326"/>
      <c r="S231" s="3326"/>
      <c r="T231" s="3326"/>
      <c r="U231" s="3326"/>
    </row>
    <row r="232" spans="15:21">
      <c r="O232" s="2112" t="str">
        <f xml:space="preserve"> nombreLLS &amp;" logements LLS dans le secteur social."</f>
        <v>35 logements LLS dans le secteur social.</v>
      </c>
    </row>
    <row r="235" spans="15:21">
      <c r="O235" s="3327" t="e">
        <f>"A ce titre, cette opération à également fait l'objet d'une demande de subvention FRAFU à hateur de "&amp;TEXT(FRAFU_LLS,"0 000,00")&amp;" €, demande qui est en cours d'instruction et va connaître une issue favorable."</f>
        <v>#REF!</v>
      </c>
      <c r="P235" s="3327"/>
      <c r="Q235" s="3327"/>
      <c r="R235" s="3327"/>
      <c r="S235" s="3327"/>
      <c r="T235" s="3327"/>
      <c r="U235" s="3327"/>
    </row>
    <row r="236" spans="15:21">
      <c r="O236" s="3327"/>
      <c r="P236" s="3327"/>
      <c r="Q236" s="3327"/>
      <c r="R236" s="3327"/>
      <c r="S236" s="3327"/>
      <c r="T236" s="3327"/>
      <c r="U236" s="3327"/>
    </row>
    <row r="237" spans="15:21">
      <c r="O237" s="3327"/>
      <c r="P237" s="3327"/>
      <c r="Q237" s="3327"/>
      <c r="R237" s="3327"/>
      <c r="S237" s="3327"/>
      <c r="T237" s="3327"/>
      <c r="U237" s="3327"/>
    </row>
    <row r="240" spans="15:21">
      <c r="R240" s="3212" t="s">
        <v>1024</v>
      </c>
      <c r="S240" s="3328">
        <f ca="1">TODAY()</f>
        <v>43403</v>
      </c>
      <c r="T240" s="3328"/>
    </row>
    <row r="241" spans="18:19">
      <c r="R241" s="2125"/>
      <c r="S241" s="2128"/>
    </row>
    <row r="242" spans="18:19">
      <c r="R242" s="2125" t="s">
        <v>820</v>
      </c>
      <c r="S242" s="2125"/>
    </row>
    <row r="243" spans="18:19">
      <c r="R243" s="3329" t="s">
        <v>810</v>
      </c>
      <c r="S243" s="3329"/>
    </row>
    <row r="244" spans="18:19">
      <c r="S244" s="2125"/>
    </row>
    <row r="248" spans="18:19">
      <c r="R248" s="2125" t="str">
        <f>directeur_g</f>
        <v>Patrick CORRE</v>
      </c>
    </row>
    <row r="276" spans="15:21">
      <c r="O276" s="2129" t="str">
        <f>"Objet : Opération "&amp;nom</f>
        <v xml:space="preserve">Objet : Opération </v>
      </c>
    </row>
    <row r="279" spans="15:21">
      <c r="O279" s="2125" t="str">
        <f>"Je soussigné, Monsieur " &amp; directeur_g &amp; ","</f>
        <v>Je soussigné, Monsieur Patrick CORRE,</v>
      </c>
    </row>
    <row r="281" spans="15:21">
      <c r="O281" s="3325" t="s">
        <v>1031</v>
      </c>
      <c r="P281" s="3326"/>
      <c r="Q281" s="3326"/>
      <c r="R281" s="3326"/>
      <c r="S281" s="3326"/>
      <c r="T281" s="3326"/>
      <c r="U281" s="3326"/>
    </row>
    <row r="282" spans="15:21">
      <c r="O282" s="3326"/>
      <c r="P282" s="3326"/>
      <c r="Q282" s="3326"/>
      <c r="R282" s="3326"/>
      <c r="S282" s="3326"/>
      <c r="T282" s="3326"/>
      <c r="U282" s="3326"/>
    </row>
    <row r="283" spans="15:21">
      <c r="O283" s="3326"/>
      <c r="P283" s="3326"/>
      <c r="Q283" s="3326"/>
      <c r="R283" s="3326"/>
      <c r="S283" s="3326"/>
      <c r="T283" s="3326"/>
      <c r="U283" s="3326"/>
    </row>
    <row r="284" spans="15:21">
      <c r="O284" s="3326"/>
      <c r="P284" s="3326"/>
      <c r="Q284" s="3326"/>
      <c r="R284" s="3326"/>
      <c r="S284" s="3326"/>
      <c r="T284" s="3326"/>
      <c r="U284" s="3326"/>
    </row>
    <row r="285" spans="15:21">
      <c r="O285" s="3326"/>
      <c r="P285" s="3326"/>
      <c r="Q285" s="3326"/>
      <c r="R285" s="3326"/>
      <c r="S285" s="3326"/>
      <c r="T285" s="3326"/>
      <c r="U285" s="3326"/>
    </row>
    <row r="286" spans="15:21">
      <c r="O286" s="2112" t="str">
        <f xml:space="preserve"> nombreLLTS &amp;" logements LLTS dans le secteur social."</f>
        <v>35 logements LLTS dans le secteur social.</v>
      </c>
    </row>
    <row r="289" spans="15:21">
      <c r="O289" s="3327" t="e">
        <f>"A ce titre, cette opération à également fait l'objet d'une demande de subvention FRAFU à hateur de "&amp;TEXT(FRAFU_LLTS,"0 000,00")&amp;" €, demande qui est en cours d'instruction et va connaître une issue favorable."</f>
        <v>#REF!</v>
      </c>
      <c r="P289" s="3327"/>
      <c r="Q289" s="3327"/>
      <c r="R289" s="3327"/>
      <c r="S289" s="3327"/>
      <c r="T289" s="3327"/>
      <c r="U289" s="3327"/>
    </row>
    <row r="290" spans="15:21">
      <c r="O290" s="3327"/>
      <c r="P290" s="3327"/>
      <c r="Q290" s="3327"/>
      <c r="R290" s="3327"/>
      <c r="S290" s="3327"/>
      <c r="T290" s="3327"/>
      <c r="U290" s="3327"/>
    </row>
    <row r="291" spans="15:21">
      <c r="O291" s="3327"/>
      <c r="P291" s="3327"/>
      <c r="Q291" s="3327"/>
      <c r="R291" s="3327"/>
      <c r="S291" s="3327"/>
      <c r="T291" s="3327"/>
      <c r="U291" s="3327"/>
    </row>
    <row r="292" spans="15:21">
      <c r="R292" s="3212" t="s">
        <v>1024</v>
      </c>
      <c r="S292" s="3328">
        <f ca="1">TODAY()</f>
        <v>43403</v>
      </c>
      <c r="T292" s="3328"/>
    </row>
    <row r="293" spans="15:21">
      <c r="R293" s="2125" t="s">
        <v>820</v>
      </c>
    </row>
    <row r="295" spans="15:21">
      <c r="R295" s="3329" t="s">
        <v>810</v>
      </c>
      <c r="S295" s="3329"/>
    </row>
    <row r="296" spans="15:21">
      <c r="S296" s="2125"/>
    </row>
    <row r="298" spans="15:21">
      <c r="S298" s="2125"/>
    </row>
    <row r="299" spans="15:21">
      <c r="R299" s="2125" t="str">
        <f>directeur_g</f>
        <v>Patrick CORRE</v>
      </c>
    </row>
  </sheetData>
  <mergeCells count="21">
    <mergeCell ref="H25:N26"/>
    <mergeCell ref="O118:U118"/>
    <mergeCell ref="O119:U122"/>
    <mergeCell ref="A25:G25"/>
    <mergeCell ref="O64:U64"/>
    <mergeCell ref="O65:U67"/>
    <mergeCell ref="O24:U26"/>
    <mergeCell ref="O227:U231"/>
    <mergeCell ref="O180:U180"/>
    <mergeCell ref="O124:U125"/>
    <mergeCell ref="S132:T132"/>
    <mergeCell ref="V24:AB26"/>
    <mergeCell ref="S78:T78"/>
    <mergeCell ref="O69:U70"/>
    <mergeCell ref="O281:U285"/>
    <mergeCell ref="O289:U291"/>
    <mergeCell ref="S292:T292"/>
    <mergeCell ref="R295:S295"/>
    <mergeCell ref="O235:U237"/>
    <mergeCell ref="R243:S243"/>
    <mergeCell ref="S240:T24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4:H345"/>
  <sheetViews>
    <sheetView view="pageBreakPreview" topLeftCell="A189" zoomScale="60" zoomScaleNormal="100" zoomScalePageLayoutView="55" workbookViewId="0">
      <selection activeCell="A111" sqref="A111:G219"/>
    </sheetView>
  </sheetViews>
  <sheetFormatPr baseColWidth="10" defaultColWidth="11.42578125" defaultRowHeight="15"/>
  <cols>
    <col min="1" max="4" width="11.42578125" style="2116"/>
    <col min="5" max="5" width="15" style="2116" customWidth="1"/>
    <col min="6" max="6" width="12.5703125" style="2116" customWidth="1"/>
    <col min="7" max="7" width="14.42578125" style="2116" customWidth="1"/>
    <col min="8" max="16384" width="11.42578125" style="2116"/>
  </cols>
  <sheetData>
    <row r="24" spans="1:7" ht="15" customHeight="1"/>
    <row r="25" spans="1:7" ht="20.45" customHeight="1">
      <c r="A25" s="3338" t="s">
        <v>1059</v>
      </c>
      <c r="B25" s="3339"/>
      <c r="C25" s="3339"/>
      <c r="D25" s="3339"/>
      <c r="E25" s="3339"/>
      <c r="F25" s="3339"/>
      <c r="G25" s="3339"/>
    </row>
    <row r="26" spans="1:7" ht="15" customHeight="1">
      <c r="A26" s="3339"/>
      <c r="B26" s="3339"/>
      <c r="C26" s="3339"/>
      <c r="D26" s="3339"/>
      <c r="E26" s="3339"/>
      <c r="F26" s="3339"/>
      <c r="G26" s="3339"/>
    </row>
    <row r="56" spans="1:8" ht="15" customHeight="1"/>
    <row r="58" spans="1:8" ht="24.75" customHeight="1"/>
    <row r="59" spans="1:8" ht="27" customHeight="1"/>
    <row r="61" spans="1:8">
      <c r="A61" s="3340" t="s">
        <v>1060</v>
      </c>
      <c r="B61" s="3340"/>
      <c r="C61" s="3340"/>
      <c r="D61" s="3340"/>
      <c r="E61" s="3340"/>
      <c r="F61" s="3340"/>
      <c r="G61" s="3340"/>
    </row>
    <row r="62" spans="1:8" ht="15" customHeight="1">
      <c r="A62" s="3340"/>
      <c r="B62" s="3340"/>
      <c r="C62" s="3340"/>
      <c r="D62" s="3340"/>
      <c r="E62" s="3340"/>
      <c r="F62" s="3340"/>
      <c r="G62" s="3340"/>
      <c r="H62" s="2201"/>
    </row>
    <row r="63" spans="1:8">
      <c r="B63" s="2117"/>
      <c r="C63" s="2117"/>
      <c r="D63" s="2117"/>
      <c r="E63" s="2117"/>
      <c r="F63" s="2117"/>
      <c r="G63" s="2117"/>
    </row>
    <row r="64" spans="1:8">
      <c r="A64" s="3235"/>
      <c r="B64" s="3235"/>
      <c r="C64" s="3235"/>
      <c r="D64" s="3235"/>
      <c r="E64" s="3235"/>
      <c r="F64" s="3235"/>
      <c r="G64" s="3235"/>
    </row>
    <row r="65" spans="1:7">
      <c r="A65" s="3236" t="s">
        <v>1061</v>
      </c>
      <c r="B65" s="3235"/>
      <c r="C65" s="3235"/>
      <c r="D65" s="3235"/>
      <c r="E65" s="3235"/>
      <c r="F65" s="3235"/>
      <c r="G65" s="3235"/>
    </row>
    <row r="66" spans="1:7">
      <c r="A66"/>
      <c r="B66"/>
      <c r="C66"/>
      <c r="D66"/>
      <c r="E66"/>
      <c r="F66"/>
      <c r="G66"/>
    </row>
    <row r="67" spans="1:7">
      <c r="A67"/>
      <c r="B67"/>
      <c r="C67"/>
      <c r="D67"/>
      <c r="E67"/>
      <c r="F67"/>
      <c r="G67"/>
    </row>
    <row r="68" spans="1:7">
      <c r="A68"/>
      <c r="B68"/>
      <c r="C68"/>
      <c r="D68"/>
      <c r="E68"/>
      <c r="F68"/>
      <c r="G68"/>
    </row>
    <row r="69" spans="1:7">
      <c r="A69"/>
      <c r="B69"/>
      <c r="C69"/>
      <c r="D69"/>
      <c r="E69"/>
      <c r="F69"/>
      <c r="G69"/>
    </row>
    <row r="70" spans="1:7">
      <c r="A70"/>
      <c r="B70"/>
      <c r="C70"/>
      <c r="D70"/>
      <c r="E70"/>
      <c r="F70"/>
      <c r="G70"/>
    </row>
    <row r="71" spans="1:7">
      <c r="A71"/>
      <c r="B71"/>
      <c r="C71"/>
      <c r="D71"/>
      <c r="E71"/>
      <c r="F71"/>
      <c r="G71"/>
    </row>
    <row r="72" spans="1:7">
      <c r="A72"/>
      <c r="B72"/>
      <c r="C72"/>
      <c r="D72"/>
      <c r="E72"/>
      <c r="F72"/>
      <c r="G72"/>
    </row>
    <row r="73" spans="1:7">
      <c r="A73"/>
      <c r="B73"/>
      <c r="C73"/>
      <c r="D73"/>
      <c r="E73"/>
      <c r="F73"/>
      <c r="G73"/>
    </row>
    <row r="74" spans="1:7">
      <c r="A74"/>
      <c r="B74"/>
      <c r="C74"/>
      <c r="D74"/>
      <c r="E74"/>
      <c r="F74"/>
      <c r="G74"/>
    </row>
    <row r="75" spans="1:7">
      <c r="A75"/>
      <c r="B75"/>
      <c r="C75"/>
      <c r="D75"/>
      <c r="E75"/>
      <c r="F75"/>
      <c r="G75"/>
    </row>
    <row r="76" spans="1:7">
      <c r="A76"/>
      <c r="B76"/>
      <c r="C76"/>
      <c r="D76"/>
      <c r="E76"/>
      <c r="F76"/>
      <c r="G76"/>
    </row>
    <row r="77" spans="1:7">
      <c r="A77"/>
      <c r="B77"/>
      <c r="C77"/>
      <c r="D77"/>
      <c r="E77"/>
      <c r="F77"/>
      <c r="G77"/>
    </row>
    <row r="78" spans="1:7">
      <c r="A78"/>
      <c r="B78"/>
      <c r="C78"/>
      <c r="D78"/>
      <c r="E78"/>
      <c r="F78"/>
      <c r="G78"/>
    </row>
    <row r="119" spans="1:7">
      <c r="A119" s="2122" t="str">
        <f>"Objet : Opération "&amp;nom</f>
        <v xml:space="preserve">Objet : Opération </v>
      </c>
    </row>
    <row r="122" spans="1:7">
      <c r="A122" s="2116" t="str">
        <f>"Je soussigné, Monsieur " &amp; directeur_g &amp; ","</f>
        <v>Je soussigné, Monsieur Patrick CORRE,</v>
      </c>
    </row>
    <row r="124" spans="1:7">
      <c r="A124" s="3341" t="s">
        <v>1032</v>
      </c>
      <c r="B124" s="3342"/>
      <c r="C124" s="3342"/>
      <c r="D124" s="3342"/>
      <c r="E124" s="3342"/>
      <c r="F124" s="3342"/>
      <c r="G124" s="3342"/>
    </row>
    <row r="125" spans="1:7">
      <c r="A125" s="3342"/>
      <c r="B125" s="3342"/>
      <c r="C125" s="3342"/>
      <c r="D125" s="3342"/>
      <c r="E125" s="3342"/>
      <c r="F125" s="3342"/>
      <c r="G125" s="3342"/>
    </row>
    <row r="126" spans="1:7">
      <c r="A126" s="3342"/>
      <c r="B126" s="3342"/>
      <c r="C126" s="3342"/>
      <c r="D126" s="3342"/>
      <c r="E126" s="3342"/>
      <c r="F126" s="3342"/>
      <c r="G126" s="3342"/>
    </row>
    <row r="127" spans="1:7">
      <c r="A127" s="3342"/>
      <c r="B127" s="3342"/>
      <c r="C127" s="3342"/>
      <c r="D127" s="3342"/>
      <c r="E127" s="3342"/>
      <c r="F127" s="3342"/>
      <c r="G127" s="3342"/>
    </row>
    <row r="128" spans="1:7">
      <c r="A128" s="3342" t="str">
        <f>"initie un programme immobilier totalisant " &amp; nombreLLS &amp;" logements LLS dans le secteur social."</f>
        <v>initie un programme immobilier totalisant 35 logements LLS dans le secteur social.</v>
      </c>
      <c r="B128" s="3342"/>
      <c r="C128" s="3342"/>
      <c r="D128" s="3342"/>
      <c r="E128" s="3342"/>
      <c r="F128" s="3342"/>
      <c r="G128" s="3342"/>
    </row>
    <row r="129" spans="1:7">
      <c r="A129" s="2117"/>
      <c r="B129" s="2117"/>
      <c r="C129" s="2117"/>
      <c r="D129" s="2117"/>
      <c r="E129" s="2117"/>
      <c r="F129" s="2117"/>
      <c r="G129" s="2117"/>
    </row>
    <row r="130" spans="1:7">
      <c r="A130" s="3341" t="s">
        <v>1054</v>
      </c>
      <c r="B130" s="3342"/>
      <c r="C130" s="3342"/>
      <c r="D130" s="3342"/>
      <c r="E130" s="3342"/>
      <c r="F130" s="3342"/>
      <c r="G130" s="3342"/>
    </row>
    <row r="131" spans="1:7">
      <c r="A131" s="3342"/>
      <c r="B131" s="3342"/>
      <c r="C131" s="3342"/>
      <c r="D131" s="3342"/>
      <c r="E131" s="3342"/>
      <c r="F131" s="3342"/>
      <c r="G131" s="3342"/>
    </row>
    <row r="132" spans="1:7">
      <c r="A132" s="3342"/>
      <c r="B132" s="3342"/>
      <c r="C132" s="3342"/>
      <c r="D132" s="3342"/>
      <c r="E132" s="3342"/>
      <c r="F132" s="3342"/>
      <c r="G132" s="3342"/>
    </row>
    <row r="133" spans="1:7">
      <c r="A133" s="3342"/>
      <c r="B133" s="3342"/>
      <c r="C133" s="3342"/>
      <c r="D133" s="3342"/>
      <c r="E133" s="3342"/>
      <c r="F133" s="3342"/>
      <c r="G133" s="3342"/>
    </row>
    <row r="134" spans="1:7">
      <c r="A134" s="3342"/>
      <c r="B134" s="3342"/>
      <c r="C134" s="3342"/>
      <c r="D134" s="3342"/>
      <c r="E134" s="3342"/>
      <c r="F134" s="3342"/>
      <c r="G134" s="3342"/>
    </row>
    <row r="135" spans="1:7">
      <c r="A135" s="3342"/>
      <c r="B135" s="3342"/>
      <c r="C135" s="3342"/>
      <c r="D135" s="3342"/>
      <c r="E135" s="3342"/>
      <c r="F135" s="3342"/>
      <c r="G135" s="3342"/>
    </row>
    <row r="137" spans="1:7">
      <c r="A137" s="3343" t="s">
        <v>1055</v>
      </c>
      <c r="B137" s="3343"/>
      <c r="C137" s="3343"/>
      <c r="D137" s="3343"/>
      <c r="E137" s="3343"/>
      <c r="F137" s="3343"/>
      <c r="G137" s="3343"/>
    </row>
    <row r="138" spans="1:7">
      <c r="A138" s="3343"/>
      <c r="B138" s="3343"/>
      <c r="C138" s="3343"/>
      <c r="D138" s="3343"/>
      <c r="E138" s="3343"/>
      <c r="F138" s="3343"/>
      <c r="G138" s="3343"/>
    </row>
    <row r="139" spans="1:7">
      <c r="A139" s="3343"/>
      <c r="B139" s="3343"/>
      <c r="C139" s="3343"/>
      <c r="D139" s="3343"/>
      <c r="E139" s="3343"/>
      <c r="F139" s="3343"/>
      <c r="G139" s="3343"/>
    </row>
    <row r="140" spans="1:7">
      <c r="A140" s="3343"/>
      <c r="B140" s="3343"/>
      <c r="C140" s="3343"/>
      <c r="D140" s="3343"/>
      <c r="E140" s="3343"/>
      <c r="F140" s="3343"/>
      <c r="G140" s="3343"/>
    </row>
    <row r="141" spans="1:7">
      <c r="A141" s="3343"/>
      <c r="B141" s="3343"/>
      <c r="C141" s="3343"/>
      <c r="D141" s="3343"/>
      <c r="E141" s="3343"/>
      <c r="F141" s="3343"/>
      <c r="G141" s="3343"/>
    </row>
    <row r="143" spans="1:7">
      <c r="E143" s="3237" t="s">
        <v>1028</v>
      </c>
      <c r="F143" s="2118">
        <f ca="1">TODAY()</f>
        <v>43403</v>
      </c>
    </row>
    <row r="145" spans="5:6">
      <c r="E145" s="3344" t="s">
        <v>810</v>
      </c>
      <c r="F145" s="3344"/>
    </row>
    <row r="151" spans="5:6">
      <c r="E151" s="2116" t="str">
        <f>directeur_g</f>
        <v>Patrick CORRE</v>
      </c>
    </row>
    <row r="173" spans="1:1">
      <c r="A173" s="2122" t="str">
        <f>"Objet : Opération "&amp;nom</f>
        <v xml:space="preserve">Objet : Opération </v>
      </c>
    </row>
    <row r="174" spans="1:1" ht="19.149999999999999" customHeight="1"/>
    <row r="175" spans="1:1" ht="19.149999999999999" customHeight="1"/>
    <row r="176" spans="1:1">
      <c r="A176" s="2116" t="str">
        <f>"Je soussigné, Monsieur " &amp; directeur_g &amp; ","</f>
        <v>Je soussigné, Monsieur Patrick CORRE,</v>
      </c>
    </row>
    <row r="178" spans="1:7">
      <c r="A178" s="3341" t="s">
        <v>1032</v>
      </c>
      <c r="B178" s="3342"/>
      <c r="C178" s="3342"/>
      <c r="D178" s="3342"/>
      <c r="E178" s="3342"/>
      <c r="F178" s="3342"/>
      <c r="G178" s="3342"/>
    </row>
    <row r="179" spans="1:7">
      <c r="A179" s="3342"/>
      <c r="B179" s="3342"/>
      <c r="C179" s="3342"/>
      <c r="D179" s="3342"/>
      <c r="E179" s="3342"/>
      <c r="F179" s="3342"/>
      <c r="G179" s="3342"/>
    </row>
    <row r="180" spans="1:7">
      <c r="A180" s="3342"/>
      <c r="B180" s="3342"/>
      <c r="C180" s="3342"/>
      <c r="D180" s="3342"/>
      <c r="E180" s="3342"/>
      <c r="F180" s="3342"/>
      <c r="G180" s="3342"/>
    </row>
    <row r="181" spans="1:7">
      <c r="A181" s="3342"/>
      <c r="B181" s="3342"/>
      <c r="C181" s="3342"/>
      <c r="D181" s="3342"/>
      <c r="E181" s="3342"/>
      <c r="F181" s="3342"/>
      <c r="G181" s="3342"/>
    </row>
    <row r="182" spans="1:7">
      <c r="A182" s="3342" t="str">
        <f>"initie un programme immobilier totalisant " &amp; nombreLLTS &amp;" logements LLTS dans le secteur social."</f>
        <v>initie un programme immobilier totalisant 35 logements LLTS dans le secteur social.</v>
      </c>
      <c r="B182" s="3342"/>
      <c r="C182" s="3342"/>
      <c r="D182" s="3342"/>
      <c r="E182" s="3342"/>
      <c r="F182" s="3342"/>
      <c r="G182" s="3342"/>
    </row>
    <row r="183" spans="1:7">
      <c r="A183" s="2117"/>
      <c r="B183" s="2117"/>
      <c r="C183" s="2117"/>
      <c r="D183" s="2117"/>
      <c r="E183" s="2117"/>
      <c r="F183" s="2117"/>
      <c r="G183" s="2117"/>
    </row>
    <row r="184" spans="1:7">
      <c r="A184" s="3341" t="s">
        <v>1054</v>
      </c>
      <c r="B184" s="3342"/>
      <c r="C184" s="3342"/>
      <c r="D184" s="3342"/>
      <c r="E184" s="3342"/>
      <c r="F184" s="3342"/>
      <c r="G184" s="3342"/>
    </row>
    <row r="185" spans="1:7">
      <c r="A185" s="3342"/>
      <c r="B185" s="3342"/>
      <c r="C185" s="3342"/>
      <c r="D185" s="3342"/>
      <c r="E185" s="3342"/>
      <c r="F185" s="3342"/>
      <c r="G185" s="3342"/>
    </row>
    <row r="186" spans="1:7">
      <c r="A186" s="3342"/>
      <c r="B186" s="3342"/>
      <c r="C186" s="3342"/>
      <c r="D186" s="3342"/>
      <c r="E186" s="3342"/>
      <c r="F186" s="3342"/>
      <c r="G186" s="3342"/>
    </row>
    <row r="187" spans="1:7">
      <c r="A187" s="3342"/>
      <c r="B187" s="3342"/>
      <c r="C187" s="3342"/>
      <c r="D187" s="3342"/>
      <c r="E187" s="3342"/>
      <c r="F187" s="3342"/>
      <c r="G187" s="3342"/>
    </row>
    <row r="188" spans="1:7">
      <c r="A188" s="3342"/>
      <c r="B188" s="3342"/>
      <c r="C188" s="3342"/>
      <c r="D188" s="3342"/>
      <c r="E188" s="3342"/>
      <c r="F188" s="3342"/>
      <c r="G188" s="3342"/>
    </row>
    <row r="189" spans="1:7">
      <c r="A189" s="3342"/>
      <c r="B189" s="3342"/>
      <c r="C189" s="3342"/>
      <c r="D189" s="3342"/>
      <c r="E189" s="3342"/>
      <c r="F189" s="3342"/>
      <c r="G189" s="3342"/>
    </row>
    <row r="191" spans="1:7">
      <c r="A191" s="3343" t="s">
        <v>1055</v>
      </c>
      <c r="B191" s="3343"/>
      <c r="C191" s="3343"/>
      <c r="D191" s="3343"/>
      <c r="E191" s="3343"/>
      <c r="F191" s="3343"/>
      <c r="G191" s="3343"/>
    </row>
    <row r="192" spans="1:7">
      <c r="A192" s="3343"/>
      <c r="B192" s="3343"/>
      <c r="C192" s="3343"/>
      <c r="D192" s="3343"/>
      <c r="E192" s="3343"/>
      <c r="F192" s="3343"/>
      <c r="G192" s="3343"/>
    </row>
    <row r="193" spans="1:7">
      <c r="A193" s="3343"/>
      <c r="B193" s="3343"/>
      <c r="C193" s="3343"/>
      <c r="D193" s="3343"/>
      <c r="E193" s="3343"/>
      <c r="F193" s="3343"/>
      <c r="G193" s="3343"/>
    </row>
    <row r="194" spans="1:7">
      <c r="A194" s="3343"/>
      <c r="B194" s="3343"/>
      <c r="C194" s="3343"/>
      <c r="D194" s="3343"/>
      <c r="E194" s="3343"/>
      <c r="F194" s="3343"/>
      <c r="G194" s="3343"/>
    </row>
    <row r="195" spans="1:7">
      <c r="A195" s="3343"/>
      <c r="B195" s="3343"/>
      <c r="C195" s="3343"/>
      <c r="D195" s="3343"/>
      <c r="E195" s="3343"/>
      <c r="F195" s="3343"/>
      <c r="G195" s="3343"/>
    </row>
    <row r="196" spans="1:7">
      <c r="E196" s="3237" t="s">
        <v>1052</v>
      </c>
      <c r="F196" s="2118">
        <f ca="1">TODAY()</f>
        <v>43403</v>
      </c>
    </row>
    <row r="198" spans="1:7">
      <c r="E198" s="3344" t="s">
        <v>810</v>
      </c>
      <c r="F198" s="3344"/>
    </row>
    <row r="202" spans="1:7">
      <c r="E202" s="2116" t="str">
        <f>directeur_g</f>
        <v>Patrick CORRE</v>
      </c>
    </row>
    <row r="208" spans="1:7" ht="15" customHeight="1"/>
    <row r="212" ht="15.75" customHeight="1"/>
    <row r="214" ht="15" customHeight="1"/>
    <row r="221" ht="15" customHeight="1"/>
    <row r="228" ht="14.25" customHeight="1"/>
    <row r="229" ht="14.25" customHeight="1"/>
    <row r="230" ht="14.25" customHeight="1"/>
    <row r="231" ht="15" customHeight="1"/>
    <row r="278" ht="14.25" customHeight="1"/>
    <row r="282" ht="15" customHeight="1"/>
    <row r="284" ht="15" customHeight="1"/>
    <row r="291" ht="15" customHeight="1"/>
    <row r="332" ht="14.25" customHeight="1"/>
    <row r="336" ht="15" customHeight="1"/>
    <row r="338" ht="15" customHeight="1"/>
    <row r="345" ht="15" customHeight="1"/>
  </sheetData>
  <mergeCells count="12">
    <mergeCell ref="A25:G26"/>
    <mergeCell ref="A61:G62"/>
    <mergeCell ref="A184:G189"/>
    <mergeCell ref="A191:G195"/>
    <mergeCell ref="E198:F198"/>
    <mergeCell ref="A124:G127"/>
    <mergeCell ref="A128:G128"/>
    <mergeCell ref="A130:G135"/>
    <mergeCell ref="A137:G141"/>
    <mergeCell ref="E145:F145"/>
    <mergeCell ref="A178:G181"/>
    <mergeCell ref="A182:G182"/>
  </mergeCells>
  <pageMargins left="0.7" right="0.7" top="0.75" bottom="0.75" header="0.3" footer="0.3"/>
  <pageSetup paperSize="9" scale="85" orientation="portrait" r:id="rId1"/>
  <rowBreaks count="4" manualBreakCount="4">
    <brk id="53" max="16383" man="1"/>
    <brk id="165" max="6" man="1"/>
    <brk id="251" max="34" man="1"/>
    <brk id="309" max="34"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0:N368"/>
  <sheetViews>
    <sheetView showWhiteSpace="0" view="pageBreakPreview" topLeftCell="A337" zoomScale="60" zoomScaleNormal="100" zoomScalePageLayoutView="55" workbookViewId="0">
      <selection activeCell="A354" sqref="A354:G357"/>
    </sheetView>
  </sheetViews>
  <sheetFormatPr baseColWidth="10" defaultColWidth="11.42578125" defaultRowHeight="15"/>
  <cols>
    <col min="1" max="2" width="11.42578125" style="2116"/>
    <col min="3" max="3" width="12.140625" style="2116" customWidth="1"/>
    <col min="4" max="5" width="11.42578125" style="2116"/>
    <col min="6" max="6" width="11.42578125" style="2116" customWidth="1"/>
    <col min="7" max="7" width="16.85546875" style="2116" customWidth="1"/>
    <col min="8" max="16384" width="11.42578125" style="2116"/>
  </cols>
  <sheetData>
    <row r="20" spans="1:14" ht="18.75">
      <c r="A20" s="2119" t="s">
        <v>1062</v>
      </c>
      <c r="B20" s="2119"/>
      <c r="C20" s="2119"/>
      <c r="D20" s="2119"/>
      <c r="E20" s="2119"/>
      <c r="F20" s="2119"/>
      <c r="G20" s="2119"/>
      <c r="H20" s="2120" t="s">
        <v>1066</v>
      </c>
    </row>
    <row r="21" spans="1:14" ht="18.75">
      <c r="A21" s="3238" t="s">
        <v>1063</v>
      </c>
      <c r="B21" s="2119"/>
      <c r="C21" s="2119"/>
      <c r="D21" s="2119"/>
      <c r="E21" s="2119"/>
      <c r="F21" s="2119"/>
      <c r="G21" s="2119"/>
      <c r="H21" s="3345" t="s">
        <v>1067</v>
      </c>
      <c r="I21" s="3345"/>
      <c r="J21" s="3345"/>
      <c r="K21" s="3345"/>
      <c r="L21" s="3345"/>
      <c r="M21" s="3345"/>
      <c r="N21" s="3345"/>
    </row>
    <row r="22" spans="1:14" ht="18.75">
      <c r="A22" s="3238" t="s">
        <v>1064</v>
      </c>
      <c r="B22" s="2119"/>
      <c r="C22" s="2119"/>
      <c r="D22" s="2119"/>
      <c r="E22" s="2119"/>
      <c r="F22" s="2119"/>
      <c r="G22" s="2119"/>
      <c r="H22" s="3345" t="s">
        <v>1068</v>
      </c>
      <c r="I22" s="3345"/>
      <c r="J22" s="3345"/>
      <c r="K22" s="3345"/>
      <c r="L22" s="3345"/>
      <c r="M22" s="3345"/>
      <c r="N22" s="3345"/>
    </row>
    <row r="23" spans="1:14" ht="18.75">
      <c r="A23" s="3238" t="s">
        <v>1065</v>
      </c>
      <c r="B23" s="2119"/>
      <c r="C23" s="2119"/>
      <c r="D23" s="2119"/>
      <c r="E23" s="2119"/>
      <c r="F23" s="2119"/>
      <c r="G23" s="2119"/>
      <c r="H23"/>
      <c r="I23"/>
      <c r="J23"/>
      <c r="K23"/>
      <c r="L23"/>
      <c r="M23"/>
      <c r="N23"/>
    </row>
    <row r="24" spans="1:14" ht="18" customHeight="1">
      <c r="A24"/>
      <c r="B24"/>
      <c r="C24"/>
      <c r="D24"/>
      <c r="E24"/>
      <c r="F24"/>
      <c r="G24"/>
      <c r="H24"/>
      <c r="I24"/>
      <c r="J24"/>
      <c r="K24"/>
      <c r="L24"/>
      <c r="M24"/>
      <c r="N24"/>
    </row>
    <row r="25" spans="1:14" ht="19.149999999999999" customHeight="1">
      <c r="A25"/>
      <c r="B25"/>
      <c r="C25"/>
      <c r="D25"/>
      <c r="E25"/>
      <c r="F25"/>
      <c r="G25"/>
      <c r="H25"/>
      <c r="I25"/>
      <c r="J25"/>
      <c r="K25"/>
      <c r="L25"/>
      <c r="M25"/>
      <c r="N25"/>
    </row>
    <row r="26" spans="1:14" ht="19.149999999999999" customHeight="1">
      <c r="A26" s="2119"/>
      <c r="B26" s="2119"/>
      <c r="C26" s="2119"/>
      <c r="D26" s="2119"/>
      <c r="E26" s="2119"/>
      <c r="F26" s="2119"/>
      <c r="G26" s="2119"/>
      <c r="H26"/>
      <c r="I26"/>
      <c r="J26"/>
      <c r="K26"/>
      <c r="L26"/>
      <c r="M26"/>
      <c r="N26"/>
    </row>
    <row r="27" spans="1:14" ht="19.149999999999999" customHeight="1">
      <c r="A27" s="2119"/>
      <c r="B27" s="2119"/>
      <c r="C27" s="2119"/>
      <c r="D27" s="2119"/>
      <c r="E27" s="2119"/>
      <c r="F27" s="2119"/>
      <c r="G27" s="2119"/>
      <c r="H27"/>
      <c r="I27"/>
      <c r="J27"/>
      <c r="K27"/>
      <c r="L27"/>
      <c r="M27"/>
      <c r="N27"/>
    </row>
    <row r="28" spans="1:14" ht="18.75">
      <c r="A28" s="2119"/>
      <c r="B28" s="2119"/>
      <c r="C28" s="2119"/>
      <c r="D28" s="2119"/>
      <c r="E28" s="2119"/>
      <c r="F28" s="2119"/>
      <c r="G28" s="2119"/>
      <c r="H28"/>
      <c r="I28"/>
      <c r="J28"/>
      <c r="K28"/>
      <c r="L28"/>
      <c r="M28"/>
      <c r="N28"/>
    </row>
    <row r="29" spans="1:14" ht="16.350000000000001" customHeight="1">
      <c r="A29" s="2119"/>
      <c r="B29" s="2119"/>
      <c r="C29" s="2119"/>
      <c r="D29" s="2119"/>
      <c r="E29" s="2119"/>
      <c r="F29" s="2119"/>
      <c r="G29" s="2119"/>
      <c r="H29"/>
      <c r="I29"/>
      <c r="J29"/>
      <c r="K29"/>
      <c r="L29"/>
      <c r="M29"/>
      <c r="N29"/>
    </row>
    <row r="30" spans="1:14" ht="12.2" customHeight="1">
      <c r="H30"/>
      <c r="I30"/>
      <c r="J30"/>
      <c r="K30"/>
      <c r="L30"/>
      <c r="M30"/>
      <c r="N30"/>
    </row>
    <row r="31" spans="1:14" ht="32.65" customHeight="1">
      <c r="H31"/>
      <c r="I31"/>
      <c r="J31"/>
      <c r="K31"/>
      <c r="L31"/>
      <c r="M31"/>
      <c r="N31"/>
    </row>
    <row r="32" spans="1:14" ht="32.65" customHeight="1">
      <c r="H32"/>
      <c r="I32"/>
      <c r="J32"/>
      <c r="K32"/>
      <c r="L32"/>
      <c r="M32"/>
      <c r="N32"/>
    </row>
    <row r="61" spans="1:1">
      <c r="A61" s="2121" t="s">
        <v>1063</v>
      </c>
    </row>
    <row r="63" spans="1:1">
      <c r="A63" s="2116" t="s">
        <v>835</v>
      </c>
    </row>
    <row r="65" spans="1:7">
      <c r="A65" s="2116" t="s">
        <v>836</v>
      </c>
    </row>
    <row r="66" spans="1:7">
      <c r="A66" s="2116" t="s">
        <v>837</v>
      </c>
    </row>
    <row r="67" spans="1:7">
      <c r="A67" s="3237" t="s">
        <v>1069</v>
      </c>
    </row>
    <row r="68" spans="1:7" ht="15" customHeight="1">
      <c r="A68" s="3237" t="s">
        <v>1070</v>
      </c>
    </row>
    <row r="69" spans="1:7">
      <c r="A69" s="3237" t="s">
        <v>1071</v>
      </c>
    </row>
    <row r="71" spans="1:7" ht="15" customHeight="1">
      <c r="A71" s="3343" t="s">
        <v>1072</v>
      </c>
      <c r="B71" s="3343"/>
      <c r="C71" s="3343"/>
      <c r="D71" s="3343"/>
      <c r="E71" s="3343"/>
      <c r="F71" s="3343"/>
      <c r="G71" s="3343"/>
    </row>
    <row r="72" spans="1:7">
      <c r="A72" s="3343"/>
      <c r="B72" s="3343"/>
      <c r="C72" s="3343"/>
      <c r="D72" s="3343"/>
      <c r="E72" s="3343"/>
      <c r="F72" s="3343"/>
      <c r="G72" s="3343"/>
    </row>
    <row r="109" ht="15" customHeight="1"/>
    <row r="112" ht="33" customHeight="1"/>
    <row r="114" spans="1:7">
      <c r="B114" s="2172"/>
      <c r="C114" s="2172"/>
      <c r="D114" s="2172"/>
      <c r="E114" s="2172"/>
      <c r="F114" s="2172"/>
      <c r="G114" s="2172"/>
    </row>
    <row r="115" spans="1:7">
      <c r="B115" s="2172"/>
      <c r="C115" s="2172"/>
      <c r="D115" s="2172"/>
      <c r="E115" s="2172"/>
      <c r="F115" s="2172"/>
      <c r="G115" s="2172"/>
    </row>
    <row r="116" spans="1:7">
      <c r="A116" s="2122" t="str">
        <f>"Opération " &amp;nom</f>
        <v xml:space="preserve">Opération </v>
      </c>
      <c r="B116" s="2172"/>
      <c r="C116" s="2172"/>
      <c r="D116" s="2172"/>
      <c r="E116" s="2172"/>
      <c r="F116" s="2172"/>
      <c r="G116" s="2172"/>
    </row>
    <row r="117" spans="1:7">
      <c r="A117" s="2199"/>
      <c r="B117" s="2117"/>
      <c r="C117" s="2117"/>
      <c r="D117" s="2117"/>
      <c r="E117" s="2117"/>
      <c r="F117" s="2117"/>
      <c r="G117" s="2117"/>
    </row>
    <row r="118" spans="1:7">
      <c r="A118" s="2117"/>
      <c r="B118" s="2117"/>
      <c r="C118" s="2117"/>
      <c r="D118" s="2117"/>
      <c r="E118" s="2117"/>
      <c r="F118" s="2117"/>
      <c r="G118" s="2117"/>
    </row>
    <row r="119" spans="1:7" ht="20.45" customHeight="1">
      <c r="A119" s="2172"/>
      <c r="B119" s="2175"/>
      <c r="C119" s="2175"/>
    </row>
    <row r="120" spans="1:7">
      <c r="A120" s="2173" t="s">
        <v>1048</v>
      </c>
    </row>
    <row r="122" spans="1:7">
      <c r="A122" s="2175"/>
      <c r="B122" s="2124"/>
      <c r="C122" s="2124"/>
    </row>
    <row r="123" spans="1:7">
      <c r="B123" s="2124"/>
      <c r="C123" s="2124"/>
    </row>
    <row r="124" spans="1:7">
      <c r="A124" s="3348" t="s">
        <v>1056</v>
      </c>
      <c r="B124" s="3349"/>
      <c r="C124" s="3349"/>
      <c r="D124" s="3349"/>
      <c r="E124" s="3349"/>
      <c r="F124" s="3349"/>
      <c r="G124" s="3349"/>
    </row>
    <row r="125" spans="1:7">
      <c r="A125" s="3349"/>
      <c r="B125" s="3349"/>
      <c r="C125" s="3349"/>
      <c r="D125" s="3349"/>
      <c r="E125" s="3349"/>
      <c r="F125" s="3349"/>
      <c r="G125" s="3349"/>
    </row>
    <row r="126" spans="1:7">
      <c r="A126" s="3349"/>
      <c r="B126" s="3349"/>
      <c r="C126" s="3349"/>
      <c r="D126" s="3349"/>
      <c r="E126" s="3349"/>
      <c r="F126" s="3349"/>
      <c r="G126" s="3349"/>
    </row>
    <row r="127" spans="1:7" ht="14.45" customHeight="1"/>
    <row r="132" spans="1:3">
      <c r="A132" s="2175" t="s">
        <v>838</v>
      </c>
    </row>
    <row r="134" spans="1:3">
      <c r="A134" s="3209" t="s">
        <v>1026</v>
      </c>
      <c r="B134" s="3210" t="s">
        <v>757</v>
      </c>
      <c r="C134" s="2123">
        <f ca="1">TODAY()</f>
        <v>43403</v>
      </c>
    </row>
    <row r="137" spans="1:3">
      <c r="A137" s="2116" t="s">
        <v>820</v>
      </c>
    </row>
    <row r="138" spans="1:3">
      <c r="A138" s="2198" t="s">
        <v>810</v>
      </c>
    </row>
    <row r="143" spans="1:3">
      <c r="A143" s="2116" t="str">
        <f>directeur_g</f>
        <v>Patrick CORRE</v>
      </c>
    </row>
    <row r="159" ht="15" customHeight="1"/>
    <row r="161" spans="1:7" ht="15.75">
      <c r="A161" s="3346" t="s">
        <v>1073</v>
      </c>
      <c r="B161" s="3346"/>
      <c r="C161" s="3346"/>
      <c r="D161" s="3346"/>
      <c r="E161" s="3346"/>
      <c r="F161" s="3346"/>
      <c r="G161" s="3346"/>
    </row>
    <row r="166" spans="1:7">
      <c r="A166" s="2122" t="str">
        <f>"Opération " &amp;nom</f>
        <v xml:space="preserve">Opération </v>
      </c>
      <c r="B166" s="2173"/>
      <c r="C166" s="2173"/>
      <c r="D166" s="2173"/>
    </row>
    <row r="167" spans="1:7" ht="15" customHeight="1"/>
    <row r="169" spans="1:7">
      <c r="A169" s="2173" t="str">
        <f>"Je soussigné, M." &amp; directeur_g &amp; ","</f>
        <v>Je soussigné, M.Patrick CORRE,</v>
      </c>
    </row>
    <row r="172" spans="1:7">
      <c r="A172" s="2116" t="s">
        <v>839</v>
      </c>
    </row>
    <row r="173" spans="1:7">
      <c r="A173" s="3202" t="s">
        <v>1016</v>
      </c>
    </row>
    <row r="174" spans="1:7">
      <c r="A174" s="3217" t="s">
        <v>1033</v>
      </c>
    </row>
    <row r="175" spans="1:7" ht="14.45" customHeight="1">
      <c r="A175" s="3217" t="s">
        <v>1034</v>
      </c>
    </row>
    <row r="176" spans="1:7">
      <c r="A176" s="2116" t="str">
        <f>" un programme immobilier totalisant " &amp; nombreLLS &amp; " logements LLS dans le secteur social. "</f>
        <v xml:space="preserve"> un programme immobilier totalisant 35 logements LLS dans le secteur social. </v>
      </c>
    </row>
    <row r="177" spans="1:7">
      <c r="B177" s="2172"/>
      <c r="C177" s="2172"/>
      <c r="D177" s="2172"/>
      <c r="E177" s="2172"/>
      <c r="F177" s="2172"/>
      <c r="G177" s="2172"/>
    </row>
    <row r="178" spans="1:7" ht="22.5" customHeight="1">
      <c r="B178" s="2172"/>
      <c r="C178" s="2172"/>
      <c r="D178" s="2172"/>
      <c r="E178" s="2172"/>
      <c r="F178" s="2172"/>
      <c r="G178" s="2172"/>
    </row>
    <row r="179" spans="1:7" ht="14.25" customHeight="1">
      <c r="A179" s="3341" t="s">
        <v>1074</v>
      </c>
      <c r="B179" s="3351"/>
      <c r="C179" s="3351"/>
      <c r="D179" s="3351"/>
      <c r="E179" s="3351"/>
      <c r="F179" s="3351"/>
      <c r="G179" s="3351"/>
    </row>
    <row r="180" spans="1:7">
      <c r="A180" s="3351"/>
      <c r="B180" s="3351"/>
      <c r="C180" s="3351"/>
      <c r="D180" s="3351"/>
      <c r="E180" s="3351"/>
      <c r="F180" s="3351"/>
      <c r="G180" s="3351"/>
    </row>
    <row r="181" spans="1:7">
      <c r="A181" s="3351"/>
      <c r="B181" s="3351"/>
      <c r="C181" s="3351"/>
      <c r="D181" s="3351"/>
      <c r="E181" s="3351"/>
      <c r="F181" s="3351"/>
      <c r="G181" s="3351"/>
    </row>
    <row r="182" spans="1:7" ht="14.45" customHeight="1">
      <c r="A182" s="3351"/>
      <c r="B182" s="3351"/>
      <c r="C182" s="3351"/>
      <c r="D182" s="3351"/>
      <c r="E182" s="3351"/>
      <c r="F182" s="3351"/>
      <c r="G182" s="3351"/>
    </row>
    <row r="183" spans="1:7">
      <c r="A183" s="3351"/>
      <c r="B183" s="3351"/>
      <c r="C183" s="3351"/>
      <c r="D183" s="3351"/>
      <c r="E183" s="3351"/>
      <c r="F183" s="3351"/>
      <c r="G183" s="3351"/>
    </row>
    <row r="184" spans="1:7">
      <c r="A184" s="3351"/>
      <c r="B184" s="3351"/>
      <c r="C184" s="3351"/>
      <c r="D184" s="3351"/>
      <c r="E184" s="3351"/>
      <c r="F184" s="3351"/>
      <c r="G184" s="3351"/>
    </row>
    <row r="185" spans="1:7">
      <c r="B185" s="2172"/>
      <c r="C185" s="2172"/>
      <c r="D185" s="2172"/>
      <c r="E185" s="2172"/>
      <c r="F185" s="2172"/>
      <c r="G185" s="2172"/>
    </row>
    <row r="186" spans="1:7" ht="33" customHeight="1">
      <c r="A186" s="3341" t="s">
        <v>1075</v>
      </c>
      <c r="B186" s="3342"/>
      <c r="C186" s="3342"/>
      <c r="D186" s="3342"/>
      <c r="E186" s="3342"/>
      <c r="F186" s="3342"/>
      <c r="G186" s="3342"/>
    </row>
    <row r="187" spans="1:7">
      <c r="A187" s="3342"/>
      <c r="B187" s="3342"/>
      <c r="C187" s="3342"/>
      <c r="D187" s="3342"/>
      <c r="E187" s="3342"/>
      <c r="F187" s="3342"/>
      <c r="G187" s="3342"/>
    </row>
    <row r="188" spans="1:7">
      <c r="A188" s="3342"/>
      <c r="B188" s="3342"/>
      <c r="C188" s="3342"/>
      <c r="D188" s="3342"/>
      <c r="E188" s="3342"/>
      <c r="F188" s="3342"/>
      <c r="G188" s="3342"/>
    </row>
    <row r="189" spans="1:7">
      <c r="A189" s="3342"/>
      <c r="B189" s="3342"/>
      <c r="C189" s="3342"/>
      <c r="D189" s="3342"/>
      <c r="E189" s="3342"/>
      <c r="F189" s="3342"/>
      <c r="G189" s="3342"/>
    </row>
    <row r="190" spans="1:7">
      <c r="A190" s="2117"/>
      <c r="B190" s="2117"/>
      <c r="C190" s="2117"/>
      <c r="D190" s="2117"/>
      <c r="E190" s="2117"/>
      <c r="F190" s="2117"/>
      <c r="G190" s="2117"/>
    </row>
    <row r="191" spans="1:7">
      <c r="B191" s="2124"/>
      <c r="C191" s="2124"/>
    </row>
    <row r="193" spans="1:3">
      <c r="A193" s="3209" t="s">
        <v>1026</v>
      </c>
      <c r="B193" s="3210" t="s">
        <v>757</v>
      </c>
      <c r="C193" s="2123">
        <f ca="1">TODAY()</f>
        <v>43403</v>
      </c>
    </row>
    <row r="194" spans="1:3">
      <c r="A194" s="2124"/>
    </row>
    <row r="196" spans="1:3">
      <c r="A196" s="2116" t="s">
        <v>820</v>
      </c>
    </row>
    <row r="197" spans="1:3">
      <c r="A197" s="3208" t="s">
        <v>810</v>
      </c>
    </row>
    <row r="202" spans="1:3">
      <c r="A202" s="2116" t="str">
        <f>directeur_g</f>
        <v>Patrick CORRE</v>
      </c>
    </row>
    <row r="211" spans="1:7" ht="15.75">
      <c r="A211" s="3346" t="s">
        <v>1076</v>
      </c>
      <c r="B211" s="3346"/>
      <c r="C211" s="3346"/>
      <c r="D211" s="3346"/>
      <c r="E211" s="3346"/>
      <c r="F211" s="3346"/>
      <c r="G211" s="3346"/>
    </row>
    <row r="215" spans="1:7">
      <c r="A215" s="2122" t="str">
        <f>"Opération " &amp;nom</f>
        <v xml:space="preserve">Opération </v>
      </c>
      <c r="B215" s="2173"/>
      <c r="C215" s="2173"/>
      <c r="D215" s="2173"/>
    </row>
    <row r="217" spans="1:7" ht="14.45" customHeight="1"/>
    <row r="218" spans="1:7">
      <c r="A218" s="2173" t="str">
        <f>"Je soussigné, M." &amp; directeur_g &amp; ","</f>
        <v>Je soussigné, M.Patrick CORRE,</v>
      </c>
    </row>
    <row r="221" spans="1:7">
      <c r="A221" s="2116" t="s">
        <v>839</v>
      </c>
    </row>
    <row r="222" spans="1:7">
      <c r="A222" s="3202" t="s">
        <v>1016</v>
      </c>
    </row>
    <row r="223" spans="1:7" ht="14.45" customHeight="1">
      <c r="A223" s="3217" t="s">
        <v>1033</v>
      </c>
    </row>
    <row r="224" spans="1:7" ht="17.100000000000001" customHeight="1">
      <c r="A224" s="3217" t="s">
        <v>1034</v>
      </c>
    </row>
    <row r="225" spans="1:7" ht="14.45" customHeight="1">
      <c r="A225" s="2116" t="str">
        <f>" un programme immobilier totalisant " &amp; nombreLLS &amp; " logements LLS dans le secteur social. "</f>
        <v xml:space="preserve"> un programme immobilier totalisant 35 logements LLS dans le secteur social. </v>
      </c>
    </row>
    <row r="226" spans="1:7">
      <c r="B226" s="2174"/>
      <c r="C226" s="2174"/>
      <c r="D226" s="2174"/>
      <c r="E226" s="2174"/>
      <c r="F226" s="2174"/>
      <c r="G226" s="2174"/>
    </row>
    <row r="227" spans="1:7">
      <c r="B227" s="2174"/>
      <c r="C227" s="2174"/>
      <c r="D227" s="2174"/>
      <c r="E227" s="2174"/>
      <c r="F227" s="2174"/>
      <c r="G227" s="2174"/>
    </row>
    <row r="228" spans="1:7" ht="14.25" customHeight="1">
      <c r="A228" s="3347" t="s">
        <v>841</v>
      </c>
      <c r="B228" s="3347"/>
      <c r="C228" s="3347"/>
      <c r="D228" s="3347"/>
      <c r="E228" s="3347"/>
      <c r="F228" s="3347"/>
      <c r="G228" s="3347"/>
    </row>
    <row r="229" spans="1:7">
      <c r="A229" s="3347"/>
      <c r="B229" s="3347"/>
      <c r="C229" s="3347"/>
      <c r="D229" s="3347"/>
      <c r="E229" s="3347"/>
      <c r="F229" s="3347"/>
      <c r="G229" s="3347"/>
    </row>
    <row r="230" spans="1:7" ht="14.45" customHeight="1">
      <c r="A230" s="3347"/>
      <c r="B230" s="3347"/>
      <c r="C230" s="3347"/>
      <c r="D230" s="3347"/>
      <c r="E230" s="3347"/>
      <c r="F230" s="3347"/>
      <c r="G230" s="3347"/>
    </row>
    <row r="231" spans="1:7">
      <c r="A231" s="3347"/>
      <c r="B231" s="3347"/>
      <c r="C231" s="3347"/>
      <c r="D231" s="3347"/>
      <c r="E231" s="3347"/>
      <c r="F231" s="3347"/>
      <c r="G231" s="3347"/>
    </row>
    <row r="232" spans="1:7" ht="14.45" customHeight="1">
      <c r="A232" s="3347"/>
      <c r="B232" s="3347"/>
      <c r="C232" s="3347"/>
      <c r="D232" s="3347"/>
      <c r="E232" s="3347"/>
      <c r="F232" s="3347"/>
      <c r="G232" s="3347"/>
    </row>
    <row r="233" spans="1:7" ht="14.45" customHeight="1">
      <c r="B233" s="2174"/>
      <c r="C233" s="2174"/>
      <c r="D233" s="2174"/>
      <c r="E233" s="2174"/>
      <c r="F233" s="2174"/>
      <c r="G233" s="2174"/>
    </row>
    <row r="234" spans="1:7" ht="14.45" customHeight="1">
      <c r="A234" s="2116" t="s">
        <v>842</v>
      </c>
      <c r="B234" s="2174"/>
      <c r="C234" s="2174"/>
      <c r="D234" s="2174"/>
      <c r="E234" s="2174"/>
      <c r="F234" s="2174"/>
      <c r="G234" s="2174"/>
    </row>
    <row r="236" spans="1:7" ht="14.45" customHeight="1">
      <c r="A236" s="3350" t="s">
        <v>843</v>
      </c>
      <c r="B236" s="3350"/>
      <c r="C236" s="3350"/>
      <c r="D236" s="3350"/>
      <c r="E236" s="3350"/>
      <c r="F236" s="3350"/>
      <c r="G236" s="3350"/>
    </row>
    <row r="237" spans="1:7" ht="14.45" customHeight="1">
      <c r="A237" s="3350"/>
      <c r="B237" s="3350"/>
      <c r="C237" s="3350"/>
      <c r="D237" s="3350"/>
      <c r="E237" s="3350"/>
      <c r="F237" s="3350"/>
      <c r="G237" s="3350"/>
    </row>
    <row r="238" spans="1:7" ht="14.45" customHeight="1">
      <c r="A238" s="2174"/>
    </row>
    <row r="239" spans="1:7" ht="20.45" customHeight="1">
      <c r="A239" s="2116" t="s">
        <v>844</v>
      </c>
      <c r="B239" s="2172"/>
      <c r="C239" s="2172"/>
      <c r="D239" s="2172"/>
      <c r="E239" s="2172"/>
      <c r="F239" s="2172"/>
      <c r="G239" s="2172"/>
    </row>
    <row r="240" spans="1:7" ht="11.65" customHeight="1"/>
    <row r="241" spans="1:7" ht="14.25" customHeight="1">
      <c r="A241" s="3342" t="s">
        <v>845</v>
      </c>
      <c r="B241" s="3342"/>
      <c r="C241" s="3342"/>
      <c r="D241" s="3342"/>
      <c r="E241" s="3342"/>
      <c r="F241" s="3342"/>
      <c r="G241" s="3342"/>
    </row>
    <row r="242" spans="1:7">
      <c r="A242" s="3342"/>
      <c r="B242" s="3342"/>
      <c r="C242" s="3342"/>
      <c r="D242" s="3342"/>
      <c r="E242" s="3342"/>
      <c r="F242" s="3342"/>
      <c r="G242" s="3342"/>
    </row>
    <row r="243" spans="1:7">
      <c r="A243" s="2172"/>
      <c r="B243" s="2172"/>
      <c r="C243" s="2172"/>
      <c r="D243" s="2172"/>
      <c r="E243" s="2172"/>
      <c r="F243" s="2172"/>
      <c r="G243" s="2172"/>
    </row>
    <row r="244" spans="1:7">
      <c r="A244" s="3342" t="s">
        <v>846</v>
      </c>
      <c r="B244" s="3342"/>
      <c r="C244" s="3342"/>
      <c r="D244" s="3342"/>
      <c r="E244" s="3342"/>
      <c r="F244" s="3342"/>
      <c r="G244" s="3342"/>
    </row>
    <row r="245" spans="1:7">
      <c r="A245" s="3342"/>
      <c r="B245" s="3342"/>
      <c r="C245" s="3342"/>
      <c r="D245" s="3342"/>
      <c r="E245" s="3342"/>
      <c r="F245" s="3342"/>
      <c r="G245" s="3342"/>
    </row>
    <row r="246" spans="1:7">
      <c r="A246" s="3204"/>
      <c r="B246" s="3204"/>
      <c r="C246" s="3204"/>
      <c r="D246" s="3204"/>
      <c r="E246" s="3204"/>
      <c r="F246" s="3204"/>
      <c r="G246" s="3204"/>
    </row>
    <row r="247" spans="1:7">
      <c r="A247" s="3341" t="s">
        <v>1077</v>
      </c>
      <c r="B247" s="3342"/>
      <c r="C247" s="3342"/>
      <c r="D247" s="3342"/>
      <c r="E247" s="3342"/>
      <c r="F247" s="3342"/>
      <c r="G247" s="3342"/>
    </row>
    <row r="248" spans="1:7">
      <c r="A248" s="3342"/>
      <c r="B248" s="3342"/>
      <c r="C248" s="3342"/>
      <c r="D248" s="3342"/>
      <c r="E248" s="3342"/>
      <c r="F248" s="3342"/>
      <c r="G248" s="3342"/>
    </row>
    <row r="249" spans="1:7">
      <c r="A249" s="3342"/>
      <c r="B249" s="3342"/>
      <c r="C249" s="3342"/>
      <c r="D249" s="3342"/>
      <c r="E249" s="3342"/>
      <c r="F249" s="3342"/>
      <c r="G249" s="3342"/>
    </row>
    <row r="250" spans="1:7">
      <c r="A250" s="3342"/>
      <c r="B250" s="3342"/>
      <c r="C250" s="3342"/>
      <c r="D250" s="3342"/>
      <c r="E250" s="3342"/>
      <c r="F250" s="3342"/>
      <c r="G250" s="3342"/>
    </row>
    <row r="251" spans="1:7">
      <c r="A251" s="2172"/>
      <c r="B251" s="2124"/>
      <c r="C251" s="2124"/>
    </row>
    <row r="253" spans="1:7">
      <c r="A253" s="3209" t="s">
        <v>1026</v>
      </c>
      <c r="B253" s="3210" t="s">
        <v>757</v>
      </c>
      <c r="C253" s="2123">
        <f ca="1">TODAY()</f>
        <v>43403</v>
      </c>
    </row>
    <row r="254" spans="1:7">
      <c r="A254" s="2124"/>
    </row>
    <row r="256" spans="1:7">
      <c r="A256" s="2116" t="s">
        <v>820</v>
      </c>
    </row>
    <row r="257" spans="1:7">
      <c r="A257" s="3208" t="s">
        <v>810</v>
      </c>
    </row>
    <row r="263" spans="1:7">
      <c r="A263" s="2116" t="str">
        <f>directeur_g</f>
        <v>Patrick CORRE</v>
      </c>
    </row>
    <row r="270" spans="1:7" ht="15.75">
      <c r="A270" s="3346" t="s">
        <v>1073</v>
      </c>
      <c r="B270" s="3346"/>
      <c r="C270" s="3346"/>
      <c r="D270" s="3346"/>
      <c r="E270" s="3346"/>
      <c r="F270" s="3346"/>
      <c r="G270" s="3346"/>
    </row>
    <row r="272" spans="1:7">
      <c r="B272" s="2173"/>
      <c r="C272" s="2173"/>
      <c r="D272" s="2173"/>
    </row>
    <row r="273" spans="1:7">
      <c r="A273" s="2122" t="str">
        <f>"Opération " &amp;nom</f>
        <v xml:space="preserve">Opération </v>
      </c>
    </row>
    <row r="275" spans="1:7" ht="14.25" customHeight="1">
      <c r="A275" s="2173" t="str">
        <f>"Je soussigné, M." &amp; directeur_g &amp; ","</f>
        <v>Je soussigné, M.Patrick CORRE,</v>
      </c>
    </row>
    <row r="278" spans="1:7">
      <c r="A278" s="2116" t="s">
        <v>839</v>
      </c>
    </row>
    <row r="279" spans="1:7">
      <c r="A279" s="3202" t="s">
        <v>1016</v>
      </c>
    </row>
    <row r="280" spans="1:7">
      <c r="A280" s="3217" t="s">
        <v>1033</v>
      </c>
    </row>
    <row r="281" spans="1:7">
      <c r="A281" s="3217" t="s">
        <v>1034</v>
      </c>
    </row>
    <row r="282" spans="1:7">
      <c r="A282" s="2116" t="str">
        <f>" un programme immobilier totalisant " &amp; nombreLLTS &amp; " logements LLTS dans le secteur social. "</f>
        <v xml:space="preserve"> un programme immobilier totalisant 35 logements LLTS dans le secteur social. </v>
      </c>
    </row>
    <row r="283" spans="1:7">
      <c r="A283" s="3208"/>
      <c r="B283" s="2172"/>
      <c r="C283" s="2172"/>
      <c r="D283" s="2172"/>
      <c r="E283" s="2172"/>
      <c r="F283" s="2172"/>
      <c r="G283" s="2172"/>
    </row>
    <row r="284" spans="1:7">
      <c r="B284" s="2172"/>
      <c r="C284" s="2172"/>
      <c r="D284" s="2172"/>
      <c r="E284" s="2172"/>
      <c r="F284" s="2172"/>
      <c r="G284" s="2172"/>
    </row>
    <row r="285" spans="1:7">
      <c r="B285" s="2172"/>
      <c r="C285" s="2172"/>
      <c r="D285" s="2172"/>
      <c r="E285" s="2172"/>
      <c r="F285" s="2172"/>
      <c r="G285" s="2172"/>
    </row>
    <row r="286" spans="1:7" ht="14.25" customHeight="1">
      <c r="A286" s="3351" t="s">
        <v>1029</v>
      </c>
      <c r="B286" s="3351"/>
      <c r="C286" s="3351"/>
      <c r="D286" s="3351"/>
      <c r="E286" s="3351"/>
      <c r="F286" s="3351"/>
      <c r="G286" s="3351"/>
    </row>
    <row r="287" spans="1:7">
      <c r="A287" s="3351"/>
      <c r="B287" s="3351"/>
      <c r="C287" s="3351"/>
      <c r="D287" s="3351"/>
      <c r="E287" s="3351"/>
      <c r="F287" s="3351"/>
      <c r="G287" s="3351"/>
    </row>
    <row r="288" spans="1:7">
      <c r="A288" s="3351"/>
      <c r="B288" s="3351"/>
      <c r="C288" s="3351"/>
      <c r="D288" s="3351"/>
      <c r="E288" s="3351"/>
      <c r="F288" s="3351"/>
      <c r="G288" s="3351"/>
    </row>
    <row r="289" spans="1:7">
      <c r="A289" s="3351"/>
      <c r="B289" s="3351"/>
      <c r="C289" s="3351"/>
      <c r="D289" s="3351"/>
      <c r="E289" s="3351"/>
      <c r="F289" s="3351"/>
      <c r="G289" s="3351"/>
    </row>
    <row r="290" spans="1:7">
      <c r="A290" s="3351"/>
      <c r="B290" s="3351"/>
      <c r="C290" s="3351"/>
      <c r="D290" s="3351"/>
      <c r="E290" s="3351"/>
      <c r="F290" s="3351"/>
      <c r="G290" s="3351"/>
    </row>
    <row r="291" spans="1:7">
      <c r="A291" s="3351"/>
      <c r="B291" s="3351"/>
      <c r="C291" s="3351"/>
      <c r="D291" s="3351"/>
      <c r="E291" s="3351"/>
      <c r="F291" s="3351"/>
      <c r="G291" s="3351"/>
    </row>
    <row r="292" spans="1:7" ht="14.25" customHeight="1">
      <c r="A292" s="3211"/>
      <c r="B292" s="2117"/>
      <c r="C292" s="2117"/>
      <c r="D292" s="2117"/>
      <c r="E292" s="2117"/>
      <c r="F292" s="2117"/>
      <c r="G292" s="2117"/>
    </row>
    <row r="293" spans="1:7">
      <c r="A293" s="3341" t="s">
        <v>1078</v>
      </c>
      <c r="B293" s="3342"/>
      <c r="C293" s="3342"/>
      <c r="D293" s="3342"/>
      <c r="E293" s="3342"/>
      <c r="F293" s="3342"/>
      <c r="G293" s="3342"/>
    </row>
    <row r="294" spans="1:7">
      <c r="A294" s="3342"/>
      <c r="B294" s="3342"/>
      <c r="C294" s="3342"/>
      <c r="D294" s="3342"/>
      <c r="E294" s="3342"/>
      <c r="F294" s="3342"/>
      <c r="G294" s="3342"/>
    </row>
    <row r="295" spans="1:7">
      <c r="A295" s="3342"/>
      <c r="B295" s="3342"/>
      <c r="C295" s="3342"/>
      <c r="D295" s="3342"/>
      <c r="E295" s="3342"/>
      <c r="F295" s="3342"/>
      <c r="G295" s="3342"/>
    </row>
    <row r="296" spans="1:7">
      <c r="A296" s="3342"/>
      <c r="B296" s="3342"/>
      <c r="C296" s="3342"/>
      <c r="D296" s="3342"/>
      <c r="E296" s="3342"/>
      <c r="F296" s="3342"/>
      <c r="G296" s="3342"/>
    </row>
    <row r="297" spans="1:7">
      <c r="B297" s="2124"/>
      <c r="C297" s="2124"/>
    </row>
    <row r="299" spans="1:7">
      <c r="A299" s="3209" t="s">
        <v>1026</v>
      </c>
      <c r="B299" s="3210" t="s">
        <v>757</v>
      </c>
      <c r="C299" s="2123">
        <f ca="1">TODAY()</f>
        <v>43403</v>
      </c>
    </row>
    <row r="300" spans="1:7">
      <c r="A300" s="2124"/>
    </row>
    <row r="302" spans="1:7">
      <c r="A302" s="2116" t="s">
        <v>820</v>
      </c>
    </row>
    <row r="303" spans="1:7">
      <c r="A303" s="3208" t="s">
        <v>810</v>
      </c>
    </row>
    <row r="310" spans="1:1">
      <c r="A310" s="2116" t="str">
        <f>directeur_g</f>
        <v>Patrick CORRE</v>
      </c>
    </row>
    <row r="322" spans="1:7" ht="15.75">
      <c r="A322" s="3346" t="s">
        <v>1076</v>
      </c>
      <c r="B322" s="3346"/>
      <c r="C322" s="3346"/>
      <c r="D322" s="3346"/>
      <c r="E322" s="3346"/>
      <c r="F322" s="3346"/>
      <c r="G322" s="3346"/>
    </row>
    <row r="323" spans="1:7">
      <c r="B323" s="2173"/>
      <c r="C323" s="2173"/>
      <c r="D323" s="2173"/>
    </row>
    <row r="324" spans="1:7">
      <c r="A324" s="2122" t="str">
        <f>"Opération " &amp;nom</f>
        <v xml:space="preserve">Opération </v>
      </c>
    </row>
    <row r="326" spans="1:7">
      <c r="A326" s="2173" t="str">
        <f>"Je soussigné, M." &amp; directeur_g &amp; ","</f>
        <v>Je soussigné, M.Patrick CORRE,</v>
      </c>
    </row>
    <row r="328" spans="1:7">
      <c r="A328" s="2116" t="s">
        <v>839</v>
      </c>
    </row>
    <row r="329" spans="1:7">
      <c r="A329" s="3202" t="s">
        <v>1016</v>
      </c>
    </row>
    <row r="330" spans="1:7">
      <c r="A330" s="3202" t="s">
        <v>1017</v>
      </c>
    </row>
    <row r="331" spans="1:7">
      <c r="A331" s="2116" t="s">
        <v>840</v>
      </c>
    </row>
    <row r="332" spans="1:7">
      <c r="A332" s="2116" t="str">
        <f>"précité, la SODEGIS initie un programme immobilier totalisant " &amp; nombreLLTS &amp; " logements LLTS "</f>
        <v xml:space="preserve">précité, la SODEGIS initie un programme immobilier totalisant 35 logements LLTS </v>
      </c>
    </row>
    <row r="333" spans="1:7">
      <c r="A333" s="3202" t="s">
        <v>1018</v>
      </c>
      <c r="B333" s="2174"/>
      <c r="C333" s="2174"/>
      <c r="D333" s="2174"/>
      <c r="E333" s="2174"/>
      <c r="F333" s="2174"/>
      <c r="G333" s="2174"/>
    </row>
    <row r="334" spans="1:7">
      <c r="B334" s="2174"/>
      <c r="C334" s="2174"/>
      <c r="D334" s="2174"/>
      <c r="E334" s="2174"/>
      <c r="F334" s="2174"/>
      <c r="G334" s="2174"/>
    </row>
    <row r="335" spans="1:7">
      <c r="A335" s="3347" t="s">
        <v>841</v>
      </c>
      <c r="B335" s="3347"/>
      <c r="C335" s="3347"/>
      <c r="D335" s="3347"/>
      <c r="E335" s="3347"/>
      <c r="F335" s="3347"/>
      <c r="G335" s="3347"/>
    </row>
    <row r="336" spans="1:7">
      <c r="A336" s="3347"/>
      <c r="B336" s="3347"/>
      <c r="C336" s="3347"/>
      <c r="D336" s="3347"/>
      <c r="E336" s="3347"/>
      <c r="F336" s="3347"/>
      <c r="G336" s="3347"/>
    </row>
    <row r="337" spans="1:7">
      <c r="A337" s="3347"/>
      <c r="B337" s="3347"/>
      <c r="C337" s="3347"/>
      <c r="D337" s="3347"/>
      <c r="E337" s="3347"/>
      <c r="F337" s="3347"/>
      <c r="G337" s="3347"/>
    </row>
    <row r="338" spans="1:7" ht="14.25" customHeight="1">
      <c r="A338" s="3347"/>
      <c r="B338" s="3347"/>
      <c r="C338" s="3347"/>
      <c r="D338" s="3347"/>
      <c r="E338" s="3347"/>
      <c r="F338" s="3347"/>
      <c r="G338" s="3347"/>
    </row>
    <row r="339" spans="1:7">
      <c r="A339" s="3347"/>
      <c r="B339" s="3347"/>
      <c r="C339" s="3347"/>
      <c r="D339" s="3347"/>
      <c r="E339" s="3347"/>
      <c r="F339" s="3347"/>
      <c r="G339" s="3347"/>
    </row>
    <row r="340" spans="1:7">
      <c r="B340" s="2174"/>
      <c r="C340" s="2174"/>
      <c r="D340" s="2174"/>
      <c r="E340" s="2174"/>
      <c r="F340" s="2174"/>
      <c r="G340" s="2174"/>
    </row>
    <row r="341" spans="1:7">
      <c r="A341" s="2116" t="s">
        <v>842</v>
      </c>
      <c r="B341" s="2174"/>
      <c r="C341" s="2174"/>
      <c r="D341" s="2174"/>
      <c r="E341" s="2174"/>
      <c r="F341" s="2174"/>
      <c r="G341" s="2174"/>
    </row>
    <row r="343" spans="1:7">
      <c r="A343" s="3350" t="s">
        <v>843</v>
      </c>
      <c r="B343" s="3350"/>
      <c r="C343" s="3350"/>
      <c r="D343" s="3350"/>
      <c r="E343" s="3350"/>
      <c r="F343" s="3350"/>
      <c r="G343" s="3350"/>
    </row>
    <row r="344" spans="1:7">
      <c r="A344" s="3350"/>
      <c r="B344" s="3350"/>
      <c r="C344" s="3350"/>
      <c r="D344" s="3350"/>
      <c r="E344" s="3350"/>
      <c r="F344" s="3350"/>
      <c r="G344" s="3350"/>
    </row>
    <row r="345" spans="1:7">
      <c r="A345" s="2174"/>
    </row>
    <row r="346" spans="1:7" ht="14.25" customHeight="1">
      <c r="A346" s="2116" t="s">
        <v>844</v>
      </c>
      <c r="B346" s="2172"/>
      <c r="C346" s="2172"/>
      <c r="D346" s="2172"/>
      <c r="E346" s="2172"/>
      <c r="F346" s="2172"/>
      <c r="G346" s="2172"/>
    </row>
    <row r="348" spans="1:7">
      <c r="A348" s="3342" t="s">
        <v>845</v>
      </c>
      <c r="B348" s="3342"/>
      <c r="C348" s="3342"/>
      <c r="D348" s="3342"/>
      <c r="E348" s="3342"/>
      <c r="F348" s="3342"/>
      <c r="G348" s="3342"/>
    </row>
    <row r="349" spans="1:7">
      <c r="A349" s="3342"/>
      <c r="B349" s="3342"/>
      <c r="C349" s="3342"/>
      <c r="D349" s="3342"/>
      <c r="E349" s="3342"/>
      <c r="F349" s="3342"/>
      <c r="G349" s="3342"/>
    </row>
    <row r="350" spans="1:7">
      <c r="A350" s="2172"/>
      <c r="B350" s="2172"/>
      <c r="C350" s="2172"/>
      <c r="D350" s="2172"/>
      <c r="E350" s="2172"/>
      <c r="F350" s="2172"/>
      <c r="G350" s="2172"/>
    </row>
    <row r="351" spans="1:7" ht="14.25" customHeight="1">
      <c r="A351" s="3342" t="s">
        <v>846</v>
      </c>
      <c r="B351" s="3342"/>
      <c r="C351" s="3342"/>
      <c r="D351" s="3342"/>
      <c r="E351" s="3342"/>
      <c r="F351" s="3342"/>
      <c r="G351" s="3342"/>
    </row>
    <row r="352" spans="1:7">
      <c r="A352" s="3342"/>
      <c r="B352" s="3342"/>
      <c r="C352" s="3342"/>
      <c r="D352" s="3342"/>
      <c r="E352" s="3342"/>
      <c r="F352" s="3342"/>
      <c r="G352" s="3342"/>
    </row>
    <row r="353" spans="1:7">
      <c r="A353" s="2117"/>
      <c r="B353" s="2117"/>
      <c r="C353" s="2117"/>
      <c r="D353" s="2117"/>
      <c r="E353" s="2117"/>
      <c r="F353" s="2117"/>
      <c r="G353" s="2117"/>
    </row>
    <row r="354" spans="1:7" ht="14.25" customHeight="1">
      <c r="A354" s="3341" t="s">
        <v>1079</v>
      </c>
      <c r="B354" s="3342"/>
      <c r="C354" s="3342"/>
      <c r="D354" s="3342"/>
      <c r="E354" s="3342"/>
      <c r="F354" s="3342"/>
      <c r="G354" s="3342"/>
    </row>
    <row r="355" spans="1:7">
      <c r="A355" s="3342"/>
      <c r="B355" s="3342"/>
      <c r="C355" s="3342"/>
      <c r="D355" s="3342"/>
      <c r="E355" s="3342"/>
      <c r="F355" s="3342"/>
      <c r="G355" s="3342"/>
    </row>
    <row r="356" spans="1:7">
      <c r="A356" s="3342"/>
      <c r="B356" s="3342"/>
      <c r="C356" s="3342"/>
      <c r="D356" s="3342"/>
      <c r="E356" s="3342"/>
      <c r="F356" s="3342"/>
      <c r="G356" s="3342"/>
    </row>
    <row r="357" spans="1:7">
      <c r="A357" s="3342"/>
      <c r="B357" s="3342"/>
      <c r="C357" s="3342"/>
      <c r="D357" s="3342"/>
      <c r="E357" s="3342"/>
      <c r="F357" s="3342"/>
      <c r="G357" s="3342"/>
    </row>
    <row r="358" spans="1:7">
      <c r="A358" s="2172"/>
      <c r="B358" s="2124"/>
      <c r="C358" s="2124"/>
    </row>
    <row r="360" spans="1:7">
      <c r="A360" s="3209" t="s">
        <v>1026</v>
      </c>
      <c r="B360" s="3210" t="s">
        <v>757</v>
      </c>
      <c r="C360" s="2123">
        <f ca="1">TODAY()</f>
        <v>43403</v>
      </c>
    </row>
    <row r="361" spans="1:7">
      <c r="A361" s="2124"/>
    </row>
    <row r="362" spans="1:7">
      <c r="A362" s="2116" t="s">
        <v>820</v>
      </c>
    </row>
    <row r="363" spans="1:7">
      <c r="A363" s="3208" t="s">
        <v>810</v>
      </c>
    </row>
    <row r="368" spans="1:7">
      <c r="A368" s="2116" t="str">
        <f>directeur_g</f>
        <v>Patrick CORRE</v>
      </c>
    </row>
  </sheetData>
  <mergeCells count="22">
    <mergeCell ref="A354:G357"/>
    <mergeCell ref="A247:G250"/>
    <mergeCell ref="A244:G245"/>
    <mergeCell ref="A228:G232"/>
    <mergeCell ref="A124:G126"/>
    <mergeCell ref="A186:G189"/>
    <mergeCell ref="A236:G237"/>
    <mergeCell ref="A241:G242"/>
    <mergeCell ref="A335:G339"/>
    <mergeCell ref="A351:G352"/>
    <mergeCell ref="A348:G349"/>
    <mergeCell ref="A343:G344"/>
    <mergeCell ref="A293:G296"/>
    <mergeCell ref="A286:G291"/>
    <mergeCell ref="A322:G322"/>
    <mergeCell ref="A179:G184"/>
    <mergeCell ref="H21:N21"/>
    <mergeCell ref="H22:N22"/>
    <mergeCell ref="A161:G161"/>
    <mergeCell ref="A211:G211"/>
    <mergeCell ref="A270:G270"/>
    <mergeCell ref="A71:G72"/>
  </mergeCells>
  <pageMargins left="0.7" right="0.7" top="0.75" bottom="0.75" header="0.3" footer="0.3"/>
  <pageSetup paperSize="9" scale="82" orientation="portrait" r:id="rId1"/>
  <rowBreaks count="6" manualBreakCount="6">
    <brk id="50" max="16383" man="1"/>
    <brk id="105" max="16383" man="1"/>
    <brk id="147" max="16383" man="1"/>
    <brk id="203" max="16383" man="1"/>
    <brk id="263" max="16383" man="1"/>
    <brk id="315" max="16383" man="1"/>
  </rowBreaks>
  <colBreaks count="1" manualBreakCount="1">
    <brk id="7" max="1048575" man="1"/>
  </col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4:G216"/>
  <sheetViews>
    <sheetView view="pageBreakPreview" topLeftCell="A82" zoomScale="60" zoomScaleNormal="100" zoomScalePageLayoutView="85" workbookViewId="0">
      <selection activeCell="A27" sqref="A27"/>
    </sheetView>
  </sheetViews>
  <sheetFormatPr baseColWidth="10" defaultColWidth="11.42578125" defaultRowHeight="15"/>
  <cols>
    <col min="1" max="4" width="11.42578125" style="2125"/>
    <col min="5" max="5" width="14.42578125" style="2125" customWidth="1"/>
    <col min="6" max="6" width="13.85546875" style="2125" customWidth="1"/>
    <col min="7" max="16384" width="11.42578125" style="2125"/>
  </cols>
  <sheetData>
    <row r="24" spans="1:7">
      <c r="A24" s="3352" t="s">
        <v>1080</v>
      </c>
      <c r="B24" s="3352"/>
      <c r="C24" s="3352"/>
      <c r="D24" s="3352"/>
      <c r="E24" s="3352"/>
      <c r="F24" s="3352"/>
      <c r="G24" s="3352"/>
    </row>
    <row r="25" spans="1:7" ht="19.149999999999999" customHeight="1">
      <c r="A25" s="3352"/>
      <c r="B25" s="3352"/>
      <c r="C25" s="3352"/>
      <c r="D25" s="3352"/>
      <c r="E25" s="3352"/>
      <c r="F25" s="3352"/>
      <c r="G25" s="3352"/>
    </row>
    <row r="26" spans="1:7" ht="19.149999999999999" customHeight="1">
      <c r="A26" s="3352"/>
      <c r="B26" s="3352"/>
      <c r="C26" s="3352"/>
      <c r="D26" s="3352"/>
      <c r="E26" s="3352"/>
      <c r="F26" s="3352"/>
      <c r="G26" s="3352"/>
    </row>
    <row r="56" spans="1:1" ht="15" customHeight="1"/>
    <row r="59" spans="1:1" ht="15" customHeight="1"/>
    <row r="61" spans="1:1" ht="15" customHeight="1"/>
    <row r="62" spans="1:1">
      <c r="A62" s="2126" t="str">
        <f>"Objet : Opération "&amp;nom&amp;""</f>
        <v xml:space="preserve">Objet : Opération </v>
      </c>
    </row>
    <row r="63" spans="1:1" ht="15" customHeight="1"/>
    <row r="65" spans="1:7" ht="15" customHeight="1">
      <c r="A65" s="2125" t="str">
        <f>"Je soussigné, Monsieur " &amp; directeur_g &amp; ","</f>
        <v>Je soussigné, Monsieur Patrick CORRE,</v>
      </c>
    </row>
    <row r="67" spans="1:7" ht="15" customHeight="1">
      <c r="A67" s="2116" t="s">
        <v>839</v>
      </c>
      <c r="B67" s="2116"/>
      <c r="C67" s="2116"/>
      <c r="D67" s="2116"/>
      <c r="E67" s="2116"/>
      <c r="F67" s="2116"/>
      <c r="G67" s="2127"/>
    </row>
    <row r="68" spans="1:7">
      <c r="A68" s="3202" t="s">
        <v>1016</v>
      </c>
      <c r="B68" s="2116"/>
      <c r="C68" s="2116"/>
      <c r="D68" s="2116"/>
      <c r="E68" s="2116"/>
      <c r="F68" s="2116"/>
      <c r="G68" s="2127"/>
    </row>
    <row r="69" spans="1:7" ht="17.45" customHeight="1">
      <c r="A69" s="3217" t="s">
        <v>1033</v>
      </c>
      <c r="B69" s="2116"/>
      <c r="C69" s="2116"/>
      <c r="D69" s="2116"/>
      <c r="E69" s="2116"/>
      <c r="F69" s="2116"/>
      <c r="G69" s="2127"/>
    </row>
    <row r="70" spans="1:7" ht="15" customHeight="1">
      <c r="A70" s="3217" t="s">
        <v>1034</v>
      </c>
      <c r="B70" s="2116"/>
      <c r="C70" s="2116"/>
      <c r="D70" s="2116"/>
      <c r="E70" s="2116"/>
      <c r="F70" s="2116"/>
      <c r="G70" s="2127"/>
    </row>
    <row r="71" spans="1:7" ht="14.25" customHeight="1">
      <c r="A71" s="2116" t="str">
        <f>" un programme immobilier totalisant " &amp; nombreLLS &amp; " logements LLS dans le secteur social. "</f>
        <v xml:space="preserve"> un programme immobilier totalisant 35 logements LLS dans le secteur social. </v>
      </c>
      <c r="B71" s="2116"/>
      <c r="C71" s="2116"/>
      <c r="D71" s="2116"/>
      <c r="E71" s="2116"/>
      <c r="F71" s="2116"/>
      <c r="G71" s="2127"/>
    </row>
    <row r="72" spans="1:7" ht="15" customHeight="1">
      <c r="A72" s="2127"/>
      <c r="B72" s="2127"/>
      <c r="C72" s="2127"/>
      <c r="D72" s="2127"/>
      <c r="E72" s="2127"/>
      <c r="F72" s="2127"/>
      <c r="G72" s="2127"/>
    </row>
    <row r="73" spans="1:7">
      <c r="A73" s="3353" t="str">
        <f>"A ce titre, la SODEGIS s'engage à ce que puisse être vérifiées sur place les modalités de réalisation du programme de logements en secteur social dénommé "&amp;nom&amp;" "</f>
        <v xml:space="preserve">A ce titre, la SODEGIS s'engage à ce que puisse être vérifiées sur place les modalités de réalisation du programme de logements en secteur social dénommé  </v>
      </c>
      <c r="B73" s="3353"/>
      <c r="C73" s="3353"/>
      <c r="D73" s="3353"/>
      <c r="E73" s="3353"/>
      <c r="F73" s="3353"/>
      <c r="G73" s="3353"/>
    </row>
    <row r="74" spans="1:7" ht="15" customHeight="1">
      <c r="A74" s="3353"/>
      <c r="B74" s="3353"/>
      <c r="C74" s="3353"/>
      <c r="D74" s="3353"/>
      <c r="E74" s="3353"/>
      <c r="F74" s="3353"/>
      <c r="G74" s="3353"/>
    </row>
    <row r="75" spans="1:7" ht="15" customHeight="1">
      <c r="A75" s="3353"/>
      <c r="B75" s="3353"/>
      <c r="C75" s="3353"/>
      <c r="D75" s="3353"/>
      <c r="E75" s="2127"/>
      <c r="F75" s="2127"/>
      <c r="G75" s="2127"/>
    </row>
    <row r="76" spans="1:7" ht="14.45" customHeight="1">
      <c r="A76" s="2127"/>
      <c r="B76" s="2127"/>
      <c r="C76" s="2127"/>
      <c r="D76" s="2127"/>
      <c r="E76" s="2127"/>
      <c r="F76" s="2127"/>
      <c r="G76" s="2127"/>
    </row>
    <row r="77" spans="1:7">
      <c r="A77" s="2127"/>
      <c r="B77" s="2127"/>
      <c r="C77" s="2127"/>
      <c r="D77" s="2127"/>
      <c r="E77" s="2127"/>
      <c r="F77" s="2127"/>
      <c r="G77" s="2127"/>
    </row>
    <row r="78" spans="1:7" ht="15" customHeight="1">
      <c r="A78" s="2127"/>
      <c r="B78" s="2127"/>
      <c r="C78" s="2127"/>
      <c r="D78" s="2127"/>
      <c r="E78" s="2127"/>
      <c r="F78" s="2127"/>
      <c r="G78" s="2127"/>
    </row>
    <row r="79" spans="1:7" ht="14.45" customHeight="1">
      <c r="E79" s="3212" t="s">
        <v>1024</v>
      </c>
      <c r="F79" s="3228">
        <f ca="1">TODAY()</f>
        <v>43403</v>
      </c>
    </row>
    <row r="80" spans="1:7" ht="15" customHeight="1">
      <c r="F80" s="2128"/>
    </row>
    <row r="81" spans="5:6">
      <c r="E81" s="2125" t="s">
        <v>820</v>
      </c>
    </row>
    <row r="82" spans="5:6" ht="14.45" customHeight="1">
      <c r="E82" s="3329" t="s">
        <v>810</v>
      </c>
      <c r="F82" s="3329"/>
    </row>
    <row r="84" spans="5:6" ht="14.45" customHeight="1"/>
    <row r="86" spans="5:6" ht="14.45" customHeight="1"/>
    <row r="87" spans="5:6" ht="15" customHeight="1">
      <c r="E87" s="2125" t="str">
        <f>directeur_g</f>
        <v>Patrick CORRE</v>
      </c>
    </row>
    <row r="89" spans="5:6" ht="15" customHeight="1"/>
    <row r="91" spans="5:6" ht="14.45" customHeight="1"/>
    <row r="93" spans="5:6" ht="14.45" customHeight="1"/>
    <row r="95" spans="5:6" ht="14.45" customHeight="1"/>
    <row r="96" spans="5:6" ht="15" customHeight="1"/>
    <row r="97" ht="14.45" customHeight="1"/>
    <row r="100" ht="14.45" customHeight="1"/>
    <row r="109" ht="15" customHeight="1"/>
    <row r="112" ht="15" customHeight="1"/>
    <row r="114" spans="1:7" ht="15" customHeight="1"/>
    <row r="116" spans="1:7" ht="15" customHeight="1"/>
    <row r="118" spans="1:7">
      <c r="A118" s="2129" t="str">
        <f>"Objet : Opération "&amp;nom&amp;""</f>
        <v xml:space="preserve">Objet : Opération </v>
      </c>
    </row>
    <row r="119" spans="1:7" ht="15" customHeight="1"/>
    <row r="121" spans="1:7">
      <c r="A121" s="2125" t="str">
        <f>"Je soussigné, Monsieur " &amp; directeur_g &amp; ","</f>
        <v>Je soussigné, Monsieur Patrick CORRE,</v>
      </c>
    </row>
    <row r="123" spans="1:7" ht="14.25" customHeight="1">
      <c r="A123" s="2116" t="s">
        <v>839</v>
      </c>
      <c r="B123" s="2116"/>
      <c r="C123" s="2116"/>
      <c r="D123" s="2116"/>
      <c r="E123" s="2116"/>
      <c r="F123" s="2116"/>
      <c r="G123" s="2127"/>
    </row>
    <row r="124" spans="1:7" ht="15" customHeight="1">
      <c r="A124" s="3202" t="s">
        <v>1016</v>
      </c>
      <c r="B124" s="2116"/>
      <c r="C124" s="2116"/>
      <c r="D124" s="2116"/>
      <c r="E124" s="2116"/>
      <c r="F124" s="2116"/>
      <c r="G124" s="2127"/>
    </row>
    <row r="125" spans="1:7">
      <c r="A125" s="3217" t="s">
        <v>1033</v>
      </c>
      <c r="B125" s="2116"/>
      <c r="C125" s="2116"/>
      <c r="D125" s="2116"/>
      <c r="E125" s="2116"/>
      <c r="F125" s="2116"/>
      <c r="G125" s="2127"/>
    </row>
    <row r="126" spans="1:7" ht="15" customHeight="1">
      <c r="A126" s="3217" t="s">
        <v>1034</v>
      </c>
      <c r="B126" s="2116"/>
      <c r="C126" s="2116"/>
      <c r="D126" s="2116"/>
      <c r="E126" s="2116"/>
      <c r="F126" s="2116"/>
      <c r="G126" s="2127"/>
    </row>
    <row r="127" spans="1:7" ht="14.25" customHeight="1">
      <c r="A127" s="2116" t="str">
        <f>" un programme immobilier totalisant " &amp; nombreLLTS &amp; " logements LLTS dans le secteur social. "</f>
        <v xml:space="preserve"> un programme immobilier totalisant 35 logements LLTS dans le secteur social. </v>
      </c>
      <c r="B127" s="2116"/>
      <c r="C127" s="2116"/>
      <c r="D127" s="2116"/>
      <c r="E127" s="2116"/>
      <c r="F127" s="2116"/>
      <c r="G127" s="2127"/>
    </row>
    <row r="128" spans="1:7">
      <c r="A128" s="2127"/>
      <c r="B128" s="2127"/>
      <c r="C128" s="2127"/>
      <c r="D128" s="2127"/>
      <c r="E128" s="2127"/>
      <c r="F128" s="2127"/>
      <c r="G128" s="2127"/>
    </row>
    <row r="129" spans="1:7" ht="15" customHeight="1">
      <c r="A129" s="3353" t="str">
        <f>"A ce titre, la SODEGIS s'engage à ce que puisse être vérifiées sur place les modalités de réalisation du programme de logements en secteur social dénommé "&amp;nom&amp;" "</f>
        <v xml:space="preserve">A ce titre, la SODEGIS s'engage à ce que puisse être vérifiées sur place les modalités de réalisation du programme de logements en secteur social dénommé  </v>
      </c>
      <c r="B129" s="3353"/>
      <c r="C129" s="3353"/>
      <c r="D129" s="3353"/>
      <c r="E129" s="3353"/>
      <c r="F129" s="3353"/>
      <c r="G129" s="3353"/>
    </row>
    <row r="130" spans="1:7">
      <c r="A130" s="3353"/>
      <c r="B130" s="3353"/>
      <c r="C130" s="3353"/>
      <c r="D130" s="3353"/>
      <c r="E130" s="3353"/>
      <c r="F130" s="3353"/>
      <c r="G130" s="3353"/>
    </row>
    <row r="131" spans="1:7">
      <c r="A131" s="3353"/>
      <c r="B131" s="3353"/>
      <c r="C131" s="3353"/>
      <c r="D131" s="3353"/>
      <c r="E131" s="2127"/>
      <c r="F131" s="2127"/>
      <c r="G131" s="2127"/>
    </row>
    <row r="132" spans="1:7" ht="15" customHeight="1">
      <c r="A132" s="2127"/>
      <c r="B132" s="2127"/>
      <c r="C132" s="2127"/>
      <c r="D132" s="2127"/>
      <c r="E132" s="2127"/>
      <c r="F132" s="2127"/>
      <c r="G132" s="2127"/>
    </row>
    <row r="133" spans="1:7">
      <c r="A133" s="2127"/>
      <c r="B133" s="2127"/>
      <c r="C133" s="2127"/>
      <c r="D133" s="2127"/>
      <c r="E133" s="2127"/>
      <c r="F133" s="2127"/>
      <c r="G133" s="2127"/>
    </row>
    <row r="134" spans="1:7" ht="15" customHeight="1">
      <c r="A134" s="2127"/>
      <c r="B134" s="2127"/>
      <c r="C134" s="2127"/>
      <c r="D134" s="2127"/>
      <c r="E134" s="2127"/>
      <c r="F134" s="2127"/>
      <c r="G134" s="2127"/>
    </row>
    <row r="135" spans="1:7">
      <c r="E135" s="3212" t="s">
        <v>1024</v>
      </c>
      <c r="F135" s="3228">
        <f ca="1">TODAY()</f>
        <v>43403</v>
      </c>
    </row>
    <row r="136" spans="1:7" ht="15" customHeight="1">
      <c r="F136" s="2128"/>
    </row>
    <row r="137" spans="1:7">
      <c r="E137" s="2125" t="s">
        <v>820</v>
      </c>
    </row>
    <row r="138" spans="1:7" ht="14.45" customHeight="1">
      <c r="E138" s="3329" t="s">
        <v>810</v>
      </c>
      <c r="F138" s="3329"/>
    </row>
    <row r="141" spans="1:7" ht="14.45" customHeight="1"/>
    <row r="142" spans="1:7" ht="15" customHeight="1"/>
    <row r="143" spans="1:7" ht="14.45" customHeight="1">
      <c r="E143" s="2125" t="str">
        <f>directeur_g</f>
        <v>Patrick CORRE</v>
      </c>
    </row>
    <row r="144" spans="1:7" ht="15" customHeight="1"/>
    <row r="146" ht="14.45" customHeight="1"/>
    <row r="148" ht="15" customHeight="1"/>
    <row r="150" ht="14.45" customHeight="1"/>
    <row r="154" ht="14.45" customHeight="1"/>
    <row r="155" ht="14.45" customHeight="1"/>
    <row r="157" ht="14.45" customHeight="1"/>
    <row r="159" ht="14.45" customHeight="1"/>
    <row r="160" ht="14.45" customHeight="1"/>
    <row r="162" ht="14.45" customHeight="1"/>
    <row r="163" ht="14.45" customHeight="1"/>
    <row r="165" ht="14.45" customHeight="1"/>
    <row r="167" ht="14.45" customHeight="1"/>
    <row r="172" ht="14.45" customHeight="1"/>
    <row r="174" ht="14.45" customHeight="1"/>
    <row r="177" ht="14.45" customHeight="1"/>
    <row r="180" ht="14.45" customHeight="1"/>
    <row r="182" ht="14.45" customHeight="1"/>
    <row r="184" ht="14.45" customHeight="1"/>
    <row r="190" ht="14.45" customHeight="1"/>
    <row r="192" ht="14.45" customHeight="1"/>
    <row r="194" ht="14.45" customHeight="1"/>
    <row r="196" ht="14.45" customHeight="1"/>
    <row r="199" ht="14.45" customHeight="1"/>
    <row r="207" ht="14.45" customHeight="1"/>
    <row r="209" ht="14.45" customHeight="1"/>
    <row r="211" ht="14.45" customHeight="1"/>
    <row r="213" ht="14.45" customHeight="1"/>
    <row r="216" ht="14.45" customHeight="1"/>
  </sheetData>
  <mergeCells count="7">
    <mergeCell ref="A24:G26"/>
    <mergeCell ref="E138:F138"/>
    <mergeCell ref="E82:F82"/>
    <mergeCell ref="A73:G74"/>
    <mergeCell ref="A75:D75"/>
    <mergeCell ref="A129:G130"/>
    <mergeCell ref="A131:D131"/>
  </mergeCells>
  <pageMargins left="0.7" right="0.7" top="0.75" bottom="0.75" header="0.3" footer="0.3"/>
  <pageSetup paperSize="9" scale="85" orientation="portrait" r:id="rId1"/>
  <headerFooter differentFirst="1"/>
  <rowBreaks count="2" manualBreakCount="2">
    <brk id="54" max="6" man="1"/>
    <brk id="104" max="6"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22:AI150"/>
  <sheetViews>
    <sheetView view="pageBreakPreview" topLeftCell="U1" zoomScale="70" zoomScaleNormal="100" zoomScaleSheetLayoutView="70" zoomScalePageLayoutView="55" workbookViewId="0">
      <selection activeCell="AG15" sqref="AG15"/>
    </sheetView>
  </sheetViews>
  <sheetFormatPr baseColWidth="10" defaultColWidth="11.42578125" defaultRowHeight="15"/>
  <cols>
    <col min="1" max="4" width="11.42578125" style="2125"/>
    <col min="5" max="5" width="13" style="2125" customWidth="1"/>
    <col min="6" max="6" width="14.5703125" style="2125" customWidth="1"/>
    <col min="7" max="11" width="11.42578125" style="2125"/>
    <col min="12" max="12" width="14.42578125" style="2125" customWidth="1"/>
    <col min="13" max="14" width="11.42578125" style="2125"/>
    <col min="15" max="15" width="13.5703125" style="2125" customWidth="1"/>
    <col min="16" max="16" width="11.42578125" style="2125" customWidth="1"/>
    <col min="17" max="17" width="17.42578125" style="2125" customWidth="1"/>
    <col min="18" max="18" width="19.42578125" style="2125" customWidth="1"/>
    <col min="19" max="19" width="9.85546875" style="2125" customWidth="1"/>
    <col min="20" max="20" width="14.42578125" style="2125" customWidth="1"/>
    <col min="21" max="22" width="11.42578125" style="2125"/>
    <col min="23" max="23" width="14.5703125" style="2125" customWidth="1"/>
    <col min="24" max="24" width="1.42578125" style="2125" customWidth="1"/>
    <col min="25" max="25" width="14.42578125" style="2125" customWidth="1"/>
    <col min="26" max="28" width="11.42578125" style="2125"/>
    <col min="29" max="29" width="7.42578125" style="2125" customWidth="1"/>
    <col min="30" max="33" width="11.42578125" style="2125"/>
    <col min="34" max="34" width="12.28515625" style="2125" customWidth="1"/>
    <col min="35" max="35" width="18.140625" style="2125" customWidth="1"/>
    <col min="36" max="16384" width="11.42578125" style="2125"/>
  </cols>
  <sheetData>
    <row r="22" spans="1:35">
      <c r="B22" s="2130"/>
    </row>
    <row r="23" spans="1:35" ht="15" customHeight="1">
      <c r="A23" s="3354" t="str">
        <f>"- Note motivée de l'OLS en cas de dépassement du prix de revient de référence (2 150 € TTC / m² SF en VEFA promoteur et 1 950 € TTC / m² SF en VEFA opérateur) -"</f>
        <v>- Note motivée de l'OLS en cas de dépassement du prix de revient de référence (2 150 € TTC / m² SF en VEFA promoteur et 1 950 € TTC / m² SF en VEFA opérateur) -</v>
      </c>
      <c r="B23" s="3354"/>
      <c r="C23" s="3354"/>
      <c r="D23" s="3354"/>
      <c r="E23" s="3354"/>
      <c r="F23" s="3354"/>
      <c r="G23" s="3354"/>
    </row>
    <row r="24" spans="1:35" ht="15" customHeight="1">
      <c r="A24" s="3354"/>
      <c r="B24" s="3354"/>
      <c r="C24" s="3354"/>
      <c r="D24" s="3354"/>
      <c r="E24" s="3354"/>
      <c r="F24" s="3354"/>
      <c r="G24" s="3354"/>
      <c r="O24" s="3354" t="str">
        <f>"- Attestation de non commencement des travaux ou autorisation de démarrage anticipé accompagnée de la DOC -"</f>
        <v>- Attestation de non commencement des travaux ou autorisation de démarrage anticipé accompagnée de la DOC -</v>
      </c>
      <c r="P24" s="3354"/>
      <c r="Q24" s="3354"/>
      <c r="R24" s="3354"/>
      <c r="S24" s="3354"/>
      <c r="T24" s="3354"/>
      <c r="U24" s="2131"/>
    </row>
    <row r="25" spans="1:35" ht="19.149999999999999" customHeight="1">
      <c r="A25" s="3354"/>
      <c r="B25" s="3354"/>
      <c r="C25" s="3354"/>
      <c r="D25" s="3354"/>
      <c r="E25" s="3354"/>
      <c r="F25" s="3354"/>
      <c r="G25" s="3354"/>
      <c r="H25" s="3330" t="str">
        <f>" - Convention PLS ou PSLA le cas échéant - "</f>
        <v xml:space="preserve"> - Convention PLS ou PSLA le cas échéant - </v>
      </c>
      <c r="I25" s="3330"/>
      <c r="J25" s="3330"/>
      <c r="K25" s="3330"/>
      <c r="L25" s="3330"/>
      <c r="M25" s="3330"/>
      <c r="N25" s="3330"/>
      <c r="O25" s="3354"/>
      <c r="P25" s="3354"/>
      <c r="Q25" s="3354"/>
      <c r="R25" s="3354"/>
      <c r="S25" s="3354"/>
      <c r="T25" s="3354"/>
      <c r="U25" s="3354" t="str">
        <f>"- Tableau précisant le contingent préfectoral -"</f>
        <v>- Tableau précisant le contingent préfectoral -</v>
      </c>
      <c r="V25" s="3354"/>
      <c r="W25" s="3354"/>
      <c r="X25" s="3354"/>
      <c r="Y25" s="3354"/>
      <c r="Z25" s="3354"/>
      <c r="AA25" s="3354"/>
      <c r="AB25" s="3354"/>
      <c r="AC25" s="3330" t="str">
        <f>"- Attestation loi sur l'eau -"</f>
        <v>- Attestation loi sur l'eau -</v>
      </c>
      <c r="AD25" s="3330"/>
      <c r="AE25" s="3330"/>
      <c r="AF25" s="3330"/>
      <c r="AG25" s="3330"/>
      <c r="AH25" s="3330"/>
      <c r="AI25" s="3330"/>
    </row>
    <row r="26" spans="1:35" ht="15" customHeight="1">
      <c r="A26" s="3354"/>
      <c r="B26" s="3354"/>
      <c r="C26" s="3354"/>
      <c r="D26" s="3354"/>
      <c r="E26" s="3354"/>
      <c r="F26" s="3354"/>
      <c r="G26" s="3354"/>
      <c r="O26" s="3354"/>
      <c r="P26" s="3354"/>
      <c r="Q26" s="3354"/>
      <c r="R26" s="3354"/>
      <c r="S26" s="3354"/>
      <c r="T26" s="3354"/>
      <c r="U26" s="2131"/>
    </row>
    <row r="27" spans="1:35" ht="15" customHeight="1">
      <c r="A27" s="3354"/>
      <c r="B27" s="3354"/>
      <c r="C27" s="3354"/>
      <c r="D27" s="3354"/>
      <c r="E27" s="3354"/>
      <c r="F27" s="3354"/>
      <c r="G27" s="3354"/>
    </row>
    <row r="56" spans="1:35">
      <c r="I56" s="2129"/>
      <c r="U56" s="2169"/>
      <c r="V56" s="2134"/>
      <c r="W56" s="2134"/>
      <c r="X56" s="2134"/>
      <c r="Y56" s="2135"/>
    </row>
    <row r="57" spans="1:35">
      <c r="U57" s="3355" t="s">
        <v>851</v>
      </c>
      <c r="V57" s="3356"/>
      <c r="W57" s="3356"/>
      <c r="X57" s="3356"/>
      <c r="Y57" s="3357"/>
    </row>
    <row r="58" spans="1:35" ht="23.25" customHeight="1">
      <c r="U58" s="3355"/>
      <c r="V58" s="3356"/>
      <c r="W58" s="3356"/>
      <c r="X58" s="3356"/>
      <c r="Y58" s="3357"/>
    </row>
    <row r="59" spans="1:35">
      <c r="H59" s="2129" t="s">
        <v>896</v>
      </c>
      <c r="U59" s="2141"/>
      <c r="V59" s="2142"/>
      <c r="W59" s="2143"/>
      <c r="X59" s="2144"/>
      <c r="Y59" s="2145" t="s">
        <v>854</v>
      </c>
    </row>
    <row r="60" spans="1:35" ht="15" customHeight="1">
      <c r="U60" s="2146"/>
      <c r="V60" s="2146"/>
      <c r="W60" s="2146"/>
      <c r="X60" s="2146"/>
      <c r="Y60" s="2146"/>
    </row>
    <row r="61" spans="1:35">
      <c r="H61" s="2125" t="s">
        <v>852</v>
      </c>
      <c r="M61" s="2128"/>
      <c r="U61" s="3361" t="s">
        <v>856</v>
      </c>
      <c r="V61" s="3361"/>
      <c r="W61" s="2146" t="s">
        <v>776</v>
      </c>
      <c r="X61" s="2146"/>
      <c r="Y61" s="2146"/>
    </row>
    <row r="62" spans="1:35" ht="15" customHeight="1">
      <c r="A62" s="3360" t="s">
        <v>850</v>
      </c>
      <c r="B62" s="3360"/>
      <c r="C62" s="3360"/>
      <c r="D62" s="3360"/>
      <c r="E62" s="3360"/>
      <c r="F62" s="3360"/>
      <c r="G62" s="3360"/>
      <c r="M62" s="2128"/>
      <c r="U62" s="3361" t="s">
        <v>857</v>
      </c>
      <c r="V62" s="3361"/>
      <c r="W62" s="2146"/>
      <c r="X62" s="2146"/>
      <c r="Y62" s="2146"/>
      <c r="AC62" s="3364" t="s">
        <v>849</v>
      </c>
      <c r="AD62" s="3365"/>
      <c r="AE62" s="3365"/>
      <c r="AF62" s="3365"/>
      <c r="AG62" s="3365"/>
      <c r="AH62" s="3365"/>
      <c r="AI62" s="3366"/>
    </row>
    <row r="63" spans="1:35">
      <c r="A63" s="3360"/>
      <c r="B63" s="3360"/>
      <c r="C63" s="3360"/>
      <c r="D63" s="3360"/>
      <c r="E63" s="3360"/>
      <c r="F63" s="3360"/>
      <c r="G63" s="3360"/>
      <c r="L63" s="3329"/>
      <c r="M63" s="3329"/>
      <c r="U63" s="3361" t="s">
        <v>858</v>
      </c>
      <c r="V63" s="3361"/>
      <c r="W63" s="2146">
        <f>nom</f>
        <v>0</v>
      </c>
      <c r="X63" s="2146"/>
      <c r="Y63" s="2146"/>
      <c r="AC63" s="3367"/>
      <c r="AD63" s="3368"/>
      <c r="AE63" s="3368"/>
      <c r="AF63" s="3368"/>
      <c r="AG63" s="3368"/>
      <c r="AH63" s="3368"/>
      <c r="AI63" s="3369"/>
    </row>
    <row r="64" spans="1:35">
      <c r="U64" s="2150"/>
      <c r="V64" s="2151" t="s">
        <v>860</v>
      </c>
      <c r="W64" s="2146">
        <f>adresse_LLS</f>
        <v>0</v>
      </c>
      <c r="X64" s="2146"/>
      <c r="Y64" s="2146"/>
    </row>
    <row r="65" spans="1:35" ht="15" customHeight="1">
      <c r="A65" s="2129" t="str">
        <f>"Objet : Opération "&amp;nom</f>
        <v xml:space="preserve">Objet : Opération </v>
      </c>
      <c r="U65" s="2150"/>
      <c r="V65" s="2151" t="s">
        <v>862</v>
      </c>
      <c r="W65" s="2146">
        <f>Commune_LLS</f>
        <v>0</v>
      </c>
      <c r="X65" s="2146"/>
      <c r="Y65" s="2146"/>
      <c r="AC65" s="3359" t="s">
        <v>855</v>
      </c>
      <c r="AD65" s="3359"/>
      <c r="AE65" s="2129">
        <f>nom</f>
        <v>0</v>
      </c>
    </row>
    <row r="66" spans="1:35">
      <c r="O66" s="3216" t="s">
        <v>847</v>
      </c>
      <c r="P66" s="2132">
        <f>nom</f>
        <v>0</v>
      </c>
      <c r="Q66" s="2132"/>
      <c r="R66" s="2133" t="s">
        <v>848</v>
      </c>
      <c r="S66" s="2132"/>
      <c r="T66" s="2202" t="s">
        <v>2</v>
      </c>
      <c r="U66" s="3363" t="s">
        <v>864</v>
      </c>
      <c r="V66" s="3363"/>
      <c r="W66" s="2227">
        <v>1</v>
      </c>
      <c r="X66" s="2146"/>
      <c r="Y66" s="2146"/>
    </row>
    <row r="67" spans="1:35" ht="15" customHeight="1">
      <c r="A67" s="3362" t="str">
        <f>"Le prix de revient total est arrêté à "&amp;TEXT(PRP_TTC_LLS,"0 000,00")&amp;" € TTC, soit un prix moyen au m2 de surface finançable de "&amp;ROUND(PRP_TTC_LLS/SF_LLS,0)&amp;" € TTC."</f>
        <v>Le prix de revient total est arrêté à 204 608,84 € TTC, soit un prix moyen au m2 de surface finançable de 78 € TTC.</v>
      </c>
      <c r="B67" s="3362"/>
      <c r="C67" s="3362"/>
      <c r="D67" s="3362"/>
      <c r="E67" s="3362"/>
      <c r="F67" s="3362"/>
      <c r="G67" s="3362"/>
      <c r="O67" s="2136"/>
      <c r="P67" s="2137"/>
      <c r="Q67" s="2137"/>
      <c r="R67" s="2137"/>
      <c r="S67" s="2137"/>
      <c r="T67" s="2138"/>
      <c r="U67" s="2146"/>
      <c r="V67" s="2146"/>
      <c r="W67" s="2146"/>
      <c r="X67" s="2146"/>
      <c r="Y67" s="2146"/>
    </row>
    <row r="68" spans="1:35" ht="15" customHeight="1" thickBot="1">
      <c r="A68" s="3362"/>
      <c r="B68" s="3362"/>
      <c r="C68" s="3362"/>
      <c r="D68" s="3362"/>
      <c r="E68" s="3362"/>
      <c r="F68" s="3362"/>
      <c r="G68" s="3362"/>
      <c r="O68" s="2139" t="s">
        <v>853</v>
      </c>
      <c r="P68" s="2137"/>
      <c r="R68" s="2140">
        <f>nombreLLS</f>
        <v>35</v>
      </c>
      <c r="S68" s="2137"/>
      <c r="T68" s="2138"/>
      <c r="U68" s="2152">
        <v>0.3</v>
      </c>
      <c r="V68" s="2153"/>
      <c r="W68" s="2154"/>
      <c r="X68" s="2155"/>
      <c r="Y68" s="2156"/>
      <c r="AC68" s="2125" t="str">
        <f xml:space="preserve"> " Je soussigné, Monsieur " &amp; directeur_g &amp; ","</f>
        <v xml:space="preserve"> Je soussigné, Monsieur Patrick CORRE,</v>
      </c>
    </row>
    <row r="69" spans="1:35" ht="15" customHeight="1">
      <c r="A69" s="2176"/>
      <c r="B69" s="2176"/>
      <c r="C69" s="2176"/>
      <c r="D69" s="2176"/>
      <c r="E69" s="2176"/>
      <c r="F69" s="2176"/>
      <c r="G69" s="2176"/>
      <c r="O69" s="2136"/>
      <c r="P69" s="2137"/>
      <c r="Q69" s="2137"/>
      <c r="R69" s="2137"/>
      <c r="S69" s="2137"/>
      <c r="T69" s="2138"/>
      <c r="U69" s="2157"/>
      <c r="V69" s="2158"/>
      <c r="W69" s="3377" t="s">
        <v>865</v>
      </c>
      <c r="X69" s="3380" t="s">
        <v>851</v>
      </c>
      <c r="Y69" s="3380"/>
    </row>
    <row r="70" spans="1:35" ht="15" customHeight="1">
      <c r="A70" s="2176"/>
      <c r="B70" s="2176"/>
      <c r="C70" s="2176"/>
      <c r="D70" s="2176"/>
      <c r="E70" s="2176"/>
      <c r="F70" s="2176"/>
      <c r="G70" s="2176"/>
      <c r="O70" s="2139" t="s">
        <v>780</v>
      </c>
      <c r="P70" s="3358">
        <f>adresse_LLS</f>
        <v>0</v>
      </c>
      <c r="Q70" s="3358"/>
      <c r="R70" s="2137"/>
      <c r="S70" s="2137"/>
      <c r="T70" s="2138"/>
      <c r="U70" s="2146"/>
      <c r="V70" s="2146"/>
      <c r="W70" s="3378"/>
      <c r="X70" s="3381"/>
      <c r="Y70" s="3381"/>
      <c r="AC70" s="2116" t="s">
        <v>839</v>
      </c>
      <c r="AD70" s="2116"/>
      <c r="AE70" s="2116"/>
      <c r="AF70" s="2116"/>
      <c r="AG70" s="2116"/>
      <c r="AH70" s="2116"/>
      <c r="AI70" s="2127"/>
    </row>
    <row r="71" spans="1:35" ht="15" customHeight="1">
      <c r="A71" s="3362" t="s">
        <v>861</v>
      </c>
      <c r="B71" s="3362"/>
      <c r="C71" s="3362"/>
      <c r="D71" s="3362"/>
      <c r="E71" s="3362"/>
      <c r="F71" s="3362"/>
      <c r="G71" s="3362"/>
      <c r="O71" s="2136"/>
      <c r="P71" s="3358"/>
      <c r="Q71" s="3358"/>
      <c r="R71" s="2137"/>
      <c r="S71" s="2137"/>
      <c r="T71" s="2138"/>
      <c r="U71" s="2146"/>
      <c r="V71" s="2146"/>
      <c r="W71" s="3379"/>
      <c r="X71" s="3382"/>
      <c r="Y71" s="3382"/>
      <c r="AC71" s="3202" t="s">
        <v>1016</v>
      </c>
      <c r="AD71" s="2116"/>
      <c r="AE71" s="2116"/>
      <c r="AF71" s="2116"/>
      <c r="AG71" s="2116"/>
      <c r="AH71" s="2116"/>
      <c r="AI71" s="2127"/>
    </row>
    <row r="72" spans="1:35" ht="15" customHeight="1">
      <c r="A72" s="3362"/>
      <c r="B72" s="3362"/>
      <c r="C72" s="3362"/>
      <c r="D72" s="3362"/>
      <c r="E72" s="3362"/>
      <c r="F72" s="3362"/>
      <c r="G72" s="3362"/>
      <c r="O72" s="2136"/>
      <c r="P72" s="3358"/>
      <c r="Q72" s="3358"/>
      <c r="R72" s="2137"/>
      <c r="S72" s="2137"/>
      <c r="T72" s="2138"/>
      <c r="U72" s="2159"/>
      <c r="V72" s="2160" t="s">
        <v>669</v>
      </c>
      <c r="W72" s="2159"/>
      <c r="X72" s="2161">
        <f>W72*U68</f>
        <v>0</v>
      </c>
      <c r="Y72" s="2263" t="e">
        <f>X72+($Y$87-$X$87)*(X72=MAX($X$72:$X$86))</f>
        <v>#REF!</v>
      </c>
      <c r="AC72" s="3217" t="s">
        <v>1033</v>
      </c>
      <c r="AD72" s="2116"/>
      <c r="AE72" s="2116"/>
      <c r="AF72" s="2116"/>
      <c r="AG72" s="2116"/>
      <c r="AH72" s="2116"/>
      <c r="AI72" s="2127"/>
    </row>
    <row r="73" spans="1:35">
      <c r="A73" s="3372" t="str">
        <f>"          - logements individuels éparses impliquant une densité faible ( de l'ordre de 3 logements / ha) et des travaux coûteux : linéaire de façades important, toitures, ..."</f>
        <v xml:space="preserve">          - logements individuels éparses impliquant une densité faible ( de l'ordre de 3 logements / ha) et des travaux coûteux : linéaire de façades important, toitures, ...</v>
      </c>
      <c r="B73" s="3372"/>
      <c r="C73" s="3372"/>
      <c r="D73" s="3372"/>
      <c r="E73" s="3372"/>
      <c r="F73" s="3372"/>
      <c r="G73" s="3372"/>
      <c r="O73" s="2136"/>
      <c r="P73" s="2137"/>
      <c r="Q73" s="2137"/>
      <c r="R73" s="2137"/>
      <c r="S73" s="2137"/>
      <c r="T73" s="2138"/>
      <c r="U73" s="2161"/>
      <c r="V73" s="2162" t="s">
        <v>868</v>
      </c>
      <c r="W73" s="2161" t="e">
        <f>T1_LLS</f>
        <v>#REF!</v>
      </c>
      <c r="X73" s="2161" t="e">
        <f>W73*$U$68</f>
        <v>#REF!</v>
      </c>
      <c r="Y73" s="2263" t="e">
        <f>X73+($Y$87-$X$87)*(X73=MAX($W$72:$W$86))</f>
        <v>#REF!</v>
      </c>
      <c r="AC73" s="3217" t="s">
        <v>1034</v>
      </c>
      <c r="AD73" s="2116"/>
      <c r="AE73" s="2116"/>
      <c r="AF73" s="2116"/>
      <c r="AG73" s="2116"/>
      <c r="AH73" s="2116"/>
      <c r="AI73" s="2127"/>
    </row>
    <row r="74" spans="1:35">
      <c r="A74" s="3372"/>
      <c r="B74" s="3372"/>
      <c r="C74" s="3372"/>
      <c r="D74" s="3372"/>
      <c r="E74" s="3372"/>
      <c r="F74" s="3372"/>
      <c r="G74" s="3372"/>
      <c r="O74" s="2147" t="s">
        <v>859</v>
      </c>
      <c r="P74" s="2148"/>
      <c r="Q74" s="2148" t="s">
        <v>776</v>
      </c>
      <c r="R74" s="2148"/>
      <c r="S74" s="2148"/>
      <c r="T74" s="2149"/>
      <c r="U74" s="2163"/>
      <c r="V74" s="2164" t="s">
        <v>463</v>
      </c>
      <c r="W74" s="2163"/>
      <c r="X74" s="2161">
        <f t="shared" ref="X74:X86" si="0">W74*$U$68</f>
        <v>0</v>
      </c>
      <c r="Y74" s="2263" t="e">
        <f>X74+($Y$87-$X$87)*(X74=MAX($X$72:$X$86))</f>
        <v>#REF!</v>
      </c>
      <c r="AC74" s="2116" t="str">
        <f>" un programme immobilier totalisant " &amp; nombreLLS &amp; " logements LLS dans le secteur social. "</f>
        <v xml:space="preserve"> un programme immobilier totalisant 35 logements LLS dans le secteur social. </v>
      </c>
      <c r="AD74" s="2116"/>
      <c r="AE74" s="2116"/>
      <c r="AF74" s="2116"/>
      <c r="AG74" s="2116"/>
      <c r="AH74" s="2116"/>
      <c r="AI74" s="2127"/>
    </row>
    <row r="75" spans="1:35">
      <c r="A75" s="3372" t="str">
        <f>"          - absence de réseau d'assainissement collectif à proximité du terrain nécessitant la réalisationd'un assainissement autonome, "</f>
        <v xml:space="preserve">          - absence de réseau d'assainissement collectif à proximité du terrain nécessitant la réalisationd'un assainissement autonome, </v>
      </c>
      <c r="B75" s="3372"/>
      <c r="C75" s="3372"/>
      <c r="D75" s="3372"/>
      <c r="E75" s="3372"/>
      <c r="F75" s="3372"/>
      <c r="G75" s="3372"/>
      <c r="O75" s="2137"/>
      <c r="P75" s="2137"/>
      <c r="Q75" s="2137"/>
      <c r="R75" s="2137"/>
      <c r="S75" s="2137"/>
      <c r="T75" s="2137"/>
      <c r="U75" s="2161"/>
      <c r="V75" s="2162" t="s">
        <v>869</v>
      </c>
      <c r="W75" s="2161" t="e">
        <f>T2_LLS</f>
        <v>#REF!</v>
      </c>
      <c r="X75" s="2161" t="e">
        <f t="shared" si="0"/>
        <v>#REF!</v>
      </c>
      <c r="Y75" s="2263" t="e">
        <f t="shared" ref="Y75:Y86" si="1">X75+($Y$87-$X$87)*(X75=MAX($X$72:$X$86))</f>
        <v>#REF!</v>
      </c>
    </row>
    <row r="76" spans="1:35">
      <c r="A76" s="3372"/>
      <c r="B76" s="3372"/>
      <c r="C76" s="3372"/>
      <c r="D76" s="3372"/>
      <c r="E76" s="3372"/>
      <c r="F76" s="3372"/>
      <c r="G76" s="3372"/>
      <c r="O76" s="3373" t="s">
        <v>863</v>
      </c>
      <c r="P76" s="3373"/>
      <c r="Q76" s="3373"/>
      <c r="R76" s="3373"/>
      <c r="S76" s="3373"/>
      <c r="T76" s="3373"/>
      <c r="U76" s="2163"/>
      <c r="V76" s="2164" t="s">
        <v>466</v>
      </c>
      <c r="W76" s="2163"/>
      <c r="X76" s="2161">
        <f t="shared" si="0"/>
        <v>0</v>
      </c>
      <c r="Y76" s="2263" t="e">
        <f t="shared" si="1"/>
        <v>#REF!</v>
      </c>
      <c r="AC76"/>
      <c r="AD76"/>
      <c r="AE76"/>
      <c r="AF76"/>
      <c r="AG76"/>
      <c r="AH76"/>
      <c r="AI76"/>
    </row>
    <row r="77" spans="1:35" ht="15.75" customHeight="1">
      <c r="A77" s="3372" t="str">
        <f>"          - altitude + 600m imposant une isolation complète du logement (isolation murs et toiture, bardage, volets,…)."</f>
        <v xml:space="preserve">          - altitude + 600m imposant une isolation complète du logement (isolation murs et toiture, bardage, volets,…).</v>
      </c>
      <c r="B77" s="3372"/>
      <c r="C77" s="3372"/>
      <c r="D77" s="3372"/>
      <c r="E77" s="3372"/>
      <c r="F77" s="3372"/>
      <c r="G77" s="3372"/>
      <c r="O77" s="3373"/>
      <c r="P77" s="3373"/>
      <c r="Q77" s="3373"/>
      <c r="R77" s="3373"/>
      <c r="S77" s="3373"/>
      <c r="T77" s="3373"/>
      <c r="U77" s="2161"/>
      <c r="V77" s="2162" t="s">
        <v>872</v>
      </c>
      <c r="W77" s="2161" t="e">
        <f>T3_LLS</f>
        <v>#REF!</v>
      </c>
      <c r="X77" s="2161" t="e">
        <f t="shared" si="0"/>
        <v>#REF!</v>
      </c>
      <c r="Y77" s="2263" t="e">
        <f t="shared" si="1"/>
        <v>#REF!</v>
      </c>
      <c r="AC77" s="3386" t="s">
        <v>867</v>
      </c>
      <c r="AD77" s="3386"/>
      <c r="AE77" s="3386"/>
      <c r="AF77" s="3386"/>
      <c r="AG77" s="3386"/>
      <c r="AH77" s="3386"/>
      <c r="AI77" s="3386"/>
    </row>
    <row r="78" spans="1:35" ht="15.6" customHeight="1">
      <c r="A78" s="3372"/>
      <c r="B78" s="3372"/>
      <c r="C78" s="3372"/>
      <c r="D78" s="3372"/>
      <c r="E78" s="3372"/>
      <c r="F78" s="3372"/>
      <c r="G78" s="3372"/>
      <c r="U78" s="2163"/>
      <c r="V78" s="2164" t="s">
        <v>469</v>
      </c>
      <c r="W78" s="2163"/>
      <c r="X78" s="2161">
        <f t="shared" si="0"/>
        <v>0</v>
      </c>
      <c r="Y78" s="2263" t="e">
        <f t="shared" si="1"/>
        <v>#REF!</v>
      </c>
      <c r="AC78" s="3386"/>
      <c r="AD78" s="3386"/>
      <c r="AE78" s="3386"/>
      <c r="AF78" s="3386"/>
      <c r="AG78" s="3386"/>
      <c r="AH78" s="3386"/>
      <c r="AI78" s="3386"/>
    </row>
    <row r="79" spans="1:35" ht="15.6" customHeight="1">
      <c r="U79" s="2161"/>
      <c r="V79" s="2162" t="s">
        <v>874</v>
      </c>
      <c r="W79" s="2161" t="e">
        <f>T4_LLS</f>
        <v>#REF!</v>
      </c>
      <c r="X79" s="2161" t="e">
        <f t="shared" si="0"/>
        <v>#REF!</v>
      </c>
      <c r="Y79" s="2263" t="e">
        <f t="shared" si="1"/>
        <v>#REF!</v>
      </c>
      <c r="AC79" s="3386"/>
      <c r="AD79" s="3386"/>
      <c r="AE79" s="3386"/>
      <c r="AF79" s="3386"/>
      <c r="AG79" s="3386"/>
      <c r="AH79" s="3386"/>
      <c r="AI79" s="3386"/>
    </row>
    <row r="80" spans="1:35" ht="26.45" customHeight="1">
      <c r="O80" s="3370" t="str">
        <f>"Je soussigné, " &amp; directeur_g &amp; " Directeur Général de la SODEGIS, certifie que les logements "</f>
        <v xml:space="preserve">Je soussigné, Patrick CORRE Directeur Général de la SODEGIS, certifie que les logements </v>
      </c>
      <c r="P80" s="3370"/>
      <c r="Q80" s="3370"/>
      <c r="R80" s="3370"/>
      <c r="S80" s="3370"/>
      <c r="T80" s="3370"/>
      <c r="U80" s="2258"/>
      <c r="V80" s="2164" t="s">
        <v>472</v>
      </c>
      <c r="W80" s="2163"/>
      <c r="X80" s="2161">
        <f t="shared" si="0"/>
        <v>0</v>
      </c>
      <c r="Y80" s="2263" t="e">
        <f t="shared" si="1"/>
        <v>#REF!</v>
      </c>
      <c r="AC80" s="3386"/>
      <c r="AD80" s="3386"/>
      <c r="AE80" s="3386"/>
      <c r="AF80" s="3386"/>
      <c r="AG80" s="3386"/>
      <c r="AH80" s="3386"/>
      <c r="AI80" s="3386"/>
    </row>
    <row r="81" spans="5:35" ht="15.6" customHeight="1">
      <c r="E81" s="3212" t="s">
        <v>1024</v>
      </c>
      <c r="F81" s="3213">
        <f ca="1">TODAY()</f>
        <v>43403</v>
      </c>
      <c r="O81" s="3371" t="str">
        <f>"de l'opération susvisée n'ont fait, à la date du "</f>
        <v xml:space="preserve">de l'opération susvisée n'ont fait, à la date du </v>
      </c>
      <c r="P81" s="3371"/>
      <c r="Q81" s="3371"/>
      <c r="R81" s="2167">
        <f ca="1">TODAY()</f>
        <v>43403</v>
      </c>
      <c r="S81" s="3371" t="s">
        <v>866</v>
      </c>
      <c r="T81" s="3371"/>
      <c r="U81" s="2161"/>
      <c r="V81" s="2162" t="s">
        <v>876</v>
      </c>
      <c r="W81" s="2161" t="e">
        <f>T5_LLS</f>
        <v>#REF!</v>
      </c>
      <c r="X81" s="2161" t="e">
        <f t="shared" si="0"/>
        <v>#REF!</v>
      </c>
      <c r="Y81" s="2263" t="e">
        <f t="shared" si="1"/>
        <v>#REF!</v>
      </c>
      <c r="AC81" s="3386"/>
      <c r="AD81" s="3386"/>
      <c r="AE81" s="3386"/>
      <c r="AF81" s="3386"/>
      <c r="AG81" s="3386"/>
      <c r="AH81" s="3386"/>
      <c r="AI81" s="3386"/>
    </row>
    <row r="82" spans="5:35">
      <c r="F82" s="2128"/>
      <c r="O82" s="3353" t="str">
        <f>"commencement de travaux et que ceux-ci ne débuteront qu'après l'obtention de la décision favorable de financement du représentant de l'Etat, en application de l'article R 372-6 (alinéa 2) du Code de la Construction et de l'Habitation."</f>
        <v>commencement de travaux et que ceux-ci ne débuteront qu'après l'obtention de la décision favorable de financement du représentant de l'Etat, en application de l'article R 372-6 (alinéa 2) du Code de la Construction et de l'Habitation.</v>
      </c>
      <c r="P82" s="3353"/>
      <c r="Q82" s="3353"/>
      <c r="R82" s="3353"/>
      <c r="S82" s="3353"/>
      <c r="T82" s="3353"/>
      <c r="U82" s="2163"/>
      <c r="V82" s="2164" t="s">
        <v>474</v>
      </c>
      <c r="W82" s="2163"/>
      <c r="X82" s="2161">
        <f t="shared" si="0"/>
        <v>0</v>
      </c>
      <c r="Y82" s="2263" t="e">
        <f t="shared" si="1"/>
        <v>#REF!</v>
      </c>
    </row>
    <row r="83" spans="5:35">
      <c r="E83" s="3329" t="s">
        <v>810</v>
      </c>
      <c r="F83" s="3329"/>
      <c r="O83" s="3353"/>
      <c r="P83" s="3353"/>
      <c r="Q83" s="3353"/>
      <c r="R83" s="3353"/>
      <c r="S83" s="3353"/>
      <c r="T83" s="3353"/>
      <c r="U83" s="2161"/>
      <c r="V83" s="2162" t="s">
        <v>877</v>
      </c>
      <c r="W83" s="2161"/>
      <c r="X83" s="2161">
        <f t="shared" si="0"/>
        <v>0</v>
      </c>
      <c r="Y83" s="2263" t="e">
        <f t="shared" si="1"/>
        <v>#REF!</v>
      </c>
      <c r="AC83" s="2203"/>
      <c r="AD83" s="3386" t="s">
        <v>870</v>
      </c>
      <c r="AE83" s="3386"/>
      <c r="AF83" s="3386"/>
      <c r="AG83" s="3386"/>
      <c r="AH83" s="3386"/>
      <c r="AI83" s="3386"/>
    </row>
    <row r="84" spans="5:35">
      <c r="O84" s="3353"/>
      <c r="P84" s="3353"/>
      <c r="Q84" s="3353"/>
      <c r="R84" s="3353"/>
      <c r="S84" s="3353"/>
      <c r="T84" s="3353"/>
      <c r="U84" s="2161"/>
      <c r="V84" s="2162" t="s">
        <v>670</v>
      </c>
      <c r="W84" s="2161"/>
      <c r="X84" s="2161">
        <f t="shared" si="0"/>
        <v>0</v>
      </c>
      <c r="Y84" s="2263" t="e">
        <f t="shared" si="1"/>
        <v>#REF!</v>
      </c>
      <c r="AC84" s="2204"/>
      <c r="AD84" s="3386"/>
      <c r="AE84" s="3386"/>
      <c r="AF84" s="3386"/>
      <c r="AG84" s="3386"/>
      <c r="AH84" s="3386"/>
      <c r="AI84" s="3386"/>
    </row>
    <row r="85" spans="5:35">
      <c r="O85" s="3353"/>
      <c r="P85" s="3353"/>
      <c r="Q85" s="3353"/>
      <c r="R85" s="3353"/>
      <c r="S85" s="3353"/>
      <c r="T85" s="3353"/>
      <c r="U85" s="2163"/>
      <c r="V85" s="2164" t="s">
        <v>879</v>
      </c>
      <c r="W85" s="2163"/>
      <c r="X85" s="2161">
        <f t="shared" si="0"/>
        <v>0</v>
      </c>
      <c r="Y85" s="2263" t="e">
        <f t="shared" si="1"/>
        <v>#REF!</v>
      </c>
      <c r="AC85" s="2203"/>
      <c r="AD85" s="3374" t="s">
        <v>875</v>
      </c>
      <c r="AE85" s="3374"/>
      <c r="AF85" s="3374"/>
      <c r="AG85" s="3374"/>
      <c r="AH85" s="3374"/>
      <c r="AI85" s="3374"/>
    </row>
    <row r="86" spans="5:35">
      <c r="U86" s="2161"/>
      <c r="V86" s="2162" t="s">
        <v>880</v>
      </c>
      <c r="W86" s="2161"/>
      <c r="X86" s="2161">
        <f t="shared" si="0"/>
        <v>0</v>
      </c>
      <c r="Y86" s="2263" t="e">
        <f t="shared" si="1"/>
        <v>#REF!</v>
      </c>
      <c r="AC86" s="2204"/>
      <c r="AD86" s="3374"/>
      <c r="AE86" s="3374"/>
      <c r="AF86" s="3374"/>
      <c r="AG86" s="3374"/>
      <c r="AH86" s="3374"/>
      <c r="AI86" s="3374"/>
    </row>
    <row r="87" spans="5:35">
      <c r="O87" s="2125" t="s">
        <v>871</v>
      </c>
      <c r="U87" s="3375" t="s">
        <v>881</v>
      </c>
      <c r="V87" s="3376"/>
      <c r="W87" s="2165" t="e">
        <f>SUM(W72:W86)</f>
        <v>#REF!</v>
      </c>
      <c r="X87" s="2161" t="e">
        <f>SUM(X72:X86)</f>
        <v>#REF!</v>
      </c>
      <c r="Y87" s="2264" t="e">
        <f>W87*U68</f>
        <v>#REF!</v>
      </c>
      <c r="AC87" s="2203"/>
      <c r="AD87" s="3374" t="s">
        <v>873</v>
      </c>
      <c r="AE87" s="3374"/>
      <c r="AF87" s="3374"/>
      <c r="AG87" s="3374"/>
      <c r="AH87" s="3374"/>
      <c r="AI87" s="3374"/>
    </row>
    <row r="88" spans="5:35">
      <c r="AC88" s="2204"/>
      <c r="AD88" s="3374"/>
      <c r="AE88" s="3374"/>
      <c r="AF88" s="3374"/>
      <c r="AG88" s="3374"/>
      <c r="AH88" s="3374"/>
      <c r="AI88" s="3374"/>
    </row>
    <row r="89" spans="5:35">
      <c r="E89" s="2125" t="str">
        <f>directeur_g</f>
        <v>Patrick CORRE</v>
      </c>
      <c r="AC89" s="2209"/>
      <c r="AD89" s="2209"/>
      <c r="AE89" s="2209"/>
      <c r="AF89" s="2209"/>
      <c r="AG89" s="2209"/>
      <c r="AH89" s="2209"/>
      <c r="AI89" s="2209"/>
    </row>
    <row r="90" spans="5:35">
      <c r="R90" s="3212" t="s">
        <v>1024</v>
      </c>
      <c r="S90" s="3328">
        <f ca="1">TODAY()</f>
        <v>43403</v>
      </c>
      <c r="T90" s="3328"/>
      <c r="AC90" s="3374" t="s">
        <v>878</v>
      </c>
      <c r="AD90" s="3374"/>
      <c r="AE90" s="3374"/>
      <c r="AF90" s="3374"/>
      <c r="AG90" s="3374"/>
      <c r="AH90" s="3374"/>
      <c r="AI90" s="3374"/>
    </row>
    <row r="91" spans="5:35">
      <c r="AC91" s="3374"/>
      <c r="AD91" s="3374"/>
      <c r="AE91" s="3374"/>
      <c r="AF91" s="3374"/>
      <c r="AG91" s="3374"/>
      <c r="AH91" s="3374"/>
      <c r="AI91" s="3374"/>
    </row>
    <row r="92" spans="5:35">
      <c r="R92" s="2125" t="s">
        <v>810</v>
      </c>
      <c r="AC92" s="2204"/>
      <c r="AD92" s="2204"/>
      <c r="AE92" s="2204"/>
      <c r="AF92" s="2204"/>
      <c r="AG92" s="2204"/>
      <c r="AH92" s="2204"/>
      <c r="AI92" s="2204"/>
    </row>
    <row r="93" spans="5:35">
      <c r="AC93" s="2203"/>
      <c r="AD93" s="2204" t="s">
        <v>882</v>
      </c>
      <c r="AE93" s="2204"/>
      <c r="AF93" s="2204"/>
      <c r="AG93" s="2204"/>
      <c r="AH93" s="2204"/>
      <c r="AI93" s="2204"/>
    </row>
    <row r="94" spans="5:35">
      <c r="AC94" s="2204"/>
      <c r="AD94" s="2204"/>
      <c r="AE94" s="2204"/>
      <c r="AF94" s="2204"/>
      <c r="AG94" s="2204"/>
      <c r="AH94" s="2204"/>
      <c r="AI94" s="2204"/>
    </row>
    <row r="95" spans="5:35">
      <c r="AC95" s="2203"/>
      <c r="AD95" s="2204" t="s">
        <v>883</v>
      </c>
      <c r="AE95" s="2204"/>
      <c r="AF95" s="2204"/>
      <c r="AG95" s="2204"/>
      <c r="AH95" s="2204"/>
      <c r="AI95" s="2204"/>
    </row>
    <row r="96" spans="5:35">
      <c r="AC96" s="2204"/>
      <c r="AD96" s="2204"/>
      <c r="AE96" s="2204"/>
      <c r="AF96" s="2204"/>
      <c r="AG96" s="2204"/>
      <c r="AH96" s="2204"/>
      <c r="AI96" s="2204"/>
    </row>
    <row r="97" spans="18:35">
      <c r="AC97" s="2203"/>
      <c r="AD97" s="2204" t="s">
        <v>884</v>
      </c>
      <c r="AE97" s="2204"/>
      <c r="AF97" s="2204"/>
      <c r="AG97" s="2204"/>
      <c r="AH97" s="2204"/>
      <c r="AI97" s="2204"/>
    </row>
    <row r="98" spans="18:35">
      <c r="AC98" s="2204"/>
      <c r="AD98" s="2204"/>
      <c r="AE98" s="2204"/>
      <c r="AF98" s="2204"/>
      <c r="AG98" s="2204"/>
      <c r="AH98" s="2204"/>
      <c r="AI98" s="2204"/>
    </row>
    <row r="99" spans="18:35">
      <c r="R99" s="2125" t="str">
        <f>directeur_g</f>
        <v>Patrick CORRE</v>
      </c>
      <c r="AC99" s="2203"/>
      <c r="AD99" s="2204" t="s">
        <v>885</v>
      </c>
      <c r="AE99" s="2204"/>
      <c r="AF99" s="2204"/>
      <c r="AG99" s="2204"/>
      <c r="AH99" s="3212" t="s">
        <v>1024</v>
      </c>
      <c r="AI99" s="3214">
        <f ca="1">TODAY()</f>
        <v>43403</v>
      </c>
    </row>
    <row r="100" spans="18:35">
      <c r="AC100" s="2204"/>
      <c r="AD100" s="2204"/>
      <c r="AE100" s="2204"/>
      <c r="AF100" s="2204"/>
      <c r="AG100" s="3212"/>
    </row>
    <row r="101" spans="18:35">
      <c r="AG101" s="2125" t="s">
        <v>810</v>
      </c>
    </row>
    <row r="105" spans="18:35">
      <c r="AG105" s="2125" t="str">
        <f>directeur_g</f>
        <v>Patrick CORRE</v>
      </c>
    </row>
    <row r="106" spans="18:35">
      <c r="U106" s="2169"/>
      <c r="V106" s="2134"/>
      <c r="W106" s="2134"/>
      <c r="X106" s="2134"/>
      <c r="Y106" s="2135"/>
    </row>
    <row r="107" spans="18:35">
      <c r="U107" s="3355" t="s">
        <v>851</v>
      </c>
      <c r="V107" s="3356"/>
      <c r="W107" s="3356"/>
      <c r="X107" s="3356"/>
      <c r="Y107" s="3357"/>
    </row>
    <row r="108" spans="18:35" ht="27" customHeight="1">
      <c r="U108" s="3355"/>
      <c r="V108" s="3356"/>
      <c r="W108" s="3356"/>
      <c r="X108" s="3356"/>
      <c r="Y108" s="3357"/>
    </row>
    <row r="109" spans="18:35">
      <c r="U109" s="2141"/>
      <c r="V109" s="2142"/>
      <c r="W109" s="2143"/>
      <c r="X109" s="2144"/>
      <c r="Y109" s="2145" t="s">
        <v>854</v>
      </c>
    </row>
    <row r="110" spans="18:35">
      <c r="U110" s="2146"/>
      <c r="V110" s="2146"/>
      <c r="W110" s="2146"/>
      <c r="X110" s="2146"/>
      <c r="Y110" s="2146"/>
      <c r="AC110" s="3364" t="s">
        <v>849</v>
      </c>
      <c r="AD110" s="3365"/>
      <c r="AE110" s="3365"/>
      <c r="AF110" s="3365"/>
      <c r="AG110" s="3365"/>
      <c r="AH110" s="3365"/>
      <c r="AI110" s="3366"/>
    </row>
    <row r="111" spans="18:35">
      <c r="U111" s="3361" t="s">
        <v>856</v>
      </c>
      <c r="V111" s="3361"/>
      <c r="W111" s="2146" t="s">
        <v>776</v>
      </c>
      <c r="X111" s="2146"/>
      <c r="Y111" s="2146"/>
      <c r="AC111" s="3367"/>
      <c r="AD111" s="3368"/>
      <c r="AE111" s="3368"/>
      <c r="AF111" s="3368"/>
      <c r="AG111" s="3368"/>
      <c r="AH111" s="3368"/>
      <c r="AI111" s="3369"/>
    </row>
    <row r="112" spans="18:35">
      <c r="U112" s="3361" t="s">
        <v>857</v>
      </c>
      <c r="V112" s="3361"/>
      <c r="W112" s="2146"/>
      <c r="X112" s="2146"/>
      <c r="Y112" s="2146"/>
    </row>
    <row r="113" spans="1:35">
      <c r="U113" s="3361" t="s">
        <v>858</v>
      </c>
      <c r="V113" s="3361"/>
      <c r="W113" s="2146">
        <f>nom</f>
        <v>0</v>
      </c>
      <c r="X113" s="2146"/>
      <c r="Y113" s="2146"/>
      <c r="AC113" s="3359" t="s">
        <v>855</v>
      </c>
      <c r="AD113" s="3359"/>
      <c r="AE113" s="2129">
        <f>nom</f>
        <v>0</v>
      </c>
    </row>
    <row r="114" spans="1:35">
      <c r="A114" s="3360" t="s">
        <v>850</v>
      </c>
      <c r="B114" s="3360"/>
      <c r="C114" s="3360"/>
      <c r="D114" s="3360"/>
      <c r="E114" s="3360"/>
      <c r="F114" s="3360"/>
      <c r="G114" s="3360"/>
      <c r="U114" s="2150"/>
      <c r="V114" s="2151" t="s">
        <v>860</v>
      </c>
      <c r="W114" s="2146">
        <f>adresse_LLS</f>
        <v>0</v>
      </c>
      <c r="X114" s="2146"/>
      <c r="Y114" s="2146"/>
    </row>
    <row r="115" spans="1:35">
      <c r="A115" s="3360"/>
      <c r="B115" s="3360"/>
      <c r="C115" s="3360"/>
      <c r="D115" s="3360"/>
      <c r="E115" s="3360"/>
      <c r="F115" s="3360"/>
      <c r="G115" s="3360"/>
      <c r="U115" s="2150"/>
      <c r="V115" s="2151" t="s">
        <v>862</v>
      </c>
      <c r="W115" s="2146">
        <f>Commune_LLTS</f>
        <v>0</v>
      </c>
      <c r="X115" s="2146"/>
      <c r="Y115" s="2146"/>
      <c r="AC115" s="2125" t="str">
        <f xml:space="preserve"> " Je soussigné, Monsieur " &amp; directeur_g &amp; ","</f>
        <v xml:space="preserve"> Je soussigné, Monsieur Patrick CORRE,</v>
      </c>
    </row>
    <row r="116" spans="1:35">
      <c r="O116" s="3216" t="s">
        <v>847</v>
      </c>
      <c r="P116" s="2132">
        <f>nom</f>
        <v>0</v>
      </c>
      <c r="Q116" s="2132"/>
      <c r="R116" s="2133" t="s">
        <v>848</v>
      </c>
      <c r="S116" s="2132"/>
      <c r="T116" s="2202" t="s">
        <v>3</v>
      </c>
      <c r="U116" s="3363" t="s">
        <v>864</v>
      </c>
      <c r="V116" s="3363"/>
      <c r="W116" s="2227">
        <v>1</v>
      </c>
      <c r="X116" s="2146"/>
      <c r="Y116" s="2146"/>
    </row>
    <row r="117" spans="1:35">
      <c r="A117" s="2129" t="str">
        <f>"Objet : Opération "&amp;nom</f>
        <v xml:space="preserve">Objet : Opération </v>
      </c>
      <c r="O117" s="2136"/>
      <c r="P117" s="2137"/>
      <c r="Q117" s="2137"/>
      <c r="R117" s="2137"/>
      <c r="S117" s="2137"/>
      <c r="T117" s="2138"/>
      <c r="U117" s="2146"/>
      <c r="V117" s="2146"/>
      <c r="W117" s="2146"/>
      <c r="X117" s="2146"/>
      <c r="Y117" s="2146"/>
      <c r="AC117" s="2116" t="s">
        <v>839</v>
      </c>
      <c r="AD117" s="2116"/>
      <c r="AE117" s="2116"/>
      <c r="AF117" s="2116"/>
      <c r="AG117" s="2116"/>
      <c r="AH117" s="2116"/>
      <c r="AI117" s="2127"/>
    </row>
    <row r="118" spans="1:35" ht="15.75" thickBot="1">
      <c r="O118" s="2139" t="s">
        <v>853</v>
      </c>
      <c r="P118" s="2137"/>
      <c r="R118" s="2140">
        <f>nombreLLTS</f>
        <v>35</v>
      </c>
      <c r="S118" s="2137"/>
      <c r="T118" s="2138"/>
      <c r="U118" s="2152">
        <v>0.3</v>
      </c>
      <c r="V118" s="2153"/>
      <c r="W118" s="2154"/>
      <c r="X118" s="2155"/>
      <c r="Y118" s="2156"/>
      <c r="AC118" s="3202" t="s">
        <v>1016</v>
      </c>
      <c r="AD118" s="2116"/>
      <c r="AE118" s="2116"/>
      <c r="AF118" s="2116"/>
      <c r="AG118" s="2116"/>
      <c r="AH118" s="2116"/>
      <c r="AI118" s="2127"/>
    </row>
    <row r="119" spans="1:35" ht="14.25" customHeight="1">
      <c r="A119" s="3362" t="str">
        <f>"Le prix de revient total est arrêté à "&amp;TEXT(PRP_TTC_LLTS,"0 000,00")&amp;" € TTC, soit un prix moyen au m2 de surface finançable de "&amp;ROUND(PRP_TTC_LLTS/SF_LLTS,0)&amp;" € TTC."</f>
        <v>Le prix de revient total est arrêté à 204 608,84 € TTC, soit un prix moyen au m2 de surface finançable de 78 € TTC.</v>
      </c>
      <c r="B119" s="3362"/>
      <c r="C119" s="3362"/>
      <c r="D119" s="3362"/>
      <c r="E119" s="3362"/>
      <c r="F119" s="3362"/>
      <c r="G119" s="3362"/>
      <c r="O119" s="2136"/>
      <c r="P119" s="2137"/>
      <c r="Q119" s="2137"/>
      <c r="R119" s="2137"/>
      <c r="S119" s="2137"/>
      <c r="T119" s="2138"/>
      <c r="U119" s="2157"/>
      <c r="V119" s="2158"/>
      <c r="W119" s="3377" t="s">
        <v>865</v>
      </c>
      <c r="X119" s="3380" t="s">
        <v>851</v>
      </c>
      <c r="Y119" s="3380"/>
      <c r="AC119" s="3217" t="s">
        <v>1033</v>
      </c>
      <c r="AD119" s="2116"/>
      <c r="AE119" s="2116"/>
      <c r="AF119" s="2116"/>
      <c r="AG119" s="2116"/>
      <c r="AH119" s="2116"/>
      <c r="AI119" s="2127"/>
    </row>
    <row r="120" spans="1:35">
      <c r="A120" s="3362"/>
      <c r="B120" s="3362"/>
      <c r="C120" s="3362"/>
      <c r="D120" s="3362"/>
      <c r="E120" s="3362"/>
      <c r="F120" s="3362"/>
      <c r="G120" s="3362"/>
      <c r="O120" s="2139" t="s">
        <v>780</v>
      </c>
      <c r="P120" s="3358">
        <f>adresse_LLTS</f>
        <v>0</v>
      </c>
      <c r="Q120" s="3358"/>
      <c r="R120" s="2137"/>
      <c r="S120" s="2137"/>
      <c r="T120" s="2138"/>
      <c r="U120" s="2146"/>
      <c r="V120" s="2146"/>
      <c r="W120" s="3378"/>
      <c r="X120" s="3381"/>
      <c r="Y120" s="3381"/>
      <c r="AC120" s="3217" t="s">
        <v>1034</v>
      </c>
      <c r="AD120" s="2116"/>
      <c r="AE120" s="2116"/>
      <c r="AF120" s="2116"/>
      <c r="AG120" s="2116"/>
      <c r="AH120" s="2116"/>
      <c r="AI120" s="2127"/>
    </row>
    <row r="121" spans="1:35">
      <c r="A121" s="2176"/>
      <c r="B121" s="2176"/>
      <c r="C121" s="2176"/>
      <c r="D121" s="2176"/>
      <c r="E121" s="2176"/>
      <c r="F121" s="2176"/>
      <c r="G121" s="2176"/>
      <c r="O121" s="2136"/>
      <c r="P121" s="3358"/>
      <c r="Q121" s="3358"/>
      <c r="R121" s="2137"/>
      <c r="S121" s="2137"/>
      <c r="T121" s="2138"/>
      <c r="U121" s="2146"/>
      <c r="V121" s="2146"/>
      <c r="W121" s="3379"/>
      <c r="X121" s="3382"/>
      <c r="Y121" s="3382"/>
      <c r="AC121" s="2116" t="str">
        <f>" un programme immobilier totalisant " &amp; nombreLLTS &amp; " logements LLTS dans le secteur social. "</f>
        <v xml:space="preserve"> un programme immobilier totalisant 35 logements LLTS dans le secteur social. </v>
      </c>
      <c r="AD121" s="2116"/>
      <c r="AE121" s="2116"/>
      <c r="AF121" s="2116"/>
      <c r="AG121" s="2116"/>
      <c r="AH121" s="2116"/>
      <c r="AI121" s="2127"/>
    </row>
    <row r="122" spans="1:35" ht="15.6" customHeight="1">
      <c r="A122" s="3362" t="s">
        <v>861</v>
      </c>
      <c r="B122" s="3362"/>
      <c r="C122" s="3362"/>
      <c r="D122" s="3362"/>
      <c r="E122" s="3362"/>
      <c r="F122" s="3362"/>
      <c r="G122" s="3362"/>
      <c r="O122" s="2136"/>
      <c r="P122" s="3358"/>
      <c r="Q122" s="3358"/>
      <c r="R122" s="2137"/>
      <c r="S122" s="2137"/>
      <c r="T122" s="2138"/>
      <c r="U122" s="2159"/>
      <c r="V122" s="2160" t="s">
        <v>669</v>
      </c>
      <c r="W122" s="2159"/>
      <c r="X122" s="2161">
        <f>W122*$U$118</f>
        <v>0</v>
      </c>
      <c r="Y122" s="2263" t="e">
        <f>X122+($Y$137-$X$137)*(X122=MAX($X$122:$X$136))</f>
        <v>#REF!</v>
      </c>
      <c r="AC122" s="2205"/>
    </row>
    <row r="123" spans="1:35" ht="14.25" customHeight="1">
      <c r="A123" s="3362"/>
      <c r="B123" s="3362"/>
      <c r="C123" s="3362"/>
      <c r="D123" s="3362"/>
      <c r="E123" s="3362"/>
      <c r="F123" s="3362"/>
      <c r="G123" s="3362"/>
      <c r="O123" s="2136"/>
      <c r="P123" s="2137"/>
      <c r="Q123" s="2137"/>
      <c r="R123" s="2137"/>
      <c r="S123" s="2137"/>
      <c r="T123" s="2138"/>
      <c r="U123" s="2161"/>
      <c r="V123" s="2162" t="s">
        <v>868</v>
      </c>
      <c r="W123" s="2161" t="e">
        <f>T1_LLTS</f>
        <v>#REF!</v>
      </c>
      <c r="X123" s="2161" t="e">
        <f t="shared" ref="X123:X136" si="2">W123*$U$118</f>
        <v>#REF!</v>
      </c>
      <c r="Y123" s="2263" t="e">
        <f t="shared" ref="Y123:Y136" si="3">X123+($Y$137-$X$137)*(X123=MAX($X$122:$X$136))</f>
        <v>#REF!</v>
      </c>
      <c r="AC123" s="3353" t="s">
        <v>867</v>
      </c>
      <c r="AD123" s="3353"/>
      <c r="AE123" s="3353"/>
      <c r="AF123" s="3353"/>
      <c r="AG123" s="3353"/>
      <c r="AH123" s="3353"/>
      <c r="AI123" s="3353"/>
    </row>
    <row r="124" spans="1:35">
      <c r="A124" s="3372" t="str">
        <f>"          - logements individuels éparses impliquant une densité faible ( de l'ordre de 3 logements / ha) et des travaux coûteux : linéaire de façades important, toitures, ..."</f>
        <v xml:space="preserve">          - logements individuels éparses impliquant une densité faible ( de l'ordre de 3 logements / ha) et des travaux coûteux : linéaire de façades important, toitures, ...</v>
      </c>
      <c r="B124" s="3372"/>
      <c r="C124" s="3372"/>
      <c r="D124" s="3372"/>
      <c r="E124" s="3372"/>
      <c r="F124" s="3372"/>
      <c r="G124" s="3372"/>
      <c r="O124" s="2147" t="s">
        <v>859</v>
      </c>
      <c r="P124" s="2148"/>
      <c r="Q124" s="2148" t="s">
        <v>776</v>
      </c>
      <c r="R124" s="2148"/>
      <c r="S124" s="2148"/>
      <c r="T124" s="2149"/>
      <c r="U124" s="2163"/>
      <c r="V124" s="2164" t="s">
        <v>463</v>
      </c>
      <c r="W124" s="2163"/>
      <c r="X124" s="2161">
        <f t="shared" si="2"/>
        <v>0</v>
      </c>
      <c r="Y124" s="2263" t="e">
        <f t="shared" si="3"/>
        <v>#REF!</v>
      </c>
      <c r="AC124" s="3353"/>
      <c r="AD124" s="3353"/>
      <c r="AE124" s="3353"/>
      <c r="AF124" s="3353"/>
      <c r="AG124" s="3353"/>
      <c r="AH124" s="3353"/>
      <c r="AI124" s="3353"/>
    </row>
    <row r="125" spans="1:35">
      <c r="A125" s="3372"/>
      <c r="B125" s="3372"/>
      <c r="C125" s="3372"/>
      <c r="D125" s="3372"/>
      <c r="E125" s="3372"/>
      <c r="F125" s="3372"/>
      <c r="G125" s="3372"/>
      <c r="O125" s="2137"/>
      <c r="P125" s="2137"/>
      <c r="Q125" s="2137"/>
      <c r="R125" s="2137"/>
      <c r="S125" s="2137"/>
      <c r="T125" s="2137"/>
      <c r="U125" s="2161"/>
      <c r="V125" s="2162" t="s">
        <v>869</v>
      </c>
      <c r="W125" s="2161" t="e">
        <f>T2_LLTS</f>
        <v>#REF!</v>
      </c>
      <c r="X125" s="2161" t="e">
        <f t="shared" si="2"/>
        <v>#REF!</v>
      </c>
      <c r="Y125" s="2263" t="e">
        <f t="shared" si="3"/>
        <v>#REF!</v>
      </c>
      <c r="AC125" s="3353"/>
      <c r="AD125" s="3353"/>
      <c r="AE125" s="3353"/>
      <c r="AF125" s="3353"/>
      <c r="AG125" s="3353"/>
      <c r="AH125" s="3353"/>
      <c r="AI125" s="3353"/>
    </row>
    <row r="126" spans="1:35">
      <c r="A126" s="3372" t="str">
        <f>"          - absence de réseau d'assainissement collectif à proximité du terrain nécessitant la réalisationd'un assainissement autonome, "</f>
        <v xml:space="preserve">          - absence de réseau d'assainissement collectif à proximité du terrain nécessitant la réalisationd'un assainissement autonome, </v>
      </c>
      <c r="B126" s="3372"/>
      <c r="C126" s="3372"/>
      <c r="D126" s="3372"/>
      <c r="E126" s="3372"/>
      <c r="F126" s="3372"/>
      <c r="G126" s="3372"/>
      <c r="O126" s="3373" t="s">
        <v>863</v>
      </c>
      <c r="P126" s="3373"/>
      <c r="Q126" s="3373"/>
      <c r="R126" s="3373"/>
      <c r="S126" s="3373"/>
      <c r="T126" s="3373"/>
      <c r="U126" s="2163"/>
      <c r="V126" s="2164" t="s">
        <v>466</v>
      </c>
      <c r="W126" s="2163"/>
      <c r="X126" s="2161">
        <f t="shared" si="2"/>
        <v>0</v>
      </c>
      <c r="Y126" s="2263" t="e">
        <f t="shared" si="3"/>
        <v>#REF!</v>
      </c>
      <c r="AC126" s="3353"/>
      <c r="AD126" s="3353"/>
      <c r="AE126" s="3353"/>
      <c r="AF126" s="3353"/>
      <c r="AG126" s="3353"/>
      <c r="AH126" s="3353"/>
      <c r="AI126" s="3353"/>
    </row>
    <row r="127" spans="1:35">
      <c r="A127" s="3372"/>
      <c r="B127" s="3372"/>
      <c r="C127" s="3372"/>
      <c r="D127" s="3372"/>
      <c r="E127" s="3372"/>
      <c r="F127" s="3372"/>
      <c r="G127" s="3372"/>
      <c r="O127" s="3373"/>
      <c r="P127" s="3373"/>
      <c r="Q127" s="3373"/>
      <c r="R127" s="3373"/>
      <c r="S127" s="3373"/>
      <c r="T127" s="3373"/>
      <c r="U127" s="2161"/>
      <c r="V127" s="2162" t="s">
        <v>872</v>
      </c>
      <c r="W127" s="2161" t="e">
        <f>T3_LLTS</f>
        <v>#REF!</v>
      </c>
      <c r="X127" s="2161" t="e">
        <f t="shared" si="2"/>
        <v>#REF!</v>
      </c>
      <c r="Y127" s="2263" t="e">
        <f t="shared" si="3"/>
        <v>#REF!</v>
      </c>
      <c r="AC127" s="3353"/>
      <c r="AD127" s="3353"/>
      <c r="AE127" s="3353"/>
      <c r="AF127" s="3353"/>
      <c r="AG127" s="3353"/>
      <c r="AH127" s="3353"/>
      <c r="AI127" s="3353"/>
    </row>
    <row r="128" spans="1:35" ht="15.6" customHeight="1">
      <c r="A128" s="3372" t="str">
        <f>"          - altitude + 600m imposant une isolation complète du logement (isolation murs et toiture, bardage, volets,…)."</f>
        <v xml:space="preserve">          - altitude + 600m imposant une isolation complète du logement (isolation murs et toiture, bardage, volets,…).</v>
      </c>
      <c r="B128" s="3372"/>
      <c r="C128" s="3372"/>
      <c r="D128" s="3372"/>
      <c r="E128" s="3372"/>
      <c r="F128" s="3372"/>
      <c r="G128" s="3372"/>
      <c r="U128" s="2163"/>
      <c r="V128" s="2164" t="s">
        <v>469</v>
      </c>
      <c r="W128" s="2163"/>
      <c r="X128" s="2161">
        <f t="shared" si="2"/>
        <v>0</v>
      </c>
      <c r="Y128" s="2263" t="e">
        <f t="shared" si="3"/>
        <v>#REF!</v>
      </c>
    </row>
    <row r="129" spans="1:35">
      <c r="A129" s="3372"/>
      <c r="B129" s="3372"/>
      <c r="C129" s="3372"/>
      <c r="D129" s="3372"/>
      <c r="E129" s="3372"/>
      <c r="F129" s="3372"/>
      <c r="G129" s="3372"/>
      <c r="U129" s="2161"/>
      <c r="V129" s="2162" t="s">
        <v>874</v>
      </c>
      <c r="W129" s="2161" t="e">
        <f>T4_LLTS</f>
        <v>#REF!</v>
      </c>
      <c r="X129" s="2161" t="e">
        <f t="shared" si="2"/>
        <v>#REF!</v>
      </c>
      <c r="Y129" s="2263" t="e">
        <f t="shared" si="3"/>
        <v>#REF!</v>
      </c>
      <c r="AC129" s="2203"/>
      <c r="AD129" s="3385" t="s">
        <v>870</v>
      </c>
      <c r="AE129" s="3385"/>
      <c r="AF129" s="3385"/>
      <c r="AG129" s="3385"/>
      <c r="AH129" s="3385"/>
      <c r="AI129" s="3385"/>
    </row>
    <row r="130" spans="1:35">
      <c r="O130" s="3383" t="str">
        <f>" Je soussigné, " &amp; directeur_g &amp; " Directeur Général de la SODEGIS, certifie que les logements "</f>
        <v xml:space="preserve"> Je soussigné, Patrick CORRE Directeur Général de la SODEGIS, certifie que les logements </v>
      </c>
      <c r="P130" s="3383"/>
      <c r="Q130" s="3383"/>
      <c r="R130" s="3383"/>
      <c r="S130" s="3383"/>
      <c r="T130" s="3383"/>
      <c r="U130" s="2163"/>
      <c r="V130" s="2164" t="s">
        <v>472</v>
      </c>
      <c r="W130" s="2163"/>
      <c r="X130" s="2161">
        <f t="shared" si="2"/>
        <v>0</v>
      </c>
      <c r="Y130" s="2263" t="e">
        <f t="shared" si="3"/>
        <v>#REF!</v>
      </c>
      <c r="AD130" s="3385"/>
      <c r="AE130" s="3385"/>
      <c r="AF130" s="3385"/>
      <c r="AG130" s="3385"/>
      <c r="AH130" s="3385"/>
      <c r="AI130" s="3385"/>
    </row>
    <row r="131" spans="1:35">
      <c r="O131" s="3383" t="str">
        <f>"de l'opération susvisée n'ont fait, à la date du "</f>
        <v xml:space="preserve">de l'opération susvisée n'ont fait, à la date du </v>
      </c>
      <c r="P131" s="3383"/>
      <c r="Q131" s="3383"/>
      <c r="R131" s="2167">
        <f ca="1">TODAY()</f>
        <v>43403</v>
      </c>
      <c r="S131" s="3371" t="s">
        <v>866</v>
      </c>
      <c r="T131" s="3371"/>
      <c r="U131" s="2161"/>
      <c r="V131" s="2162" t="s">
        <v>876</v>
      </c>
      <c r="W131" s="2161" t="e">
        <f>T5_LLTS</f>
        <v>#REF!</v>
      </c>
      <c r="X131" s="2161" t="e">
        <f t="shared" si="2"/>
        <v>#REF!</v>
      </c>
      <c r="Y131" s="2263" t="e">
        <f t="shared" si="3"/>
        <v>#REF!</v>
      </c>
      <c r="AC131" s="2203"/>
      <c r="AD131" s="3362" t="s">
        <v>873</v>
      </c>
      <c r="AE131" s="3362"/>
      <c r="AF131" s="3362"/>
      <c r="AG131" s="3362"/>
      <c r="AH131" s="3362"/>
      <c r="AI131" s="3362"/>
    </row>
    <row r="132" spans="1:35" s="2206" customFormat="1" ht="17.100000000000001" customHeight="1">
      <c r="E132" s="3212" t="s">
        <v>1024</v>
      </c>
      <c r="F132" s="3213">
        <f ca="1">TODAY()</f>
        <v>43403</v>
      </c>
      <c r="O132" s="3353" t="str">
        <f>"commencement de travaux et que ceux-ci ne débuteront qu'après l'obtention de la décision favorable de financement du représentant de l'Etat, en application de l'article R 372-6 (alinéa 2) du Code de la Construction et de l'Habitation."</f>
        <v>commencement de travaux et que ceux-ci ne débuteront qu'après l'obtention de la décision favorable de financement du représentant de l'Etat, en application de l'article R 372-6 (alinéa 2) du Code de la Construction et de l'Habitation.</v>
      </c>
      <c r="P132" s="3353"/>
      <c r="Q132" s="3353"/>
      <c r="R132" s="3353"/>
      <c r="S132" s="3353"/>
      <c r="T132" s="3353"/>
      <c r="U132" s="2207"/>
      <c r="V132" s="2208" t="s">
        <v>474</v>
      </c>
      <c r="W132" s="2207"/>
      <c r="X132" s="2161">
        <f t="shared" si="2"/>
        <v>0</v>
      </c>
      <c r="Y132" s="2263" t="e">
        <f t="shared" si="3"/>
        <v>#REF!</v>
      </c>
      <c r="AC132" s="2125"/>
      <c r="AD132" s="3362"/>
      <c r="AE132" s="3362"/>
      <c r="AF132" s="3362"/>
      <c r="AG132" s="3362"/>
      <c r="AH132" s="3362"/>
      <c r="AI132" s="3362"/>
    </row>
    <row r="133" spans="1:35">
      <c r="F133" s="2128"/>
      <c r="O133" s="3353"/>
      <c r="P133" s="3353"/>
      <c r="Q133" s="3353"/>
      <c r="R133" s="3353"/>
      <c r="S133" s="3353"/>
      <c r="T133" s="3353"/>
      <c r="U133" s="2161"/>
      <c r="V133" s="2162" t="s">
        <v>877</v>
      </c>
      <c r="W133" s="2161"/>
      <c r="X133" s="2161">
        <f t="shared" si="2"/>
        <v>0</v>
      </c>
      <c r="Y133" s="2263" t="e">
        <f t="shared" si="3"/>
        <v>#REF!</v>
      </c>
      <c r="AC133" s="2203"/>
      <c r="AD133" s="3362" t="s">
        <v>875</v>
      </c>
      <c r="AE133" s="3362"/>
      <c r="AF133" s="3362"/>
      <c r="AG133" s="3362"/>
      <c r="AH133" s="3362"/>
      <c r="AI133" s="3362"/>
    </row>
    <row r="134" spans="1:35">
      <c r="E134" s="3329" t="s">
        <v>810</v>
      </c>
      <c r="F134" s="3329"/>
      <c r="O134" s="3353"/>
      <c r="P134" s="3353"/>
      <c r="Q134" s="3353"/>
      <c r="R134" s="3353"/>
      <c r="S134" s="3353"/>
      <c r="T134" s="3353"/>
      <c r="U134" s="2161"/>
      <c r="V134" s="2162" t="s">
        <v>670</v>
      </c>
      <c r="W134" s="2161"/>
      <c r="X134" s="2161">
        <f t="shared" si="2"/>
        <v>0</v>
      </c>
      <c r="Y134" s="2263" t="e">
        <f t="shared" si="3"/>
        <v>#REF!</v>
      </c>
      <c r="AD134" s="3362"/>
      <c r="AE134" s="3362"/>
      <c r="AF134" s="3362"/>
      <c r="AG134" s="3362"/>
      <c r="AH134" s="3362"/>
      <c r="AI134" s="3362"/>
    </row>
    <row r="135" spans="1:35">
      <c r="O135" s="3353"/>
      <c r="P135" s="3353"/>
      <c r="Q135" s="3353"/>
      <c r="R135" s="3353"/>
      <c r="S135" s="3353"/>
      <c r="T135" s="3353"/>
      <c r="U135" s="2163"/>
      <c r="V135" s="2164" t="s">
        <v>879</v>
      </c>
      <c r="W135" s="2163"/>
      <c r="X135" s="2161">
        <f t="shared" si="2"/>
        <v>0</v>
      </c>
      <c r="Y135" s="2263" t="e">
        <f t="shared" si="3"/>
        <v>#REF!</v>
      </c>
      <c r="AC135" s="3384" t="s">
        <v>878</v>
      </c>
      <c r="AD135" s="3362"/>
      <c r="AE135" s="3362"/>
      <c r="AF135" s="3362"/>
      <c r="AG135" s="3362"/>
      <c r="AH135" s="3362"/>
      <c r="AI135" s="3362"/>
    </row>
    <row r="136" spans="1:35">
      <c r="U136" s="2161"/>
      <c r="V136" s="2162" t="s">
        <v>880</v>
      </c>
      <c r="W136" s="2161"/>
      <c r="X136" s="2161">
        <f t="shared" si="2"/>
        <v>0</v>
      </c>
      <c r="Y136" s="2263" t="e">
        <f t="shared" si="3"/>
        <v>#REF!</v>
      </c>
      <c r="AC136" s="3362"/>
      <c r="AD136" s="3362"/>
      <c r="AE136" s="3362"/>
      <c r="AF136" s="3362"/>
      <c r="AG136" s="3362"/>
      <c r="AH136" s="3362"/>
      <c r="AI136" s="3362"/>
    </row>
    <row r="137" spans="1:35">
      <c r="O137" s="2125" t="s">
        <v>871</v>
      </c>
      <c r="U137" s="3375" t="s">
        <v>881</v>
      </c>
      <c r="V137" s="3376"/>
      <c r="W137" s="2165" t="e">
        <f>SUM(W122:W136)</f>
        <v>#REF!</v>
      </c>
      <c r="X137" s="2161" t="e">
        <f>SUM(X122:X136)</f>
        <v>#REF!</v>
      </c>
      <c r="Y137" s="2264" t="e">
        <f>W137*U118</f>
        <v>#REF!</v>
      </c>
      <c r="AC137" s="2203"/>
      <c r="AD137" s="2166" t="s">
        <v>882</v>
      </c>
    </row>
    <row r="139" spans="1:35">
      <c r="AC139" s="2203"/>
      <c r="AD139" s="2166" t="s">
        <v>883</v>
      </c>
    </row>
    <row r="140" spans="1:35" ht="14.45" customHeight="1">
      <c r="E140" s="2125" t="str">
        <f>directeur_g</f>
        <v>Patrick CORRE</v>
      </c>
      <c r="R140" s="3212" t="s">
        <v>1024</v>
      </c>
      <c r="S140" s="3328">
        <f ca="1">TODAY()</f>
        <v>43403</v>
      </c>
      <c r="T140" s="3328"/>
    </row>
    <row r="141" spans="1:35">
      <c r="AC141" s="2203"/>
      <c r="AD141" s="2166" t="s">
        <v>884</v>
      </c>
    </row>
    <row r="142" spans="1:35">
      <c r="R142" s="2125" t="s">
        <v>810</v>
      </c>
    </row>
    <row r="143" spans="1:35">
      <c r="AC143" s="2203"/>
      <c r="AD143" s="2166" t="s">
        <v>885</v>
      </c>
    </row>
    <row r="144" spans="1:35">
      <c r="AH144" s="3212" t="s">
        <v>1024</v>
      </c>
      <c r="AI144" s="3214">
        <f ca="1">TODAY()</f>
        <v>43403</v>
      </c>
    </row>
    <row r="146" spans="18:35">
      <c r="AG146" s="2125" t="s">
        <v>810</v>
      </c>
      <c r="AI146" s="2177"/>
    </row>
    <row r="148" spans="18:35">
      <c r="R148" s="2125" t="str">
        <f>directeur_g</f>
        <v>Patrick CORRE</v>
      </c>
    </row>
    <row r="150" spans="18:35">
      <c r="AG150" s="2125" t="str">
        <f>directeur_g</f>
        <v>Patrick CORRE</v>
      </c>
    </row>
  </sheetData>
  <mergeCells count="64">
    <mergeCell ref="AC25:AI25"/>
    <mergeCell ref="AC135:AI136"/>
    <mergeCell ref="U137:V137"/>
    <mergeCell ref="AC110:AI111"/>
    <mergeCell ref="AC113:AD113"/>
    <mergeCell ref="AD129:AI130"/>
    <mergeCell ref="AD131:AI132"/>
    <mergeCell ref="W69:W71"/>
    <mergeCell ref="X69:Y71"/>
    <mergeCell ref="AC123:AI127"/>
    <mergeCell ref="AC90:AI91"/>
    <mergeCell ref="AD83:AI84"/>
    <mergeCell ref="AC77:AI81"/>
    <mergeCell ref="AD133:AI134"/>
    <mergeCell ref="AD85:AI86"/>
    <mergeCell ref="E134:F134"/>
    <mergeCell ref="P120:Q122"/>
    <mergeCell ref="A128:G129"/>
    <mergeCell ref="A124:G125"/>
    <mergeCell ref="A126:G127"/>
    <mergeCell ref="A122:G123"/>
    <mergeCell ref="S140:T140"/>
    <mergeCell ref="U107:Y108"/>
    <mergeCell ref="U111:V111"/>
    <mergeCell ref="U112:V112"/>
    <mergeCell ref="U113:V113"/>
    <mergeCell ref="U116:V116"/>
    <mergeCell ref="W119:W121"/>
    <mergeCell ref="X119:Y121"/>
    <mergeCell ref="O126:T127"/>
    <mergeCell ref="O130:T130"/>
    <mergeCell ref="O131:Q131"/>
    <mergeCell ref="S131:T131"/>
    <mergeCell ref="O132:T135"/>
    <mergeCell ref="S90:T90"/>
    <mergeCell ref="AD87:AI88"/>
    <mergeCell ref="U87:V87"/>
    <mergeCell ref="A114:G115"/>
    <mergeCell ref="A119:G120"/>
    <mergeCell ref="O80:T80"/>
    <mergeCell ref="O81:Q81"/>
    <mergeCell ref="S81:T81"/>
    <mergeCell ref="O82:T85"/>
    <mergeCell ref="A73:G74"/>
    <mergeCell ref="O76:T77"/>
    <mergeCell ref="A77:G78"/>
    <mergeCell ref="A75:G76"/>
    <mergeCell ref="E83:F83"/>
    <mergeCell ref="P70:Q72"/>
    <mergeCell ref="AC65:AD65"/>
    <mergeCell ref="A62:G63"/>
    <mergeCell ref="U61:V61"/>
    <mergeCell ref="A67:G68"/>
    <mergeCell ref="U62:V62"/>
    <mergeCell ref="L63:M63"/>
    <mergeCell ref="U63:V63"/>
    <mergeCell ref="A71:G72"/>
    <mergeCell ref="U66:V66"/>
    <mergeCell ref="AC62:AI63"/>
    <mergeCell ref="A23:G27"/>
    <mergeCell ref="O24:T26"/>
    <mergeCell ref="H25:N25"/>
    <mergeCell ref="U25:AB25"/>
    <mergeCell ref="U57:Y58"/>
  </mergeCells>
  <pageMargins left="0.7" right="0.7" top="0.75" bottom="0.75" header="0.3" footer="0.3"/>
  <pageSetup paperSize="9" scale="89" orientation="portrait" r:id="rId1"/>
  <rowBreaks count="2" manualBreakCount="2">
    <brk id="50" max="41" man="1"/>
    <brk id="105" max="16383" man="1"/>
  </rowBreaks>
  <colBreaks count="4" manualBreakCount="4">
    <brk id="7" max="1048575" man="1"/>
    <brk id="14" max="1048575" man="1"/>
    <brk id="20" max="1048575" man="1"/>
    <brk id="28" max="1048575" man="1"/>
  </colBreaks>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outlinePr applyStyles="1" summaryBelow="0"/>
  </sheetPr>
  <dimension ref="A1:BG1970"/>
  <sheetViews>
    <sheetView view="pageBreakPreview" topLeftCell="F1" zoomScale="55" zoomScaleNormal="55" zoomScaleSheetLayoutView="55" zoomScalePageLayoutView="25" workbookViewId="0">
      <pane xSplit="3" ySplit="7" topLeftCell="I76" activePane="bottomRight" state="frozen"/>
      <selection activeCell="F1" sqref="F1"/>
      <selection pane="topRight" activeCell="I1" sqref="I1"/>
      <selection pane="bottomLeft" activeCell="F8" sqref="F8"/>
      <selection pane="bottomRight" activeCell="V94" sqref="V94"/>
    </sheetView>
  </sheetViews>
  <sheetFormatPr baseColWidth="10" defaultColWidth="8" defaultRowHeight="18" customHeight="1" outlineLevelRow="2" outlineLevelCol="2"/>
  <cols>
    <col min="1" max="1" width="13.5703125" style="2723" hidden="1" customWidth="1" outlineLevel="1"/>
    <col min="2" max="3" width="4.42578125" style="2295" hidden="1" customWidth="1" outlineLevel="1"/>
    <col min="4" max="4" width="4.140625" style="2730" hidden="1" customWidth="1" outlineLevel="1"/>
    <col min="5" max="5" width="6.140625" style="2295" hidden="1" customWidth="1" outlineLevel="1"/>
    <col min="6" max="6" width="38.42578125" style="551" customWidth="1" collapsed="1"/>
    <col min="7" max="7" width="22" style="2731" customWidth="1"/>
    <col min="8" max="8" width="15.42578125" style="2512" customWidth="1"/>
    <col min="9" max="9" width="16.7109375" style="2733" customWidth="1"/>
    <col min="10" max="10" width="8.42578125" style="2295" hidden="1" customWidth="1" outlineLevel="1"/>
    <col min="11" max="11" width="7.5703125" style="2729" customWidth="1" collapsed="1"/>
    <col min="12" max="12" width="12.42578125" style="2295" customWidth="1"/>
    <col min="13" max="13" width="16.140625" style="2733" bestFit="1" customWidth="1"/>
    <col min="14" max="14" width="8.85546875" style="2732" customWidth="1" outlineLevel="1"/>
    <col min="15" max="15" width="10.140625" style="2732" customWidth="1" outlineLevel="1"/>
    <col min="16" max="16" width="2.42578125" style="2729" customWidth="1"/>
    <col min="17" max="17" width="9.42578125" style="2775" customWidth="1" outlineLevel="2"/>
    <col min="18" max="18" width="6.5703125" style="2775" customWidth="1" outlineLevel="2"/>
    <col min="19" max="19" width="9.85546875" style="2775" customWidth="1" outlineLevel="2"/>
    <col min="20" max="20" width="2.42578125" style="2777" customWidth="1" outlineLevel="1"/>
    <col min="21" max="21" width="9.42578125" style="2775" customWidth="1" outlineLevel="2"/>
    <col min="22" max="22" width="8.5703125" style="2775" customWidth="1" outlineLevel="2"/>
    <col min="23" max="23" width="9.5703125" style="2775" customWidth="1" outlineLevel="2"/>
    <col min="24" max="24" width="2.42578125" style="2777" customWidth="1" outlineLevel="1"/>
    <col min="25" max="25" width="9.42578125" style="2775" customWidth="1" outlineLevel="2"/>
    <col min="26" max="26" width="5.42578125" style="2775" customWidth="1" outlineLevel="2"/>
    <col min="27" max="27" width="9.85546875" style="2775" customWidth="1" outlineLevel="2"/>
    <col min="28" max="28" width="2.42578125" style="2777" customWidth="1" outlineLevel="1"/>
    <col min="29" max="29" width="9.42578125" style="2775" hidden="1" customWidth="1" outlineLevel="2"/>
    <col min="30" max="30" width="7.140625" style="2775" hidden="1" customWidth="1" outlineLevel="2"/>
    <col min="31" max="31" width="11.42578125" style="2775" hidden="1" customWidth="1" outlineLevel="2"/>
    <col min="32" max="32" width="10.85546875" style="2993" customWidth="1" outlineLevel="1" collapsed="1"/>
    <col min="33" max="33" width="2.42578125" style="2994" customWidth="1" outlineLevel="1"/>
    <col min="34" max="34" width="13.42578125" style="2775" customWidth="1" outlineLevel="1"/>
    <col min="35" max="35" width="12.42578125" style="2775" hidden="1" customWidth="1" outlineLevel="2"/>
    <col min="36" max="36" width="2.42578125" style="2777" customWidth="1" outlineLevel="1" collapsed="1"/>
    <col min="37" max="37" width="15.140625" style="2994" customWidth="1" outlineLevel="1"/>
    <col min="38" max="38" width="14.42578125" style="2994" hidden="1" customWidth="1" outlineLevel="2"/>
    <col min="39" max="39" width="10.85546875" style="2777" customWidth="1" outlineLevel="1" collapsed="1"/>
    <col min="40" max="40" width="11.85546875" style="2733" customWidth="1" outlineLevel="1"/>
    <col min="41" max="41" width="2.42578125" style="2995" customWidth="1" outlineLevel="1"/>
    <col min="42" max="42" width="12.42578125" style="2994" customWidth="1" outlineLevel="1"/>
    <col min="43" max="43" width="12.5703125" style="2748" customWidth="1" outlineLevel="1" collapsed="1"/>
    <col min="44" max="44" width="2.140625" style="2728" customWidth="1"/>
    <col min="45" max="45" width="8" style="2288" customWidth="1"/>
    <col min="46" max="46" width="13.42578125" style="2288" customWidth="1"/>
    <col min="47" max="47" width="8" style="2288" customWidth="1" collapsed="1"/>
    <col min="48" max="50" width="8" style="2288" customWidth="1"/>
    <col min="51" max="51" width="8" style="2288" customWidth="1" collapsed="1"/>
    <col min="52" max="54" width="8" style="2288" customWidth="1"/>
    <col min="55" max="55" width="8" style="2288" customWidth="1" collapsed="1"/>
    <col min="56" max="58" width="8" style="2288" customWidth="1"/>
    <col min="59" max="59" width="8" style="2288" customWidth="1" collapsed="1"/>
    <col min="60" max="16384" width="8" style="2288"/>
  </cols>
  <sheetData>
    <row r="1" spans="1:44" ht="18" customHeight="1" thickBot="1">
      <c r="A1" s="3056" t="s">
        <v>920</v>
      </c>
      <c r="B1" s="3057"/>
      <c r="C1" s="3057"/>
      <c r="D1" s="3057"/>
      <c r="E1" s="3057"/>
      <c r="F1" s="2273">
        <f>nom</f>
        <v>0</v>
      </c>
      <c r="G1" s="2274" t="s">
        <v>921</v>
      </c>
      <c r="H1" s="2275"/>
      <c r="I1" s="2276" t="s">
        <v>922</v>
      </c>
      <c r="J1" s="2277"/>
      <c r="K1" s="2278"/>
      <c r="L1" s="2277"/>
      <c r="M1" s="2279"/>
      <c r="N1" s="2280"/>
      <c r="O1" s="2281"/>
      <c r="P1" s="2282"/>
      <c r="Q1" s="2763" t="s">
        <v>923</v>
      </c>
      <c r="R1" s="2764" t="s">
        <v>2</v>
      </c>
      <c r="S1" s="2765" t="s">
        <v>924</v>
      </c>
      <c r="T1" s="2283"/>
      <c r="U1" s="2766" t="s">
        <v>923</v>
      </c>
      <c r="V1" s="2764" t="s">
        <v>3</v>
      </c>
      <c r="W1" s="2765" t="s">
        <v>924</v>
      </c>
      <c r="X1" s="2283"/>
      <c r="Y1" s="2766" t="s">
        <v>925</v>
      </c>
      <c r="Z1" s="2764" t="s">
        <v>926</v>
      </c>
      <c r="AA1" s="2767" t="s">
        <v>7</v>
      </c>
      <c r="AB1" s="2283"/>
      <c r="AC1" s="2766" t="s">
        <v>925</v>
      </c>
      <c r="AD1" s="2764" t="s">
        <v>927</v>
      </c>
      <c r="AE1" s="2767" t="s">
        <v>17</v>
      </c>
      <c r="AF1" s="2768"/>
      <c r="AG1" s="2284"/>
      <c r="AH1" s="2765"/>
      <c r="AI1" s="2765"/>
      <c r="AJ1" s="2285"/>
      <c r="AK1" s="2769"/>
      <c r="AL1" s="2769"/>
      <c r="AM1" s="2770"/>
      <c r="AN1" s="2771"/>
      <c r="AO1" s="2286"/>
      <c r="AP1" s="2772"/>
      <c r="AQ1" s="2773"/>
      <c r="AR1" s="2287"/>
    </row>
    <row r="2" spans="1:44" ht="15.95" customHeight="1">
      <c r="A2" s="2289"/>
      <c r="B2" s="2290"/>
      <c r="C2" s="2291"/>
      <c r="D2" s="2292"/>
      <c r="E2" s="2291"/>
      <c r="F2" s="2293" t="s">
        <v>928</v>
      </c>
      <c r="G2" s="3061">
        <f>R2+V2+Z2+AD2</f>
        <v>70</v>
      </c>
      <c r="H2" s="2294"/>
      <c r="J2" s="2296"/>
      <c r="K2" s="2297" t="s">
        <v>1</v>
      </c>
      <c r="L2" s="2298">
        <f>0%</f>
        <v>0</v>
      </c>
      <c r="N2" s="2300"/>
      <c r="O2" s="2301"/>
      <c r="P2" s="2302"/>
      <c r="Q2" s="2774" t="s">
        <v>0</v>
      </c>
      <c r="R2" s="2304">
        <f>'Prgr. 2018'!NbreLLS</f>
        <v>35</v>
      </c>
      <c r="T2" s="2305"/>
      <c r="U2" s="2774" t="s">
        <v>0</v>
      </c>
      <c r="V2" s="2306">
        <f>'Prgr. 2018'!NbreLLTS</f>
        <v>35</v>
      </c>
      <c r="X2" s="2305"/>
      <c r="Y2" s="2774" t="s">
        <v>0</v>
      </c>
      <c r="Z2" s="2304"/>
      <c r="AB2" s="2305"/>
      <c r="AC2" s="2774" t="s">
        <v>0</v>
      </c>
      <c r="AD2" s="2304"/>
      <c r="AF2" s="2776"/>
      <c r="AG2" s="2284"/>
      <c r="AH2" s="2774" t="s">
        <v>4</v>
      </c>
      <c r="AI2" s="2774"/>
      <c r="AJ2" s="2307"/>
      <c r="AK2" s="2774" t="s">
        <v>5</v>
      </c>
      <c r="AL2" s="2774"/>
      <c r="AO2" s="2308"/>
      <c r="AP2" s="2778" t="s">
        <v>6</v>
      </c>
      <c r="AQ2" s="2779" t="s">
        <v>6</v>
      </c>
      <c r="AR2" s="2287"/>
    </row>
    <row r="3" spans="1:44" ht="15.95" customHeight="1" thickBot="1">
      <c r="A3" s="2289"/>
      <c r="B3" s="2290"/>
      <c r="C3" s="2291"/>
      <c r="D3" s="2292"/>
      <c r="E3" s="2291"/>
      <c r="F3" s="2309" t="s">
        <v>929</v>
      </c>
      <c r="G3" s="3062">
        <f>R3+V3+Z3+AD3</f>
        <v>5247</v>
      </c>
      <c r="H3" s="2294"/>
      <c r="J3" s="2296"/>
      <c r="K3" s="2297"/>
      <c r="L3" s="2298"/>
      <c r="N3" s="2300"/>
      <c r="O3" s="2301"/>
      <c r="P3" s="2302"/>
      <c r="Q3" s="2774" t="s">
        <v>1038</v>
      </c>
      <c r="R3" s="2304">
        <f>'Prgr. 2018'!SF.LLS</f>
        <v>2623.5</v>
      </c>
      <c r="T3" s="2305"/>
      <c r="U3" s="2774" t="s">
        <v>1038</v>
      </c>
      <c r="V3" s="2306">
        <f>'Prgr. 2018'!SF.LLTS</f>
        <v>2623.5</v>
      </c>
      <c r="X3" s="2305"/>
      <c r="Y3" s="2774" t="s">
        <v>1038</v>
      </c>
      <c r="Z3" s="2310"/>
      <c r="AA3" s="2775" t="s">
        <v>930</v>
      </c>
      <c r="AB3" s="2305"/>
      <c r="AC3" s="2774" t="s">
        <v>8</v>
      </c>
      <c r="AD3" s="2304"/>
      <c r="AF3" s="2776"/>
      <c r="AG3" s="2284"/>
      <c r="AH3" s="2774"/>
      <c r="AI3" s="2774"/>
      <c r="AJ3" s="2307"/>
      <c r="AK3" s="2774"/>
      <c r="AL3" s="2774"/>
      <c r="AO3" s="2308"/>
      <c r="AP3" s="2778"/>
      <c r="AQ3" s="2779"/>
      <c r="AR3" s="2287"/>
    </row>
    <row r="4" spans="1:44" ht="15.95" customHeight="1">
      <c r="A4" s="2289"/>
      <c r="B4" s="2290"/>
      <c r="C4" s="2291"/>
      <c r="D4" s="2292"/>
      <c r="E4" s="2291"/>
      <c r="F4" s="2311"/>
      <c r="G4" s="1826"/>
      <c r="H4" s="2294"/>
      <c r="J4" s="2296"/>
      <c r="K4" s="2297"/>
      <c r="L4" s="2298"/>
      <c r="N4" s="2300"/>
      <c r="O4" s="2301"/>
      <c r="P4" s="2302"/>
      <c r="Q4" s="2774"/>
      <c r="R4" s="2780"/>
      <c r="T4" s="2305"/>
      <c r="U4" s="2774"/>
      <c r="V4" s="2780"/>
      <c r="X4" s="2305"/>
      <c r="Y4" s="2774"/>
      <c r="Z4" s="2780"/>
      <c r="AB4" s="2305"/>
      <c r="AC4" s="2774"/>
      <c r="AD4" s="2304"/>
      <c r="AF4" s="2776"/>
      <c r="AG4" s="2284"/>
      <c r="AH4" s="2774"/>
      <c r="AI4" s="2774"/>
      <c r="AJ4" s="2307"/>
      <c r="AK4" s="2774"/>
      <c r="AL4" s="2774"/>
      <c r="AO4" s="2308"/>
      <c r="AP4" s="2778"/>
      <c r="AQ4" s="2779"/>
      <c r="AR4" s="2287"/>
    </row>
    <row r="5" spans="1:44" ht="15.95" customHeight="1" thickBot="1">
      <c r="A5" s="2312"/>
      <c r="B5" s="2303"/>
      <c r="C5" s="2303"/>
      <c r="D5" s="2313"/>
      <c r="E5" s="2299"/>
      <c r="F5" s="2311"/>
      <c r="G5" s="1826"/>
      <c r="H5" s="2314"/>
      <c r="I5" s="2996" t="s">
        <v>931</v>
      </c>
      <c r="J5" s="2315" t="s">
        <v>932</v>
      </c>
      <c r="K5" s="2297" t="s">
        <v>7</v>
      </c>
      <c r="L5" s="2316">
        <v>2.1000000000000001E-2</v>
      </c>
      <c r="M5" s="2749">
        <f>1/1.021</f>
        <v>0.97943192948090119</v>
      </c>
      <c r="N5" s="2300"/>
      <c r="O5" s="2301"/>
      <c r="P5" s="2302"/>
      <c r="Q5" s="2774"/>
      <c r="R5" s="2780"/>
      <c r="T5" s="2305"/>
      <c r="U5" s="2774"/>
      <c r="V5" s="2780">
        <f>780000/G3*V3</f>
        <v>389999.99999999994</v>
      </c>
      <c r="W5" s="2775">
        <f>780000-V5</f>
        <v>390000.00000000006</v>
      </c>
      <c r="X5" s="2305"/>
      <c r="Y5" s="2774"/>
      <c r="Z5" s="2780"/>
      <c r="AB5" s="2305"/>
      <c r="AC5" s="2774"/>
      <c r="AD5" s="2304"/>
      <c r="AF5" s="2776"/>
      <c r="AG5" s="2284"/>
      <c r="AH5" s="2774" t="s">
        <v>9</v>
      </c>
      <c r="AI5" s="2774"/>
      <c r="AJ5" s="2307"/>
      <c r="AK5" s="2781" t="s">
        <v>10</v>
      </c>
      <c r="AL5" s="2781"/>
      <c r="AM5" s="2782"/>
      <c r="AO5" s="2308"/>
      <c r="AP5" s="2778" t="s">
        <v>11</v>
      </c>
      <c r="AQ5" s="2779" t="s">
        <v>12</v>
      </c>
      <c r="AR5" s="2287"/>
    </row>
    <row r="6" spans="1:44" ht="15.95" customHeight="1" thickBot="1">
      <c r="A6" s="2317" t="s">
        <v>13</v>
      </c>
      <c r="B6" s="2318"/>
      <c r="C6" s="3387" t="s">
        <v>933</v>
      </c>
      <c r="D6" s="3388"/>
      <c r="E6" s="2319" t="s">
        <v>20</v>
      </c>
      <c r="F6" s="2320" t="s">
        <v>15</v>
      </c>
      <c r="G6" s="2321">
        <v>42024</v>
      </c>
      <c r="H6" s="2322" t="s">
        <v>16</v>
      </c>
      <c r="I6" s="2323">
        <v>0.15</v>
      </c>
      <c r="J6" s="2324">
        <f>100000/655957</f>
        <v>0.15244901723741039</v>
      </c>
      <c r="K6" s="2297" t="s">
        <v>17</v>
      </c>
      <c r="L6" s="2325">
        <v>8.5000000000000006E-2</v>
      </c>
      <c r="M6" s="2749">
        <f>1/1.085</f>
        <v>0.92165898617511521</v>
      </c>
      <c r="N6" s="2326" t="s">
        <v>18</v>
      </c>
      <c r="O6" s="2327"/>
      <c r="P6" s="2302"/>
      <c r="Q6" s="2733"/>
      <c r="R6" s="2780"/>
      <c r="S6" s="2783"/>
      <c r="T6" s="2305"/>
      <c r="U6" s="2733"/>
      <c r="V6" s="2780"/>
      <c r="W6" s="2783"/>
      <c r="X6" s="2305"/>
      <c r="Y6" s="2774"/>
      <c r="Z6" s="2780"/>
      <c r="AA6" s="2783"/>
      <c r="AB6" s="2305"/>
      <c r="AC6" s="2774"/>
      <c r="AD6" s="2304"/>
      <c r="AE6" s="2783"/>
      <c r="AF6" s="2776"/>
      <c r="AG6" s="2284"/>
      <c r="AH6" s="2328"/>
      <c r="AI6" s="2784"/>
      <c r="AJ6" s="2307"/>
      <c r="AK6" s="2329"/>
      <c r="AL6" s="2785"/>
      <c r="AM6" s="2782"/>
      <c r="AN6" s="2786"/>
      <c r="AO6" s="2308"/>
      <c r="AP6" s="2330"/>
      <c r="AQ6" s="2331"/>
      <c r="AR6" s="2287"/>
    </row>
    <row r="7" spans="1:44" ht="15.95" customHeight="1" thickBot="1">
      <c r="A7" s="2332"/>
      <c r="B7" s="2333"/>
      <c r="C7" s="2334" t="s">
        <v>934</v>
      </c>
      <c r="D7" s="2335" t="s">
        <v>19</v>
      </c>
      <c r="E7" s="2336" t="s">
        <v>635</v>
      </c>
      <c r="F7" s="2337" t="s">
        <v>21</v>
      </c>
      <c r="G7" s="2338">
        <v>42024</v>
      </c>
      <c r="H7" s="2339" t="s">
        <v>935</v>
      </c>
      <c r="I7" s="2734" t="s">
        <v>22</v>
      </c>
      <c r="J7" s="2340"/>
      <c r="K7" s="2341" t="s">
        <v>23</v>
      </c>
      <c r="L7" s="2342" t="s">
        <v>24</v>
      </c>
      <c r="M7" s="2750" t="s">
        <v>25</v>
      </c>
      <c r="N7" s="2343" t="s">
        <v>936</v>
      </c>
      <c r="O7" s="2344" t="s">
        <v>26</v>
      </c>
      <c r="P7" s="2345"/>
      <c r="Q7" s="2787" t="s">
        <v>27</v>
      </c>
      <c r="R7" s="2788" t="s">
        <v>24</v>
      </c>
      <c r="S7" s="2789" t="s">
        <v>25</v>
      </c>
      <c r="T7" s="2346"/>
      <c r="U7" s="2787" t="s">
        <v>27</v>
      </c>
      <c r="V7" s="2788" t="s">
        <v>24</v>
      </c>
      <c r="W7" s="2789" t="s">
        <v>25</v>
      </c>
      <c r="X7" s="2346"/>
      <c r="Y7" s="2787" t="s">
        <v>27</v>
      </c>
      <c r="Z7" s="2788" t="s">
        <v>24</v>
      </c>
      <c r="AA7" s="2789" t="s">
        <v>25</v>
      </c>
      <c r="AB7" s="2346"/>
      <c r="AC7" s="2787" t="s">
        <v>27</v>
      </c>
      <c r="AD7" s="2788" t="s">
        <v>24</v>
      </c>
      <c r="AE7" s="2790" t="s">
        <v>25</v>
      </c>
      <c r="AF7" s="2791" t="s">
        <v>937</v>
      </c>
      <c r="AG7" s="2347"/>
      <c r="AH7" s="2792" t="s">
        <v>27</v>
      </c>
      <c r="AI7" s="2793"/>
      <c r="AJ7" s="2348"/>
      <c r="AK7" s="2794" t="s">
        <v>22</v>
      </c>
      <c r="AL7" s="2794"/>
      <c r="AM7" s="2795" t="s">
        <v>24</v>
      </c>
      <c r="AN7" s="2789" t="s">
        <v>25</v>
      </c>
      <c r="AO7" s="2349"/>
      <c r="AP7" s="2796" t="s">
        <v>28</v>
      </c>
      <c r="AQ7" s="2797" t="s">
        <v>28</v>
      </c>
      <c r="AR7" s="2287"/>
    </row>
    <row r="8" spans="1:44" s="2185" customFormat="1" ht="15.95" customHeight="1">
      <c r="A8" s="2350" t="s">
        <v>938</v>
      </c>
      <c r="B8" s="2351" t="s">
        <v>30</v>
      </c>
      <c r="C8" s="2352">
        <v>190</v>
      </c>
      <c r="D8" s="2353"/>
      <c r="E8" s="2354"/>
      <c r="F8" s="2355" t="s">
        <v>31</v>
      </c>
      <c r="G8" s="2356"/>
      <c r="H8" s="2357"/>
      <c r="I8" s="2358">
        <f>I9+I13+I16+I20+I23+I26</f>
        <v>0</v>
      </c>
      <c r="J8" s="2359"/>
      <c r="K8" s="2360"/>
      <c r="L8" s="2361">
        <f>L9+L13+L16+L20+L23+L26</f>
        <v>0</v>
      </c>
      <c r="M8" s="2362">
        <f>M9+M13+M16+M20+M23+M26</f>
        <v>0</v>
      </c>
      <c r="N8" s="2363">
        <f>N9+N13+N16+N20+N23+N26</f>
        <v>0</v>
      </c>
      <c r="O8" s="2364">
        <f>O9+O13+O16+O20+O23+O26</f>
        <v>0</v>
      </c>
      <c r="P8" s="2365"/>
      <c r="Q8" s="2366">
        <f>Q9+Q13+Q16+Q20+Q23+Q26</f>
        <v>0</v>
      </c>
      <c r="R8" s="2798">
        <f>R9+R13+R16+R20+R23+R26</f>
        <v>0</v>
      </c>
      <c r="S8" s="2367">
        <f>S9+S13+S16+S20+S23+S26</f>
        <v>0</v>
      </c>
      <c r="T8" s="2368"/>
      <c r="U8" s="2366">
        <f>U9+U13+U16+U20+U23+U26</f>
        <v>0</v>
      </c>
      <c r="V8" s="2798">
        <f>V9+V13+V16+V20+V23+V26</f>
        <v>0</v>
      </c>
      <c r="W8" s="2367">
        <f>W9+W13+W16+W20+W23+W26</f>
        <v>0</v>
      </c>
      <c r="X8" s="2369"/>
      <c r="Y8" s="2366">
        <f>Y9+Y13+Y16+Y20+Y23+Y26</f>
        <v>0</v>
      </c>
      <c r="Z8" s="2798">
        <f>Z9+Z13+Z16+Z20+Z23+Z26</f>
        <v>0</v>
      </c>
      <c r="AA8" s="2367">
        <f>AA9+AA13+AA16+AA20+AA23+AA26</f>
        <v>0</v>
      </c>
      <c r="AB8" s="2368"/>
      <c r="AC8" s="2366">
        <f>AC9+AC13+AC16+AC20+AC23+AC26</f>
        <v>0</v>
      </c>
      <c r="AD8" s="2798">
        <f>AD9+AD13+AD16+AD20+AD23+AD26</f>
        <v>0</v>
      </c>
      <c r="AE8" s="2370">
        <f>AE9+AE13+AE16+AE20+AE23+AE26</f>
        <v>0</v>
      </c>
      <c r="AF8" s="2799">
        <f>AF9+AF13+AF16+AF20+AF23+AF26</f>
        <v>0</v>
      </c>
      <c r="AG8" s="2371"/>
      <c r="AH8" s="2800">
        <f>AH9+AH13+AH16+AH20+AH23+AH26</f>
        <v>0</v>
      </c>
      <c r="AI8" s="2801"/>
      <c r="AJ8" s="2371"/>
      <c r="AK8" s="2372">
        <f>AK9+AK13+AK16+AK20+AK23+AK26</f>
        <v>0</v>
      </c>
      <c r="AL8" s="2802"/>
      <c r="AM8" s="2803">
        <f>AM9+AM13+AM16+AM20+AM23+AM26</f>
        <v>0</v>
      </c>
      <c r="AN8" s="2373">
        <f>AN9+AN13+AN16+AN20+AN23+AN26</f>
        <v>0</v>
      </c>
      <c r="AO8" s="2371"/>
      <c r="AP8" s="2374">
        <f>AP9+AP13+AP16+AP20+AP23+AP26</f>
        <v>0</v>
      </c>
      <c r="AQ8" s="2375">
        <f>AQ9+AQ13+AQ16+AQ20+AQ23+AQ26</f>
        <v>0</v>
      </c>
      <c r="AR8" s="2376"/>
    </row>
    <row r="9" spans="1:44" s="2395" customFormat="1" ht="15.95" customHeight="1" outlineLevel="1">
      <c r="A9" s="2377">
        <v>33210</v>
      </c>
      <c r="B9" s="2378" t="s">
        <v>33</v>
      </c>
      <c r="C9" s="2379">
        <v>190</v>
      </c>
      <c r="D9" s="2380"/>
      <c r="E9" s="2380"/>
      <c r="F9" s="2381" t="s">
        <v>34</v>
      </c>
      <c r="G9" s="2382"/>
      <c r="H9" s="2383"/>
      <c r="I9" s="2735">
        <f>SUM(I10:I10)</f>
        <v>0</v>
      </c>
      <c r="J9" s="2384"/>
      <c r="K9" s="2385"/>
      <c r="L9" s="2386">
        <f>SUM(L10:L10)</f>
        <v>0</v>
      </c>
      <c r="M9" s="2751">
        <f>SUM(M10:M10)</f>
        <v>0</v>
      </c>
      <c r="N9" s="2387">
        <f>SUM(N10:N10)</f>
        <v>0</v>
      </c>
      <c r="O9" s="2388">
        <f>SUM(O10:O10)</f>
        <v>0</v>
      </c>
      <c r="P9" s="2302"/>
      <c r="Q9" s="2804">
        <f>SUM(Q10:Q10)</f>
        <v>0</v>
      </c>
      <c r="R9" s="2805">
        <f>SUM(R10:R10)</f>
        <v>0</v>
      </c>
      <c r="S9" s="2806">
        <f>SUM(S10:S10)</f>
        <v>0</v>
      </c>
      <c r="T9" s="2389"/>
      <c r="U9" s="2807">
        <f>SUM(U10:U10)</f>
        <v>0</v>
      </c>
      <c r="V9" s="2805">
        <f>SUM(V10:V10)</f>
        <v>0</v>
      </c>
      <c r="W9" s="2806">
        <f>SUM(W10:W10)</f>
        <v>0</v>
      </c>
      <c r="X9" s="2390"/>
      <c r="Y9" s="2807">
        <f>SUM(Y10:Y10)</f>
        <v>0</v>
      </c>
      <c r="Z9" s="2805">
        <f>SUM(Z10:Z10)</f>
        <v>0</v>
      </c>
      <c r="AA9" s="2806">
        <f>SUM(AA10:AA10)</f>
        <v>0</v>
      </c>
      <c r="AB9" s="2389"/>
      <c r="AC9" s="2807">
        <f>SUM(AC10:AC10)</f>
        <v>0</v>
      </c>
      <c r="AD9" s="2805">
        <f>SUM(AD10:AD10)</f>
        <v>0</v>
      </c>
      <c r="AE9" s="2808">
        <f>SUM(AE10:AE10)</f>
        <v>0</v>
      </c>
      <c r="AF9" s="2809">
        <f>SUM(AF10:AF10)</f>
        <v>0</v>
      </c>
      <c r="AG9" s="2391"/>
      <c r="AH9" s="2810">
        <f>SUM(AH10:AH10)</f>
        <v>0</v>
      </c>
      <c r="AI9" s="2811"/>
      <c r="AJ9" s="2392"/>
      <c r="AK9" s="2812">
        <f>SUM(AK10:AK10)</f>
        <v>0</v>
      </c>
      <c r="AL9" s="2813"/>
      <c r="AM9" s="2814">
        <f>SUM(AM10:AM10)</f>
        <v>0</v>
      </c>
      <c r="AN9" s="2815">
        <f>SUM(AN10:AN10)</f>
        <v>0</v>
      </c>
      <c r="AO9" s="2393"/>
      <c r="AP9" s="2816">
        <f>SUM(AP10:AP10)</f>
        <v>0</v>
      </c>
      <c r="AQ9" s="2817">
        <f>SUM(AQ10:AQ10)</f>
        <v>0</v>
      </c>
      <c r="AR9" s="2394"/>
    </row>
    <row r="10" spans="1:44" ht="17.45" customHeight="1" outlineLevel="2">
      <c r="A10" s="2396">
        <v>33210</v>
      </c>
      <c r="B10" s="2397"/>
      <c r="C10" s="2398">
        <v>190</v>
      </c>
      <c r="D10" s="2399" t="s">
        <v>35</v>
      </c>
      <c r="E10" s="2400" t="s">
        <v>35</v>
      </c>
      <c r="F10" s="557" t="s">
        <v>36</v>
      </c>
      <c r="G10" s="2401" t="s">
        <v>37</v>
      </c>
      <c r="H10" s="2725" t="s">
        <v>299</v>
      </c>
      <c r="I10" s="3009">
        <f>'FRAFU AVS + LESG'!M12</f>
        <v>0</v>
      </c>
      <c r="J10" s="2402">
        <v>0</v>
      </c>
      <c r="K10" s="2403">
        <f>TVAS</f>
        <v>2.1000000000000001E-2</v>
      </c>
      <c r="L10" s="2404">
        <f>I10*K10</f>
        <v>0</v>
      </c>
      <c r="M10" s="2752">
        <f>I10+L10</f>
        <v>0</v>
      </c>
      <c r="N10" s="2405">
        <f>I10/$G$3</f>
        <v>0</v>
      </c>
      <c r="O10" s="2406">
        <f>I10/$G$2</f>
        <v>0</v>
      </c>
      <c r="P10" s="2302"/>
      <c r="Q10" s="2818">
        <f>N10*$R$3</f>
        <v>0</v>
      </c>
      <c r="R10" s="2819">
        <f>Q10*$K10</f>
        <v>0</v>
      </c>
      <c r="S10" s="2820">
        <f>Q10+R10</f>
        <v>0</v>
      </c>
      <c r="T10" s="2305"/>
      <c r="U10" s="2818">
        <f>$V$3*N10</f>
        <v>0</v>
      </c>
      <c r="V10" s="2819">
        <f>U10*$K10</f>
        <v>0</v>
      </c>
      <c r="W10" s="2820">
        <f>U10+V10</f>
        <v>0</v>
      </c>
      <c r="X10" s="2305"/>
      <c r="Y10" s="2818">
        <f>$Z$3*I10</f>
        <v>0</v>
      </c>
      <c r="Z10" s="2819">
        <f>Y10*$K10</f>
        <v>0</v>
      </c>
      <c r="AA10" s="2820">
        <f>Y10+Z10</f>
        <v>0</v>
      </c>
      <c r="AB10" s="2305"/>
      <c r="AC10" s="2818">
        <f>AD3*722030.35/11003</f>
        <v>0</v>
      </c>
      <c r="AD10" s="2819">
        <f>L10/G3*AD3</f>
        <v>0</v>
      </c>
      <c r="AE10" s="2821">
        <f>AC10+AD10</f>
        <v>0</v>
      </c>
      <c r="AF10" s="2822">
        <f>M10-(S10+W10+AA10+AE10)</f>
        <v>0</v>
      </c>
      <c r="AG10" s="2284"/>
      <c r="AH10" s="2823">
        <v>0</v>
      </c>
      <c r="AI10" s="2824">
        <v>0</v>
      </c>
      <c r="AJ10" s="2307"/>
      <c r="AK10" s="2825"/>
      <c r="AL10" s="2826">
        <v>0</v>
      </c>
      <c r="AM10" s="2814">
        <f>AK10*$K10</f>
        <v>0</v>
      </c>
      <c r="AN10" s="2827">
        <f>AK10+AM10</f>
        <v>0</v>
      </c>
      <c r="AO10" s="2308"/>
      <c r="AP10" s="2828">
        <f>I10-AH10</f>
        <v>0</v>
      </c>
      <c r="AQ10" s="2829">
        <f>I10-AK10</f>
        <v>0</v>
      </c>
      <c r="AR10" s="2287"/>
    </row>
    <row r="11" spans="1:44" ht="17.45" customHeight="1" outlineLevel="2">
      <c r="A11" s="2396"/>
      <c r="B11" s="2397"/>
      <c r="C11" s="2398"/>
      <c r="D11" s="2399"/>
      <c r="E11" s="2400"/>
      <c r="F11" s="557"/>
      <c r="G11" s="2401"/>
      <c r="H11" s="2413"/>
      <c r="I11" s="3063"/>
      <c r="J11" s="2402"/>
      <c r="K11" s="2403"/>
      <c r="L11" s="2404"/>
      <c r="M11" s="2752"/>
      <c r="N11" s="2405"/>
      <c r="O11" s="2406"/>
      <c r="P11" s="2302"/>
      <c r="Q11" s="2830"/>
      <c r="R11" s="2819"/>
      <c r="S11" s="2820"/>
      <c r="T11" s="2305"/>
      <c r="U11" s="2818"/>
      <c r="V11" s="2819"/>
      <c r="W11" s="2820"/>
      <c r="X11" s="2305"/>
      <c r="Y11" s="2818"/>
      <c r="Z11" s="2819"/>
      <c r="AA11" s="2820"/>
      <c r="AB11" s="2305"/>
      <c r="AC11" s="2818"/>
      <c r="AD11" s="2819"/>
      <c r="AE11" s="2821"/>
      <c r="AF11" s="2822">
        <f>M11-(S11+W11+AA11+AE11)</f>
        <v>0</v>
      </c>
      <c r="AG11" s="2284"/>
      <c r="AH11" s="2823"/>
      <c r="AI11" s="2824"/>
      <c r="AJ11" s="2307"/>
      <c r="AK11" s="2825"/>
      <c r="AL11" s="2826"/>
      <c r="AM11" s="2814"/>
      <c r="AN11" s="2827"/>
      <c r="AO11" s="2308"/>
      <c r="AP11" s="2828"/>
      <c r="AQ11" s="2829"/>
      <c r="AR11" s="2287"/>
    </row>
    <row r="12" spans="1:44" ht="17.45" customHeight="1" outlineLevel="2">
      <c r="A12" s="2396"/>
      <c r="B12" s="2397"/>
      <c r="C12" s="2398"/>
      <c r="D12" s="2399"/>
      <c r="E12" s="2400"/>
      <c r="F12" s="557"/>
      <c r="G12" s="2401"/>
      <c r="H12" s="2413"/>
      <c r="I12" s="3063"/>
      <c r="J12" s="2402"/>
      <c r="K12" s="2403"/>
      <c r="L12" s="2404"/>
      <c r="M12" s="2752"/>
      <c r="N12" s="2405"/>
      <c r="O12" s="2406"/>
      <c r="P12" s="2302"/>
      <c r="Q12" s="2830"/>
      <c r="R12" s="2819"/>
      <c r="S12" s="2820"/>
      <c r="T12" s="2305"/>
      <c r="U12" s="2818"/>
      <c r="V12" s="2819"/>
      <c r="W12" s="2820"/>
      <c r="X12" s="2305"/>
      <c r="Y12" s="2818"/>
      <c r="Z12" s="2819"/>
      <c r="AA12" s="2820"/>
      <c r="AB12" s="2305"/>
      <c r="AC12" s="2818"/>
      <c r="AD12" s="2819"/>
      <c r="AE12" s="2821"/>
      <c r="AF12" s="2822">
        <f>M12-(S12+W12+AA12+AE12)</f>
        <v>0</v>
      </c>
      <c r="AG12" s="2284"/>
      <c r="AH12" s="2823"/>
      <c r="AI12" s="2824"/>
      <c r="AJ12" s="2307"/>
      <c r="AK12" s="2825"/>
      <c r="AL12" s="2826"/>
      <c r="AM12" s="2814"/>
      <c r="AN12" s="2827"/>
      <c r="AO12" s="2308"/>
      <c r="AP12" s="2828"/>
      <c r="AQ12" s="2829"/>
      <c r="AR12" s="2287"/>
    </row>
    <row r="13" spans="1:44" s="2395" customFormat="1" ht="15.95" customHeight="1" outlineLevel="1">
      <c r="A13" s="2407">
        <v>33220</v>
      </c>
      <c r="B13" s="2378" t="s">
        <v>44</v>
      </c>
      <c r="C13" s="2379">
        <v>190</v>
      </c>
      <c r="D13" s="2380"/>
      <c r="E13" s="2380"/>
      <c r="F13" s="2408" t="s">
        <v>939</v>
      </c>
      <c r="G13" s="2409"/>
      <c r="H13" s="2383"/>
      <c r="I13" s="2735">
        <f>SUM(I14:I15)</f>
        <v>0</v>
      </c>
      <c r="J13" s="2384"/>
      <c r="K13" s="2385"/>
      <c r="L13" s="2386">
        <f>SUM(L14:L15)</f>
        <v>0</v>
      </c>
      <c r="M13" s="2751">
        <f>SUM(M14:M15)</f>
        <v>0</v>
      </c>
      <c r="N13" s="2387">
        <f>SUM(N14:N15)</f>
        <v>0</v>
      </c>
      <c r="O13" s="2388">
        <f>SUM(O14:O15)</f>
        <v>0</v>
      </c>
      <c r="P13" s="2302"/>
      <c r="Q13" s="2804">
        <f>SUM(Q14:Q15)</f>
        <v>0</v>
      </c>
      <c r="R13" s="2805">
        <f>SUM(R14:R15)</f>
        <v>0</v>
      </c>
      <c r="S13" s="2806">
        <f>SUM(S14:S15)</f>
        <v>0</v>
      </c>
      <c r="T13" s="2389"/>
      <c r="U13" s="2807">
        <f>SUM(U14:U15)</f>
        <v>0</v>
      </c>
      <c r="V13" s="2805">
        <f>SUM(V14:V15)</f>
        <v>0</v>
      </c>
      <c r="W13" s="2806">
        <f>SUM(W14:W15)</f>
        <v>0</v>
      </c>
      <c r="X13" s="2390"/>
      <c r="Y13" s="2807">
        <f>SUM(Y14:Y15)</f>
        <v>0</v>
      </c>
      <c r="Z13" s="2805">
        <f>SUM(Z14:Z15)</f>
        <v>0</v>
      </c>
      <c r="AA13" s="2806">
        <f>SUM(AA14:AA15)</f>
        <v>0</v>
      </c>
      <c r="AB13" s="2389"/>
      <c r="AC13" s="2807">
        <f>SUM(AC14:AC15)</f>
        <v>0</v>
      </c>
      <c r="AD13" s="2805">
        <f>SUM(AD14:AD15)</f>
        <v>0</v>
      </c>
      <c r="AE13" s="2808">
        <f>SUM(AE14:AE15)</f>
        <v>0</v>
      </c>
      <c r="AF13" s="2809">
        <f>SUM(AF14:AF15)</f>
        <v>0</v>
      </c>
      <c r="AG13" s="2391"/>
      <c r="AH13" s="2810">
        <f>SUM(AH14:AH15)</f>
        <v>0</v>
      </c>
      <c r="AI13" s="2831"/>
      <c r="AJ13" s="2392"/>
      <c r="AK13" s="2812">
        <f>SUM(AK14:AK15)</f>
        <v>0</v>
      </c>
      <c r="AL13" s="2832"/>
      <c r="AM13" s="2814">
        <f>SUM(AM14:AM15)</f>
        <v>0</v>
      </c>
      <c r="AN13" s="2815">
        <f>SUM(AN14:AN15)</f>
        <v>0</v>
      </c>
      <c r="AO13" s="2393"/>
      <c r="AP13" s="2816">
        <f>SUM(AP14:AP15)</f>
        <v>0</v>
      </c>
      <c r="AQ13" s="2817">
        <f>SUM(AQ14:AQ15)</f>
        <v>0</v>
      </c>
      <c r="AR13" s="2394"/>
    </row>
    <row r="14" spans="1:44" ht="15.95" customHeight="1" outlineLevel="2">
      <c r="A14" s="2410">
        <v>33220</v>
      </c>
      <c r="B14" s="2411"/>
      <c r="C14" s="2398">
        <v>190</v>
      </c>
      <c r="D14" s="2399" t="s">
        <v>45</v>
      </c>
      <c r="E14" s="2400" t="s">
        <v>45</v>
      </c>
      <c r="F14" s="557" t="s">
        <v>46</v>
      </c>
      <c r="G14" s="2412"/>
      <c r="H14" s="3000">
        <v>0.02</v>
      </c>
      <c r="I14" s="3063">
        <f>H14*I10</f>
        <v>0</v>
      </c>
      <c r="J14" s="2402"/>
      <c r="K14" s="2403">
        <f>TVAN</f>
        <v>8.5000000000000006E-2</v>
      </c>
      <c r="L14" s="2404">
        <f>I14*K14</f>
        <v>0</v>
      </c>
      <c r="M14" s="2752">
        <f>I14+L14</f>
        <v>0</v>
      </c>
      <c r="N14" s="2405">
        <f>I14/$G$3</f>
        <v>0</v>
      </c>
      <c r="O14" s="2406">
        <f>I14/$G$2</f>
        <v>0</v>
      </c>
      <c r="P14" s="2302"/>
      <c r="Q14" s="2818">
        <f t="shared" ref="Q14:Q15" si="0">N14*$R$3</f>
        <v>0</v>
      </c>
      <c r="R14" s="2819">
        <f>Q14*$K14</f>
        <v>0</v>
      </c>
      <c r="S14" s="2820">
        <f>Q14+R14</f>
        <v>0</v>
      </c>
      <c r="T14" s="2305"/>
      <c r="U14" s="2818">
        <f t="shared" ref="U14:U15" si="1">$V$3*N14</f>
        <v>0</v>
      </c>
      <c r="V14" s="2819">
        <f>U14*$K14</f>
        <v>0</v>
      </c>
      <c r="W14" s="2820">
        <f>U14+V14</f>
        <v>0</v>
      </c>
      <c r="X14" s="2305"/>
      <c r="Y14" s="2818">
        <f>$Z$3*I14</f>
        <v>0</v>
      </c>
      <c r="Z14" s="2819">
        <f>Y14*$K14</f>
        <v>0</v>
      </c>
      <c r="AA14" s="2820">
        <f>Y14+Z14</f>
        <v>0</v>
      </c>
      <c r="AB14" s="2305"/>
      <c r="AC14" s="2818">
        <f t="shared" ref="AC14:AC15" si="2">$AD$3*N14</f>
        <v>0</v>
      </c>
      <c r="AD14" s="2819">
        <f>AC14*$K14</f>
        <v>0</v>
      </c>
      <c r="AE14" s="2821">
        <f>AC14+AD14</f>
        <v>0</v>
      </c>
      <c r="AF14" s="2822">
        <f>M14-(S14+W14+AA14+AE14)</f>
        <v>0</v>
      </c>
      <c r="AG14" s="2284"/>
      <c r="AH14" s="2823"/>
      <c r="AI14" s="2824"/>
      <c r="AJ14" s="2307"/>
      <c r="AK14" s="2833"/>
      <c r="AL14" s="2826"/>
      <c r="AM14" s="2814">
        <f>AK14*$K14</f>
        <v>0</v>
      </c>
      <c r="AN14" s="2827">
        <f>AK14+AM14</f>
        <v>0</v>
      </c>
      <c r="AO14" s="2308"/>
      <c r="AP14" s="2828">
        <f>I14-AH14</f>
        <v>0</v>
      </c>
      <c r="AQ14" s="2829">
        <f>I14-AK14</f>
        <v>0</v>
      </c>
      <c r="AR14" s="2287"/>
    </row>
    <row r="15" spans="1:44" ht="15.95" customHeight="1" outlineLevel="2">
      <c r="A15" s="2410">
        <v>33220</v>
      </c>
      <c r="B15" s="2411"/>
      <c r="C15" s="2398">
        <v>190</v>
      </c>
      <c r="D15" s="2399" t="s">
        <v>940</v>
      </c>
      <c r="E15" s="2400" t="s">
        <v>940</v>
      </c>
      <c r="F15" s="557" t="s">
        <v>941</v>
      </c>
      <c r="G15" s="2412"/>
      <c r="H15" s="2413"/>
      <c r="I15" s="3063">
        <v>0</v>
      </c>
      <c r="J15" s="2402">
        <v>0</v>
      </c>
      <c r="K15" s="2403">
        <f>TVAN</f>
        <v>8.5000000000000006E-2</v>
      </c>
      <c r="L15" s="2404">
        <f>I15*K15</f>
        <v>0</v>
      </c>
      <c r="M15" s="2752">
        <f>I15+L15</f>
        <v>0</v>
      </c>
      <c r="N15" s="2405">
        <f>I15/$G$3</f>
        <v>0</v>
      </c>
      <c r="O15" s="2406">
        <f>I15/$G$2</f>
        <v>0</v>
      </c>
      <c r="P15" s="2302"/>
      <c r="Q15" s="2818">
        <f t="shared" si="0"/>
        <v>0</v>
      </c>
      <c r="R15" s="2819">
        <f>Q15*$K15</f>
        <v>0</v>
      </c>
      <c r="S15" s="2820">
        <f>Q15+R15</f>
        <v>0</v>
      </c>
      <c r="T15" s="2305"/>
      <c r="U15" s="2818">
        <f t="shared" si="1"/>
        <v>0</v>
      </c>
      <c r="V15" s="2819">
        <f>U15*$K15</f>
        <v>0</v>
      </c>
      <c r="W15" s="2820">
        <f>U15+V15</f>
        <v>0</v>
      </c>
      <c r="X15" s="2305"/>
      <c r="Y15" s="2818">
        <f t="shared" ref="Y15" si="3">$Z$3*I15</f>
        <v>0</v>
      </c>
      <c r="Z15" s="2819">
        <f>Y15*$K15</f>
        <v>0</v>
      </c>
      <c r="AA15" s="2820">
        <f>Y15+Z15</f>
        <v>0</v>
      </c>
      <c r="AB15" s="2305"/>
      <c r="AC15" s="2818">
        <f t="shared" si="2"/>
        <v>0</v>
      </c>
      <c r="AD15" s="2819">
        <f>AC15*$K15</f>
        <v>0</v>
      </c>
      <c r="AE15" s="2821">
        <f>AC15+AD15</f>
        <v>0</v>
      </c>
      <c r="AF15" s="2822">
        <f>M15-(S15+W15+AA15+AE15)</f>
        <v>0</v>
      </c>
      <c r="AG15" s="2284"/>
      <c r="AH15" s="2823"/>
      <c r="AI15" s="2824">
        <v>0</v>
      </c>
      <c r="AJ15" s="2307"/>
      <c r="AK15" s="2825"/>
      <c r="AL15" s="2826">
        <v>0</v>
      </c>
      <c r="AM15" s="2814">
        <f>AK15*$K15</f>
        <v>0</v>
      </c>
      <c r="AN15" s="2827">
        <f>AK15+AM15</f>
        <v>0</v>
      </c>
      <c r="AO15" s="2308"/>
      <c r="AP15" s="2828">
        <f>I15-AH15</f>
        <v>0</v>
      </c>
      <c r="AQ15" s="2829">
        <f>I15-AK15</f>
        <v>0</v>
      </c>
      <c r="AR15" s="2287"/>
    </row>
    <row r="16" spans="1:44" s="2395" customFormat="1" ht="15.95" customHeight="1" outlineLevel="1">
      <c r="A16" s="2407">
        <v>33230</v>
      </c>
      <c r="B16" s="2378" t="s">
        <v>50</v>
      </c>
      <c r="C16" s="2379">
        <v>190</v>
      </c>
      <c r="D16" s="2380" t="s">
        <v>51</v>
      </c>
      <c r="E16" s="2380"/>
      <c r="F16" s="2408" t="s">
        <v>942</v>
      </c>
      <c r="G16" s="2409"/>
      <c r="H16" s="2383"/>
      <c r="I16" s="2735">
        <f>SUM(I17:I19)</f>
        <v>0</v>
      </c>
      <c r="J16" s="2384"/>
      <c r="K16" s="2385"/>
      <c r="L16" s="2386">
        <f>SUM(L17:L19)</f>
        <v>0</v>
      </c>
      <c r="M16" s="2751">
        <f>SUM(M17:M19)</f>
        <v>0</v>
      </c>
      <c r="N16" s="2387">
        <f>SUM(N17:N19)</f>
        <v>0</v>
      </c>
      <c r="O16" s="2388">
        <f>SUM(O17:O19)</f>
        <v>0</v>
      </c>
      <c r="P16" s="2302"/>
      <c r="Q16" s="2804">
        <f>SUM(Q17:Q19)</f>
        <v>0</v>
      </c>
      <c r="R16" s="2805">
        <f>SUM(R17:R19)</f>
        <v>0</v>
      </c>
      <c r="S16" s="2806">
        <f>SUM(S17:S19)</f>
        <v>0</v>
      </c>
      <c r="T16" s="2389"/>
      <c r="U16" s="2807">
        <f>SUM(U17:U19)</f>
        <v>0</v>
      </c>
      <c r="V16" s="2805">
        <f>SUM(V17:V19)</f>
        <v>0</v>
      </c>
      <c r="W16" s="2806">
        <f>SUM(W17:W19)</f>
        <v>0</v>
      </c>
      <c r="X16" s="2390"/>
      <c r="Y16" s="2807">
        <f>SUM(Y17:Y19)</f>
        <v>0</v>
      </c>
      <c r="Z16" s="2805">
        <f>SUM(Z17:Z19)</f>
        <v>0</v>
      </c>
      <c r="AA16" s="2806">
        <f>SUM(AA17:AA19)</f>
        <v>0</v>
      </c>
      <c r="AB16" s="2389"/>
      <c r="AC16" s="2807">
        <f>SUM(AC17:AC19)</f>
        <v>0</v>
      </c>
      <c r="AD16" s="2805">
        <f>SUM(AD17:AD19)</f>
        <v>0</v>
      </c>
      <c r="AE16" s="2808">
        <f>SUM(AE17:AE19)</f>
        <v>0</v>
      </c>
      <c r="AF16" s="2809">
        <f>SUM(AF17:AF19)</f>
        <v>0</v>
      </c>
      <c r="AG16" s="2391"/>
      <c r="AH16" s="2810">
        <f>SUM(AH17:AH19)</f>
        <v>0</v>
      </c>
      <c r="AI16" s="2831"/>
      <c r="AJ16" s="2392"/>
      <c r="AK16" s="2812">
        <f>SUM(AK17:AK19)</f>
        <v>0</v>
      </c>
      <c r="AL16" s="2832"/>
      <c r="AM16" s="2814">
        <f>SUM(AM17:AM19)</f>
        <v>0</v>
      </c>
      <c r="AN16" s="2815">
        <f>SUM(AN17:AN19)</f>
        <v>0</v>
      </c>
      <c r="AO16" s="2393"/>
      <c r="AP16" s="2816">
        <f>SUM(AP17:AP19)</f>
        <v>0</v>
      </c>
      <c r="AQ16" s="2817">
        <f>SUM(AQ17:AQ19)</f>
        <v>0</v>
      </c>
      <c r="AR16" s="2394"/>
    </row>
    <row r="17" spans="1:46" ht="15.95" customHeight="1" outlineLevel="2">
      <c r="A17" s="2410">
        <v>33230</v>
      </c>
      <c r="B17" s="2397"/>
      <c r="C17" s="2398">
        <v>190</v>
      </c>
      <c r="D17" s="2399"/>
      <c r="E17" s="2400" t="s">
        <v>52</v>
      </c>
      <c r="F17" s="557" t="s">
        <v>53</v>
      </c>
      <c r="G17" s="2412"/>
      <c r="H17" s="2413"/>
      <c r="I17" s="3063"/>
      <c r="J17" s="2402">
        <v>0</v>
      </c>
      <c r="K17" s="2403">
        <f>TVA0</f>
        <v>0</v>
      </c>
      <c r="L17" s="2404">
        <f>I17*K17</f>
        <v>0</v>
      </c>
      <c r="M17" s="2752">
        <f>I17+L17</f>
        <v>0</v>
      </c>
      <c r="N17" s="2405">
        <f>I17/$G$3</f>
        <v>0</v>
      </c>
      <c r="O17" s="2406">
        <f>I17/$G$2</f>
        <v>0</v>
      </c>
      <c r="P17" s="2302"/>
      <c r="Q17" s="2818">
        <f t="shared" ref="Q17:Q19" si="4">N17*$R$3</f>
        <v>0</v>
      </c>
      <c r="R17" s="2819">
        <f>Q17*$K17</f>
        <v>0</v>
      </c>
      <c r="S17" s="2820">
        <f>Q17+R17</f>
        <v>0</v>
      </c>
      <c r="T17" s="2305"/>
      <c r="U17" s="2818">
        <f t="shared" ref="U17:U19" si="5">$V$3*N17</f>
        <v>0</v>
      </c>
      <c r="V17" s="2819">
        <f>U17*$K17</f>
        <v>0</v>
      </c>
      <c r="W17" s="2820">
        <f>U17+V17</f>
        <v>0</v>
      </c>
      <c r="X17" s="2305"/>
      <c r="Y17" s="2818">
        <f t="shared" ref="Y17:Y19" si="6">$Z$3*I17</f>
        <v>0</v>
      </c>
      <c r="Z17" s="2819">
        <f>Y17*$K17</f>
        <v>0</v>
      </c>
      <c r="AA17" s="2820">
        <f>Y17+Z17</f>
        <v>0</v>
      </c>
      <c r="AB17" s="2305"/>
      <c r="AC17" s="2818">
        <f t="shared" ref="AC17:AC19" si="7">$AD$3*N17</f>
        <v>0</v>
      </c>
      <c r="AD17" s="2819">
        <f>AC17*$K17</f>
        <v>0</v>
      </c>
      <c r="AE17" s="2821">
        <f>AC17+AD17</f>
        <v>0</v>
      </c>
      <c r="AF17" s="2822">
        <f>M17-(S17+W17+AA17+AE17)</f>
        <v>0</v>
      </c>
      <c r="AG17" s="2284"/>
      <c r="AH17" s="2823">
        <v>0</v>
      </c>
      <c r="AI17" s="2824"/>
      <c r="AJ17" s="2307"/>
      <c r="AK17" s="2825">
        <v>0</v>
      </c>
      <c r="AL17" s="2826"/>
      <c r="AM17" s="2814">
        <f>AK17*$K17</f>
        <v>0</v>
      </c>
      <c r="AN17" s="2827">
        <f>AK17+AM17</f>
        <v>0</v>
      </c>
      <c r="AO17" s="2308"/>
      <c r="AP17" s="2828">
        <f>I17-AH17</f>
        <v>0</v>
      </c>
      <c r="AQ17" s="2829">
        <f>I17-AK17</f>
        <v>0</v>
      </c>
      <c r="AR17" s="2287"/>
    </row>
    <row r="18" spans="1:46" ht="15.95" customHeight="1" outlineLevel="2">
      <c r="A18" s="2410">
        <v>33230</v>
      </c>
      <c r="B18" s="2414"/>
      <c r="C18" s="2398">
        <v>190</v>
      </c>
      <c r="D18" s="2415"/>
      <c r="E18" s="2416" t="s">
        <v>54</v>
      </c>
      <c r="F18" s="557" t="s">
        <v>55</v>
      </c>
      <c r="G18" s="2412"/>
      <c r="H18" s="2413"/>
      <c r="I18" s="3063"/>
      <c r="J18" s="2402"/>
      <c r="K18" s="2403">
        <f>TVAN</f>
        <v>8.5000000000000006E-2</v>
      </c>
      <c r="L18" s="2404">
        <f>I18*K18</f>
        <v>0</v>
      </c>
      <c r="M18" s="2752">
        <f>I18+L18</f>
        <v>0</v>
      </c>
      <c r="N18" s="2405">
        <f>I18/$G$3</f>
        <v>0</v>
      </c>
      <c r="O18" s="2406">
        <f>I18/$G$2</f>
        <v>0</v>
      </c>
      <c r="P18" s="2302"/>
      <c r="Q18" s="2818">
        <f t="shared" si="4"/>
        <v>0</v>
      </c>
      <c r="R18" s="2819">
        <f>Q18*$K18</f>
        <v>0</v>
      </c>
      <c r="S18" s="2820">
        <f>Q18+R18</f>
        <v>0</v>
      </c>
      <c r="T18" s="2305"/>
      <c r="U18" s="2818">
        <f t="shared" si="5"/>
        <v>0</v>
      </c>
      <c r="V18" s="2819">
        <f>U18*$K18</f>
        <v>0</v>
      </c>
      <c r="W18" s="2820">
        <f>U18+V18</f>
        <v>0</v>
      </c>
      <c r="X18" s="2305"/>
      <c r="Y18" s="2818">
        <f t="shared" si="6"/>
        <v>0</v>
      </c>
      <c r="Z18" s="2819">
        <f>Y18*$K18</f>
        <v>0</v>
      </c>
      <c r="AA18" s="2820">
        <f>Y18+Z18</f>
        <v>0</v>
      </c>
      <c r="AB18" s="2305"/>
      <c r="AC18" s="2818">
        <f t="shared" si="7"/>
        <v>0</v>
      </c>
      <c r="AD18" s="2819">
        <f>AC18*$K18</f>
        <v>0</v>
      </c>
      <c r="AE18" s="2821">
        <f>AC18+AD18</f>
        <v>0</v>
      </c>
      <c r="AF18" s="2822">
        <f>M18-(S18+W18+AA18+AE18)</f>
        <v>0</v>
      </c>
      <c r="AG18" s="2284"/>
      <c r="AH18" s="2823">
        <v>0</v>
      </c>
      <c r="AI18" s="2824">
        <v>0</v>
      </c>
      <c r="AJ18" s="2307"/>
      <c r="AK18" s="2825">
        <v>0</v>
      </c>
      <c r="AL18" s="2826">
        <v>0</v>
      </c>
      <c r="AM18" s="2814">
        <f>AK18*$K18</f>
        <v>0</v>
      </c>
      <c r="AN18" s="2827">
        <f>AK18+AM18</f>
        <v>0</v>
      </c>
      <c r="AO18" s="2308"/>
      <c r="AP18" s="2828">
        <f>I18-AH18</f>
        <v>0</v>
      </c>
      <c r="AQ18" s="2829">
        <f>I18-AK18</f>
        <v>0</v>
      </c>
      <c r="AR18" s="2287"/>
    </row>
    <row r="19" spans="1:46" ht="15.95" customHeight="1" outlineLevel="2">
      <c r="A19" s="2410">
        <v>33230</v>
      </c>
      <c r="B19" s="2411"/>
      <c r="C19" s="2398">
        <v>190</v>
      </c>
      <c r="D19" s="2399"/>
      <c r="E19" s="2400" t="s">
        <v>56</v>
      </c>
      <c r="F19" s="557" t="s">
        <v>57</v>
      </c>
      <c r="G19" s="2412"/>
      <c r="H19" s="2413"/>
      <c r="I19" s="3063"/>
      <c r="J19" s="2402"/>
      <c r="K19" s="2403">
        <f>TVAN</f>
        <v>8.5000000000000006E-2</v>
      </c>
      <c r="L19" s="2404">
        <f>I19*K19</f>
        <v>0</v>
      </c>
      <c r="M19" s="2752">
        <f>I19+L19</f>
        <v>0</v>
      </c>
      <c r="N19" s="2405">
        <f>I19/$G$3</f>
        <v>0</v>
      </c>
      <c r="O19" s="2406">
        <f>I19/$G$2</f>
        <v>0</v>
      </c>
      <c r="P19" s="2302"/>
      <c r="Q19" s="2818">
        <f t="shared" si="4"/>
        <v>0</v>
      </c>
      <c r="R19" s="2819">
        <f>Q19*$K19</f>
        <v>0</v>
      </c>
      <c r="S19" s="2820">
        <f>Q19+R19</f>
        <v>0</v>
      </c>
      <c r="T19" s="2305"/>
      <c r="U19" s="2818">
        <f t="shared" si="5"/>
        <v>0</v>
      </c>
      <c r="V19" s="2819">
        <f>U19*$K19</f>
        <v>0</v>
      </c>
      <c r="W19" s="2820">
        <f>U19+V19</f>
        <v>0</v>
      </c>
      <c r="X19" s="2305"/>
      <c r="Y19" s="2818">
        <f t="shared" si="6"/>
        <v>0</v>
      </c>
      <c r="Z19" s="2819">
        <f>Y19*$K19</f>
        <v>0</v>
      </c>
      <c r="AA19" s="2820">
        <f>Y19+Z19</f>
        <v>0</v>
      </c>
      <c r="AB19" s="2305"/>
      <c r="AC19" s="2818">
        <f t="shared" si="7"/>
        <v>0</v>
      </c>
      <c r="AD19" s="2819">
        <f>AC19*$K19</f>
        <v>0</v>
      </c>
      <c r="AE19" s="2821">
        <f>AC19+AD19</f>
        <v>0</v>
      </c>
      <c r="AF19" s="2822">
        <f>M19-(S19+W19+AA19+AE19)</f>
        <v>0</v>
      </c>
      <c r="AG19" s="2284"/>
      <c r="AH19" s="2823">
        <v>0</v>
      </c>
      <c r="AI19" s="2824"/>
      <c r="AJ19" s="2307"/>
      <c r="AK19" s="2825">
        <v>0</v>
      </c>
      <c r="AL19" s="2826"/>
      <c r="AM19" s="2814">
        <f>AK19*$K19</f>
        <v>0</v>
      </c>
      <c r="AN19" s="2827">
        <f>AK19+AM19</f>
        <v>0</v>
      </c>
      <c r="AO19" s="2308"/>
      <c r="AP19" s="2828">
        <f>I19-AH19</f>
        <v>0</v>
      </c>
      <c r="AQ19" s="2829">
        <f>I19-AK19</f>
        <v>0</v>
      </c>
      <c r="AR19" s="2287"/>
    </row>
    <row r="20" spans="1:46" s="2395" customFormat="1" ht="15.95" customHeight="1" outlineLevel="1">
      <c r="A20" s="2407">
        <v>33240</v>
      </c>
      <c r="B20" s="2417" t="s">
        <v>59</v>
      </c>
      <c r="C20" s="2379">
        <v>190</v>
      </c>
      <c r="D20" s="2418"/>
      <c r="E20" s="2418"/>
      <c r="F20" s="2408" t="s">
        <v>943</v>
      </c>
      <c r="G20" s="2409"/>
      <c r="H20" s="2383"/>
      <c r="I20" s="2735">
        <f>SUM(I21:I22)</f>
        <v>0</v>
      </c>
      <c r="J20" s="2384"/>
      <c r="K20" s="2385"/>
      <c r="L20" s="2386">
        <f>SUM(L21:L22)</f>
        <v>0</v>
      </c>
      <c r="M20" s="2751">
        <f>SUM(M21:M22)</f>
        <v>0</v>
      </c>
      <c r="N20" s="2387">
        <f>SUM(N21:N22)</f>
        <v>0</v>
      </c>
      <c r="O20" s="2388">
        <f>SUM(O21:O22)</f>
        <v>0</v>
      </c>
      <c r="P20" s="2302"/>
      <c r="Q20" s="2804">
        <f>SUM(Q21:Q22)</f>
        <v>0</v>
      </c>
      <c r="R20" s="2805">
        <f>SUM(R21:R22)</f>
        <v>0</v>
      </c>
      <c r="S20" s="2806">
        <f>SUM(S21:S22)</f>
        <v>0</v>
      </c>
      <c r="T20" s="2389"/>
      <c r="U20" s="2807">
        <f>SUM(U21:U22)</f>
        <v>0</v>
      </c>
      <c r="V20" s="2805">
        <f>SUM(V21:V22)</f>
        <v>0</v>
      </c>
      <c r="W20" s="2806">
        <f>SUM(W21:W22)</f>
        <v>0</v>
      </c>
      <c r="X20" s="2390"/>
      <c r="Y20" s="2807">
        <f>SUM(Y21:Y22)</f>
        <v>0</v>
      </c>
      <c r="Z20" s="2805">
        <f>SUM(Z21:Z22)</f>
        <v>0</v>
      </c>
      <c r="AA20" s="2806">
        <f>SUM(AA21:AA22)</f>
        <v>0</v>
      </c>
      <c r="AB20" s="2389"/>
      <c r="AC20" s="2807">
        <f>SUM(AC21:AC22)</f>
        <v>0</v>
      </c>
      <c r="AD20" s="2805">
        <f>SUM(AD21:AD22)</f>
        <v>0</v>
      </c>
      <c r="AE20" s="2808">
        <f>SUM(AE21:AE22)</f>
        <v>0</v>
      </c>
      <c r="AF20" s="2809">
        <f>SUM(AF21:AF22)</f>
        <v>0</v>
      </c>
      <c r="AG20" s="2391"/>
      <c r="AH20" s="2810">
        <f>SUM(AH21:AH22)</f>
        <v>0</v>
      </c>
      <c r="AI20" s="2831"/>
      <c r="AJ20" s="2392"/>
      <c r="AK20" s="2812">
        <f>SUM(AK21:AK22)</f>
        <v>0</v>
      </c>
      <c r="AL20" s="2832"/>
      <c r="AM20" s="2814">
        <f>SUM(AM21:AM22)</f>
        <v>0</v>
      </c>
      <c r="AN20" s="2815">
        <f>SUM(AN21:AN22)</f>
        <v>0</v>
      </c>
      <c r="AO20" s="2393"/>
      <c r="AP20" s="2816">
        <f>SUM(AP21:AP22)</f>
        <v>0</v>
      </c>
      <c r="AQ20" s="2817">
        <f>SUM(AQ21:AQ22)</f>
        <v>0</v>
      </c>
      <c r="AR20" s="2394"/>
    </row>
    <row r="21" spans="1:46" ht="15.95" customHeight="1" outlineLevel="2">
      <c r="A21" s="2410">
        <v>33240</v>
      </c>
      <c r="B21" s="2411"/>
      <c r="C21" s="2398">
        <v>190</v>
      </c>
      <c r="D21" s="2399" t="s">
        <v>60</v>
      </c>
      <c r="E21" s="2400" t="s">
        <v>60</v>
      </c>
      <c r="F21" s="557" t="s">
        <v>944</v>
      </c>
      <c r="G21" s="2412"/>
      <c r="H21" s="2413"/>
      <c r="I21" s="3063"/>
      <c r="J21" s="2402"/>
      <c r="K21" s="2403">
        <f>TVAN</f>
        <v>8.5000000000000006E-2</v>
      </c>
      <c r="L21" s="2404">
        <f>I21*K21</f>
        <v>0</v>
      </c>
      <c r="M21" s="2752">
        <f>I21+L21</f>
        <v>0</v>
      </c>
      <c r="N21" s="2405">
        <f>I21/$G$3</f>
        <v>0</v>
      </c>
      <c r="O21" s="2406">
        <f>I21/$G$2</f>
        <v>0</v>
      </c>
      <c r="P21" s="2302"/>
      <c r="Q21" s="2818">
        <f t="shared" ref="Q21:Q22" si="8">N21*$R$3</f>
        <v>0</v>
      </c>
      <c r="R21" s="2819">
        <f>Q21*$K21</f>
        <v>0</v>
      </c>
      <c r="S21" s="2820">
        <f>Q21+R21</f>
        <v>0</v>
      </c>
      <c r="T21" s="2305"/>
      <c r="U21" s="2818">
        <f t="shared" ref="U21:U22" si="9">$V$3*N21</f>
        <v>0</v>
      </c>
      <c r="V21" s="2819">
        <f>U21*$K21</f>
        <v>0</v>
      </c>
      <c r="W21" s="2820">
        <f>U21+V21</f>
        <v>0</v>
      </c>
      <c r="X21" s="2305"/>
      <c r="Y21" s="2818">
        <f t="shared" ref="Y21:Y22" si="10">$Z$3*I21</f>
        <v>0</v>
      </c>
      <c r="Z21" s="2819">
        <f>Y21*$K21</f>
        <v>0</v>
      </c>
      <c r="AA21" s="2820">
        <f>Y21+Z21</f>
        <v>0</v>
      </c>
      <c r="AB21" s="2305"/>
      <c r="AC21" s="2818">
        <f t="shared" ref="AC21:AC22" si="11">$AD$3*N21</f>
        <v>0</v>
      </c>
      <c r="AD21" s="2819">
        <f>AC21*$K21</f>
        <v>0</v>
      </c>
      <c r="AE21" s="2821">
        <f>AC21+AD21</f>
        <v>0</v>
      </c>
      <c r="AF21" s="2822">
        <f>M21-(S21+W21+AA21+AE21)</f>
        <v>0</v>
      </c>
      <c r="AG21" s="2284"/>
      <c r="AH21" s="2834"/>
      <c r="AI21" s="2824"/>
      <c r="AJ21" s="2307"/>
      <c r="AK21" s="2833"/>
      <c r="AL21" s="2826"/>
      <c r="AM21" s="2814">
        <f>AK21*$K21</f>
        <v>0</v>
      </c>
      <c r="AN21" s="2827">
        <f>AK21+AM21</f>
        <v>0</v>
      </c>
      <c r="AO21" s="2308"/>
      <c r="AP21" s="2828">
        <f>I21-AH21</f>
        <v>0</v>
      </c>
      <c r="AQ21" s="2829">
        <f>I21-AK21</f>
        <v>0</v>
      </c>
      <c r="AR21" s="2287"/>
    </row>
    <row r="22" spans="1:46" ht="15.95" customHeight="1" outlineLevel="2">
      <c r="A22" s="2410">
        <v>33240</v>
      </c>
      <c r="B22" s="2414"/>
      <c r="C22" s="2398">
        <v>190</v>
      </c>
      <c r="D22" s="2415" t="s">
        <v>62</v>
      </c>
      <c r="E22" s="2416" t="s">
        <v>62</v>
      </c>
      <c r="F22" s="557" t="s">
        <v>945</v>
      </c>
      <c r="G22" s="2412"/>
      <c r="H22" s="2413"/>
      <c r="I22" s="3063"/>
      <c r="J22" s="2402">
        <v>0</v>
      </c>
      <c r="K22" s="2403">
        <f>TVAN</f>
        <v>8.5000000000000006E-2</v>
      </c>
      <c r="L22" s="2404">
        <f>I22*K22</f>
        <v>0</v>
      </c>
      <c r="M22" s="2752">
        <f>I22+L22</f>
        <v>0</v>
      </c>
      <c r="N22" s="2405">
        <f>I22/$G$3</f>
        <v>0</v>
      </c>
      <c r="O22" s="2406">
        <f>I22/$G$2</f>
        <v>0</v>
      </c>
      <c r="P22" s="2302"/>
      <c r="Q22" s="2818">
        <f t="shared" si="8"/>
        <v>0</v>
      </c>
      <c r="R22" s="2819">
        <f>Q22*$K22</f>
        <v>0</v>
      </c>
      <c r="S22" s="2820">
        <f>Q22+R22</f>
        <v>0</v>
      </c>
      <c r="T22" s="2305"/>
      <c r="U22" s="2818">
        <f t="shared" si="9"/>
        <v>0</v>
      </c>
      <c r="V22" s="2819">
        <f>U22*$K22</f>
        <v>0</v>
      </c>
      <c r="W22" s="2820">
        <f>U22+V22</f>
        <v>0</v>
      </c>
      <c r="X22" s="2305"/>
      <c r="Y22" s="2818">
        <f t="shared" si="10"/>
        <v>0</v>
      </c>
      <c r="Z22" s="2819">
        <f>Y22*$K22</f>
        <v>0</v>
      </c>
      <c r="AA22" s="2820">
        <f>Y22+Z22</f>
        <v>0</v>
      </c>
      <c r="AB22" s="2305"/>
      <c r="AC22" s="2818">
        <f t="shared" si="11"/>
        <v>0</v>
      </c>
      <c r="AD22" s="2819">
        <f>AC22*$K22</f>
        <v>0</v>
      </c>
      <c r="AE22" s="2821">
        <f>AC22+AD22</f>
        <v>0</v>
      </c>
      <c r="AF22" s="2822"/>
      <c r="AG22" s="2284"/>
      <c r="AH22" s="2823">
        <v>0</v>
      </c>
      <c r="AI22" s="2824">
        <v>0</v>
      </c>
      <c r="AJ22" s="2307"/>
      <c r="AK22" s="2825"/>
      <c r="AL22" s="2826">
        <v>0</v>
      </c>
      <c r="AM22" s="2814">
        <f>AK22*$K22</f>
        <v>0</v>
      </c>
      <c r="AN22" s="2827">
        <f>AK22+AM22</f>
        <v>0</v>
      </c>
      <c r="AO22" s="2308"/>
      <c r="AP22" s="2828">
        <f>I22-AH22</f>
        <v>0</v>
      </c>
      <c r="AQ22" s="2829">
        <f>I22-AK22</f>
        <v>0</v>
      </c>
      <c r="AR22" s="2287"/>
    </row>
    <row r="23" spans="1:46" s="2395" customFormat="1" ht="15.95" customHeight="1" outlineLevel="1">
      <c r="A23" s="2407">
        <v>33250</v>
      </c>
      <c r="B23" s="2417" t="s">
        <v>64</v>
      </c>
      <c r="C23" s="2379">
        <v>190</v>
      </c>
      <c r="D23" s="2418"/>
      <c r="E23" s="2418"/>
      <c r="F23" s="2408" t="s">
        <v>946</v>
      </c>
      <c r="G23" s="2409"/>
      <c r="H23" s="2383"/>
      <c r="I23" s="2735">
        <f>SUM(I24:I24)</f>
        <v>0</v>
      </c>
      <c r="J23" s="2384"/>
      <c r="K23" s="2385"/>
      <c r="L23" s="2386">
        <f>SUM(L24:L24)</f>
        <v>0</v>
      </c>
      <c r="M23" s="2751">
        <f>SUM(M24:M24)</f>
        <v>0</v>
      </c>
      <c r="N23" s="2387">
        <f>SUM(N24:N24)</f>
        <v>0</v>
      </c>
      <c r="O23" s="2388">
        <f>SUM(O24:O24)</f>
        <v>0</v>
      </c>
      <c r="P23" s="2302"/>
      <c r="Q23" s="2804">
        <f>SUM(Q24:Q24)</f>
        <v>0</v>
      </c>
      <c r="R23" s="2805">
        <f>SUM(R24:R24)</f>
        <v>0</v>
      </c>
      <c r="S23" s="2806">
        <f>SUM(S24:S24)</f>
        <v>0</v>
      </c>
      <c r="T23" s="2389"/>
      <c r="U23" s="2807">
        <f>SUM(U24:U24)</f>
        <v>0</v>
      </c>
      <c r="V23" s="2805">
        <f>SUM(V24:V24)</f>
        <v>0</v>
      </c>
      <c r="W23" s="2806">
        <f>SUM(W24:W24)</f>
        <v>0</v>
      </c>
      <c r="X23" s="2390"/>
      <c r="Y23" s="2807">
        <f>SUM(Y24:Y24)</f>
        <v>0</v>
      </c>
      <c r="Z23" s="2805">
        <f>SUM(Z24:Z24)</f>
        <v>0</v>
      </c>
      <c r="AA23" s="2806">
        <f>SUM(AA24:AA24)</f>
        <v>0</v>
      </c>
      <c r="AB23" s="2389"/>
      <c r="AC23" s="2807">
        <f>SUM(AC24:AC24)</f>
        <v>0</v>
      </c>
      <c r="AD23" s="2805">
        <f>SUM(AD24:AD24)</f>
        <v>0</v>
      </c>
      <c r="AE23" s="2808">
        <f>SUM(AE24:AE24)</f>
        <v>0</v>
      </c>
      <c r="AF23" s="2809">
        <f>SUM(AF24:AF24)</f>
        <v>0</v>
      </c>
      <c r="AG23" s="2391"/>
      <c r="AH23" s="2810">
        <f>SUM(AH24:AH24)</f>
        <v>0</v>
      </c>
      <c r="AI23" s="2831"/>
      <c r="AJ23" s="2392"/>
      <c r="AK23" s="2812">
        <f>SUM(AK24:AK24)</f>
        <v>0</v>
      </c>
      <c r="AL23" s="2832"/>
      <c r="AM23" s="2814">
        <f>SUM(AM24:AM24)</f>
        <v>0</v>
      </c>
      <c r="AN23" s="2815">
        <f>SUM(AN24:AN24)</f>
        <v>0</v>
      </c>
      <c r="AO23" s="2393"/>
      <c r="AP23" s="2816">
        <f>SUM(AP24:AP24)</f>
        <v>0</v>
      </c>
      <c r="AQ23" s="2817">
        <f>SUM(AQ24:AQ24)</f>
        <v>0</v>
      </c>
      <c r="AR23" s="2394"/>
    </row>
    <row r="24" spans="1:46" ht="15.95" customHeight="1" outlineLevel="2">
      <c r="A24" s="2410">
        <v>33250</v>
      </c>
      <c r="B24" s="2411"/>
      <c r="C24" s="2398">
        <v>190</v>
      </c>
      <c r="D24" s="2415" t="s">
        <v>947</v>
      </c>
      <c r="E24" s="2416" t="s">
        <v>947</v>
      </c>
      <c r="F24" s="557" t="s">
        <v>948</v>
      </c>
      <c r="G24" s="2412" t="s">
        <v>949</v>
      </c>
      <c r="H24" s="2413"/>
      <c r="I24" s="3063"/>
      <c r="J24" s="2402">
        <v>0</v>
      </c>
      <c r="K24" s="2403">
        <f>TVA0</f>
        <v>0</v>
      </c>
      <c r="L24" s="2404">
        <f>I24*K24</f>
        <v>0</v>
      </c>
      <c r="M24" s="2752">
        <f>I24+L24</f>
        <v>0</v>
      </c>
      <c r="N24" s="2405">
        <f>I24/$G$3</f>
        <v>0</v>
      </c>
      <c r="O24" s="2406">
        <f>I24/$G$2</f>
        <v>0</v>
      </c>
      <c r="P24" s="2302"/>
      <c r="Q24" s="2818">
        <f>N24*$R$3</f>
        <v>0</v>
      </c>
      <c r="R24" s="2819">
        <f>Q24*$K24</f>
        <v>0</v>
      </c>
      <c r="S24" s="2820">
        <f>Q24+R24</f>
        <v>0</v>
      </c>
      <c r="T24" s="2305"/>
      <c r="U24" s="2818">
        <f>$V$3*N24</f>
        <v>0</v>
      </c>
      <c r="V24" s="2819">
        <f>U24*$K24</f>
        <v>0</v>
      </c>
      <c r="W24" s="2820">
        <f>U24+V24</f>
        <v>0</v>
      </c>
      <c r="X24" s="2305"/>
      <c r="Y24" s="2818">
        <f>$Z$3*I24</f>
        <v>0</v>
      </c>
      <c r="Z24" s="2819">
        <f>Y24*$K24</f>
        <v>0</v>
      </c>
      <c r="AA24" s="2820">
        <f>Y24+Z24</f>
        <v>0</v>
      </c>
      <c r="AB24" s="2305"/>
      <c r="AC24" s="2818">
        <f>$AD$3*N24</f>
        <v>0</v>
      </c>
      <c r="AD24" s="2819">
        <f>AC24*$K24</f>
        <v>0</v>
      </c>
      <c r="AE24" s="2821">
        <f>AC24+AD24</f>
        <v>0</v>
      </c>
      <c r="AF24" s="2822">
        <f>M24-(S24+W24+AA24+AE24)</f>
        <v>0</v>
      </c>
      <c r="AG24" s="2284"/>
      <c r="AH24" s="2823"/>
      <c r="AI24" s="2824"/>
      <c r="AJ24" s="2307"/>
      <c r="AK24" s="2825"/>
      <c r="AL24" s="2826">
        <v>0</v>
      </c>
      <c r="AM24" s="2814">
        <f>AK24*$K24</f>
        <v>0</v>
      </c>
      <c r="AN24" s="2827">
        <f>AK24+AM24</f>
        <v>0</v>
      </c>
      <c r="AO24" s="2308"/>
      <c r="AP24" s="2828">
        <f>I24-AH24</f>
        <v>0</v>
      </c>
      <c r="AQ24" s="2829">
        <f>I24-AK24</f>
        <v>0</v>
      </c>
      <c r="AR24" s="2287"/>
    </row>
    <row r="25" spans="1:46" ht="15.95" customHeight="1" outlineLevel="2">
      <c r="A25" s="2312"/>
      <c r="B25" s="2411"/>
      <c r="C25" s="2398"/>
      <c r="D25" s="2415"/>
      <c r="E25" s="2416"/>
      <c r="F25" s="557"/>
      <c r="G25" s="2412"/>
      <c r="H25" s="2419"/>
      <c r="I25" s="2737"/>
      <c r="J25" s="2420"/>
      <c r="K25" s="2403"/>
      <c r="L25" s="2421"/>
      <c r="M25" s="2753"/>
      <c r="N25" s="2422"/>
      <c r="O25" s="2423"/>
      <c r="P25" s="2302"/>
      <c r="Q25" s="2835"/>
      <c r="R25" s="2836"/>
      <c r="S25" s="2837"/>
      <c r="T25" s="2305"/>
      <c r="U25" s="2835"/>
      <c r="V25" s="2836"/>
      <c r="W25" s="2837"/>
      <c r="X25" s="2305"/>
      <c r="Y25" s="2835"/>
      <c r="Z25" s="2836"/>
      <c r="AA25" s="2837"/>
      <c r="AB25" s="2305"/>
      <c r="AC25" s="2835"/>
      <c r="AD25" s="2836"/>
      <c r="AE25" s="2838"/>
      <c r="AF25" s="2822"/>
      <c r="AG25" s="2284"/>
      <c r="AH25" s="2839"/>
      <c r="AI25" s="2840"/>
      <c r="AJ25" s="2307"/>
      <c r="AK25" s="2813"/>
      <c r="AL25" s="2832"/>
      <c r="AM25" s="2814"/>
      <c r="AN25" s="2815"/>
      <c r="AO25" s="2308"/>
      <c r="AP25" s="2841"/>
      <c r="AQ25" s="2842"/>
      <c r="AR25" s="2287"/>
    </row>
    <row r="26" spans="1:46" s="2395" customFormat="1" ht="15.75" customHeight="1" outlineLevel="1">
      <c r="A26" s="2424">
        <v>33280</v>
      </c>
      <c r="B26" s="2425" t="s">
        <v>950</v>
      </c>
      <c r="C26" s="2426">
        <v>190</v>
      </c>
      <c r="D26" s="2427" t="s">
        <v>951</v>
      </c>
      <c r="E26" s="2427" t="s">
        <v>951</v>
      </c>
      <c r="F26" s="2408" t="s">
        <v>952</v>
      </c>
      <c r="G26" s="2409"/>
      <c r="H26" s="2383"/>
      <c r="I26" s="3063"/>
      <c r="J26" s="2402">
        <v>0</v>
      </c>
      <c r="K26" s="2403">
        <f>TVAN</f>
        <v>8.5000000000000006E-2</v>
      </c>
      <c r="L26" s="2404">
        <f>I26*K26</f>
        <v>0</v>
      </c>
      <c r="M26" s="2752">
        <f>I26+L26</f>
        <v>0</v>
      </c>
      <c r="N26" s="2405">
        <f>I26/$G$3</f>
        <v>0</v>
      </c>
      <c r="O26" s="2406">
        <f>I26/$G$2</f>
        <v>0</v>
      </c>
      <c r="P26" s="2302"/>
      <c r="Q26" s="2818">
        <f>N26*$R$3</f>
        <v>0</v>
      </c>
      <c r="R26" s="2819">
        <f>Q26*$K26</f>
        <v>0</v>
      </c>
      <c r="S26" s="2820">
        <f>Q26+R26</f>
        <v>0</v>
      </c>
      <c r="T26" s="2305"/>
      <c r="U26" s="2818">
        <f>$V$3*N26</f>
        <v>0</v>
      </c>
      <c r="V26" s="2819">
        <f>U26*$K26</f>
        <v>0</v>
      </c>
      <c r="W26" s="2820">
        <f>U26+V26</f>
        <v>0</v>
      </c>
      <c r="X26" s="2305"/>
      <c r="Y26" s="2818">
        <f>$Z$3*I26</f>
        <v>0</v>
      </c>
      <c r="Z26" s="2819">
        <f>Y26*$K26</f>
        <v>0</v>
      </c>
      <c r="AA26" s="2820">
        <f>Y26+Z26</f>
        <v>0</v>
      </c>
      <c r="AB26" s="2305"/>
      <c r="AC26" s="2818">
        <f>$AD$3*N26</f>
        <v>0</v>
      </c>
      <c r="AD26" s="2819">
        <f>AC26*$K26</f>
        <v>0</v>
      </c>
      <c r="AE26" s="2821">
        <f>AC26+AD26</f>
        <v>0</v>
      </c>
      <c r="AF26" s="2822">
        <f>M26-(S26+W26+AA26+AE26)</f>
        <v>0</v>
      </c>
      <c r="AG26" s="2284"/>
      <c r="AH26" s="2823">
        <v>0</v>
      </c>
      <c r="AI26" s="2824"/>
      <c r="AJ26" s="2307"/>
      <c r="AK26" s="2825">
        <v>0</v>
      </c>
      <c r="AL26" s="2826">
        <v>0</v>
      </c>
      <c r="AM26" s="2814">
        <f>AK26*$K26</f>
        <v>0</v>
      </c>
      <c r="AN26" s="2827">
        <f>AK26+AM26</f>
        <v>0</v>
      </c>
      <c r="AO26" s="2308"/>
      <c r="AP26" s="2828">
        <f>I26-AH26</f>
        <v>0</v>
      </c>
      <c r="AQ26" s="2829">
        <f>I26-AK26</f>
        <v>0</v>
      </c>
      <c r="AR26" s="2287"/>
    </row>
    <row r="27" spans="1:46" ht="15.75" customHeight="1">
      <c r="A27" s="2312"/>
      <c r="B27" s="2414"/>
      <c r="C27" s="2428"/>
      <c r="D27" s="2415"/>
      <c r="E27" s="2415"/>
      <c r="G27" s="2429"/>
      <c r="H27" s="2413"/>
      <c r="I27" s="2738"/>
      <c r="J27" s="2430"/>
      <c r="K27" s="2403"/>
      <c r="L27" s="2404"/>
      <c r="M27" s="2754"/>
      <c r="N27" s="2431"/>
      <c r="O27" s="2432"/>
      <c r="P27" s="2302"/>
      <c r="Q27" s="2843"/>
      <c r="R27" s="2819"/>
      <c r="S27" s="2844"/>
      <c r="T27" s="2305"/>
      <c r="U27" s="2843"/>
      <c r="V27" s="2819"/>
      <c r="W27" s="2844"/>
      <c r="X27" s="2305"/>
      <c r="Y27" s="2843"/>
      <c r="Z27" s="2819"/>
      <c r="AA27" s="2844"/>
      <c r="AB27" s="2305"/>
      <c r="AC27" s="2843"/>
      <c r="AD27" s="2819"/>
      <c r="AE27" s="2845"/>
      <c r="AF27" s="2822"/>
      <c r="AG27" s="2284"/>
      <c r="AH27" s="2846"/>
      <c r="AI27" s="2847"/>
      <c r="AJ27" s="2307"/>
      <c r="AK27" s="2848"/>
      <c r="AL27" s="2849"/>
      <c r="AM27" s="2814"/>
      <c r="AN27" s="2850"/>
      <c r="AO27" s="2308"/>
      <c r="AP27" s="2828"/>
      <c r="AQ27" s="2851"/>
      <c r="AR27" s="2287"/>
    </row>
    <row r="28" spans="1:46" s="2185" customFormat="1" ht="15.95" customHeight="1">
      <c r="A28" s="2350" t="s">
        <v>953</v>
      </c>
      <c r="B28" s="2351" t="s">
        <v>70</v>
      </c>
      <c r="C28" s="2352">
        <v>290</v>
      </c>
      <c r="D28" s="2353"/>
      <c r="E28" s="2433"/>
      <c r="F28" s="2355" t="s">
        <v>71</v>
      </c>
      <c r="G28" s="2434"/>
      <c r="H28" s="2357"/>
      <c r="I28" s="2358">
        <f>I30+I33+I41+I44+I47+I52+I55+I59</f>
        <v>0</v>
      </c>
      <c r="J28" s="2359"/>
      <c r="K28" s="2360"/>
      <c r="L28" s="2435">
        <f>L30+L33+L41+L44+L47+L52+L55+L59</f>
        <v>0</v>
      </c>
      <c r="M28" s="2436">
        <f>M30+M33+M41+M44+M47+M52+M55+M59</f>
        <v>0</v>
      </c>
      <c r="N28" s="2437">
        <f>N30+N33+N41+N44+N47+N52+N55+N59</f>
        <v>0</v>
      </c>
      <c r="O28" s="2438">
        <f>O30+O33+O41+O44+O47+O52+O55+O59</f>
        <v>0</v>
      </c>
      <c r="P28" s="2439"/>
      <c r="Q28" s="2440">
        <f>Q30+Q33+Q41+Q44+Q47+Q52+Q55+Q59</f>
        <v>0</v>
      </c>
      <c r="R28" s="2852">
        <f>R30+R33+R41+R44+R47+R52+R55+R59</f>
        <v>0</v>
      </c>
      <c r="S28" s="2441">
        <f>S30+S33+S41+S44+S47+S52+S55+S59</f>
        <v>0</v>
      </c>
      <c r="T28" s="2442"/>
      <c r="U28" s="2440">
        <f>U30+U33+U41+U44+U47+U52+U55+U59</f>
        <v>0</v>
      </c>
      <c r="V28" s="2852">
        <f>V30+V33+V41+V44+V47+V52+V55+V59</f>
        <v>0</v>
      </c>
      <c r="W28" s="2441">
        <f>W30+W33+W41+W44+W47+W52+W55+W59</f>
        <v>0</v>
      </c>
      <c r="X28" s="2369"/>
      <c r="Y28" s="2440">
        <f>Y30+Y33+Y41+Y44+Y47+Y52+Y55+Y59</f>
        <v>0</v>
      </c>
      <c r="Z28" s="2852">
        <f>Z30+Z33+Z41+Z44+Z47+Z52+Z55+Z59</f>
        <v>0</v>
      </c>
      <c r="AA28" s="2441">
        <f>AA30+AA33+AA41+AA44+AA47+AA52+AA55+AA59</f>
        <v>0</v>
      </c>
      <c r="AB28" s="2442"/>
      <c r="AC28" s="2440">
        <f>AC30+AC33+AC41+AC44+AC47+AC52+AC55+AC59</f>
        <v>0</v>
      </c>
      <c r="AD28" s="2852">
        <f>AD30+AD33+AD41+AD44+AD47+AD52+AD55+AD59</f>
        <v>0</v>
      </c>
      <c r="AE28" s="2443">
        <f>AE30+AE33+AE41+AE44+AE47+AE52+AE55+AE59</f>
        <v>0</v>
      </c>
      <c r="AF28" s="2853">
        <f>AF30+AF33+AF41+AF44+AF47+AF52+AF55+AF59</f>
        <v>0</v>
      </c>
      <c r="AG28" s="2444"/>
      <c r="AH28" s="2854">
        <f>AH30+AH33+AH41+AH44+AH47+AH52+AH55</f>
        <v>0</v>
      </c>
      <c r="AI28" s="2855"/>
      <c r="AJ28" s="2371"/>
      <c r="AK28" s="2445">
        <f>AK30+AK33+AK41+AK44+AK47+AK52+AK55+AK59</f>
        <v>0</v>
      </c>
      <c r="AL28" s="2856"/>
      <c r="AM28" s="2803">
        <f>AM30+AM33+AM41+AM44+AM47+AM52+AM55</f>
        <v>0</v>
      </c>
      <c r="AN28" s="2373">
        <f>AN30+AN33+AN41+AN44+AN47+AN52+AN55</f>
        <v>0</v>
      </c>
      <c r="AO28" s="2371"/>
      <c r="AP28" s="2446">
        <f>AP30+AP33+AP41+AP44+AP47+AP52+AP55</f>
        <v>0</v>
      </c>
      <c r="AQ28" s="2447">
        <f>AQ30+AQ33+AQ41+AQ44+AQ47+AQ52+AQ55</f>
        <v>0</v>
      </c>
      <c r="AR28" s="2376"/>
    </row>
    <row r="29" spans="1:46" ht="15.95" customHeight="1" outlineLevel="1">
      <c r="A29" s="2448"/>
      <c r="B29" s="2411"/>
      <c r="C29" s="2449"/>
      <c r="D29" s="2399"/>
      <c r="E29" s="2399"/>
      <c r="F29" s="2381" t="s">
        <v>954</v>
      </c>
      <c r="G29" s="2450"/>
      <c r="H29" s="3001"/>
      <c r="I29" s="2739">
        <f>I30+I33+I41+I44</f>
        <v>0</v>
      </c>
      <c r="J29" s="2430"/>
      <c r="K29" s="2403"/>
      <c r="L29" s="2404"/>
      <c r="M29" s="2754"/>
      <c r="N29" s="2431"/>
      <c r="O29" s="2432"/>
      <c r="P29" s="2302"/>
      <c r="Q29" s="2843"/>
      <c r="R29" s="2819"/>
      <c r="S29" s="2844"/>
      <c r="T29" s="2305"/>
      <c r="U29" s="2843"/>
      <c r="V29" s="2819"/>
      <c r="W29" s="2844"/>
      <c r="X29" s="2305"/>
      <c r="Y29" s="2843"/>
      <c r="Z29" s="2819"/>
      <c r="AA29" s="2844"/>
      <c r="AB29" s="2305"/>
      <c r="AC29" s="2843"/>
      <c r="AD29" s="2819"/>
      <c r="AE29" s="2845"/>
      <c r="AF29" s="2822"/>
      <c r="AG29" s="2284"/>
      <c r="AH29" s="2846"/>
      <c r="AI29" s="2847"/>
      <c r="AJ29" s="2307"/>
      <c r="AK29" s="2848"/>
      <c r="AL29" s="2849"/>
      <c r="AM29" s="2814"/>
      <c r="AN29" s="2850"/>
      <c r="AO29" s="2308"/>
      <c r="AP29" s="2828"/>
      <c r="AQ29" s="2851"/>
      <c r="AR29" s="2287"/>
    </row>
    <row r="30" spans="1:46" ht="15.95" customHeight="1" outlineLevel="1">
      <c r="A30" s="2407">
        <v>33410</v>
      </c>
      <c r="B30" s="2378" t="s">
        <v>74</v>
      </c>
      <c r="C30" s="2379">
        <v>290</v>
      </c>
      <c r="D30" s="2380" t="s">
        <v>75</v>
      </c>
      <c r="E30" s="2380"/>
      <c r="F30" s="2408" t="s">
        <v>76</v>
      </c>
      <c r="G30" s="2409"/>
      <c r="H30" s="2459"/>
      <c r="I30" s="2735">
        <f>SUM(I31:I32)</f>
        <v>0</v>
      </c>
      <c r="J30" s="2384"/>
      <c r="K30" s="2403"/>
      <c r="L30" s="2386">
        <f>SUM(L31:L32)</f>
        <v>0</v>
      </c>
      <c r="M30" s="2751">
        <f>SUM(M31:M32)</f>
        <v>0</v>
      </c>
      <c r="N30" s="2451">
        <f>SUM(N31:N32)</f>
        <v>0</v>
      </c>
      <c r="O30" s="2452">
        <f>SUM(O31:O32)</f>
        <v>0</v>
      </c>
      <c r="P30" s="2453"/>
      <c r="Q30" s="2804">
        <f>SUM(Q31:Q32)</f>
        <v>0</v>
      </c>
      <c r="R30" s="2805">
        <f>SUM(R31:R32)</f>
        <v>0</v>
      </c>
      <c r="S30" s="2806">
        <f>SUM(S31:S32)</f>
        <v>0</v>
      </c>
      <c r="T30" s="2389"/>
      <c r="U30" s="2807">
        <f>SUM(U31:U32)</f>
        <v>0</v>
      </c>
      <c r="V30" s="2805">
        <f>SUM(V31:V32)</f>
        <v>0</v>
      </c>
      <c r="W30" s="2806">
        <f>SUM(W31:W32)</f>
        <v>0</v>
      </c>
      <c r="X30" s="2305"/>
      <c r="Y30" s="2807">
        <f>SUM(Y31:Y32)</f>
        <v>0</v>
      </c>
      <c r="Z30" s="2805">
        <f>SUM(Z31:Z32)</f>
        <v>0</v>
      </c>
      <c r="AA30" s="2806">
        <f>SUM(AA31:AA32)</f>
        <v>0</v>
      </c>
      <c r="AB30" s="2389"/>
      <c r="AC30" s="2807">
        <f>SUM(AC31:AC32)</f>
        <v>0</v>
      </c>
      <c r="AD30" s="2805">
        <f>SUM(AD31:AD32)</f>
        <v>0</v>
      </c>
      <c r="AE30" s="2808">
        <f>SUM(AE31:AE32)</f>
        <v>0</v>
      </c>
      <c r="AF30" s="2809">
        <f>SUM(AF31:AF32)</f>
        <v>0</v>
      </c>
      <c r="AG30" s="2391"/>
      <c r="AH30" s="2810">
        <f>SUM(AH31:AH32)</f>
        <v>0</v>
      </c>
      <c r="AI30" s="2831"/>
      <c r="AJ30" s="2392"/>
      <c r="AK30" s="2812">
        <f>SUM(AK31:AK32)</f>
        <v>0</v>
      </c>
      <c r="AL30" s="2832"/>
      <c r="AM30" s="2814">
        <f>SUM(AM31:AM32)</f>
        <v>0</v>
      </c>
      <c r="AN30" s="2815">
        <f>SUM(AN31:AN32)</f>
        <v>0</v>
      </c>
      <c r="AO30" s="2393"/>
      <c r="AP30" s="2816">
        <f>SUM(AP31:AP32)</f>
        <v>0</v>
      </c>
      <c r="AQ30" s="2817">
        <f>SUM(AQ31:AQ32)</f>
        <v>0</v>
      </c>
      <c r="AR30" s="2287"/>
    </row>
    <row r="31" spans="1:46" ht="15.95" customHeight="1" outlineLevel="2">
      <c r="A31" s="2410">
        <v>33410</v>
      </c>
      <c r="B31" s="2454"/>
      <c r="C31" s="2455">
        <v>290</v>
      </c>
      <c r="D31" s="2399"/>
      <c r="E31" s="2400" t="s">
        <v>77</v>
      </c>
      <c r="F31" s="557" t="s">
        <v>955</v>
      </c>
      <c r="G31" s="2412"/>
      <c r="H31" s="2413"/>
      <c r="I31" s="3063"/>
      <c r="J31" s="2402"/>
      <c r="K31" s="2403">
        <f>TVAN</f>
        <v>8.5000000000000006E-2</v>
      </c>
      <c r="L31" s="2404">
        <f>I31*K31</f>
        <v>0</v>
      </c>
      <c r="M31" s="2752">
        <f>I31+L31</f>
        <v>0</v>
      </c>
      <c r="N31" s="2405">
        <f>I31/$G$3</f>
        <v>0</v>
      </c>
      <c r="O31" s="2406">
        <f>I31/$G$2</f>
        <v>0</v>
      </c>
      <c r="P31" s="2302"/>
      <c r="Q31" s="2818">
        <f t="shared" ref="Q31" si="12">N31*$R$3</f>
        <v>0</v>
      </c>
      <c r="R31" s="2819">
        <f>Q31*$K31</f>
        <v>0</v>
      </c>
      <c r="S31" s="2820">
        <f>Q31+R31</f>
        <v>0</v>
      </c>
      <c r="T31" s="2305"/>
      <c r="U31" s="2818">
        <f t="shared" ref="U31:U32" si="13">$V$3*N31</f>
        <v>0</v>
      </c>
      <c r="V31" s="2819">
        <f>U31*$K31</f>
        <v>0</v>
      </c>
      <c r="W31" s="2820">
        <f>U31+V31</f>
        <v>0</v>
      </c>
      <c r="X31" s="2305"/>
      <c r="Y31" s="2818">
        <f t="shared" ref="Y31:Y32" si="14">$Z$3*I31</f>
        <v>0</v>
      </c>
      <c r="Z31" s="2819">
        <f>Y31*$K31</f>
        <v>0</v>
      </c>
      <c r="AA31" s="2820">
        <f>Y31+Z31</f>
        <v>0</v>
      </c>
      <c r="AB31" s="2305"/>
      <c r="AC31" s="2818">
        <f t="shared" ref="AC31:AC32" si="15">$AD$3*N31</f>
        <v>0</v>
      </c>
      <c r="AD31" s="2819">
        <f>AC31*$K31</f>
        <v>0</v>
      </c>
      <c r="AE31" s="2821">
        <f>AC31+AD31</f>
        <v>0</v>
      </c>
      <c r="AF31" s="2822">
        <f>M31-(S31+W31+AA31+AE31)</f>
        <v>0</v>
      </c>
      <c r="AG31" s="2284"/>
      <c r="AH31" s="2823"/>
      <c r="AI31" s="2824"/>
      <c r="AJ31" s="2307"/>
      <c r="AK31" s="2825"/>
      <c r="AL31" s="2826"/>
      <c r="AM31" s="2814">
        <f>AK31*$K31</f>
        <v>0</v>
      </c>
      <c r="AN31" s="2827">
        <f>AK31+AM31</f>
        <v>0</v>
      </c>
      <c r="AO31" s="2308"/>
      <c r="AP31" s="2828">
        <f>I31-AH31</f>
        <v>0</v>
      </c>
      <c r="AQ31" s="2829">
        <f>I31-AK31</f>
        <v>0</v>
      </c>
      <c r="AR31" s="2287"/>
    </row>
    <row r="32" spans="1:46" ht="15.95" customHeight="1" outlineLevel="2">
      <c r="A32" s="2410">
        <v>33410</v>
      </c>
      <c r="B32" s="2454"/>
      <c r="C32" s="2455">
        <v>290</v>
      </c>
      <c r="D32" s="2399"/>
      <c r="E32" s="2400" t="s">
        <v>79</v>
      </c>
      <c r="F32" s="557" t="s">
        <v>80</v>
      </c>
      <c r="G32" s="2412"/>
      <c r="H32" s="3002"/>
      <c r="I32" s="3063">
        <f>H30*G2</f>
        <v>0</v>
      </c>
      <c r="J32" s="2402"/>
      <c r="K32" s="2403">
        <f>TVAN</f>
        <v>8.5000000000000006E-2</v>
      </c>
      <c r="L32" s="2404">
        <f>I32*K32</f>
        <v>0</v>
      </c>
      <c r="M32" s="2752">
        <f>I32+L32</f>
        <v>0</v>
      </c>
      <c r="N32" s="2405">
        <f>I32/$G$3</f>
        <v>0</v>
      </c>
      <c r="O32" s="2406">
        <f>I32/$G$2</f>
        <v>0</v>
      </c>
      <c r="P32" s="2302"/>
      <c r="Q32" s="2818">
        <v>0</v>
      </c>
      <c r="R32" s="2819">
        <f>Q32*$K32</f>
        <v>0</v>
      </c>
      <c r="S32" s="2820">
        <f>Q32+R32</f>
        <v>0</v>
      </c>
      <c r="T32" s="2305"/>
      <c r="U32" s="2818">
        <f t="shared" si="13"/>
        <v>0</v>
      </c>
      <c r="V32" s="2819">
        <f>U32*$K32</f>
        <v>0</v>
      </c>
      <c r="W32" s="2820">
        <f>U32+V32</f>
        <v>0</v>
      </c>
      <c r="X32" s="2305"/>
      <c r="Y32" s="2818">
        <f t="shared" si="14"/>
        <v>0</v>
      </c>
      <c r="Z32" s="2819">
        <f>Y32*$K32</f>
        <v>0</v>
      </c>
      <c r="AA32" s="2820">
        <f>Y32+Z32</f>
        <v>0</v>
      </c>
      <c r="AB32" s="2305"/>
      <c r="AC32" s="2818">
        <f t="shared" si="15"/>
        <v>0</v>
      </c>
      <c r="AD32" s="2819">
        <f>AC32*$K32</f>
        <v>0</v>
      </c>
      <c r="AE32" s="2821">
        <f>AC32+AD32</f>
        <v>0</v>
      </c>
      <c r="AF32" s="2822">
        <f>M32-(S32+W32+AA32+AE32)</f>
        <v>0</v>
      </c>
      <c r="AG32" s="2284"/>
      <c r="AH32" s="2823">
        <v>0</v>
      </c>
      <c r="AI32" s="2824"/>
      <c r="AJ32" s="2307"/>
      <c r="AK32" s="2833"/>
      <c r="AL32" s="2826"/>
      <c r="AM32" s="2814">
        <f>AK32*$K32</f>
        <v>0</v>
      </c>
      <c r="AN32" s="2827">
        <f>AK32+AM32</f>
        <v>0</v>
      </c>
      <c r="AO32" s="2308"/>
      <c r="AP32" s="2828">
        <f>I32-AH32</f>
        <v>0</v>
      </c>
      <c r="AQ32" s="2829">
        <f>I32-AK32</f>
        <v>0</v>
      </c>
      <c r="AR32" s="2287"/>
      <c r="AT32" s="2456">
        <f>AK32+AK59+AK31</f>
        <v>0</v>
      </c>
    </row>
    <row r="33" spans="1:44" ht="15.95" customHeight="1" outlineLevel="1">
      <c r="A33" s="2407">
        <v>33420</v>
      </c>
      <c r="B33" s="2378" t="s">
        <v>84</v>
      </c>
      <c r="C33" s="2379">
        <v>290</v>
      </c>
      <c r="D33" s="2380" t="s">
        <v>85</v>
      </c>
      <c r="E33" s="2380"/>
      <c r="F33" s="2408" t="s">
        <v>86</v>
      </c>
      <c r="G33" s="2409"/>
      <c r="H33" s="2383"/>
      <c r="I33" s="2735">
        <f>SUM(I34:I40)</f>
        <v>0</v>
      </c>
      <c r="J33" s="2384"/>
      <c r="K33" s="2403"/>
      <c r="L33" s="2386">
        <f>SUM(L34:L40)</f>
        <v>0</v>
      </c>
      <c r="M33" s="2751">
        <f>SUM(M34:M40)</f>
        <v>0</v>
      </c>
      <c r="N33" s="2451">
        <f>SUM(N34:N40)</f>
        <v>0</v>
      </c>
      <c r="O33" s="2452">
        <f>SUM(O34:O40)</f>
        <v>0</v>
      </c>
      <c r="P33" s="2453"/>
      <c r="Q33" s="2804">
        <f>SUM(Q34:Q40)</f>
        <v>0</v>
      </c>
      <c r="R33" s="2805">
        <f>SUM(R34:R40)</f>
        <v>0</v>
      </c>
      <c r="S33" s="2806">
        <f>SUM(S34:S40)</f>
        <v>0</v>
      </c>
      <c r="T33" s="2389"/>
      <c r="U33" s="2807">
        <f>SUM(U34:U40)</f>
        <v>0</v>
      </c>
      <c r="V33" s="2805">
        <f>SUM(V34:V40)</f>
        <v>0</v>
      </c>
      <c r="W33" s="2806">
        <f>SUM(W34:W40)</f>
        <v>0</v>
      </c>
      <c r="X33" s="2305"/>
      <c r="Y33" s="2807">
        <f>SUM(Y34:Y40)</f>
        <v>0</v>
      </c>
      <c r="Z33" s="2805">
        <f>SUM(Z34:Z40)</f>
        <v>0</v>
      </c>
      <c r="AA33" s="2806">
        <f>SUM(AA34:AA40)</f>
        <v>0</v>
      </c>
      <c r="AB33" s="2389"/>
      <c r="AC33" s="2807">
        <f>SUM(AC34:AC40)</f>
        <v>0</v>
      </c>
      <c r="AD33" s="2805">
        <f>SUM(AD34:AD40)</f>
        <v>0</v>
      </c>
      <c r="AE33" s="2808">
        <f>SUM(AE34:AE40)</f>
        <v>0</v>
      </c>
      <c r="AF33" s="2809">
        <f>SUM(AF34:AF40)</f>
        <v>0</v>
      </c>
      <c r="AG33" s="2391"/>
      <c r="AH33" s="2810">
        <f>SUM(AH34:AH40)</f>
        <v>0</v>
      </c>
      <c r="AI33" s="2831"/>
      <c r="AJ33" s="2392"/>
      <c r="AK33" s="2812">
        <f>SUM(AK34:AK40)</f>
        <v>0</v>
      </c>
      <c r="AL33" s="2832"/>
      <c r="AM33" s="2814">
        <f>SUM(AM34:AM40)</f>
        <v>0</v>
      </c>
      <c r="AN33" s="2815">
        <f>SUM(AN34:AN40)</f>
        <v>0</v>
      </c>
      <c r="AO33" s="2393"/>
      <c r="AP33" s="2816">
        <f>SUM(AP34:AP40)</f>
        <v>0</v>
      </c>
      <c r="AQ33" s="2817">
        <f>SUM(AQ34:AQ40)</f>
        <v>0</v>
      </c>
      <c r="AR33" s="2287"/>
    </row>
    <row r="34" spans="1:44" ht="15.95" customHeight="1" outlineLevel="2">
      <c r="A34" s="2410">
        <v>33420</v>
      </c>
      <c r="B34" s="2454"/>
      <c r="C34" s="2455">
        <v>290</v>
      </c>
      <c r="D34" s="2399"/>
      <c r="E34" s="2400" t="s">
        <v>87</v>
      </c>
      <c r="F34" s="557" t="s">
        <v>956</v>
      </c>
      <c r="G34" s="2412"/>
      <c r="H34" s="2413"/>
      <c r="I34" s="3063"/>
      <c r="J34" s="2402"/>
      <c r="K34" s="2403">
        <f t="shared" ref="K34:K40" si="16">TVAN</f>
        <v>8.5000000000000006E-2</v>
      </c>
      <c r="L34" s="2404">
        <f t="shared" ref="L34:L40" si="17">I34*K34</f>
        <v>0</v>
      </c>
      <c r="M34" s="2752">
        <f t="shared" ref="M34:M40" si="18">I34+L34</f>
        <v>0</v>
      </c>
      <c r="N34" s="2405">
        <f t="shared" ref="N34:N40" si="19">I34/$G$3</f>
        <v>0</v>
      </c>
      <c r="O34" s="2406">
        <f t="shared" ref="O34:O40" si="20">I34/$G$2</f>
        <v>0</v>
      </c>
      <c r="P34" s="2302"/>
      <c r="Q34" s="2818">
        <f t="shared" ref="Q34:Q40" si="21">N34*$R$3</f>
        <v>0</v>
      </c>
      <c r="R34" s="2819">
        <f t="shared" ref="R34:R40" si="22">Q34*$K34</f>
        <v>0</v>
      </c>
      <c r="S34" s="2820">
        <f t="shared" ref="S34:S40" si="23">Q34+R34</f>
        <v>0</v>
      </c>
      <c r="T34" s="2305"/>
      <c r="U34" s="2818">
        <f t="shared" ref="U34:U40" si="24">$V$3*N34</f>
        <v>0</v>
      </c>
      <c r="V34" s="2819">
        <f t="shared" ref="V34:V40" si="25">U34*$K34</f>
        <v>0</v>
      </c>
      <c r="W34" s="2820">
        <f t="shared" ref="W34:W40" si="26">U34+V34</f>
        <v>0</v>
      </c>
      <c r="X34" s="2305"/>
      <c r="Y34" s="2818">
        <f t="shared" ref="Y34:Y40" si="27">$Z$3*I34</f>
        <v>0</v>
      </c>
      <c r="Z34" s="2819">
        <f t="shared" ref="Z34:Z40" si="28">Y34*$K34</f>
        <v>0</v>
      </c>
      <c r="AA34" s="2820">
        <f t="shared" ref="AA34:AA40" si="29">Y34+Z34</f>
        <v>0</v>
      </c>
      <c r="AB34" s="2305"/>
      <c r="AC34" s="2818">
        <f t="shared" ref="AC34:AC40" si="30">$AD$3*N34</f>
        <v>0</v>
      </c>
      <c r="AD34" s="2819">
        <f t="shared" ref="AD34:AD40" si="31">AC34*$K34</f>
        <v>0</v>
      </c>
      <c r="AE34" s="2821">
        <f t="shared" ref="AE34:AE40" si="32">AC34+AD34</f>
        <v>0</v>
      </c>
      <c r="AF34" s="2822">
        <f t="shared" ref="AF34:AF40" si="33">M34-(S34+W34+AA34+AE34)</f>
        <v>0</v>
      </c>
      <c r="AG34" s="2284"/>
      <c r="AH34" s="2823">
        <v>0</v>
      </c>
      <c r="AI34" s="2824"/>
      <c r="AJ34" s="2307"/>
      <c r="AK34" s="2825">
        <v>0</v>
      </c>
      <c r="AL34" s="2826"/>
      <c r="AM34" s="2814">
        <f t="shared" ref="AM34:AM40" si="34">AK34*$K34</f>
        <v>0</v>
      </c>
      <c r="AN34" s="2827">
        <f t="shared" ref="AN34:AN40" si="35">AK34+AM34</f>
        <v>0</v>
      </c>
      <c r="AO34" s="2308"/>
      <c r="AP34" s="2828">
        <f t="shared" ref="AP34:AP40" si="36">I34-AH34</f>
        <v>0</v>
      </c>
      <c r="AQ34" s="2829">
        <f t="shared" ref="AQ34:AQ40" si="37">I34-AK34</f>
        <v>0</v>
      </c>
      <c r="AR34" s="2287"/>
    </row>
    <row r="35" spans="1:44" ht="15.95" customHeight="1" outlineLevel="2">
      <c r="A35" s="2410">
        <v>33420</v>
      </c>
      <c r="B35" s="2454"/>
      <c r="C35" s="2455">
        <v>290</v>
      </c>
      <c r="D35" s="2399"/>
      <c r="E35" s="2400" t="s">
        <v>89</v>
      </c>
      <c r="F35" s="557" t="s">
        <v>90</v>
      </c>
      <c r="G35" s="2412" t="s">
        <v>957</v>
      </c>
      <c r="H35" s="2413"/>
      <c r="I35" s="3063"/>
      <c r="J35" s="2402">
        <v>0</v>
      </c>
      <c r="K35" s="2403">
        <f t="shared" si="16"/>
        <v>8.5000000000000006E-2</v>
      </c>
      <c r="L35" s="2404">
        <f t="shared" si="17"/>
        <v>0</v>
      </c>
      <c r="M35" s="2752">
        <f t="shared" si="18"/>
        <v>0</v>
      </c>
      <c r="N35" s="2405">
        <f t="shared" si="19"/>
        <v>0</v>
      </c>
      <c r="O35" s="2406">
        <f t="shared" si="20"/>
        <v>0</v>
      </c>
      <c r="P35" s="2302"/>
      <c r="Q35" s="2818">
        <f t="shared" si="21"/>
        <v>0</v>
      </c>
      <c r="R35" s="2819">
        <f t="shared" si="22"/>
        <v>0</v>
      </c>
      <c r="S35" s="2820">
        <f t="shared" si="23"/>
        <v>0</v>
      </c>
      <c r="T35" s="2305"/>
      <c r="U35" s="2818">
        <f t="shared" si="24"/>
        <v>0</v>
      </c>
      <c r="V35" s="2819">
        <f t="shared" si="25"/>
        <v>0</v>
      </c>
      <c r="W35" s="2820">
        <f t="shared" si="26"/>
        <v>0</v>
      </c>
      <c r="X35" s="2305"/>
      <c r="Y35" s="2818">
        <f t="shared" si="27"/>
        <v>0</v>
      </c>
      <c r="Z35" s="2819">
        <f t="shared" si="28"/>
        <v>0</v>
      </c>
      <c r="AA35" s="2820">
        <f t="shared" si="29"/>
        <v>0</v>
      </c>
      <c r="AB35" s="2305"/>
      <c r="AC35" s="2818">
        <f t="shared" si="30"/>
        <v>0</v>
      </c>
      <c r="AD35" s="2819">
        <f t="shared" si="31"/>
        <v>0</v>
      </c>
      <c r="AE35" s="2821">
        <f t="shared" si="32"/>
        <v>0</v>
      </c>
      <c r="AF35" s="2822">
        <f t="shared" si="33"/>
        <v>0</v>
      </c>
      <c r="AG35" s="2284"/>
      <c r="AH35" s="2823">
        <v>0</v>
      </c>
      <c r="AI35" s="2824">
        <v>0</v>
      </c>
      <c r="AJ35" s="2307"/>
      <c r="AK35" s="2825">
        <v>0</v>
      </c>
      <c r="AL35" s="2826">
        <v>0</v>
      </c>
      <c r="AM35" s="2814">
        <f t="shared" si="34"/>
        <v>0</v>
      </c>
      <c r="AN35" s="2827">
        <f t="shared" si="35"/>
        <v>0</v>
      </c>
      <c r="AO35" s="2308"/>
      <c r="AP35" s="2828">
        <f t="shared" si="36"/>
        <v>0</v>
      </c>
      <c r="AQ35" s="2829">
        <f t="shared" si="37"/>
        <v>0</v>
      </c>
      <c r="AR35" s="2287"/>
    </row>
    <row r="36" spans="1:44" ht="15.95" customHeight="1" outlineLevel="2">
      <c r="A36" s="2410">
        <v>33420</v>
      </c>
      <c r="B36" s="2454"/>
      <c r="C36" s="2455">
        <v>290</v>
      </c>
      <c r="D36" s="2399"/>
      <c r="E36" s="2400" t="s">
        <v>958</v>
      </c>
      <c r="F36" s="557" t="s">
        <v>959</v>
      </c>
      <c r="G36" s="2412" t="s">
        <v>960</v>
      </c>
      <c r="H36" s="2413"/>
      <c r="I36" s="3063"/>
      <c r="J36" s="2402"/>
      <c r="K36" s="2403">
        <f t="shared" si="16"/>
        <v>8.5000000000000006E-2</v>
      </c>
      <c r="L36" s="2404">
        <f t="shared" si="17"/>
        <v>0</v>
      </c>
      <c r="M36" s="2752">
        <f t="shared" si="18"/>
        <v>0</v>
      </c>
      <c r="N36" s="2405">
        <f t="shared" si="19"/>
        <v>0</v>
      </c>
      <c r="O36" s="2406">
        <f t="shared" si="20"/>
        <v>0</v>
      </c>
      <c r="P36" s="2302"/>
      <c r="Q36" s="2818">
        <f t="shared" si="21"/>
        <v>0</v>
      </c>
      <c r="R36" s="2819">
        <f t="shared" si="22"/>
        <v>0</v>
      </c>
      <c r="S36" s="2820">
        <f t="shared" si="23"/>
        <v>0</v>
      </c>
      <c r="T36" s="2305"/>
      <c r="U36" s="2818">
        <f t="shared" si="24"/>
        <v>0</v>
      </c>
      <c r="V36" s="2819">
        <f t="shared" si="25"/>
        <v>0</v>
      </c>
      <c r="W36" s="2820">
        <f t="shared" si="26"/>
        <v>0</v>
      </c>
      <c r="X36" s="2305"/>
      <c r="Y36" s="2818">
        <f t="shared" si="27"/>
        <v>0</v>
      </c>
      <c r="Z36" s="2819">
        <f t="shared" si="28"/>
        <v>0</v>
      </c>
      <c r="AA36" s="2820">
        <f t="shared" si="29"/>
        <v>0</v>
      </c>
      <c r="AB36" s="2305"/>
      <c r="AC36" s="2818">
        <f t="shared" si="30"/>
        <v>0</v>
      </c>
      <c r="AD36" s="2819">
        <f t="shared" si="31"/>
        <v>0</v>
      </c>
      <c r="AE36" s="2821">
        <f t="shared" si="32"/>
        <v>0</v>
      </c>
      <c r="AF36" s="2822">
        <f t="shared" si="33"/>
        <v>0</v>
      </c>
      <c r="AG36" s="2284"/>
      <c r="AH36" s="2823">
        <v>0</v>
      </c>
      <c r="AI36" s="2824"/>
      <c r="AJ36" s="2307"/>
      <c r="AK36" s="2825">
        <v>0</v>
      </c>
      <c r="AL36" s="2826"/>
      <c r="AM36" s="2814">
        <f t="shared" si="34"/>
        <v>0</v>
      </c>
      <c r="AN36" s="2827">
        <f t="shared" si="35"/>
        <v>0</v>
      </c>
      <c r="AO36" s="2308"/>
      <c r="AP36" s="2828">
        <f t="shared" si="36"/>
        <v>0</v>
      </c>
      <c r="AQ36" s="2829">
        <f t="shared" si="37"/>
        <v>0</v>
      </c>
      <c r="AR36" s="2287"/>
    </row>
    <row r="37" spans="1:44" ht="15.95" customHeight="1" outlineLevel="2">
      <c r="A37" s="2410">
        <v>33420</v>
      </c>
      <c r="B37" s="2454"/>
      <c r="C37" s="2455">
        <v>290</v>
      </c>
      <c r="D37" s="2399"/>
      <c r="E37" s="2400" t="s">
        <v>91</v>
      </c>
      <c r="F37" s="557" t="s">
        <v>92</v>
      </c>
      <c r="G37" s="2412" t="s">
        <v>961</v>
      </c>
      <c r="H37" s="2413"/>
      <c r="I37" s="3063"/>
      <c r="J37" s="2402"/>
      <c r="K37" s="2403">
        <f t="shared" si="16"/>
        <v>8.5000000000000006E-2</v>
      </c>
      <c r="L37" s="2404">
        <f t="shared" si="17"/>
        <v>0</v>
      </c>
      <c r="M37" s="2752">
        <f t="shared" si="18"/>
        <v>0</v>
      </c>
      <c r="N37" s="2405">
        <f t="shared" si="19"/>
        <v>0</v>
      </c>
      <c r="O37" s="2406">
        <f t="shared" si="20"/>
        <v>0</v>
      </c>
      <c r="P37" s="2302"/>
      <c r="Q37" s="2818">
        <f t="shared" si="21"/>
        <v>0</v>
      </c>
      <c r="R37" s="2819">
        <f t="shared" si="22"/>
        <v>0</v>
      </c>
      <c r="S37" s="2820">
        <f t="shared" si="23"/>
        <v>0</v>
      </c>
      <c r="T37" s="2305"/>
      <c r="U37" s="2818">
        <f t="shared" si="24"/>
        <v>0</v>
      </c>
      <c r="V37" s="2819">
        <f t="shared" si="25"/>
        <v>0</v>
      </c>
      <c r="W37" s="2820">
        <f t="shared" si="26"/>
        <v>0</v>
      </c>
      <c r="X37" s="2305"/>
      <c r="Y37" s="2818">
        <f t="shared" si="27"/>
        <v>0</v>
      </c>
      <c r="Z37" s="2819">
        <f t="shared" si="28"/>
        <v>0</v>
      </c>
      <c r="AA37" s="2820">
        <f t="shared" si="29"/>
        <v>0</v>
      </c>
      <c r="AB37" s="2305"/>
      <c r="AC37" s="2818">
        <f t="shared" si="30"/>
        <v>0</v>
      </c>
      <c r="AD37" s="2819">
        <f t="shared" si="31"/>
        <v>0</v>
      </c>
      <c r="AE37" s="2821">
        <f t="shared" si="32"/>
        <v>0</v>
      </c>
      <c r="AF37" s="2822">
        <f t="shared" si="33"/>
        <v>0</v>
      </c>
      <c r="AG37" s="2284"/>
      <c r="AH37" s="2823">
        <v>0</v>
      </c>
      <c r="AI37" s="2824"/>
      <c r="AJ37" s="2307"/>
      <c r="AK37" s="2825">
        <v>0</v>
      </c>
      <c r="AL37" s="2826"/>
      <c r="AM37" s="2814">
        <f t="shared" si="34"/>
        <v>0</v>
      </c>
      <c r="AN37" s="2827">
        <f t="shared" si="35"/>
        <v>0</v>
      </c>
      <c r="AO37" s="2308"/>
      <c r="AP37" s="2828">
        <f t="shared" si="36"/>
        <v>0</v>
      </c>
      <c r="AQ37" s="2829">
        <f t="shared" si="37"/>
        <v>0</v>
      </c>
      <c r="AR37" s="2287"/>
    </row>
    <row r="38" spans="1:44" ht="15.95" customHeight="1" outlineLevel="2">
      <c r="A38" s="2410">
        <v>33420</v>
      </c>
      <c r="B38" s="2454"/>
      <c r="C38" s="2455">
        <v>290</v>
      </c>
      <c r="D38" s="2399"/>
      <c r="E38" s="2400" t="s">
        <v>93</v>
      </c>
      <c r="F38" s="557" t="s">
        <v>94</v>
      </c>
      <c r="G38" s="2457"/>
      <c r="H38" s="2413"/>
      <c r="I38" s="3063"/>
      <c r="J38" s="2402"/>
      <c r="K38" s="2403">
        <f t="shared" si="16"/>
        <v>8.5000000000000006E-2</v>
      </c>
      <c r="L38" s="2404">
        <f t="shared" si="17"/>
        <v>0</v>
      </c>
      <c r="M38" s="2752">
        <f t="shared" si="18"/>
        <v>0</v>
      </c>
      <c r="N38" s="2405">
        <f t="shared" si="19"/>
        <v>0</v>
      </c>
      <c r="O38" s="2406">
        <f t="shared" si="20"/>
        <v>0</v>
      </c>
      <c r="P38" s="2302"/>
      <c r="Q38" s="2818">
        <f t="shared" si="21"/>
        <v>0</v>
      </c>
      <c r="R38" s="2819">
        <f t="shared" si="22"/>
        <v>0</v>
      </c>
      <c r="S38" s="2820">
        <f t="shared" si="23"/>
        <v>0</v>
      </c>
      <c r="T38" s="2305"/>
      <c r="U38" s="2818">
        <f t="shared" si="24"/>
        <v>0</v>
      </c>
      <c r="V38" s="2819">
        <f t="shared" si="25"/>
        <v>0</v>
      </c>
      <c r="W38" s="2820">
        <f t="shared" si="26"/>
        <v>0</v>
      </c>
      <c r="X38" s="2305"/>
      <c r="Y38" s="2818">
        <f t="shared" si="27"/>
        <v>0</v>
      </c>
      <c r="Z38" s="2819">
        <f t="shared" si="28"/>
        <v>0</v>
      </c>
      <c r="AA38" s="2820">
        <f t="shared" si="29"/>
        <v>0</v>
      </c>
      <c r="AB38" s="2305"/>
      <c r="AC38" s="2818">
        <f t="shared" si="30"/>
        <v>0</v>
      </c>
      <c r="AD38" s="2819">
        <f t="shared" si="31"/>
        <v>0</v>
      </c>
      <c r="AE38" s="2821">
        <f t="shared" si="32"/>
        <v>0</v>
      </c>
      <c r="AF38" s="2822">
        <f t="shared" si="33"/>
        <v>0</v>
      </c>
      <c r="AG38" s="2284"/>
      <c r="AH38" s="2823"/>
      <c r="AI38" s="2824"/>
      <c r="AJ38" s="2307"/>
      <c r="AK38" s="2833"/>
      <c r="AL38" s="2826"/>
      <c r="AM38" s="2814">
        <f t="shared" si="34"/>
        <v>0</v>
      </c>
      <c r="AN38" s="2827">
        <f t="shared" si="35"/>
        <v>0</v>
      </c>
      <c r="AO38" s="2308"/>
      <c r="AP38" s="2828">
        <f t="shared" si="36"/>
        <v>0</v>
      </c>
      <c r="AQ38" s="2829">
        <f t="shared" si="37"/>
        <v>0</v>
      </c>
      <c r="AR38" s="2287"/>
    </row>
    <row r="39" spans="1:44" ht="15.95" customHeight="1" outlineLevel="2">
      <c r="A39" s="2410">
        <v>33420</v>
      </c>
      <c r="B39" s="2454"/>
      <c r="C39" s="2455">
        <v>290</v>
      </c>
      <c r="D39" s="2399"/>
      <c r="E39" s="2400" t="s">
        <v>95</v>
      </c>
      <c r="F39" s="557" t="s">
        <v>962</v>
      </c>
      <c r="G39" s="2412"/>
      <c r="H39" s="2413"/>
      <c r="I39" s="3063"/>
      <c r="J39" s="2402"/>
      <c r="K39" s="2403">
        <f t="shared" si="16"/>
        <v>8.5000000000000006E-2</v>
      </c>
      <c r="L39" s="2404">
        <f t="shared" si="17"/>
        <v>0</v>
      </c>
      <c r="M39" s="2752">
        <f t="shared" si="18"/>
        <v>0</v>
      </c>
      <c r="N39" s="2405">
        <f t="shared" si="19"/>
        <v>0</v>
      </c>
      <c r="O39" s="2406">
        <f t="shared" si="20"/>
        <v>0</v>
      </c>
      <c r="P39" s="2302"/>
      <c r="Q39" s="2818">
        <f t="shared" si="21"/>
        <v>0</v>
      </c>
      <c r="R39" s="2819">
        <f t="shared" si="22"/>
        <v>0</v>
      </c>
      <c r="S39" s="2820">
        <f t="shared" si="23"/>
        <v>0</v>
      </c>
      <c r="T39" s="2305"/>
      <c r="U39" s="2818">
        <f t="shared" si="24"/>
        <v>0</v>
      </c>
      <c r="V39" s="2819">
        <f t="shared" si="25"/>
        <v>0</v>
      </c>
      <c r="W39" s="2820">
        <f t="shared" si="26"/>
        <v>0</v>
      </c>
      <c r="X39" s="2305"/>
      <c r="Y39" s="2818">
        <f t="shared" si="27"/>
        <v>0</v>
      </c>
      <c r="Z39" s="2819">
        <f t="shared" si="28"/>
        <v>0</v>
      </c>
      <c r="AA39" s="2820">
        <f t="shared" si="29"/>
        <v>0</v>
      </c>
      <c r="AB39" s="2305"/>
      <c r="AC39" s="2818">
        <f t="shared" si="30"/>
        <v>0</v>
      </c>
      <c r="AD39" s="2819">
        <f t="shared" si="31"/>
        <v>0</v>
      </c>
      <c r="AE39" s="2821">
        <f t="shared" si="32"/>
        <v>0</v>
      </c>
      <c r="AF39" s="2822">
        <f t="shared" si="33"/>
        <v>0</v>
      </c>
      <c r="AG39" s="2284"/>
      <c r="AH39" s="2823">
        <v>0</v>
      </c>
      <c r="AI39" s="2824"/>
      <c r="AJ39" s="2307"/>
      <c r="AK39" s="2825">
        <v>0</v>
      </c>
      <c r="AL39" s="2826"/>
      <c r="AM39" s="2814">
        <f t="shared" si="34"/>
        <v>0</v>
      </c>
      <c r="AN39" s="2827">
        <f t="shared" si="35"/>
        <v>0</v>
      </c>
      <c r="AO39" s="2308"/>
      <c r="AP39" s="2828">
        <f t="shared" si="36"/>
        <v>0</v>
      </c>
      <c r="AQ39" s="2829">
        <f t="shared" si="37"/>
        <v>0</v>
      </c>
      <c r="AR39" s="2287"/>
    </row>
    <row r="40" spans="1:44" s="2185" customFormat="1" ht="24.75" customHeight="1" outlineLevel="2">
      <c r="A40" s="3017">
        <v>33420</v>
      </c>
      <c r="B40" s="3018"/>
      <c r="C40" s="3019">
        <v>290</v>
      </c>
      <c r="D40" s="3020"/>
      <c r="E40" s="3021" t="s">
        <v>96</v>
      </c>
      <c r="F40" s="3022" t="s">
        <v>82</v>
      </c>
      <c r="G40" s="2458" t="s">
        <v>963</v>
      </c>
      <c r="H40" s="3023"/>
      <c r="I40" s="3064"/>
      <c r="J40" s="3024"/>
      <c r="K40" s="3025">
        <f t="shared" si="16"/>
        <v>8.5000000000000006E-2</v>
      </c>
      <c r="L40" s="3026">
        <f t="shared" si="17"/>
        <v>0</v>
      </c>
      <c r="M40" s="3027">
        <f t="shared" si="18"/>
        <v>0</v>
      </c>
      <c r="N40" s="3028">
        <f t="shared" si="19"/>
        <v>0</v>
      </c>
      <c r="O40" s="3029">
        <f t="shared" si="20"/>
        <v>0</v>
      </c>
      <c r="P40" s="2544"/>
      <c r="Q40" s="3030">
        <f t="shared" si="21"/>
        <v>0</v>
      </c>
      <c r="R40" s="3031">
        <f t="shared" si="22"/>
        <v>0</v>
      </c>
      <c r="S40" s="3032">
        <f t="shared" si="23"/>
        <v>0</v>
      </c>
      <c r="T40" s="2369"/>
      <c r="U40" s="3030">
        <f t="shared" si="24"/>
        <v>0</v>
      </c>
      <c r="V40" s="3031">
        <f t="shared" si="25"/>
        <v>0</v>
      </c>
      <c r="W40" s="3032">
        <f t="shared" si="26"/>
        <v>0</v>
      </c>
      <c r="X40" s="2369"/>
      <c r="Y40" s="3030">
        <f t="shared" si="27"/>
        <v>0</v>
      </c>
      <c r="Z40" s="3031">
        <f t="shared" si="28"/>
        <v>0</v>
      </c>
      <c r="AA40" s="3032">
        <f t="shared" si="29"/>
        <v>0</v>
      </c>
      <c r="AB40" s="2369"/>
      <c r="AC40" s="3030">
        <f t="shared" si="30"/>
        <v>0</v>
      </c>
      <c r="AD40" s="3031">
        <f t="shared" si="31"/>
        <v>0</v>
      </c>
      <c r="AE40" s="3033">
        <f t="shared" si="32"/>
        <v>0</v>
      </c>
      <c r="AF40" s="2882">
        <f t="shared" si="33"/>
        <v>0</v>
      </c>
      <c r="AG40" s="3034"/>
      <c r="AH40" s="3035">
        <v>0</v>
      </c>
      <c r="AI40" s="3036"/>
      <c r="AJ40" s="3037"/>
      <c r="AK40" s="3038">
        <v>0</v>
      </c>
      <c r="AL40" s="3039"/>
      <c r="AM40" s="2887">
        <f t="shared" si="34"/>
        <v>0</v>
      </c>
      <c r="AN40" s="3040">
        <f t="shared" si="35"/>
        <v>0</v>
      </c>
      <c r="AO40" s="2608"/>
      <c r="AP40" s="3041">
        <f t="shared" si="36"/>
        <v>0</v>
      </c>
      <c r="AQ40" s="3042">
        <f t="shared" si="37"/>
        <v>0</v>
      </c>
      <c r="AR40" s="2376"/>
    </row>
    <row r="41" spans="1:44" ht="15.95" customHeight="1" outlineLevel="1">
      <c r="A41" s="2407">
        <v>33430</v>
      </c>
      <c r="B41" s="2378" t="s">
        <v>98</v>
      </c>
      <c r="C41" s="2379">
        <v>290</v>
      </c>
      <c r="D41" s="2380"/>
      <c r="E41" s="2380"/>
      <c r="F41" s="2408" t="s">
        <v>99</v>
      </c>
      <c r="G41" s="2409"/>
      <c r="H41" s="2383"/>
      <c r="I41" s="2735">
        <f>SUM(I42:I43)</f>
        <v>0</v>
      </c>
      <c r="J41" s="2384"/>
      <c r="K41" s="2403"/>
      <c r="L41" s="2386">
        <f>SUM(L42:L43)</f>
        <v>0</v>
      </c>
      <c r="M41" s="2751">
        <f>SUM(M42:M43)</f>
        <v>0</v>
      </c>
      <c r="N41" s="2451">
        <f>SUM(N42:N43)</f>
        <v>0</v>
      </c>
      <c r="O41" s="2452">
        <f>SUM(O42:O43)</f>
        <v>0</v>
      </c>
      <c r="P41" s="2302"/>
      <c r="Q41" s="2804">
        <f>SUM(Q42:Q43)</f>
        <v>0</v>
      </c>
      <c r="R41" s="2805">
        <f>SUM(R42:R43)</f>
        <v>0</v>
      </c>
      <c r="S41" s="2806">
        <f>SUM(S42:S43)</f>
        <v>0</v>
      </c>
      <c r="T41" s="2389"/>
      <c r="U41" s="2807">
        <f>SUM(U42:U43)</f>
        <v>0</v>
      </c>
      <c r="V41" s="2805">
        <f>SUM(V42:V43)</f>
        <v>0</v>
      </c>
      <c r="W41" s="2806">
        <f>SUM(W42:W43)</f>
        <v>0</v>
      </c>
      <c r="X41" s="2305"/>
      <c r="Y41" s="2807">
        <f>SUM(Y42:Y43)</f>
        <v>0</v>
      </c>
      <c r="Z41" s="2805">
        <f>SUM(Z42:Z43)</f>
        <v>0</v>
      </c>
      <c r="AA41" s="2806">
        <f>SUM(AA42:AA43)</f>
        <v>0</v>
      </c>
      <c r="AB41" s="2389"/>
      <c r="AC41" s="2807">
        <f>SUM(AC42:AC43)</f>
        <v>0</v>
      </c>
      <c r="AD41" s="2805">
        <f>SUM(AD42:AD43)</f>
        <v>0</v>
      </c>
      <c r="AE41" s="2808">
        <f>SUM(AE42:AE43)</f>
        <v>0</v>
      </c>
      <c r="AF41" s="2809">
        <f>SUM(AF42:AF43)</f>
        <v>0</v>
      </c>
      <c r="AG41" s="2391"/>
      <c r="AH41" s="2810">
        <f>SUM(AH42:AH43)</f>
        <v>0</v>
      </c>
      <c r="AI41" s="2831"/>
      <c r="AJ41" s="2392"/>
      <c r="AK41" s="2812">
        <f>SUM(AK42:AK43)</f>
        <v>0</v>
      </c>
      <c r="AL41" s="2832"/>
      <c r="AM41" s="2814">
        <f>SUM(AM42:AM43)</f>
        <v>0</v>
      </c>
      <c r="AN41" s="2815">
        <f>SUM(AN42:AN43)</f>
        <v>0</v>
      </c>
      <c r="AO41" s="2393"/>
      <c r="AP41" s="2816">
        <f>SUM(AP42:AP43)</f>
        <v>0</v>
      </c>
      <c r="AQ41" s="2817">
        <f>SUM(AQ42:AQ43)</f>
        <v>0</v>
      </c>
      <c r="AR41" s="2287"/>
    </row>
    <row r="42" spans="1:44" ht="15.95" customHeight="1" outlineLevel="2">
      <c r="A42" s="2410">
        <v>33430</v>
      </c>
      <c r="B42" s="2454"/>
      <c r="C42" s="2455">
        <v>290</v>
      </c>
      <c r="D42" s="2399" t="s">
        <v>100</v>
      </c>
      <c r="E42" s="2400" t="s">
        <v>100</v>
      </c>
      <c r="F42" s="557" t="s">
        <v>964</v>
      </c>
      <c r="G42" s="2412"/>
      <c r="H42" s="2413"/>
      <c r="I42" s="3063"/>
      <c r="J42" s="2402">
        <v>0</v>
      </c>
      <c r="K42" s="2403">
        <f>TVAN</f>
        <v>8.5000000000000006E-2</v>
      </c>
      <c r="L42" s="2404">
        <f>I42*K42</f>
        <v>0</v>
      </c>
      <c r="M42" s="2752">
        <f>I42+L42</f>
        <v>0</v>
      </c>
      <c r="N42" s="2405">
        <f>I42/$G$3</f>
        <v>0</v>
      </c>
      <c r="O42" s="2406">
        <f>I42/$G$2</f>
        <v>0</v>
      </c>
      <c r="P42" s="2302"/>
      <c r="Q42" s="2818">
        <f t="shared" ref="Q42:Q43" si="38">N42*$R$3</f>
        <v>0</v>
      </c>
      <c r="R42" s="2819">
        <f>Q42*$K42</f>
        <v>0</v>
      </c>
      <c r="S42" s="2820">
        <f>Q42+R42</f>
        <v>0</v>
      </c>
      <c r="T42" s="2305"/>
      <c r="U42" s="2818">
        <f t="shared" ref="U42:U43" si="39">$V$3*N42</f>
        <v>0</v>
      </c>
      <c r="V42" s="2819">
        <f>U42*$K42</f>
        <v>0</v>
      </c>
      <c r="W42" s="2820">
        <f>U42+V42</f>
        <v>0</v>
      </c>
      <c r="X42" s="2305"/>
      <c r="Y42" s="2818">
        <f t="shared" ref="Y42:Y43" si="40">$Z$3*I42</f>
        <v>0</v>
      </c>
      <c r="Z42" s="2819">
        <f>Y42*$K42</f>
        <v>0</v>
      </c>
      <c r="AA42" s="2820">
        <f>Y42+Z42</f>
        <v>0</v>
      </c>
      <c r="AB42" s="2305"/>
      <c r="AC42" s="2818">
        <f t="shared" ref="AC42:AC43" si="41">$AD$3*N42</f>
        <v>0</v>
      </c>
      <c r="AD42" s="2819">
        <f>AC42*$K42</f>
        <v>0</v>
      </c>
      <c r="AE42" s="2821">
        <f>AC42+AD42</f>
        <v>0</v>
      </c>
      <c r="AF42" s="2822">
        <f>M42-(S42+W42+AA42+AE42)</f>
        <v>0</v>
      </c>
      <c r="AG42" s="2284"/>
      <c r="AH42" s="2823"/>
      <c r="AI42" s="2824">
        <v>0</v>
      </c>
      <c r="AJ42" s="2307"/>
      <c r="AK42" s="2825"/>
      <c r="AL42" s="2826"/>
      <c r="AM42" s="2814">
        <f>AK42*$K42</f>
        <v>0</v>
      </c>
      <c r="AN42" s="2827">
        <f>AK42+AM42</f>
        <v>0</v>
      </c>
      <c r="AO42" s="2308"/>
      <c r="AP42" s="2828">
        <f>I42-AH42</f>
        <v>0</v>
      </c>
      <c r="AQ42" s="2829">
        <f>I42-AK42</f>
        <v>0</v>
      </c>
      <c r="AR42" s="2287"/>
    </row>
    <row r="43" spans="1:44" ht="15.95" customHeight="1" outlineLevel="2">
      <c r="A43" s="2410">
        <v>33430</v>
      </c>
      <c r="B43" s="2454"/>
      <c r="C43" s="2455">
        <v>290</v>
      </c>
      <c r="D43" s="2399" t="s">
        <v>101</v>
      </c>
      <c r="E43" s="2400" t="s">
        <v>101</v>
      </c>
      <c r="F43" s="557" t="s">
        <v>102</v>
      </c>
      <c r="G43" s="2412"/>
      <c r="H43" s="2413"/>
      <c r="I43" s="3063"/>
      <c r="J43" s="2402"/>
      <c r="K43" s="2403">
        <f>TVAN</f>
        <v>8.5000000000000006E-2</v>
      </c>
      <c r="L43" s="2404">
        <f>I43*K43</f>
        <v>0</v>
      </c>
      <c r="M43" s="2752">
        <f>I43+L43</f>
        <v>0</v>
      </c>
      <c r="N43" s="2405">
        <f>I43/$G$3</f>
        <v>0</v>
      </c>
      <c r="O43" s="2406">
        <f>I43/$G$2</f>
        <v>0</v>
      </c>
      <c r="P43" s="2302"/>
      <c r="Q43" s="2818">
        <f t="shared" si="38"/>
        <v>0</v>
      </c>
      <c r="R43" s="2819">
        <f>Q43*$K43</f>
        <v>0</v>
      </c>
      <c r="S43" s="2820">
        <f>Q43+R43</f>
        <v>0</v>
      </c>
      <c r="T43" s="2305"/>
      <c r="U43" s="2818">
        <f t="shared" si="39"/>
        <v>0</v>
      </c>
      <c r="V43" s="2819">
        <f>U43*$K43</f>
        <v>0</v>
      </c>
      <c r="W43" s="2820">
        <f>U43+V43</f>
        <v>0</v>
      </c>
      <c r="X43" s="2305"/>
      <c r="Y43" s="2818">
        <f t="shared" si="40"/>
        <v>0</v>
      </c>
      <c r="Z43" s="2819">
        <f>Y43*$K43</f>
        <v>0</v>
      </c>
      <c r="AA43" s="2820">
        <f>Y43+Z43</f>
        <v>0</v>
      </c>
      <c r="AB43" s="2305"/>
      <c r="AC43" s="2818">
        <f t="shared" si="41"/>
        <v>0</v>
      </c>
      <c r="AD43" s="2819">
        <f>AC43*$K43</f>
        <v>0</v>
      </c>
      <c r="AE43" s="2821">
        <f>AC43+AD43</f>
        <v>0</v>
      </c>
      <c r="AF43" s="2822">
        <f>M43-(S43+W43+AA43+AE43)</f>
        <v>0</v>
      </c>
      <c r="AG43" s="2284"/>
      <c r="AH43" s="2823"/>
      <c r="AI43" s="2824"/>
      <c r="AJ43" s="2307"/>
      <c r="AK43" s="2825"/>
      <c r="AL43" s="2826">
        <v>0</v>
      </c>
      <c r="AM43" s="2814">
        <f>AK43*$K43</f>
        <v>0</v>
      </c>
      <c r="AN43" s="2827">
        <f>AK43+AM43</f>
        <v>0</v>
      </c>
      <c r="AO43" s="2308"/>
      <c r="AP43" s="2828">
        <f>I43-AH43</f>
        <v>0</v>
      </c>
      <c r="AQ43" s="2829">
        <f>I43-AK43</f>
        <v>0</v>
      </c>
      <c r="AR43" s="2287"/>
    </row>
    <row r="44" spans="1:44" ht="15.95" customHeight="1" outlineLevel="1">
      <c r="A44" s="2407">
        <v>33440</v>
      </c>
      <c r="B44" s="2378" t="s">
        <v>104</v>
      </c>
      <c r="C44" s="2379">
        <v>290</v>
      </c>
      <c r="D44" s="2380" t="s">
        <v>105</v>
      </c>
      <c r="E44" s="2380"/>
      <c r="F44" s="2408" t="s">
        <v>965</v>
      </c>
      <c r="G44" s="2409"/>
      <c r="H44" s="2459">
        <f>I44+I33+I30</f>
        <v>0</v>
      </c>
      <c r="I44" s="2735">
        <f>SUM(I45:I46)</f>
        <v>0</v>
      </c>
      <c r="J44" s="2384"/>
      <c r="K44" s="2403"/>
      <c r="L44" s="2386">
        <f>SUM(L45:L46)</f>
        <v>0</v>
      </c>
      <c r="M44" s="2751">
        <f>SUM(M45:M46)</f>
        <v>0</v>
      </c>
      <c r="N44" s="2451">
        <f>SUM(N45:N46)</f>
        <v>0</v>
      </c>
      <c r="O44" s="2452">
        <f>SUM(O45:O46)</f>
        <v>0</v>
      </c>
      <c r="P44" s="2302"/>
      <c r="Q44" s="2804">
        <f>SUM(Q45:Q46)</f>
        <v>0</v>
      </c>
      <c r="R44" s="2805">
        <f>SUM(R45:R46)</f>
        <v>0</v>
      </c>
      <c r="S44" s="2806">
        <f>SUM(S45:S46)</f>
        <v>0</v>
      </c>
      <c r="T44" s="2389"/>
      <c r="U44" s="2807">
        <f>SUM(U45:U46)</f>
        <v>0</v>
      </c>
      <c r="V44" s="2805">
        <f>SUM(V45:V46)</f>
        <v>0</v>
      </c>
      <c r="W44" s="2806">
        <f>SUM(W45:W46)</f>
        <v>0</v>
      </c>
      <c r="X44" s="2305"/>
      <c r="Y44" s="2807">
        <f>SUM(Y45:Y46)</f>
        <v>0</v>
      </c>
      <c r="Z44" s="2805">
        <f>SUM(Z45:Z46)</f>
        <v>0</v>
      </c>
      <c r="AA44" s="2806">
        <f>SUM(AA45:AA46)</f>
        <v>0</v>
      </c>
      <c r="AB44" s="2389"/>
      <c r="AC44" s="2807">
        <f>SUM(AC45:AC46)</f>
        <v>0</v>
      </c>
      <c r="AD44" s="2805">
        <f>SUM(AD45:AD46)</f>
        <v>0</v>
      </c>
      <c r="AE44" s="2808">
        <f>SUM(AE45:AE46)</f>
        <v>0</v>
      </c>
      <c r="AF44" s="2809">
        <f>SUM(AF45:AF46)</f>
        <v>0</v>
      </c>
      <c r="AG44" s="2391"/>
      <c r="AH44" s="2810">
        <f>SUM(AH45:AH46)</f>
        <v>0</v>
      </c>
      <c r="AI44" s="2831"/>
      <c r="AJ44" s="2392"/>
      <c r="AK44" s="2812">
        <f>SUM(AK45:AK46)</f>
        <v>0</v>
      </c>
      <c r="AL44" s="2832"/>
      <c r="AM44" s="2814">
        <f>SUM(AM45:AM46)</f>
        <v>0</v>
      </c>
      <c r="AN44" s="2815">
        <f>SUM(AN45:AN46)</f>
        <v>0</v>
      </c>
      <c r="AO44" s="2393"/>
      <c r="AP44" s="2816">
        <f>SUM(AP45:AP46)</f>
        <v>0</v>
      </c>
      <c r="AQ44" s="2817">
        <f>SUM(AQ45:AQ46)</f>
        <v>0</v>
      </c>
      <c r="AR44" s="2287"/>
    </row>
    <row r="45" spans="1:44" ht="15.95" customHeight="1" outlineLevel="2">
      <c r="A45" s="2410">
        <v>33440</v>
      </c>
      <c r="B45" s="2454"/>
      <c r="C45" s="2455">
        <v>290</v>
      </c>
      <c r="D45" s="2399"/>
      <c r="E45" s="2400" t="s">
        <v>106</v>
      </c>
      <c r="F45" s="557" t="s">
        <v>107</v>
      </c>
      <c r="G45" s="2412"/>
      <c r="H45" s="2413"/>
      <c r="I45" s="3063"/>
      <c r="J45" s="2402"/>
      <c r="K45" s="2403">
        <f>TVAN</f>
        <v>8.5000000000000006E-2</v>
      </c>
      <c r="L45" s="2404">
        <f>I45*K45</f>
        <v>0</v>
      </c>
      <c r="M45" s="2752">
        <f>I45+L45</f>
        <v>0</v>
      </c>
      <c r="N45" s="2405">
        <f>I45/$G$3</f>
        <v>0</v>
      </c>
      <c r="O45" s="2406">
        <f>I45/$G$2</f>
        <v>0</v>
      </c>
      <c r="P45" s="2302"/>
      <c r="Q45" s="2818">
        <f t="shared" ref="Q45:Q46" si="42">N45*$R$3</f>
        <v>0</v>
      </c>
      <c r="R45" s="2819">
        <f>Q45*$K45</f>
        <v>0</v>
      </c>
      <c r="S45" s="2820">
        <f>Q45+R45</f>
        <v>0</v>
      </c>
      <c r="T45" s="2305"/>
      <c r="U45" s="2818">
        <f t="shared" ref="U45:U46" si="43">$V$3*N45</f>
        <v>0</v>
      </c>
      <c r="V45" s="2819">
        <f>U45*$K45</f>
        <v>0</v>
      </c>
      <c r="W45" s="2820">
        <f>U45+V45</f>
        <v>0</v>
      </c>
      <c r="X45" s="2305"/>
      <c r="Y45" s="2818">
        <f t="shared" ref="Y45:Y46" si="44">$Z$3*I45</f>
        <v>0</v>
      </c>
      <c r="Z45" s="2819">
        <f>Y45*$K45</f>
        <v>0</v>
      </c>
      <c r="AA45" s="2820">
        <f>Y45+Z45</f>
        <v>0</v>
      </c>
      <c r="AB45" s="2305"/>
      <c r="AC45" s="2818">
        <f t="shared" ref="AC45:AC46" si="45">$AD$3*N45</f>
        <v>0</v>
      </c>
      <c r="AD45" s="2819">
        <f>AC45*$K45</f>
        <v>0</v>
      </c>
      <c r="AE45" s="2821">
        <f>AC45+AD45</f>
        <v>0</v>
      </c>
      <c r="AF45" s="2822">
        <f>M45-(S45+W45+AA45+AE45)</f>
        <v>0</v>
      </c>
      <c r="AG45" s="2284"/>
      <c r="AH45" s="2823">
        <v>0</v>
      </c>
      <c r="AI45" s="2824"/>
      <c r="AJ45" s="2307"/>
      <c r="AK45" s="2825">
        <v>0</v>
      </c>
      <c r="AL45" s="2826"/>
      <c r="AM45" s="2814">
        <f>AK45*$K45</f>
        <v>0</v>
      </c>
      <c r="AN45" s="2827">
        <f>AK45+AM45</f>
        <v>0</v>
      </c>
      <c r="AO45" s="2308"/>
      <c r="AP45" s="2828">
        <f>I45-AH45</f>
        <v>0</v>
      </c>
      <c r="AQ45" s="2829">
        <f>I45-AK45</f>
        <v>0</v>
      </c>
      <c r="AR45" s="2287"/>
    </row>
    <row r="46" spans="1:44" ht="15.95" customHeight="1" outlineLevel="2">
      <c r="A46" s="2410">
        <v>33440</v>
      </c>
      <c r="B46" s="2454"/>
      <c r="C46" s="2455">
        <v>290</v>
      </c>
      <c r="D46" s="2399"/>
      <c r="E46" s="2400" t="s">
        <v>966</v>
      </c>
      <c r="F46" s="557" t="s">
        <v>967</v>
      </c>
      <c r="G46" s="2412"/>
      <c r="H46" s="2413"/>
      <c r="I46" s="3063"/>
      <c r="J46" s="2402">
        <v>0</v>
      </c>
      <c r="K46" s="2403">
        <f>TVAN</f>
        <v>8.5000000000000006E-2</v>
      </c>
      <c r="L46" s="2404">
        <f>I46*K46</f>
        <v>0</v>
      </c>
      <c r="M46" s="2752">
        <f>I46+L46</f>
        <v>0</v>
      </c>
      <c r="N46" s="2405">
        <f>I46/$G$3</f>
        <v>0</v>
      </c>
      <c r="O46" s="2406">
        <f>I46/$G$2</f>
        <v>0</v>
      </c>
      <c r="P46" s="2302"/>
      <c r="Q46" s="2818">
        <f t="shared" si="42"/>
        <v>0</v>
      </c>
      <c r="R46" s="2819">
        <f>Q46*$K46</f>
        <v>0</v>
      </c>
      <c r="S46" s="2820">
        <f>Q46+R46</f>
        <v>0</v>
      </c>
      <c r="T46" s="2305"/>
      <c r="U46" s="2818">
        <f t="shared" si="43"/>
        <v>0</v>
      </c>
      <c r="V46" s="2819">
        <f>U46*$K46</f>
        <v>0</v>
      </c>
      <c r="W46" s="2820">
        <f>U46+V46</f>
        <v>0</v>
      </c>
      <c r="X46" s="2305"/>
      <c r="Y46" s="2818">
        <f t="shared" si="44"/>
        <v>0</v>
      </c>
      <c r="Z46" s="2819">
        <f>Y46*$K46</f>
        <v>0</v>
      </c>
      <c r="AA46" s="2820">
        <f>Y46+Z46</f>
        <v>0</v>
      </c>
      <c r="AB46" s="2305"/>
      <c r="AC46" s="2818">
        <f t="shared" si="45"/>
        <v>0</v>
      </c>
      <c r="AD46" s="2819">
        <f>AC46*$K46</f>
        <v>0</v>
      </c>
      <c r="AE46" s="2821">
        <f>AC46+AD46</f>
        <v>0</v>
      </c>
      <c r="AF46" s="2822">
        <f>M46-(S46+W46+AA46+AE46)</f>
        <v>0</v>
      </c>
      <c r="AG46" s="2284"/>
      <c r="AH46" s="2823"/>
      <c r="AI46" s="2824">
        <v>0</v>
      </c>
      <c r="AJ46" s="2307"/>
      <c r="AK46" s="2825">
        <v>0</v>
      </c>
      <c r="AL46" s="2826">
        <v>0</v>
      </c>
      <c r="AM46" s="2814">
        <f>AK46*$K46</f>
        <v>0</v>
      </c>
      <c r="AN46" s="2827">
        <f>AK46+AM46</f>
        <v>0</v>
      </c>
      <c r="AO46" s="2308"/>
      <c r="AP46" s="2828">
        <f>I46-AH46</f>
        <v>0</v>
      </c>
      <c r="AQ46" s="2829">
        <f>I46-AK46</f>
        <v>0</v>
      </c>
      <c r="AR46" s="2287"/>
    </row>
    <row r="47" spans="1:44" ht="15.95" customHeight="1" outlineLevel="1">
      <c r="A47" s="2407">
        <v>33450</v>
      </c>
      <c r="B47" s="2417" t="s">
        <v>112</v>
      </c>
      <c r="C47" s="2379">
        <v>290</v>
      </c>
      <c r="D47" s="2418"/>
      <c r="E47" s="2418"/>
      <c r="F47" s="2408" t="s">
        <v>113</v>
      </c>
      <c r="G47" s="2409"/>
      <c r="H47" s="2383"/>
      <c r="I47" s="2735">
        <f>SUM(I48:I51)</f>
        <v>0</v>
      </c>
      <c r="J47" s="2384"/>
      <c r="K47" s="2403"/>
      <c r="L47" s="2386">
        <f>SUM(L48:L51)</f>
        <v>0</v>
      </c>
      <c r="M47" s="2751">
        <f>SUM(M48:M51)</f>
        <v>0</v>
      </c>
      <c r="N47" s="2451">
        <f>SUM(N48:N51)</f>
        <v>0</v>
      </c>
      <c r="O47" s="2452">
        <f>SUM(O48:O51)</f>
        <v>0</v>
      </c>
      <c r="P47" s="2302"/>
      <c r="Q47" s="2804">
        <f>SUM(Q48:Q51)</f>
        <v>0</v>
      </c>
      <c r="R47" s="2805">
        <f>SUM(R48:R51)</f>
        <v>0</v>
      </c>
      <c r="S47" s="2806">
        <f>SUM(S48:S51)</f>
        <v>0</v>
      </c>
      <c r="T47" s="2389"/>
      <c r="U47" s="2807">
        <f>SUM(U48:U51)</f>
        <v>0</v>
      </c>
      <c r="V47" s="2805">
        <f>SUM(V48:V51)</f>
        <v>0</v>
      </c>
      <c r="W47" s="2806">
        <f>SUM(W48:W51)</f>
        <v>0</v>
      </c>
      <c r="X47" s="2305"/>
      <c r="Y47" s="2807">
        <f>SUM(Y48:Y51)</f>
        <v>0</v>
      </c>
      <c r="Z47" s="2805">
        <f>SUM(Z48:Z51)</f>
        <v>0</v>
      </c>
      <c r="AA47" s="2806">
        <f>SUM(AA48:AA51)</f>
        <v>0</v>
      </c>
      <c r="AB47" s="2389"/>
      <c r="AC47" s="2807">
        <f>SUM(AC48:AC51)</f>
        <v>0</v>
      </c>
      <c r="AD47" s="2805">
        <f>SUM(AD48:AD51)</f>
        <v>0</v>
      </c>
      <c r="AE47" s="2808">
        <f>SUM(AE48:AE51)</f>
        <v>0</v>
      </c>
      <c r="AF47" s="2809">
        <f>SUM(AF48:AF51)</f>
        <v>0</v>
      </c>
      <c r="AG47" s="2391"/>
      <c r="AH47" s="2810">
        <f>SUM(AH48:AH51)</f>
        <v>0</v>
      </c>
      <c r="AI47" s="2831"/>
      <c r="AJ47" s="2392"/>
      <c r="AK47" s="2812">
        <f>SUM(AK48:AK51)</f>
        <v>0</v>
      </c>
      <c r="AL47" s="2832"/>
      <c r="AM47" s="2814">
        <f>SUM(AM48:AM51)</f>
        <v>0</v>
      </c>
      <c r="AN47" s="2815">
        <f>SUM(AN48:AN51)</f>
        <v>0</v>
      </c>
      <c r="AO47" s="2393"/>
      <c r="AP47" s="2816">
        <f>SUM(AP48:AP51)</f>
        <v>0</v>
      </c>
      <c r="AQ47" s="2817">
        <f>SUM(AQ48:AQ51)</f>
        <v>0</v>
      </c>
      <c r="AR47" s="2287"/>
    </row>
    <row r="48" spans="1:44" ht="15" customHeight="1" outlineLevel="2">
      <c r="A48" s="2410">
        <v>33450</v>
      </c>
      <c r="B48" s="2460"/>
      <c r="C48" s="2455">
        <v>290</v>
      </c>
      <c r="D48" s="2461" t="s">
        <v>118</v>
      </c>
      <c r="E48" s="2462" t="s">
        <v>118</v>
      </c>
      <c r="F48" s="557" t="s">
        <v>968</v>
      </c>
      <c r="G48" s="2463"/>
      <c r="H48" s="2464">
        <v>0.08</v>
      </c>
      <c r="I48" s="3063">
        <f>H48*I32</f>
        <v>0</v>
      </c>
      <c r="J48" s="2402"/>
      <c r="K48" s="2403">
        <f>TVAN</f>
        <v>8.5000000000000006E-2</v>
      </c>
      <c r="L48" s="2404">
        <f>I48*K48</f>
        <v>0</v>
      </c>
      <c r="M48" s="2752">
        <f>I48+L48</f>
        <v>0</v>
      </c>
      <c r="N48" s="2405">
        <f>I48/$G$3</f>
        <v>0</v>
      </c>
      <c r="O48" s="2406">
        <f>I48/$G$2</f>
        <v>0</v>
      </c>
      <c r="P48" s="2302"/>
      <c r="Q48" s="2818">
        <f t="shared" ref="Q48:Q51" si="46">N48*$R$3</f>
        <v>0</v>
      </c>
      <c r="R48" s="2819">
        <f>Q48*$K48</f>
        <v>0</v>
      </c>
      <c r="S48" s="2820">
        <f>Q48+R48</f>
        <v>0</v>
      </c>
      <c r="T48" s="2305"/>
      <c r="U48" s="2818">
        <f t="shared" ref="U48:U51" si="47">$V$3*N48</f>
        <v>0</v>
      </c>
      <c r="V48" s="2819">
        <f>U48*$K48</f>
        <v>0</v>
      </c>
      <c r="W48" s="2820">
        <f>U48+V48</f>
        <v>0</v>
      </c>
      <c r="X48" s="2305"/>
      <c r="Y48" s="2818">
        <f t="shared" ref="Y48:Y51" si="48">$Z$3*I48</f>
        <v>0</v>
      </c>
      <c r="Z48" s="2819">
        <f>Y48*$K48</f>
        <v>0</v>
      </c>
      <c r="AA48" s="2820">
        <f>Y48+Z48</f>
        <v>0</v>
      </c>
      <c r="AB48" s="2305"/>
      <c r="AC48" s="2818">
        <f t="shared" ref="AC48:AC51" si="49">$AD$3*N48</f>
        <v>0</v>
      </c>
      <c r="AD48" s="2819">
        <f>AC48*$K48</f>
        <v>0</v>
      </c>
      <c r="AE48" s="2821">
        <f>AC48+AD48</f>
        <v>0</v>
      </c>
      <c r="AF48" s="2822">
        <f>M48-(S48+W48+AA48+AE48)</f>
        <v>0</v>
      </c>
      <c r="AG48" s="2284"/>
      <c r="AH48" s="2823">
        <v>0</v>
      </c>
      <c r="AI48" s="2824">
        <v>0</v>
      </c>
      <c r="AJ48" s="2307"/>
      <c r="AK48" s="2825"/>
      <c r="AL48" s="2826"/>
      <c r="AM48" s="2814">
        <f>AK48*$K48</f>
        <v>0</v>
      </c>
      <c r="AN48" s="2827">
        <f>AK48+AM48</f>
        <v>0</v>
      </c>
      <c r="AO48" s="2308"/>
      <c r="AP48" s="2828">
        <f>I48-AH48</f>
        <v>0</v>
      </c>
      <c r="AQ48" s="2829">
        <f>I48-AK48</f>
        <v>0</v>
      </c>
      <c r="AR48" s="2287"/>
    </row>
    <row r="49" spans="1:44" ht="15.95" customHeight="1" outlineLevel="2">
      <c r="A49" s="2410">
        <v>33450</v>
      </c>
      <c r="B49" s="2460"/>
      <c r="C49" s="2455">
        <v>290</v>
      </c>
      <c r="D49" s="2461" t="s">
        <v>120</v>
      </c>
      <c r="E49" s="2462" t="s">
        <v>120</v>
      </c>
      <c r="F49" s="2465" t="s">
        <v>121</v>
      </c>
      <c r="G49" s="2466"/>
      <c r="H49" s="2467">
        <v>0.01</v>
      </c>
      <c r="I49" s="3010"/>
      <c r="J49" s="2402"/>
      <c r="K49" s="2403">
        <f>TVAN</f>
        <v>8.5000000000000006E-2</v>
      </c>
      <c r="L49" s="2404">
        <f>I49*K49</f>
        <v>0</v>
      </c>
      <c r="M49" s="2752">
        <f>I49+L49</f>
        <v>0</v>
      </c>
      <c r="N49" s="2405">
        <f>I49/$G$3</f>
        <v>0</v>
      </c>
      <c r="O49" s="2406">
        <f>I49/$G$2</f>
        <v>0</v>
      </c>
      <c r="P49" s="2302"/>
      <c r="Q49" s="2818">
        <f t="shared" si="46"/>
        <v>0</v>
      </c>
      <c r="R49" s="2819">
        <f>Q49*$K49</f>
        <v>0</v>
      </c>
      <c r="S49" s="2820">
        <f>Q49+R49</f>
        <v>0</v>
      </c>
      <c r="T49" s="2305"/>
      <c r="U49" s="2818">
        <f t="shared" si="47"/>
        <v>0</v>
      </c>
      <c r="V49" s="2819">
        <f>U49*$K49</f>
        <v>0</v>
      </c>
      <c r="W49" s="2820">
        <f>U49+V49</f>
        <v>0</v>
      </c>
      <c r="X49" s="2305"/>
      <c r="Y49" s="2818">
        <f t="shared" si="48"/>
        <v>0</v>
      </c>
      <c r="Z49" s="2819">
        <f>Y49*$K49</f>
        <v>0</v>
      </c>
      <c r="AA49" s="2820">
        <f>Y49+Z49</f>
        <v>0</v>
      </c>
      <c r="AB49" s="2305"/>
      <c r="AC49" s="2818">
        <f t="shared" si="49"/>
        <v>0</v>
      </c>
      <c r="AD49" s="2819">
        <f>AC49*$K49</f>
        <v>0</v>
      </c>
      <c r="AE49" s="2821">
        <f>AC49+AD49</f>
        <v>0</v>
      </c>
      <c r="AF49" s="2822">
        <f>M49-(S49+W49+AA49+AE49)</f>
        <v>0</v>
      </c>
      <c r="AG49" s="2284"/>
      <c r="AH49" s="2823">
        <v>0</v>
      </c>
      <c r="AI49" s="2824"/>
      <c r="AJ49" s="2307"/>
      <c r="AK49" s="2825">
        <v>0</v>
      </c>
      <c r="AL49" s="2826"/>
      <c r="AM49" s="2814">
        <f>AK49*$K49</f>
        <v>0</v>
      </c>
      <c r="AN49" s="2827">
        <f>AK49+AM49</f>
        <v>0</v>
      </c>
      <c r="AO49" s="2308"/>
      <c r="AP49" s="2828">
        <f>I49-AH49</f>
        <v>0</v>
      </c>
      <c r="AQ49" s="2829">
        <f>I49-AK49</f>
        <v>0</v>
      </c>
      <c r="AR49" s="2287"/>
    </row>
    <row r="50" spans="1:44" ht="15.95" customHeight="1" outlineLevel="2">
      <c r="A50" s="2410">
        <v>33450</v>
      </c>
      <c r="B50" s="2460"/>
      <c r="C50" s="2455">
        <v>290</v>
      </c>
      <c r="D50" s="2461" t="s">
        <v>122</v>
      </c>
      <c r="E50" s="2462" t="s">
        <v>122</v>
      </c>
      <c r="F50" s="557" t="s">
        <v>123</v>
      </c>
      <c r="G50" s="2468"/>
      <c r="H50" s="2413"/>
      <c r="I50" s="3063"/>
      <c r="J50" s="2402"/>
      <c r="K50" s="2403">
        <f>TVAN</f>
        <v>8.5000000000000006E-2</v>
      </c>
      <c r="L50" s="2404">
        <f>I50*K50</f>
        <v>0</v>
      </c>
      <c r="M50" s="2752">
        <f>I50+L50</f>
        <v>0</v>
      </c>
      <c r="N50" s="2405">
        <f>I50/$G$3</f>
        <v>0</v>
      </c>
      <c r="O50" s="2406">
        <f>I50/$G$2</f>
        <v>0</v>
      </c>
      <c r="P50" s="2302"/>
      <c r="Q50" s="2818">
        <f t="shared" si="46"/>
        <v>0</v>
      </c>
      <c r="R50" s="2819">
        <f>Q50*$K50</f>
        <v>0</v>
      </c>
      <c r="S50" s="2820">
        <f>Q50+R50</f>
        <v>0</v>
      </c>
      <c r="T50" s="2305"/>
      <c r="U50" s="2818">
        <f t="shared" si="47"/>
        <v>0</v>
      </c>
      <c r="V50" s="2819">
        <f>U50*$K50</f>
        <v>0</v>
      </c>
      <c r="W50" s="2820">
        <f>U50+V50</f>
        <v>0</v>
      </c>
      <c r="X50" s="2305"/>
      <c r="Y50" s="2818">
        <f t="shared" si="48"/>
        <v>0</v>
      </c>
      <c r="Z50" s="2819">
        <f>Y50*$K50</f>
        <v>0</v>
      </c>
      <c r="AA50" s="2820">
        <f>Y50+Z50</f>
        <v>0</v>
      </c>
      <c r="AB50" s="2305"/>
      <c r="AC50" s="2818">
        <f t="shared" si="49"/>
        <v>0</v>
      </c>
      <c r="AD50" s="2819">
        <f>AC50*$K50</f>
        <v>0</v>
      </c>
      <c r="AE50" s="2821">
        <f>AC50+AD50</f>
        <v>0</v>
      </c>
      <c r="AF50" s="2822">
        <f>M50-(S50+W50+AA50+AE50)</f>
        <v>0</v>
      </c>
      <c r="AG50" s="2284"/>
      <c r="AH50" s="2823"/>
      <c r="AI50" s="2824"/>
      <c r="AJ50" s="2307"/>
      <c r="AK50" s="2825">
        <v>0</v>
      </c>
      <c r="AL50" s="2826"/>
      <c r="AM50" s="2814">
        <f>AK50*$K50</f>
        <v>0</v>
      </c>
      <c r="AN50" s="2827">
        <f>AK50+AM50</f>
        <v>0</v>
      </c>
      <c r="AO50" s="2308"/>
      <c r="AP50" s="2828">
        <f>I50-AH50</f>
        <v>0</v>
      </c>
      <c r="AQ50" s="2829">
        <f>I50-AK50</f>
        <v>0</v>
      </c>
      <c r="AR50" s="2287"/>
    </row>
    <row r="51" spans="1:44" ht="15.95" customHeight="1" outlineLevel="2">
      <c r="A51" s="2410">
        <v>33450</v>
      </c>
      <c r="B51" s="2460"/>
      <c r="C51" s="2455">
        <v>290</v>
      </c>
      <c r="D51" s="2461" t="s">
        <v>969</v>
      </c>
      <c r="E51" s="2462" t="s">
        <v>969</v>
      </c>
      <c r="F51" s="2465" t="s">
        <v>970</v>
      </c>
      <c r="G51" s="2466"/>
      <c r="H51" s="2413"/>
      <c r="I51" s="3063"/>
      <c r="J51" s="2402"/>
      <c r="K51" s="2403">
        <f>TVAN</f>
        <v>8.5000000000000006E-2</v>
      </c>
      <c r="L51" s="2404">
        <f>I51*K51</f>
        <v>0</v>
      </c>
      <c r="M51" s="2752">
        <f>I51+L51</f>
        <v>0</v>
      </c>
      <c r="N51" s="2405">
        <f>I51/$G$3</f>
        <v>0</v>
      </c>
      <c r="O51" s="2406">
        <f>I51/$G$2</f>
        <v>0</v>
      </c>
      <c r="P51" s="2302"/>
      <c r="Q51" s="2818">
        <f t="shared" si="46"/>
        <v>0</v>
      </c>
      <c r="R51" s="2819">
        <f>Q51*$K51</f>
        <v>0</v>
      </c>
      <c r="S51" s="2820">
        <f>Q51+R51</f>
        <v>0</v>
      </c>
      <c r="T51" s="2305"/>
      <c r="U51" s="2818">
        <f t="shared" si="47"/>
        <v>0</v>
      </c>
      <c r="V51" s="2819">
        <f>U51*$K51</f>
        <v>0</v>
      </c>
      <c r="W51" s="2820">
        <f>U51+V51</f>
        <v>0</v>
      </c>
      <c r="X51" s="2305"/>
      <c r="Y51" s="2818">
        <f t="shared" si="48"/>
        <v>0</v>
      </c>
      <c r="Z51" s="2819">
        <f>Y51*$K51</f>
        <v>0</v>
      </c>
      <c r="AA51" s="2820">
        <f>Y51+Z51</f>
        <v>0</v>
      </c>
      <c r="AB51" s="2305"/>
      <c r="AC51" s="2818">
        <f t="shared" si="49"/>
        <v>0</v>
      </c>
      <c r="AD51" s="2819">
        <f>AC51*$K51</f>
        <v>0</v>
      </c>
      <c r="AE51" s="2821">
        <f>AC51+AD51</f>
        <v>0</v>
      </c>
      <c r="AF51" s="2822">
        <f>M51-(S51+W51+AA51+AE51)</f>
        <v>0</v>
      </c>
      <c r="AG51" s="2284"/>
      <c r="AH51" s="2823">
        <v>0</v>
      </c>
      <c r="AI51" s="2824"/>
      <c r="AJ51" s="2307"/>
      <c r="AK51" s="2825"/>
      <c r="AL51" s="2826"/>
      <c r="AM51" s="2814">
        <f>AK51*$K51</f>
        <v>0</v>
      </c>
      <c r="AN51" s="2827">
        <f>AK51+AM51</f>
        <v>0</v>
      </c>
      <c r="AO51" s="2308"/>
      <c r="AP51" s="2828">
        <f>I51-AH51</f>
        <v>0</v>
      </c>
      <c r="AQ51" s="2829">
        <f>I51-AK51</f>
        <v>0</v>
      </c>
      <c r="AR51" s="2287"/>
    </row>
    <row r="52" spans="1:44" ht="15.95" customHeight="1" outlineLevel="1">
      <c r="A52" s="2407">
        <v>33480</v>
      </c>
      <c r="B52" s="2417" t="s">
        <v>125</v>
      </c>
      <c r="C52" s="2379">
        <v>290</v>
      </c>
      <c r="D52" s="2418" t="s">
        <v>126</v>
      </c>
      <c r="E52" s="2418"/>
      <c r="F52" s="2408" t="s">
        <v>127</v>
      </c>
      <c r="G52" s="2409"/>
      <c r="H52" s="2383"/>
      <c r="I52" s="2735">
        <f>SUM(I53:I54)</f>
        <v>0</v>
      </c>
      <c r="J52" s="2384"/>
      <c r="K52" s="2403"/>
      <c r="L52" s="2386">
        <f>SUM(L53:L54)</f>
        <v>0</v>
      </c>
      <c r="M52" s="2751">
        <f>SUM(M53:M54)</f>
        <v>0</v>
      </c>
      <c r="N52" s="2451">
        <f>SUM(N53:N54)</f>
        <v>0</v>
      </c>
      <c r="O52" s="2452">
        <f>SUM(O53:O54)</f>
        <v>0</v>
      </c>
      <c r="P52" s="2302"/>
      <c r="Q52" s="2804">
        <f>SUM(Q53:Q54)</f>
        <v>0</v>
      </c>
      <c r="R52" s="2805">
        <f>SUM(R53:R54)</f>
        <v>0</v>
      </c>
      <c r="S52" s="2806">
        <f>SUM(S53:S54)</f>
        <v>0</v>
      </c>
      <c r="T52" s="2389"/>
      <c r="U52" s="2807">
        <f>SUM(U53:U54)</f>
        <v>0</v>
      </c>
      <c r="V52" s="2805">
        <f>SUM(V53:V54)</f>
        <v>0</v>
      </c>
      <c r="W52" s="2806">
        <f>SUM(W53:W54)</f>
        <v>0</v>
      </c>
      <c r="X52" s="2305"/>
      <c r="Y52" s="2807">
        <f>SUM(Y53:Y54)</f>
        <v>0</v>
      </c>
      <c r="Z52" s="2805">
        <f>SUM(Z53:Z54)</f>
        <v>0</v>
      </c>
      <c r="AA52" s="2806">
        <f>SUM(AA53:AA54)</f>
        <v>0</v>
      </c>
      <c r="AB52" s="2389"/>
      <c r="AC52" s="2807">
        <f>SUM(AC53:AC54)</f>
        <v>0</v>
      </c>
      <c r="AD52" s="2805">
        <f>SUM(AD53:AD54)</f>
        <v>0</v>
      </c>
      <c r="AE52" s="2808">
        <f>SUM(AE53:AE54)</f>
        <v>0</v>
      </c>
      <c r="AF52" s="2809">
        <f>SUM(AF53:AF54)</f>
        <v>0</v>
      </c>
      <c r="AG52" s="2391"/>
      <c r="AH52" s="2810">
        <f>SUM(AH53:AH54)</f>
        <v>0</v>
      </c>
      <c r="AI52" s="2831"/>
      <c r="AJ52" s="2392"/>
      <c r="AK52" s="2812">
        <f>SUM(AK53:AK54)</f>
        <v>0</v>
      </c>
      <c r="AL52" s="2832"/>
      <c r="AM52" s="2814">
        <f>SUM(AM53:AM54)</f>
        <v>0</v>
      </c>
      <c r="AN52" s="2815">
        <f>SUM(AN53:AN54)</f>
        <v>0</v>
      </c>
      <c r="AO52" s="2393"/>
      <c r="AP52" s="2816">
        <f>SUM(AP53:AP54)</f>
        <v>0</v>
      </c>
      <c r="AQ52" s="2817">
        <f>SUM(AQ53:AQ54)</f>
        <v>0</v>
      </c>
      <c r="AR52" s="2287"/>
    </row>
    <row r="53" spans="1:44" ht="15.95" customHeight="1" outlineLevel="2">
      <c r="A53" s="2410">
        <v>33480</v>
      </c>
      <c r="B53" s="2460"/>
      <c r="C53" s="2455">
        <v>290</v>
      </c>
      <c r="D53" s="2461"/>
      <c r="E53" s="2462" t="s">
        <v>128</v>
      </c>
      <c r="F53" s="2469" t="s">
        <v>129</v>
      </c>
      <c r="G53" s="2450"/>
      <c r="H53" s="2413"/>
      <c r="I53" s="3063"/>
      <c r="J53" s="2402"/>
      <c r="K53" s="2403">
        <f>TVAN</f>
        <v>8.5000000000000006E-2</v>
      </c>
      <c r="L53" s="2404">
        <f>I53*K53</f>
        <v>0</v>
      </c>
      <c r="M53" s="2752">
        <f>I53+L53</f>
        <v>0</v>
      </c>
      <c r="N53" s="2405">
        <f>I53/$G$3</f>
        <v>0</v>
      </c>
      <c r="O53" s="2406">
        <f>I53/$G$2</f>
        <v>0</v>
      </c>
      <c r="P53" s="2302"/>
      <c r="Q53" s="2818">
        <f t="shared" ref="Q53:Q54" si="50">N53*$R$3</f>
        <v>0</v>
      </c>
      <c r="R53" s="2819">
        <f>Q53*$K53</f>
        <v>0</v>
      </c>
      <c r="S53" s="2820">
        <f>Q53+R53</f>
        <v>0</v>
      </c>
      <c r="T53" s="2305"/>
      <c r="U53" s="2818">
        <f t="shared" ref="U53:U54" si="51">$V$3*N53</f>
        <v>0</v>
      </c>
      <c r="V53" s="2819">
        <f>U53*$K53</f>
        <v>0</v>
      </c>
      <c r="W53" s="2820">
        <f>U53+V53</f>
        <v>0</v>
      </c>
      <c r="X53" s="2305"/>
      <c r="Y53" s="2818">
        <f t="shared" ref="Y53:Y54" si="52">$Z$3*I53</f>
        <v>0</v>
      </c>
      <c r="Z53" s="2819">
        <f>Y53*$K53</f>
        <v>0</v>
      </c>
      <c r="AA53" s="2820">
        <f>Y53+Z53</f>
        <v>0</v>
      </c>
      <c r="AB53" s="2305"/>
      <c r="AC53" s="2818">
        <f t="shared" ref="AC53:AC54" si="53">$AD$3*N53</f>
        <v>0</v>
      </c>
      <c r="AD53" s="2819">
        <f>AC53*$K53</f>
        <v>0</v>
      </c>
      <c r="AE53" s="2821">
        <f>AC53+AD53</f>
        <v>0</v>
      </c>
      <c r="AF53" s="2822">
        <f>M53-(S53+W53+AA53+AE53)</f>
        <v>0</v>
      </c>
      <c r="AG53" s="2284"/>
      <c r="AH53" s="2823">
        <v>0</v>
      </c>
      <c r="AI53" s="2824"/>
      <c r="AJ53" s="2307"/>
      <c r="AK53" s="2825">
        <v>0</v>
      </c>
      <c r="AL53" s="2826"/>
      <c r="AM53" s="2814">
        <f>AK53*$K53</f>
        <v>0</v>
      </c>
      <c r="AN53" s="2827">
        <f>AK53+AM53</f>
        <v>0</v>
      </c>
      <c r="AO53" s="2308"/>
      <c r="AP53" s="2828">
        <f>I53-AH53</f>
        <v>0</v>
      </c>
      <c r="AQ53" s="2829">
        <f>I53-AK53</f>
        <v>0</v>
      </c>
      <c r="AR53" s="2287"/>
    </row>
    <row r="54" spans="1:44" ht="15.95" customHeight="1" outlineLevel="2">
      <c r="A54" s="2410">
        <v>33480</v>
      </c>
      <c r="B54" s="2460"/>
      <c r="C54" s="2455">
        <v>290</v>
      </c>
      <c r="D54" s="2461"/>
      <c r="E54" s="2462" t="s">
        <v>130</v>
      </c>
      <c r="F54" s="557" t="s">
        <v>131</v>
      </c>
      <c r="G54" s="2470"/>
      <c r="H54" s="2413"/>
      <c r="I54" s="3063"/>
      <c r="J54" s="2402">
        <v>0</v>
      </c>
      <c r="K54" s="2403">
        <f>TVAN</f>
        <v>8.5000000000000006E-2</v>
      </c>
      <c r="L54" s="2404">
        <f>I54*K54</f>
        <v>0</v>
      </c>
      <c r="M54" s="2752">
        <f>I54+L54</f>
        <v>0</v>
      </c>
      <c r="N54" s="2405">
        <f>I54/$G$3</f>
        <v>0</v>
      </c>
      <c r="O54" s="2406">
        <f>I54/$G$2</f>
        <v>0</v>
      </c>
      <c r="P54" s="2302"/>
      <c r="Q54" s="2818">
        <f t="shared" si="50"/>
        <v>0</v>
      </c>
      <c r="R54" s="2819">
        <f>Q54*$K54</f>
        <v>0</v>
      </c>
      <c r="S54" s="2820">
        <f>Q54+R54</f>
        <v>0</v>
      </c>
      <c r="T54" s="2305"/>
      <c r="U54" s="2818">
        <f t="shared" si="51"/>
        <v>0</v>
      </c>
      <c r="V54" s="2819">
        <f>U54*$K54</f>
        <v>0</v>
      </c>
      <c r="W54" s="2820">
        <f>U54+V54</f>
        <v>0</v>
      </c>
      <c r="X54" s="2305"/>
      <c r="Y54" s="2818">
        <f t="shared" si="52"/>
        <v>0</v>
      </c>
      <c r="Z54" s="2819">
        <f>Y54*$K54</f>
        <v>0</v>
      </c>
      <c r="AA54" s="2820">
        <f>Y54+Z54</f>
        <v>0</v>
      </c>
      <c r="AB54" s="2305"/>
      <c r="AC54" s="2818">
        <f t="shared" si="53"/>
        <v>0</v>
      </c>
      <c r="AD54" s="2819">
        <f>AC54*$K54</f>
        <v>0</v>
      </c>
      <c r="AE54" s="2821">
        <f>AC54+AD54</f>
        <v>0</v>
      </c>
      <c r="AF54" s="2822">
        <f>M54-(S54+W54+AA54+AE54)</f>
        <v>0</v>
      </c>
      <c r="AG54" s="2284"/>
      <c r="AH54" s="2823">
        <v>0</v>
      </c>
      <c r="AI54" s="2824">
        <v>0</v>
      </c>
      <c r="AJ54" s="2307"/>
      <c r="AK54" s="2825">
        <v>0</v>
      </c>
      <c r="AL54" s="2826">
        <v>0</v>
      </c>
      <c r="AM54" s="2814">
        <f>AK54*$K54</f>
        <v>0</v>
      </c>
      <c r="AN54" s="2827">
        <f>AK54+AM54</f>
        <v>0</v>
      </c>
      <c r="AO54" s="2308"/>
      <c r="AP54" s="2828">
        <f>I54-AH54</f>
        <v>0</v>
      </c>
      <c r="AQ54" s="2829">
        <f>I54-AK54</f>
        <v>0</v>
      </c>
      <c r="AR54" s="2287"/>
    </row>
    <row r="55" spans="1:44" ht="15.95" customHeight="1" outlineLevel="1">
      <c r="A55" s="2407"/>
      <c r="B55" s="2417" t="s">
        <v>971</v>
      </c>
      <c r="C55" s="2379">
        <v>290</v>
      </c>
      <c r="D55" s="2418" t="s">
        <v>972</v>
      </c>
      <c r="E55" s="2418"/>
      <c r="F55" s="2408" t="s">
        <v>973</v>
      </c>
      <c r="G55" s="2409"/>
      <c r="H55" s="2383"/>
      <c r="I55" s="2735">
        <f>SUM(I56:I57)</f>
        <v>0</v>
      </c>
      <c r="J55" s="2384"/>
      <c r="K55" s="2403"/>
      <c r="L55" s="2386">
        <f>SUM(L56:L57)</f>
        <v>0</v>
      </c>
      <c r="M55" s="2751">
        <f>SUM(M56:M57)</f>
        <v>0</v>
      </c>
      <c r="N55" s="2451">
        <f>SUM(N56:N57)</f>
        <v>0</v>
      </c>
      <c r="O55" s="2452">
        <f>SUM(O56:O57)</f>
        <v>0</v>
      </c>
      <c r="P55" s="2302"/>
      <c r="Q55" s="2804">
        <f>SUM(Q56:Q57)</f>
        <v>0</v>
      </c>
      <c r="R55" s="2805">
        <f>SUM(R56:R57)</f>
        <v>0</v>
      </c>
      <c r="S55" s="2806">
        <f>SUM(S56:S57)</f>
        <v>0</v>
      </c>
      <c r="T55" s="2389"/>
      <c r="U55" s="2807">
        <f>SUM(U56:U57)</f>
        <v>0</v>
      </c>
      <c r="V55" s="2805">
        <f>SUM(V56:V57)</f>
        <v>0</v>
      </c>
      <c r="W55" s="2806">
        <f>SUM(W56:W57)</f>
        <v>0</v>
      </c>
      <c r="X55" s="2305"/>
      <c r="Y55" s="2807">
        <f>SUM(Y56:Y57)</f>
        <v>0</v>
      </c>
      <c r="Z55" s="2805">
        <f>SUM(Z56:Z57)</f>
        <v>0</v>
      </c>
      <c r="AA55" s="2806">
        <f>SUM(AA56:AA57)</f>
        <v>0</v>
      </c>
      <c r="AB55" s="2389"/>
      <c r="AC55" s="2807">
        <f>SUM(AC56:AC57)</f>
        <v>0</v>
      </c>
      <c r="AD55" s="2805">
        <f>SUM(AD56:AD57)</f>
        <v>0</v>
      </c>
      <c r="AE55" s="2808">
        <f>SUM(AE56:AE57)</f>
        <v>0</v>
      </c>
      <c r="AF55" s="2857"/>
      <c r="AG55" s="2391"/>
      <c r="AH55" s="2810">
        <f>SUM(AH56:AH57)</f>
        <v>0</v>
      </c>
      <c r="AI55" s="2831"/>
      <c r="AJ55" s="2392"/>
      <c r="AK55" s="2812">
        <f>SUM(AK56:AK57)</f>
        <v>0</v>
      </c>
      <c r="AL55" s="2832"/>
      <c r="AM55" s="2814">
        <f>SUM(AM56:AM57)</f>
        <v>0</v>
      </c>
      <c r="AN55" s="2815">
        <f>SUM(AN56:AN57)</f>
        <v>0</v>
      </c>
      <c r="AO55" s="2393"/>
      <c r="AP55" s="2816">
        <f>SUM(AP56:AP57)</f>
        <v>0</v>
      </c>
      <c r="AQ55" s="2817">
        <f>SUM(AQ56:AQ57)</f>
        <v>0</v>
      </c>
      <c r="AR55" s="2287"/>
    </row>
    <row r="56" spans="1:44" ht="15.95" customHeight="1" outlineLevel="2">
      <c r="A56" s="2471"/>
      <c r="B56" s="2472"/>
      <c r="C56" s="2455">
        <v>290</v>
      </c>
      <c r="D56" s="2461"/>
      <c r="E56" s="2462" t="s">
        <v>974</v>
      </c>
      <c r="F56" s="2473" t="s">
        <v>134</v>
      </c>
      <c r="G56" s="2474"/>
      <c r="H56" s="2464">
        <v>0.02</v>
      </c>
      <c r="I56" s="3063">
        <f>H56*(I30+I47)</f>
        <v>0</v>
      </c>
      <c r="J56" s="2402"/>
      <c r="K56" s="2403">
        <f>TVAN</f>
        <v>8.5000000000000006E-2</v>
      </c>
      <c r="L56" s="2404">
        <f>I56*K56</f>
        <v>0</v>
      </c>
      <c r="M56" s="2752">
        <f>I56+L56</f>
        <v>0</v>
      </c>
      <c r="N56" s="2405">
        <f>I56/$G$3</f>
        <v>0</v>
      </c>
      <c r="O56" s="2406">
        <f>I56/$G$2</f>
        <v>0</v>
      </c>
      <c r="P56" s="2302"/>
      <c r="Q56" s="2818">
        <f t="shared" ref="Q56:Q57" si="54">N56*$R$3</f>
        <v>0</v>
      </c>
      <c r="R56" s="2819">
        <f>Q56*$K56</f>
        <v>0</v>
      </c>
      <c r="S56" s="2820">
        <f>Q56+R56</f>
        <v>0</v>
      </c>
      <c r="T56" s="2305"/>
      <c r="U56" s="2818">
        <f t="shared" ref="U56:U57" si="55">$V$3*N56</f>
        <v>0</v>
      </c>
      <c r="V56" s="2819">
        <f>U56*$K56</f>
        <v>0</v>
      </c>
      <c r="W56" s="2820">
        <f>U56+V56</f>
        <v>0</v>
      </c>
      <c r="X56" s="2305"/>
      <c r="Y56" s="2818">
        <f t="shared" ref="Y56:Y57" si="56">$Z$3*I56</f>
        <v>0</v>
      </c>
      <c r="Z56" s="2819">
        <f>Y56*$K56</f>
        <v>0</v>
      </c>
      <c r="AA56" s="2820">
        <f>Y56+Z56</f>
        <v>0</v>
      </c>
      <c r="AB56" s="2305"/>
      <c r="AC56" s="2818">
        <f t="shared" ref="AC56:AC57" si="57">$AD$3*N56</f>
        <v>0</v>
      </c>
      <c r="AD56" s="2819">
        <f>AC56*$K56</f>
        <v>0</v>
      </c>
      <c r="AE56" s="2821">
        <f>AC56+AD56</f>
        <v>0</v>
      </c>
      <c r="AF56" s="2822">
        <f>M56-(S56+W56+AA56+AE56)</f>
        <v>0</v>
      </c>
      <c r="AG56" s="2284"/>
      <c r="AH56" s="2823">
        <v>0</v>
      </c>
      <c r="AI56" s="2824">
        <v>0</v>
      </c>
      <c r="AJ56" s="2307"/>
      <c r="AK56" s="2825">
        <v>0</v>
      </c>
      <c r="AL56" s="2826"/>
      <c r="AM56" s="2814">
        <f>AK56*$K56</f>
        <v>0</v>
      </c>
      <c r="AN56" s="2827">
        <f>AK56+AM56</f>
        <v>0</v>
      </c>
      <c r="AO56" s="2308"/>
      <c r="AP56" s="2828">
        <f>I56-AH56</f>
        <v>0</v>
      </c>
      <c r="AQ56" s="2829">
        <f>I56-AK56</f>
        <v>0</v>
      </c>
      <c r="AR56" s="2287"/>
    </row>
    <row r="57" spans="1:44" ht="15.95" customHeight="1" outlineLevel="2">
      <c r="A57" s="2471"/>
      <c r="B57" s="2475"/>
      <c r="C57" s="2455">
        <v>290</v>
      </c>
      <c r="D57" s="2461"/>
      <c r="E57" s="2462" t="s">
        <v>975</v>
      </c>
      <c r="F57" s="2473" t="s">
        <v>976</v>
      </c>
      <c r="G57" s="2474"/>
      <c r="H57" s="2476">
        <v>0.02</v>
      </c>
      <c r="I57" s="3063">
        <f>(I30+I47)*H57</f>
        <v>0</v>
      </c>
      <c r="J57" s="2402"/>
      <c r="K57" s="2403">
        <f>TVAN</f>
        <v>8.5000000000000006E-2</v>
      </c>
      <c r="L57" s="2404">
        <f>I57*K57</f>
        <v>0</v>
      </c>
      <c r="M57" s="2752">
        <f>I57+L57</f>
        <v>0</v>
      </c>
      <c r="N57" s="2405">
        <f>I57/$G$3</f>
        <v>0</v>
      </c>
      <c r="O57" s="2406">
        <f>I57/$G$2</f>
        <v>0</v>
      </c>
      <c r="P57" s="2302"/>
      <c r="Q57" s="2818">
        <f t="shared" si="54"/>
        <v>0</v>
      </c>
      <c r="R57" s="2819">
        <f>Q57*$K57</f>
        <v>0</v>
      </c>
      <c r="S57" s="2820">
        <f>Q57+R57</f>
        <v>0</v>
      </c>
      <c r="T57" s="2305"/>
      <c r="U57" s="2818">
        <f t="shared" si="55"/>
        <v>0</v>
      </c>
      <c r="V57" s="2819">
        <f>U57*$K57</f>
        <v>0</v>
      </c>
      <c r="W57" s="2820">
        <f>U57+V57</f>
        <v>0</v>
      </c>
      <c r="X57" s="2305"/>
      <c r="Y57" s="2818">
        <f t="shared" si="56"/>
        <v>0</v>
      </c>
      <c r="Z57" s="2819">
        <f>Y57*$K57</f>
        <v>0</v>
      </c>
      <c r="AA57" s="2820">
        <f>Y57+Z57</f>
        <v>0</v>
      </c>
      <c r="AB57" s="2305"/>
      <c r="AC57" s="2818">
        <f t="shared" si="57"/>
        <v>0</v>
      </c>
      <c r="AD57" s="2819">
        <f>AC57*$K57</f>
        <v>0</v>
      </c>
      <c r="AE57" s="2821">
        <f>AC57+AD57</f>
        <v>0</v>
      </c>
      <c r="AF57" s="2822">
        <f>M57-(S57+W57+AA57+AE57)</f>
        <v>0</v>
      </c>
      <c r="AG57" s="2284"/>
      <c r="AH57" s="2823">
        <v>0</v>
      </c>
      <c r="AI57" s="2824"/>
      <c r="AJ57" s="2307"/>
      <c r="AK57" s="2825">
        <v>0</v>
      </c>
      <c r="AL57" s="2826"/>
      <c r="AM57" s="2814">
        <f>AK57*$K57</f>
        <v>0</v>
      </c>
      <c r="AN57" s="2827">
        <f>AK57+AM57</f>
        <v>0</v>
      </c>
      <c r="AO57" s="2308"/>
      <c r="AP57" s="2828">
        <f>I57-AH57</f>
        <v>0</v>
      </c>
      <c r="AQ57" s="2829">
        <f>I57-AK57</f>
        <v>0</v>
      </c>
      <c r="AR57" s="2287"/>
    </row>
    <row r="58" spans="1:44" ht="15" customHeight="1">
      <c r="A58" s="2477"/>
      <c r="B58" s="2478"/>
      <c r="C58" s="2479"/>
      <c r="D58" s="2480"/>
      <c r="E58" s="2480"/>
      <c r="F58" s="2481"/>
      <c r="G58" s="2482"/>
      <c r="H58" s="2413"/>
      <c r="I58" s="2738"/>
      <c r="J58" s="2483"/>
      <c r="K58" s="2484"/>
      <c r="L58" s="2404"/>
      <c r="M58" s="2754"/>
      <c r="N58" s="2431"/>
      <c r="O58" s="2432"/>
      <c r="P58" s="2302"/>
      <c r="Q58" s="2843"/>
      <c r="R58" s="2819"/>
      <c r="S58" s="2844"/>
      <c r="T58" s="2305"/>
      <c r="U58" s="2843"/>
      <c r="V58" s="2819"/>
      <c r="W58" s="2844"/>
      <c r="X58" s="2305"/>
      <c r="Y58" s="2843"/>
      <c r="Z58" s="2819"/>
      <c r="AA58" s="2844"/>
      <c r="AB58" s="2305"/>
      <c r="AC58" s="2843"/>
      <c r="AD58" s="2819"/>
      <c r="AE58" s="2845"/>
      <c r="AF58" s="2822"/>
      <c r="AG58" s="2485"/>
      <c r="AH58" s="2846"/>
      <c r="AI58" s="2858"/>
      <c r="AJ58" s="2486"/>
      <c r="AK58" s="2848"/>
      <c r="AL58" s="2859"/>
      <c r="AM58" s="2860"/>
      <c r="AN58" s="2861"/>
      <c r="AO58" s="2486"/>
      <c r="AP58" s="2828"/>
      <c r="AQ58" s="2851"/>
      <c r="AR58" s="2287"/>
    </row>
    <row r="59" spans="1:44" s="2493" customFormat="1" ht="15.75" customHeight="1" outlineLevel="1">
      <c r="A59" s="2424">
        <v>33490</v>
      </c>
      <c r="B59" s="2425" t="s">
        <v>136</v>
      </c>
      <c r="C59" s="2487"/>
      <c r="D59" s="2488"/>
      <c r="E59" s="2488"/>
      <c r="F59" s="2408" t="s">
        <v>977</v>
      </c>
      <c r="G59" s="2409"/>
      <c r="H59" s="3003"/>
      <c r="I59" s="3063"/>
      <c r="J59" s="2489">
        <v>0</v>
      </c>
      <c r="K59" s="2403">
        <f>TVAN</f>
        <v>8.5000000000000006E-2</v>
      </c>
      <c r="L59" s="2386">
        <f>I59*K59</f>
        <v>0</v>
      </c>
      <c r="M59" s="2755">
        <f>I59+L59</f>
        <v>0</v>
      </c>
      <c r="N59" s="2490">
        <f>I59/$G$3</f>
        <v>0</v>
      </c>
      <c r="O59" s="2491">
        <f>I59/$G$2</f>
        <v>0</v>
      </c>
      <c r="P59" s="2453"/>
      <c r="Q59" s="2862">
        <f>N59*$R$3</f>
        <v>0</v>
      </c>
      <c r="R59" s="2863">
        <f>Q59*$K59</f>
        <v>0</v>
      </c>
      <c r="S59" s="2864">
        <f>Q59+R59</f>
        <v>0</v>
      </c>
      <c r="T59" s="2390"/>
      <c r="U59" s="2862">
        <f>$V$3*N59</f>
        <v>0</v>
      </c>
      <c r="V59" s="2863">
        <f>U59*$K59</f>
        <v>0</v>
      </c>
      <c r="W59" s="2864">
        <f>U59+V59</f>
        <v>0</v>
      </c>
      <c r="X59" s="2305"/>
      <c r="Y59" s="2862">
        <f>$Z$3*I59</f>
        <v>0</v>
      </c>
      <c r="Z59" s="2863">
        <f>Y59*$K59</f>
        <v>0</v>
      </c>
      <c r="AA59" s="2864">
        <f>Y59+Z59</f>
        <v>0</v>
      </c>
      <c r="AB59" s="2305"/>
      <c r="AC59" s="2862">
        <f>$AD$3*N59</f>
        <v>0</v>
      </c>
      <c r="AD59" s="2863">
        <f>AC59*$K59</f>
        <v>0</v>
      </c>
      <c r="AE59" s="2865">
        <f>AC59+AD59</f>
        <v>0</v>
      </c>
      <c r="AF59" s="2857">
        <f>M59-(S59+W59+AA59+AE59)</f>
        <v>0</v>
      </c>
      <c r="AG59" s="2485"/>
      <c r="AH59" s="2823"/>
      <c r="AI59" s="2866"/>
      <c r="AJ59" s="2307"/>
      <c r="AK59" s="2825"/>
      <c r="AL59" s="2867"/>
      <c r="AM59" s="2814">
        <f>AK59*$K59</f>
        <v>0</v>
      </c>
      <c r="AN59" s="2868">
        <f>AK59+AM59</f>
        <v>0</v>
      </c>
      <c r="AO59" s="2492"/>
      <c r="AP59" s="2816">
        <f>I59-AH59</f>
        <v>0</v>
      </c>
      <c r="AQ59" s="2869">
        <f>I59-AK59</f>
        <v>0</v>
      </c>
      <c r="AR59" s="2287"/>
    </row>
    <row r="60" spans="1:44" s="2499" customFormat="1" ht="15.75" customHeight="1" outlineLevel="1">
      <c r="A60" s="2494"/>
      <c r="B60" s="2425"/>
      <c r="C60" s="2495"/>
      <c r="D60" s="2427"/>
      <c r="E60" s="2427"/>
      <c r="F60" s="2408"/>
      <c r="G60" s="2409"/>
      <c r="H60" s="3004"/>
      <c r="I60" s="2735"/>
      <c r="J60" s="2496"/>
      <c r="K60" s="2403"/>
      <c r="L60" s="2386"/>
      <c r="M60" s="2751"/>
      <c r="N60" s="2497"/>
      <c r="O60" s="2498"/>
      <c r="P60" s="2453"/>
      <c r="Q60" s="2870"/>
      <c r="R60" s="2863"/>
      <c r="S60" s="2871"/>
      <c r="T60" s="2390"/>
      <c r="U60" s="2870"/>
      <c r="V60" s="2863"/>
      <c r="W60" s="2871"/>
      <c r="X60" s="2305"/>
      <c r="Y60" s="2870"/>
      <c r="Z60" s="2863"/>
      <c r="AA60" s="2871"/>
      <c r="AB60" s="2305"/>
      <c r="AC60" s="2870"/>
      <c r="AD60" s="2863"/>
      <c r="AE60" s="2872"/>
      <c r="AF60" s="2857"/>
      <c r="AG60" s="2485"/>
      <c r="AH60" s="2810"/>
      <c r="AI60" s="2873"/>
      <c r="AJ60" s="2307"/>
      <c r="AK60" s="2812"/>
      <c r="AL60" s="2874"/>
      <c r="AM60" s="2814"/>
      <c r="AN60" s="2875"/>
      <c r="AO60" s="2492"/>
      <c r="AP60" s="2816"/>
      <c r="AQ60" s="2817"/>
      <c r="AR60" s="2287"/>
    </row>
    <row r="61" spans="1:44" s="2185" customFormat="1" ht="15.95" customHeight="1">
      <c r="A61" s="2500" t="s">
        <v>978</v>
      </c>
      <c r="B61" s="2351" t="s">
        <v>213</v>
      </c>
      <c r="C61" s="2352">
        <v>490</v>
      </c>
      <c r="D61" s="2353"/>
      <c r="E61" s="2354"/>
      <c r="F61" s="2355" t="s">
        <v>214</v>
      </c>
      <c r="G61" s="2434"/>
      <c r="H61" s="2357"/>
      <c r="I61" s="2358">
        <f>I62+I65+I69</f>
        <v>0</v>
      </c>
      <c r="J61" s="2359"/>
      <c r="K61" s="2360"/>
      <c r="L61" s="2435">
        <f>L62+L65+L69</f>
        <v>0</v>
      </c>
      <c r="M61" s="2436">
        <f>M62+M65+M69</f>
        <v>0</v>
      </c>
      <c r="N61" s="2437">
        <f>N62+N65+N69</f>
        <v>0</v>
      </c>
      <c r="O61" s="2438">
        <f>O62+O65+O69</f>
        <v>0</v>
      </c>
      <c r="P61" s="2453"/>
      <c r="Q61" s="2440">
        <f>Q62+Q65+Q69</f>
        <v>0</v>
      </c>
      <c r="R61" s="2852">
        <f>R62+R65+R69</f>
        <v>0</v>
      </c>
      <c r="S61" s="2441">
        <f>S62+S65+S69</f>
        <v>0</v>
      </c>
      <c r="T61" s="2390"/>
      <c r="U61" s="2440">
        <f>U62+U65+U69</f>
        <v>0</v>
      </c>
      <c r="V61" s="2852">
        <f>V62+V65+V69</f>
        <v>0</v>
      </c>
      <c r="W61" s="2441">
        <f>W62+W65+W69</f>
        <v>0</v>
      </c>
      <c r="X61" s="2305"/>
      <c r="Y61" s="2440">
        <f>Y62+Y65+Y69</f>
        <v>0</v>
      </c>
      <c r="Z61" s="2852">
        <f>Z62+Z65+Z69</f>
        <v>0</v>
      </c>
      <c r="AA61" s="2441">
        <f>AA62+AA65+AA69</f>
        <v>0</v>
      </c>
      <c r="AB61" s="2442"/>
      <c r="AC61" s="2440">
        <f>AC62+AC65+AC69</f>
        <v>0</v>
      </c>
      <c r="AD61" s="2852">
        <f>AD62+AD65+AD69</f>
        <v>0</v>
      </c>
      <c r="AE61" s="2443">
        <f>AE62+AE65+AE69</f>
        <v>0</v>
      </c>
      <c r="AF61" s="2853">
        <f>AF62+AF65+AF69</f>
        <v>0</v>
      </c>
      <c r="AG61" s="2444"/>
      <c r="AH61" s="2854">
        <f>AH62+AH65+AH69</f>
        <v>0</v>
      </c>
      <c r="AI61" s="2855"/>
      <c r="AJ61" s="2501"/>
      <c r="AK61" s="2445">
        <f>AK62+AK65+AK69</f>
        <v>0</v>
      </c>
      <c r="AL61" s="2856"/>
      <c r="AM61" s="2803">
        <f>AM62+AM65+AM69</f>
        <v>0</v>
      </c>
      <c r="AN61" s="2373">
        <f>AN62+AN65+AN69</f>
        <v>0</v>
      </c>
      <c r="AO61" s="2486"/>
      <c r="AP61" s="2446">
        <f>AP62+AP65+AP69</f>
        <v>0</v>
      </c>
      <c r="AQ61" s="2447">
        <f>AQ62+AQ65+AQ69</f>
        <v>0</v>
      </c>
      <c r="AR61" s="2376"/>
    </row>
    <row r="62" spans="1:44" ht="15.95" customHeight="1" outlineLevel="1">
      <c r="A62" s="2407">
        <v>33620</v>
      </c>
      <c r="B62" s="2378" t="s">
        <v>216</v>
      </c>
      <c r="C62" s="2379">
        <v>490</v>
      </c>
      <c r="D62" s="2380" t="s">
        <v>217</v>
      </c>
      <c r="E62" s="2380"/>
      <c r="F62" s="2381" t="s">
        <v>218</v>
      </c>
      <c r="G62" s="2382"/>
      <c r="H62" s="2383"/>
      <c r="I62" s="2735">
        <f>SUM(I63:I64)</f>
        <v>0</v>
      </c>
      <c r="J62" s="2384"/>
      <c r="K62" s="2403"/>
      <c r="L62" s="2386">
        <f>SUM(L63:L64)</f>
        <v>0</v>
      </c>
      <c r="M62" s="2751">
        <f>SUM(M63:M64)</f>
        <v>0</v>
      </c>
      <c r="N62" s="2451">
        <f>SUM(N63:N64)</f>
        <v>0</v>
      </c>
      <c r="O62" s="2452">
        <f>SUM(O63:O64)</f>
        <v>0</v>
      </c>
      <c r="P62" s="2302"/>
      <c r="Q62" s="2804">
        <f>SUM(Q63:Q64)</f>
        <v>0</v>
      </c>
      <c r="R62" s="2805">
        <f>SUM(R63:R64)</f>
        <v>0</v>
      </c>
      <c r="S62" s="2806">
        <f>SUM(S63:S64)</f>
        <v>0</v>
      </c>
      <c r="T62" s="2389"/>
      <c r="U62" s="2807">
        <f>SUM(U63:U64)</f>
        <v>0</v>
      </c>
      <c r="V62" s="2805">
        <f>SUM(V63:V64)</f>
        <v>0</v>
      </c>
      <c r="W62" s="2806">
        <f>SUM(W63:W64)</f>
        <v>0</v>
      </c>
      <c r="X62" s="2305"/>
      <c r="Y62" s="2807">
        <f>SUM(Y63:Y64)</f>
        <v>0</v>
      </c>
      <c r="Z62" s="2805">
        <f>SUM(Z63:Z64)</f>
        <v>0</v>
      </c>
      <c r="AA62" s="2806">
        <f>SUM(AA63:AA64)</f>
        <v>0</v>
      </c>
      <c r="AB62" s="2389"/>
      <c r="AC62" s="2807">
        <f>SUM(AC63:AC64)</f>
        <v>0</v>
      </c>
      <c r="AD62" s="2805">
        <f>SUM(AD63:AD64)</f>
        <v>0</v>
      </c>
      <c r="AE62" s="2808">
        <f>SUM(AE63:AE64)</f>
        <v>0</v>
      </c>
      <c r="AF62" s="2809"/>
      <c r="AG62" s="2391"/>
      <c r="AH62" s="2810">
        <f>SUM(AH63:AH64)</f>
        <v>0</v>
      </c>
      <c r="AI62" s="2831"/>
      <c r="AJ62" s="2392"/>
      <c r="AK62" s="2812">
        <f>SUM(AK63:AK64)</f>
        <v>0</v>
      </c>
      <c r="AL62" s="2832"/>
      <c r="AM62" s="2814">
        <f>SUM(AM63:AM64)</f>
        <v>0</v>
      </c>
      <c r="AN62" s="2815">
        <f>SUM(AN63:AN64)</f>
        <v>0</v>
      </c>
      <c r="AO62" s="2393"/>
      <c r="AP62" s="2816">
        <f>SUM(AP63:AP64)</f>
        <v>0</v>
      </c>
      <c r="AQ62" s="2817">
        <f>SUM(AQ63:AQ64)</f>
        <v>0</v>
      </c>
      <c r="AR62" s="2287"/>
    </row>
    <row r="63" spans="1:44" ht="15.95" customHeight="1" outlineLevel="2">
      <c r="A63" s="2502">
        <v>33620</v>
      </c>
      <c r="B63" s="2411"/>
      <c r="C63" s="2503">
        <v>490</v>
      </c>
      <c r="D63" s="2399"/>
      <c r="E63" s="2400" t="s">
        <v>219</v>
      </c>
      <c r="F63" s="2465" t="s">
        <v>220</v>
      </c>
      <c r="G63" s="2504"/>
      <c r="H63" s="2476">
        <v>0.05</v>
      </c>
      <c r="I63" s="2736">
        <f>H63*(M28+M8)</f>
        <v>0</v>
      </c>
      <c r="J63" s="2402">
        <v>0</v>
      </c>
      <c r="K63" s="2403">
        <f>TVA0</f>
        <v>0</v>
      </c>
      <c r="L63" s="2404">
        <f>I63*K63</f>
        <v>0</v>
      </c>
      <c r="M63" s="2752">
        <f>I63+L63</f>
        <v>0</v>
      </c>
      <c r="N63" s="2405">
        <f>I63/$G$3</f>
        <v>0</v>
      </c>
      <c r="O63" s="2406">
        <f>I63/$G$2</f>
        <v>0</v>
      </c>
      <c r="P63" s="2302"/>
      <c r="Q63" s="2818">
        <f t="shared" ref="Q63:Q64" si="58">N63*$R$3</f>
        <v>0</v>
      </c>
      <c r="R63" s="2819">
        <f>Q63*$K63</f>
        <v>0</v>
      </c>
      <c r="S63" s="2820">
        <f>Q63+R63</f>
        <v>0</v>
      </c>
      <c r="T63" s="2305"/>
      <c r="U63" s="2818">
        <f t="shared" ref="U63:U64" si="59">$V$3*N63</f>
        <v>0</v>
      </c>
      <c r="V63" s="2819">
        <f>U63*$K63</f>
        <v>0</v>
      </c>
      <c r="W63" s="2820">
        <f>U63+V63</f>
        <v>0</v>
      </c>
      <c r="X63" s="2305"/>
      <c r="Y63" s="2818">
        <f t="shared" ref="Y63:Y64" si="60">$Z$3*I63</f>
        <v>0</v>
      </c>
      <c r="Z63" s="2819">
        <f>Y63*$K63</f>
        <v>0</v>
      </c>
      <c r="AA63" s="2820">
        <f>Y63+Z63</f>
        <v>0</v>
      </c>
      <c r="AB63" s="2305"/>
      <c r="AC63" s="2818">
        <f t="shared" ref="AC63:AC64" si="61">$AD$3*N63</f>
        <v>0</v>
      </c>
      <c r="AD63" s="2819">
        <f>AC63*$K63</f>
        <v>0</v>
      </c>
      <c r="AE63" s="2821">
        <f>AC63+AD63</f>
        <v>0</v>
      </c>
      <c r="AF63" s="2822">
        <f>M63-(S63+W63+AA63+AE63)</f>
        <v>0</v>
      </c>
      <c r="AG63" s="2284"/>
      <c r="AH63" s="2823">
        <v>0</v>
      </c>
      <c r="AI63" s="2824">
        <v>0</v>
      </c>
      <c r="AJ63" s="2307"/>
      <c r="AK63" s="2825"/>
      <c r="AL63" s="2826"/>
      <c r="AM63" s="2814">
        <f>AK63*$K63</f>
        <v>0</v>
      </c>
      <c r="AN63" s="2827">
        <f>AK63+AM63</f>
        <v>0</v>
      </c>
      <c r="AO63" s="2308"/>
      <c r="AP63" s="2828">
        <f>I63-AH63</f>
        <v>0</v>
      </c>
      <c r="AQ63" s="2829">
        <f>I63-AK63</f>
        <v>0</v>
      </c>
      <c r="AR63" s="2287"/>
    </row>
    <row r="64" spans="1:44" ht="15.95" customHeight="1" outlineLevel="2">
      <c r="A64" s="2502">
        <v>33620</v>
      </c>
      <c r="B64" s="2411" t="s">
        <v>221</v>
      </c>
      <c r="C64" s="2503">
        <v>490</v>
      </c>
      <c r="D64" s="2399"/>
      <c r="E64" s="2400" t="s">
        <v>222</v>
      </c>
      <c r="F64" s="557" t="s">
        <v>223</v>
      </c>
      <c r="G64" s="2504"/>
      <c r="H64" s="2413"/>
      <c r="I64" s="2736"/>
      <c r="J64" s="2402"/>
      <c r="K64" s="2403">
        <f>TVA0</f>
        <v>0</v>
      </c>
      <c r="L64" s="2404">
        <f>I64*K64</f>
        <v>0</v>
      </c>
      <c r="M64" s="2752">
        <f>I64+L64</f>
        <v>0</v>
      </c>
      <c r="N64" s="2405">
        <f>I64/$G$3</f>
        <v>0</v>
      </c>
      <c r="O64" s="2406">
        <f>I64/$G$2</f>
        <v>0</v>
      </c>
      <c r="P64" s="2302"/>
      <c r="Q64" s="2818">
        <f t="shared" si="58"/>
        <v>0</v>
      </c>
      <c r="R64" s="2819">
        <f>Q64*$K64</f>
        <v>0</v>
      </c>
      <c r="S64" s="2820">
        <f>Q64+R64</f>
        <v>0</v>
      </c>
      <c r="T64" s="2305"/>
      <c r="U64" s="2818">
        <f t="shared" si="59"/>
        <v>0</v>
      </c>
      <c r="V64" s="2819">
        <f>U64*$K64</f>
        <v>0</v>
      </c>
      <c r="W64" s="2820">
        <f>U64+V64</f>
        <v>0</v>
      </c>
      <c r="X64" s="2305"/>
      <c r="Y64" s="2818">
        <f t="shared" si="60"/>
        <v>0</v>
      </c>
      <c r="Z64" s="2819">
        <f>Y64*$K64</f>
        <v>0</v>
      </c>
      <c r="AA64" s="2820">
        <f>Y64+Z64</f>
        <v>0</v>
      </c>
      <c r="AB64" s="2305"/>
      <c r="AC64" s="2818">
        <f t="shared" si="61"/>
        <v>0</v>
      </c>
      <c r="AD64" s="2819">
        <f>AC64*$K64</f>
        <v>0</v>
      </c>
      <c r="AE64" s="2821">
        <f>AC64+AD64</f>
        <v>0</v>
      </c>
      <c r="AF64" s="2822">
        <f t="shared" ref="AF64:AF71" si="62">M64-(S64+W64+AA64+AE64)</f>
        <v>0</v>
      </c>
      <c r="AG64" s="2284"/>
      <c r="AH64" s="2823">
        <v>0</v>
      </c>
      <c r="AI64" s="2824"/>
      <c r="AJ64" s="2307"/>
      <c r="AK64" s="2825">
        <v>0</v>
      </c>
      <c r="AL64" s="2826"/>
      <c r="AM64" s="2814">
        <f>AK64*$K64</f>
        <v>0</v>
      </c>
      <c r="AN64" s="2827">
        <f>AK64+AM64</f>
        <v>0</v>
      </c>
      <c r="AO64" s="2308"/>
      <c r="AP64" s="2828">
        <f>I64-AH64</f>
        <v>0</v>
      </c>
      <c r="AQ64" s="2829">
        <f>I64-AK64</f>
        <v>0</v>
      </c>
      <c r="AR64" s="2287"/>
    </row>
    <row r="65" spans="1:44" ht="15.95" customHeight="1" outlineLevel="1" collapsed="1">
      <c r="A65" s="2407">
        <v>33610</v>
      </c>
      <c r="B65" s="2505" t="s">
        <v>225</v>
      </c>
      <c r="C65" s="2379">
        <v>490</v>
      </c>
      <c r="D65" s="2380" t="s">
        <v>226</v>
      </c>
      <c r="E65" s="2380"/>
      <c r="F65" s="2381" t="s">
        <v>227</v>
      </c>
      <c r="G65" s="2382"/>
      <c r="H65" s="2383"/>
      <c r="I65" s="2735">
        <f>SUM(I66:I68)</f>
        <v>0</v>
      </c>
      <c r="J65" s="2384"/>
      <c r="K65" s="2403"/>
      <c r="L65" s="2386">
        <f>SUM(L66:L68)</f>
        <v>0</v>
      </c>
      <c r="M65" s="2751">
        <f>SUM(M66:M68)</f>
        <v>0</v>
      </c>
      <c r="N65" s="2451">
        <f>SUM(N66:N68)</f>
        <v>0</v>
      </c>
      <c r="O65" s="2452">
        <f>SUM(O66:O68)</f>
        <v>0</v>
      </c>
      <c r="P65" s="2302"/>
      <c r="Q65" s="2804">
        <f>SUM(Q66:Q68)</f>
        <v>0</v>
      </c>
      <c r="R65" s="2805">
        <f>SUM(R66:R68)</f>
        <v>0</v>
      </c>
      <c r="S65" s="2806">
        <f>SUM(S66:S68)</f>
        <v>0</v>
      </c>
      <c r="T65" s="2389"/>
      <c r="U65" s="2807">
        <f>SUM(U66:U68)</f>
        <v>0</v>
      </c>
      <c r="V65" s="2805">
        <f>SUM(V66:V68)</f>
        <v>0</v>
      </c>
      <c r="W65" s="2806">
        <f>SUM(W66:W68)</f>
        <v>0</v>
      </c>
      <c r="X65" s="2305"/>
      <c r="Y65" s="2807">
        <f>SUM(Y66:Y68)</f>
        <v>0</v>
      </c>
      <c r="Z65" s="2805">
        <f>SUM(Z66:Z68)</f>
        <v>0</v>
      </c>
      <c r="AA65" s="2806">
        <f>SUM(AA66:AA68)</f>
        <v>0</v>
      </c>
      <c r="AB65" s="2389"/>
      <c r="AC65" s="2807">
        <f>SUM(AC66:AC68)</f>
        <v>0</v>
      </c>
      <c r="AD65" s="2805">
        <f>SUM(AD66:AD68)</f>
        <v>0</v>
      </c>
      <c r="AE65" s="2808">
        <f>SUM(AE66:AE68)</f>
        <v>0</v>
      </c>
      <c r="AF65" s="2857">
        <f t="shared" si="62"/>
        <v>0</v>
      </c>
      <c r="AG65" s="2391"/>
      <c r="AH65" s="2810">
        <f>SUM(AH66:AH68)</f>
        <v>0</v>
      </c>
      <c r="AI65" s="2831"/>
      <c r="AJ65" s="2392"/>
      <c r="AK65" s="2812">
        <f>SUM(AK66:AK68)</f>
        <v>0</v>
      </c>
      <c r="AL65" s="2832"/>
      <c r="AM65" s="2814">
        <f>SUM(AM66:AM68)</f>
        <v>0</v>
      </c>
      <c r="AN65" s="2815">
        <f>SUM(AN66:AN68)</f>
        <v>0</v>
      </c>
      <c r="AO65" s="2393"/>
      <c r="AP65" s="2816">
        <f>SUM(AP66:AP68)</f>
        <v>0</v>
      </c>
      <c r="AQ65" s="2817">
        <f>SUM(AQ66:AQ68)</f>
        <v>0</v>
      </c>
      <c r="AR65" s="2287"/>
    </row>
    <row r="66" spans="1:44" ht="15.95" hidden="1" customHeight="1" outlineLevel="2">
      <c r="A66" s="2502">
        <v>33610</v>
      </c>
      <c r="B66" s="2454"/>
      <c r="C66" s="2503">
        <v>490</v>
      </c>
      <c r="D66" s="2399"/>
      <c r="E66" s="2400" t="s">
        <v>228</v>
      </c>
      <c r="F66" s="2465" t="s">
        <v>229</v>
      </c>
      <c r="G66" s="2504" t="s">
        <v>230</v>
      </c>
      <c r="H66" s="2476"/>
      <c r="I66" s="2736"/>
      <c r="J66" s="2402"/>
      <c r="K66" s="2403">
        <f>TVA0</f>
        <v>0</v>
      </c>
      <c r="L66" s="2404">
        <f>I66*K66</f>
        <v>0</v>
      </c>
      <c r="M66" s="2752">
        <f>I66+L66</f>
        <v>0</v>
      </c>
      <c r="N66" s="2405">
        <f>I66/$G$3</f>
        <v>0</v>
      </c>
      <c r="O66" s="2406">
        <f>I66/$G$2</f>
        <v>0</v>
      </c>
      <c r="P66" s="2302"/>
      <c r="Q66" s="2818">
        <f t="shared" ref="Q66:Q68" si="63">N66*$R$3</f>
        <v>0</v>
      </c>
      <c r="R66" s="2819">
        <f>Q66*$K66</f>
        <v>0</v>
      </c>
      <c r="S66" s="2820">
        <f>Q66+R66</f>
        <v>0</v>
      </c>
      <c r="T66" s="2305"/>
      <c r="U66" s="2818">
        <f t="shared" ref="U66:U68" si="64">$V$3*N66</f>
        <v>0</v>
      </c>
      <c r="V66" s="2819">
        <f>U66*$K66</f>
        <v>0</v>
      </c>
      <c r="W66" s="2820">
        <f>U66+V66</f>
        <v>0</v>
      </c>
      <c r="X66" s="2305"/>
      <c r="Y66" s="2818">
        <f t="shared" ref="Y66:Y68" si="65">$Z$3*I66</f>
        <v>0</v>
      </c>
      <c r="Z66" s="2819">
        <f>Y66*$K66</f>
        <v>0</v>
      </c>
      <c r="AA66" s="2820">
        <f>Y66+Z66</f>
        <v>0</v>
      </c>
      <c r="AB66" s="2305"/>
      <c r="AC66" s="2818">
        <f t="shared" ref="AC66:AC68" si="66">$AD$3*N66</f>
        <v>0</v>
      </c>
      <c r="AD66" s="2819">
        <f>AC66*$K66</f>
        <v>0</v>
      </c>
      <c r="AE66" s="2821">
        <f>AC66+AD66</f>
        <v>0</v>
      </c>
      <c r="AF66" s="2822">
        <f t="shared" si="62"/>
        <v>0</v>
      </c>
      <c r="AG66" s="2284"/>
      <c r="AH66" s="2823"/>
      <c r="AI66" s="2824"/>
      <c r="AJ66" s="2307"/>
      <c r="AK66" s="2825"/>
      <c r="AL66" s="2826"/>
      <c r="AM66" s="2814">
        <f>AK66*$K66</f>
        <v>0</v>
      </c>
      <c r="AN66" s="2827">
        <f>AK66+AM66</f>
        <v>0</v>
      </c>
      <c r="AO66" s="2308"/>
      <c r="AP66" s="2828">
        <f>I66-AH66</f>
        <v>0</v>
      </c>
      <c r="AQ66" s="2829">
        <f>I66-AK66</f>
        <v>0</v>
      </c>
      <c r="AR66" s="2287"/>
    </row>
    <row r="67" spans="1:44" ht="15.95" hidden="1" customHeight="1" outlineLevel="2">
      <c r="A67" s="2502">
        <v>33610</v>
      </c>
      <c r="B67" s="2454"/>
      <c r="C67" s="2503">
        <v>490</v>
      </c>
      <c r="D67" s="2399"/>
      <c r="E67" s="2400" t="s">
        <v>231</v>
      </c>
      <c r="F67" s="557" t="s">
        <v>232</v>
      </c>
      <c r="G67" s="2412"/>
      <c r="H67" s="2413"/>
      <c r="I67" s="2736"/>
      <c r="J67" s="2402">
        <v>0</v>
      </c>
      <c r="K67" s="2403">
        <f>TVA0</f>
        <v>0</v>
      </c>
      <c r="L67" s="2404">
        <f>I67*K67</f>
        <v>0</v>
      </c>
      <c r="M67" s="2752">
        <f>I67+L67</f>
        <v>0</v>
      </c>
      <c r="N67" s="2405">
        <f>I67/$G$3</f>
        <v>0</v>
      </c>
      <c r="O67" s="2406">
        <f>I67/$G$2</f>
        <v>0</v>
      </c>
      <c r="P67" s="2302"/>
      <c r="Q67" s="2818">
        <f t="shared" si="63"/>
        <v>0</v>
      </c>
      <c r="R67" s="2819">
        <f>Q67*$K67</f>
        <v>0</v>
      </c>
      <c r="S67" s="2820">
        <f>Q67+R67</f>
        <v>0</v>
      </c>
      <c r="T67" s="2305"/>
      <c r="U67" s="2818">
        <f t="shared" si="64"/>
        <v>0</v>
      </c>
      <c r="V67" s="2819">
        <f>U67*$K67</f>
        <v>0</v>
      </c>
      <c r="W67" s="2820">
        <f>U67+V67</f>
        <v>0</v>
      </c>
      <c r="X67" s="2305"/>
      <c r="Y67" s="2818">
        <f t="shared" si="65"/>
        <v>0</v>
      </c>
      <c r="Z67" s="2819">
        <f>Y67*$K67</f>
        <v>0</v>
      </c>
      <c r="AA67" s="2820">
        <f>Y67+Z67</f>
        <v>0</v>
      </c>
      <c r="AB67" s="2305"/>
      <c r="AC67" s="2818">
        <f t="shared" si="66"/>
        <v>0</v>
      </c>
      <c r="AD67" s="2819">
        <f>AC67*$K67</f>
        <v>0</v>
      </c>
      <c r="AE67" s="2821">
        <f>AC67+AD67</f>
        <v>0</v>
      </c>
      <c r="AF67" s="2822">
        <f t="shared" si="62"/>
        <v>0</v>
      </c>
      <c r="AG67" s="2284"/>
      <c r="AH67" s="2823">
        <v>0</v>
      </c>
      <c r="AI67" s="2824">
        <v>0</v>
      </c>
      <c r="AJ67" s="2307"/>
      <c r="AK67" s="2825">
        <v>0</v>
      </c>
      <c r="AL67" s="2826"/>
      <c r="AM67" s="2814">
        <f>AK67*$K67</f>
        <v>0</v>
      </c>
      <c r="AN67" s="2827">
        <f>AK67+AM67</f>
        <v>0</v>
      </c>
      <c r="AO67" s="2308"/>
      <c r="AP67" s="2828">
        <f>I67-AH67</f>
        <v>0</v>
      </c>
      <c r="AQ67" s="2829">
        <f>I67-AK67</f>
        <v>0</v>
      </c>
      <c r="AR67" s="2287"/>
    </row>
    <row r="68" spans="1:44" ht="15.95" hidden="1" customHeight="1" outlineLevel="2">
      <c r="A68" s="2502">
        <v>33610</v>
      </c>
      <c r="B68" s="2411"/>
      <c r="C68" s="2503">
        <v>490</v>
      </c>
      <c r="D68" s="2399"/>
      <c r="E68" s="2400" t="s">
        <v>233</v>
      </c>
      <c r="F68" s="557" t="s">
        <v>234</v>
      </c>
      <c r="G68" s="2504"/>
      <c r="H68" s="2413"/>
      <c r="I68" s="2736"/>
      <c r="J68" s="2402"/>
      <c r="K68" s="2403">
        <f>TVA0</f>
        <v>0</v>
      </c>
      <c r="L68" s="2404">
        <f>I68*K68</f>
        <v>0</v>
      </c>
      <c r="M68" s="2752">
        <f>I68+L68</f>
        <v>0</v>
      </c>
      <c r="N68" s="2405">
        <f>I68/$G$3</f>
        <v>0</v>
      </c>
      <c r="O68" s="2406">
        <f>I68/$G$2</f>
        <v>0</v>
      </c>
      <c r="P68" s="2302"/>
      <c r="Q68" s="2818">
        <f t="shared" si="63"/>
        <v>0</v>
      </c>
      <c r="R68" s="2819">
        <f>Q68*$K68</f>
        <v>0</v>
      </c>
      <c r="S68" s="2820">
        <f>Q68+R68</f>
        <v>0</v>
      </c>
      <c r="T68" s="2305"/>
      <c r="U68" s="2818">
        <f t="shared" si="64"/>
        <v>0</v>
      </c>
      <c r="V68" s="2819">
        <f>U68*$K68</f>
        <v>0</v>
      </c>
      <c r="W68" s="2820">
        <f>U68+V68</f>
        <v>0</v>
      </c>
      <c r="X68" s="2305"/>
      <c r="Y68" s="2818">
        <f t="shared" si="65"/>
        <v>0</v>
      </c>
      <c r="Z68" s="2819">
        <f>Y68*$K68</f>
        <v>0</v>
      </c>
      <c r="AA68" s="2820">
        <f>Y68+Z68</f>
        <v>0</v>
      </c>
      <c r="AB68" s="2305"/>
      <c r="AC68" s="2818">
        <f t="shared" si="66"/>
        <v>0</v>
      </c>
      <c r="AD68" s="2819">
        <f>AC68*$K68</f>
        <v>0</v>
      </c>
      <c r="AE68" s="2821">
        <f>AC68+AD68</f>
        <v>0</v>
      </c>
      <c r="AF68" s="2822">
        <f t="shared" si="62"/>
        <v>0</v>
      </c>
      <c r="AG68" s="2284"/>
      <c r="AH68" s="2823">
        <v>0</v>
      </c>
      <c r="AI68" s="2824"/>
      <c r="AJ68" s="2307"/>
      <c r="AK68" s="2825">
        <v>0</v>
      </c>
      <c r="AL68" s="2826"/>
      <c r="AM68" s="2814">
        <f>AK68*$K68</f>
        <v>0</v>
      </c>
      <c r="AN68" s="2827">
        <f>AK68+AM68</f>
        <v>0</v>
      </c>
      <c r="AO68" s="2308"/>
      <c r="AP68" s="2828">
        <f>I68-AH68</f>
        <v>0</v>
      </c>
      <c r="AQ68" s="2829">
        <f>I68-AK68</f>
        <v>0</v>
      </c>
      <c r="AR68" s="2287"/>
    </row>
    <row r="69" spans="1:44" ht="15.95" customHeight="1" outlineLevel="1" collapsed="1">
      <c r="A69" s="2407">
        <v>33680</v>
      </c>
      <c r="B69" s="2506" t="s">
        <v>237</v>
      </c>
      <c r="C69" s="2379">
        <v>490</v>
      </c>
      <c r="D69" s="2380" t="s">
        <v>238</v>
      </c>
      <c r="E69" s="2380"/>
      <c r="F69" s="2381" t="s">
        <v>239</v>
      </c>
      <c r="G69" s="2382"/>
      <c r="H69" s="2383"/>
      <c r="I69" s="2735">
        <f>SUM(I70:I71)</f>
        <v>0</v>
      </c>
      <c r="J69" s="2384"/>
      <c r="K69" s="2403"/>
      <c r="L69" s="2386">
        <f>SUM(L70:L71)</f>
        <v>0</v>
      </c>
      <c r="M69" s="2751">
        <f>SUM(M70:M71)</f>
        <v>0</v>
      </c>
      <c r="N69" s="2451">
        <f>SUM(N70:N71)</f>
        <v>0</v>
      </c>
      <c r="O69" s="2452">
        <f>SUM(O70:O71)</f>
        <v>0</v>
      </c>
      <c r="P69" s="2302"/>
      <c r="Q69" s="2804">
        <f>SUM(Q70:Q71)</f>
        <v>0</v>
      </c>
      <c r="R69" s="2805">
        <f>SUM(R70:R71)</f>
        <v>0</v>
      </c>
      <c r="S69" s="2806">
        <f>SUM(S70:S71)</f>
        <v>0</v>
      </c>
      <c r="T69" s="2389"/>
      <c r="U69" s="2807">
        <f>SUM(U70:U71)</f>
        <v>0</v>
      </c>
      <c r="V69" s="2805">
        <f>SUM(V70:V71)</f>
        <v>0</v>
      </c>
      <c r="W69" s="2806">
        <f>SUM(W70:W71)</f>
        <v>0</v>
      </c>
      <c r="X69" s="2305"/>
      <c r="Y69" s="2807">
        <f>SUM(Y70:Y71)</f>
        <v>0</v>
      </c>
      <c r="Z69" s="2805">
        <f>SUM(Z70:Z71)</f>
        <v>0</v>
      </c>
      <c r="AA69" s="2806">
        <f>SUM(AA70:AA71)</f>
        <v>0</v>
      </c>
      <c r="AB69" s="2389"/>
      <c r="AC69" s="2807">
        <f>SUM(AC70:AC71)</f>
        <v>0</v>
      </c>
      <c r="AD69" s="2805">
        <f>SUM(AD70:AD71)</f>
        <v>0</v>
      </c>
      <c r="AE69" s="2808">
        <f>SUM(AE70:AE71)</f>
        <v>0</v>
      </c>
      <c r="AF69" s="2857">
        <f t="shared" si="62"/>
        <v>0</v>
      </c>
      <c r="AG69" s="2391"/>
      <c r="AH69" s="2810">
        <f>SUM(AH70:AH71)</f>
        <v>0</v>
      </c>
      <c r="AI69" s="2831"/>
      <c r="AJ69" s="2392"/>
      <c r="AK69" s="2812">
        <f>SUM(AK70:AK71)</f>
        <v>0</v>
      </c>
      <c r="AL69" s="2832"/>
      <c r="AM69" s="2814">
        <f>SUM(AM70:AM71)</f>
        <v>0</v>
      </c>
      <c r="AN69" s="2815">
        <f>SUM(AN70:AN71)</f>
        <v>0</v>
      </c>
      <c r="AO69" s="2393"/>
      <c r="AP69" s="2816">
        <f>SUM(AP70:AP71)</f>
        <v>0</v>
      </c>
      <c r="AQ69" s="2817">
        <f>SUM(AQ70:AQ71)</f>
        <v>0</v>
      </c>
      <c r="AR69" s="2287"/>
    </row>
    <row r="70" spans="1:44" ht="15.95" hidden="1" customHeight="1" outlineLevel="2">
      <c r="A70" s="2502">
        <v>33680</v>
      </c>
      <c r="B70" s="2411"/>
      <c r="C70" s="2503">
        <v>490</v>
      </c>
      <c r="D70" s="2399"/>
      <c r="E70" s="2400" t="s">
        <v>240</v>
      </c>
      <c r="F70" s="557" t="s">
        <v>241</v>
      </c>
      <c r="G70" s="2412"/>
      <c r="H70" s="2476">
        <v>0</v>
      </c>
      <c r="I70" s="2736">
        <f>H70*(M28+M8)</f>
        <v>0</v>
      </c>
      <c r="J70" s="2402">
        <v>0</v>
      </c>
      <c r="K70" s="2403">
        <f>TVAN</f>
        <v>8.5000000000000006E-2</v>
      </c>
      <c r="L70" s="2404">
        <f>I70*K70</f>
        <v>0</v>
      </c>
      <c r="M70" s="2752">
        <f>I70+L70</f>
        <v>0</v>
      </c>
      <c r="N70" s="2405">
        <f>I70/$G$3</f>
        <v>0</v>
      </c>
      <c r="O70" s="2406">
        <f>I70/$G$2</f>
        <v>0</v>
      </c>
      <c r="P70" s="2302"/>
      <c r="Q70" s="2818">
        <f t="shared" ref="Q70:Q71" si="67">N70*$R$3</f>
        <v>0</v>
      </c>
      <c r="R70" s="2819">
        <f>Q70*$K70</f>
        <v>0</v>
      </c>
      <c r="S70" s="2820">
        <f>Q70+R70</f>
        <v>0</v>
      </c>
      <c r="T70" s="2305"/>
      <c r="U70" s="2818">
        <f t="shared" ref="U70:U71" si="68">$V$3*N70</f>
        <v>0</v>
      </c>
      <c r="V70" s="2819">
        <f>U70*$K70</f>
        <v>0</v>
      </c>
      <c r="W70" s="2820">
        <f>U70+V70</f>
        <v>0</v>
      </c>
      <c r="X70" s="2305"/>
      <c r="Y70" s="2818">
        <f t="shared" ref="Y70:Y71" si="69">$Z$3*I70</f>
        <v>0</v>
      </c>
      <c r="Z70" s="2819">
        <f>Y70*$K70</f>
        <v>0</v>
      </c>
      <c r="AA70" s="2820">
        <f>Y70+Z70</f>
        <v>0</v>
      </c>
      <c r="AB70" s="2305"/>
      <c r="AC70" s="2818">
        <f t="shared" ref="AC70:AC71" si="70">$AD$3*N70</f>
        <v>0</v>
      </c>
      <c r="AD70" s="2819">
        <f>AC70*$K70</f>
        <v>0</v>
      </c>
      <c r="AE70" s="2821">
        <f>AC70+AD70</f>
        <v>0</v>
      </c>
      <c r="AF70" s="2822">
        <f t="shared" si="62"/>
        <v>0</v>
      </c>
      <c r="AG70" s="2284"/>
      <c r="AH70" s="2823">
        <v>0</v>
      </c>
      <c r="AI70" s="2824"/>
      <c r="AJ70" s="2307"/>
      <c r="AK70" s="2825">
        <v>0</v>
      </c>
      <c r="AL70" s="2826"/>
      <c r="AM70" s="2814">
        <f>AK70*$K70</f>
        <v>0</v>
      </c>
      <c r="AN70" s="2827">
        <f>AK70+AM70</f>
        <v>0</v>
      </c>
      <c r="AO70" s="2308"/>
      <c r="AP70" s="2828">
        <f>I70-AH70</f>
        <v>0</v>
      </c>
      <c r="AQ70" s="2829">
        <f>I70-AK70</f>
        <v>0</v>
      </c>
      <c r="AR70" s="2287"/>
    </row>
    <row r="71" spans="1:44" ht="15.95" hidden="1" customHeight="1" outlineLevel="2">
      <c r="A71" s="2502">
        <v>33680</v>
      </c>
      <c r="B71" s="2411"/>
      <c r="C71" s="2503">
        <v>490</v>
      </c>
      <c r="D71" s="2399"/>
      <c r="E71" s="2400" t="s">
        <v>246</v>
      </c>
      <c r="F71" s="2465" t="s">
        <v>247</v>
      </c>
      <c r="G71" s="2412"/>
      <c r="H71" s="2413"/>
      <c r="I71" s="2736"/>
      <c r="J71" s="2402"/>
      <c r="K71" s="2403">
        <f>TVAN</f>
        <v>8.5000000000000006E-2</v>
      </c>
      <c r="L71" s="2404">
        <f>I71*K71</f>
        <v>0</v>
      </c>
      <c r="M71" s="2752">
        <f>I71+L71</f>
        <v>0</v>
      </c>
      <c r="N71" s="2405">
        <f>I71/$G$3</f>
        <v>0</v>
      </c>
      <c r="O71" s="2406">
        <f>I71/$G$2</f>
        <v>0</v>
      </c>
      <c r="P71" s="2302"/>
      <c r="Q71" s="2818">
        <f t="shared" si="67"/>
        <v>0</v>
      </c>
      <c r="R71" s="2819">
        <f>Q71*$K71</f>
        <v>0</v>
      </c>
      <c r="S71" s="2820">
        <f>Q71+R71</f>
        <v>0</v>
      </c>
      <c r="T71" s="2305"/>
      <c r="U71" s="2818">
        <f t="shared" si="68"/>
        <v>0</v>
      </c>
      <c r="V71" s="2819">
        <f>U71*$K71</f>
        <v>0</v>
      </c>
      <c r="W71" s="2820">
        <f>U71+V71</f>
        <v>0</v>
      </c>
      <c r="X71" s="2305"/>
      <c r="Y71" s="2818">
        <f t="shared" si="69"/>
        <v>0</v>
      </c>
      <c r="Z71" s="2819">
        <f>Y71*$K71</f>
        <v>0</v>
      </c>
      <c r="AA71" s="2820">
        <f>Y71+Z71</f>
        <v>0</v>
      </c>
      <c r="AB71" s="2305"/>
      <c r="AC71" s="2818">
        <f t="shared" si="70"/>
        <v>0</v>
      </c>
      <c r="AD71" s="2819">
        <f>AC71*$K71</f>
        <v>0</v>
      </c>
      <c r="AE71" s="2821">
        <f>AC71+AD71</f>
        <v>0</v>
      </c>
      <c r="AF71" s="2822">
        <f t="shared" si="62"/>
        <v>0</v>
      </c>
      <c r="AG71" s="2284"/>
      <c r="AH71" s="2823">
        <v>0</v>
      </c>
      <c r="AI71" s="2824">
        <v>0</v>
      </c>
      <c r="AJ71" s="2307"/>
      <c r="AK71" s="2825">
        <v>0</v>
      </c>
      <c r="AL71" s="2826"/>
      <c r="AM71" s="2814">
        <f>AK71*$K71</f>
        <v>0</v>
      </c>
      <c r="AN71" s="2827">
        <f>AK71+AM71</f>
        <v>0</v>
      </c>
      <c r="AO71" s="2308"/>
      <c r="AP71" s="2828">
        <f>I71-AH71</f>
        <v>0</v>
      </c>
      <c r="AQ71" s="2829">
        <f>I71-AK71</f>
        <v>0</v>
      </c>
      <c r="AR71" s="2287"/>
    </row>
    <row r="72" spans="1:44" s="2513" customFormat="1" ht="15.95" hidden="1" customHeight="1" outlineLevel="2">
      <c r="A72" s="2507"/>
      <c r="B72" s="2508"/>
      <c r="C72" s="2509"/>
      <c r="D72" s="2415"/>
      <c r="E72" s="2416"/>
      <c r="F72" s="2510"/>
      <c r="G72" s="2511"/>
      <c r="H72" s="2512"/>
      <c r="I72" s="2738"/>
      <c r="J72" s="2430"/>
      <c r="K72" s="2403"/>
      <c r="L72" s="2404"/>
      <c r="M72" s="2754"/>
      <c r="N72" s="2431"/>
      <c r="O72" s="2432"/>
      <c r="P72" s="2302"/>
      <c r="Q72" s="2843"/>
      <c r="R72" s="2819"/>
      <c r="S72" s="2844"/>
      <c r="T72" s="1216"/>
      <c r="U72" s="2843"/>
      <c r="V72" s="2819"/>
      <c r="W72" s="2844"/>
      <c r="X72" s="2305"/>
      <c r="Y72" s="2843"/>
      <c r="Z72" s="2819"/>
      <c r="AA72" s="2844"/>
      <c r="AB72" s="2305"/>
      <c r="AC72" s="2843"/>
      <c r="AD72" s="2819"/>
      <c r="AE72" s="2845"/>
      <c r="AF72" s="2822"/>
      <c r="AG72" s="2305"/>
      <c r="AH72" s="2846"/>
      <c r="AI72" s="2847"/>
      <c r="AJ72" s="2305"/>
      <c r="AK72" s="2848"/>
      <c r="AL72" s="2849"/>
      <c r="AM72" s="2814"/>
      <c r="AN72" s="2850"/>
      <c r="AO72" s="2308"/>
      <c r="AP72" s="2828"/>
      <c r="AQ72" s="2851"/>
      <c r="AR72" s="2287"/>
    </row>
    <row r="73" spans="1:44" s="2521" customFormat="1" ht="15.95" customHeight="1">
      <c r="A73" s="2350">
        <v>33690</v>
      </c>
      <c r="B73" s="2351" t="s">
        <v>359</v>
      </c>
      <c r="C73" s="2352">
        <v>499</v>
      </c>
      <c r="D73" s="2514"/>
      <c r="E73" s="2515"/>
      <c r="F73" s="2352" t="s">
        <v>979</v>
      </c>
      <c r="G73" s="2516"/>
      <c r="H73" s="3005" t="s">
        <v>980</v>
      </c>
      <c r="I73" s="2358">
        <f>-SUM(I75:I76)</f>
        <v>0</v>
      </c>
      <c r="J73" s="2359"/>
      <c r="K73" s="2360"/>
      <c r="L73" s="2435">
        <f>-SUM(L75:L76)</f>
        <v>0</v>
      </c>
      <c r="M73" s="2436">
        <f>-SUM(M75:M76)</f>
        <v>0</v>
      </c>
      <c r="N73" s="2437">
        <f>-SUM(N75:N76)</f>
        <v>0</v>
      </c>
      <c r="O73" s="2438">
        <f>-SUM(O75:O76)</f>
        <v>0</v>
      </c>
      <c r="P73" s="2517"/>
      <c r="Q73" s="2440">
        <f>-SUM(Q75:Q76)</f>
        <v>0</v>
      </c>
      <c r="R73" s="2852">
        <f>-SUM(R75:R76)</f>
        <v>0</v>
      </c>
      <c r="S73" s="2441">
        <f>-SUM(S75:S76)</f>
        <v>0</v>
      </c>
      <c r="T73" s="2518"/>
      <c r="U73" s="2440">
        <f>-SUM(U75:U76)</f>
        <v>0</v>
      </c>
      <c r="V73" s="2852">
        <f>-SUM(V75:V76)</f>
        <v>0</v>
      </c>
      <c r="W73" s="2441">
        <f>-SUM(W75:W76)</f>
        <v>0</v>
      </c>
      <c r="X73" s="2518"/>
      <c r="Y73" s="2440">
        <f>-SUM(Y75:Y76)</f>
        <v>0</v>
      </c>
      <c r="Z73" s="2852">
        <f>-SUM(Z75:Z76)</f>
        <v>0</v>
      </c>
      <c r="AA73" s="2441">
        <f>-SUM(AA75:AA76)</f>
        <v>0</v>
      </c>
      <c r="AB73" s="2518"/>
      <c r="AC73" s="2440">
        <f>-SUM(AC75:AC76)</f>
        <v>0</v>
      </c>
      <c r="AD73" s="2852">
        <f>-SUM(AD75:AD76)</f>
        <v>0</v>
      </c>
      <c r="AE73" s="2443">
        <f>-SUM(AE75:AE76)</f>
        <v>0</v>
      </c>
      <c r="AF73" s="2857">
        <f>M73-(S73+W73+AA73+AE73)</f>
        <v>0</v>
      </c>
      <c r="AG73" s="2518"/>
      <c r="AH73" s="2876">
        <f>-SUM(AH75:AH76)</f>
        <v>0</v>
      </c>
      <c r="AI73" s="2877"/>
      <c r="AJ73" s="2519"/>
      <c r="AK73" s="2445">
        <f>-SUM(AK75:AK76)</f>
        <v>0</v>
      </c>
      <c r="AL73" s="2856"/>
      <c r="AM73" s="2803"/>
      <c r="AN73" s="2373">
        <f>-SUM(AN75:AN76)</f>
        <v>0</v>
      </c>
      <c r="AO73" s="2519"/>
      <c r="AP73" s="2446">
        <f>-SUM(AP75:AP76)</f>
        <v>0</v>
      </c>
      <c r="AQ73" s="2447">
        <f>-SUM(AQ75:AQ76)</f>
        <v>0</v>
      </c>
      <c r="AR73" s="2520"/>
    </row>
    <row r="74" spans="1:44" s="2186" customFormat="1" ht="15.95" customHeight="1" outlineLevel="1">
      <c r="A74" s="2522"/>
      <c r="B74" s="2523"/>
      <c r="C74" s="2524"/>
      <c r="D74" s="2525"/>
      <c r="E74" s="2526"/>
      <c r="F74" s="2527"/>
      <c r="G74" s="2528"/>
      <c r="H74" s="3006"/>
      <c r="I74" s="2997"/>
      <c r="J74" s="2529"/>
      <c r="K74" s="2530"/>
      <c r="L74" s="2531"/>
      <c r="M74" s="2756"/>
      <c r="N74" s="2532"/>
      <c r="O74" s="2533"/>
      <c r="P74" s="2302"/>
      <c r="Q74" s="2878"/>
      <c r="R74" s="2879"/>
      <c r="S74" s="2880"/>
      <c r="T74" s="2305"/>
      <c r="U74" s="2878"/>
      <c r="V74" s="2879"/>
      <c r="W74" s="2880"/>
      <c r="X74" s="2305"/>
      <c r="Y74" s="2878"/>
      <c r="Z74" s="2879"/>
      <c r="AA74" s="2880"/>
      <c r="AB74" s="2305"/>
      <c r="AC74" s="2878"/>
      <c r="AD74" s="2879"/>
      <c r="AE74" s="2881"/>
      <c r="AF74" s="2882"/>
      <c r="AG74" s="2308"/>
      <c r="AH74" s="2883"/>
      <c r="AI74" s="2884"/>
      <c r="AJ74" s="2305"/>
      <c r="AK74" s="2885"/>
      <c r="AL74" s="2886"/>
      <c r="AM74" s="2887"/>
      <c r="AN74" s="2888"/>
      <c r="AO74" s="2308"/>
      <c r="AP74" s="2889"/>
      <c r="AQ74" s="2890"/>
      <c r="AR74" s="2534"/>
    </row>
    <row r="75" spans="1:44" ht="15.95" customHeight="1" outlineLevel="1">
      <c r="A75" s="2502">
        <v>33690</v>
      </c>
      <c r="B75" s="2397"/>
      <c r="C75" s="2398"/>
      <c r="D75" s="2399" t="s">
        <v>981</v>
      </c>
      <c r="E75" s="2400" t="s">
        <v>982</v>
      </c>
      <c r="F75" s="2465"/>
      <c r="G75" s="2470"/>
      <c r="H75" s="2476">
        <v>0</v>
      </c>
      <c r="I75" s="2736">
        <f>H75*(M25+M40)</f>
        <v>0</v>
      </c>
      <c r="J75" s="2402">
        <v>0</v>
      </c>
      <c r="K75" s="2403">
        <f>TVA0</f>
        <v>0</v>
      </c>
      <c r="L75" s="2404">
        <f>I75*K75</f>
        <v>0</v>
      </c>
      <c r="M75" s="2752">
        <f>I75+L75</f>
        <v>0</v>
      </c>
      <c r="N75" s="2405">
        <f>I75/$G$3</f>
        <v>0</v>
      </c>
      <c r="O75" s="2406">
        <f>I75/$G$2</f>
        <v>0</v>
      </c>
      <c r="P75" s="2302"/>
      <c r="Q75" s="2818">
        <f t="shared" ref="Q75:Q77" si="71">N75*$R$3</f>
        <v>0</v>
      </c>
      <c r="R75" s="2819">
        <f>Q75*$K75</f>
        <v>0</v>
      </c>
      <c r="S75" s="2820">
        <f>Q75+R75</f>
        <v>0</v>
      </c>
      <c r="T75" s="2305"/>
      <c r="U75" s="2818">
        <f t="shared" ref="U75:U76" si="72">$V$3*N75</f>
        <v>0</v>
      </c>
      <c r="V75" s="2819">
        <f>U75*$K75</f>
        <v>0</v>
      </c>
      <c r="W75" s="2820">
        <f>U75+V75</f>
        <v>0</v>
      </c>
      <c r="X75" s="2305"/>
      <c r="Y75" s="2818">
        <f t="shared" ref="Y75:Y76" si="73">$Z$3*I75</f>
        <v>0</v>
      </c>
      <c r="Z75" s="2819">
        <f>Y75*$K75</f>
        <v>0</v>
      </c>
      <c r="AA75" s="2820">
        <f>Y75+Z75</f>
        <v>0</v>
      </c>
      <c r="AB75" s="2305"/>
      <c r="AC75" s="2818">
        <f t="shared" ref="AC75:AC76" si="74">$AD$3*N75</f>
        <v>0</v>
      </c>
      <c r="AD75" s="2819">
        <f>AC75*$K75</f>
        <v>0</v>
      </c>
      <c r="AE75" s="2821">
        <f>AC75+AD75</f>
        <v>0</v>
      </c>
      <c r="AF75" s="2822">
        <f>M75-(S75+W75+AA75+AE75)</f>
        <v>0</v>
      </c>
      <c r="AG75" s="2284"/>
      <c r="AH75" s="2823"/>
      <c r="AI75" s="2824"/>
      <c r="AJ75" s="2307"/>
      <c r="AK75" s="2825">
        <v>0</v>
      </c>
      <c r="AL75" s="2826"/>
      <c r="AM75" s="2814">
        <f>AK75*$K75</f>
        <v>0</v>
      </c>
      <c r="AN75" s="2827">
        <f>AK75+AM75</f>
        <v>0</v>
      </c>
      <c r="AO75" s="2308"/>
      <c r="AP75" s="2828">
        <f>I75-AH75</f>
        <v>0</v>
      </c>
      <c r="AQ75" s="2829">
        <f>I75-AK75</f>
        <v>0</v>
      </c>
      <c r="AR75" s="2534"/>
    </row>
    <row r="76" spans="1:44" ht="15.95" customHeight="1" outlineLevel="1">
      <c r="A76" s="2502">
        <v>33690</v>
      </c>
      <c r="B76" s="2397"/>
      <c r="C76" s="2398"/>
      <c r="D76" s="2399" t="s">
        <v>981</v>
      </c>
      <c r="E76" s="2400" t="s">
        <v>983</v>
      </c>
      <c r="F76" s="2465" t="s">
        <v>984</v>
      </c>
      <c r="G76" s="2470"/>
      <c r="H76" s="2413"/>
      <c r="I76" s="2736"/>
      <c r="J76" s="2402">
        <v>0</v>
      </c>
      <c r="K76" s="2403">
        <f>TVA0</f>
        <v>0</v>
      </c>
      <c r="L76" s="2404">
        <f>I76*K76</f>
        <v>0</v>
      </c>
      <c r="M76" s="2752">
        <f>I76+L76</f>
        <v>0</v>
      </c>
      <c r="N76" s="2405">
        <f>I76/$G$3</f>
        <v>0</v>
      </c>
      <c r="O76" s="2406">
        <f>I76/$G$2</f>
        <v>0</v>
      </c>
      <c r="P76" s="2302"/>
      <c r="Q76" s="2818">
        <f t="shared" si="71"/>
        <v>0</v>
      </c>
      <c r="R76" s="2819">
        <f>Q76*$K76</f>
        <v>0</v>
      </c>
      <c r="S76" s="2820">
        <f>Q76+R76</f>
        <v>0</v>
      </c>
      <c r="T76" s="2305"/>
      <c r="U76" s="2818">
        <f t="shared" si="72"/>
        <v>0</v>
      </c>
      <c r="V76" s="2819">
        <f>U76*$K76</f>
        <v>0</v>
      </c>
      <c r="W76" s="2820">
        <f>U76+V76</f>
        <v>0</v>
      </c>
      <c r="X76" s="2305"/>
      <c r="Y76" s="2818">
        <f t="shared" si="73"/>
        <v>0</v>
      </c>
      <c r="Z76" s="2819">
        <f>Y76*$K76</f>
        <v>0</v>
      </c>
      <c r="AA76" s="2820">
        <f>Y76+Z76</f>
        <v>0</v>
      </c>
      <c r="AB76" s="2305"/>
      <c r="AC76" s="2818">
        <f t="shared" si="74"/>
        <v>0</v>
      </c>
      <c r="AD76" s="2819">
        <f>AC76*$K76</f>
        <v>0</v>
      </c>
      <c r="AE76" s="2821">
        <f>AC76+AD76</f>
        <v>0</v>
      </c>
      <c r="AF76" s="2822">
        <f>M76-(S76+W76+AA76+AE76)</f>
        <v>0</v>
      </c>
      <c r="AG76" s="2284"/>
      <c r="AH76" s="2823"/>
      <c r="AI76" s="2824">
        <v>0</v>
      </c>
      <c r="AJ76" s="2307"/>
      <c r="AK76" s="2825">
        <v>0</v>
      </c>
      <c r="AL76" s="2826"/>
      <c r="AM76" s="2814">
        <f>AK76*$K76</f>
        <v>0</v>
      </c>
      <c r="AN76" s="2827">
        <f>AK76+AM76</f>
        <v>0</v>
      </c>
      <c r="AO76" s="2308"/>
      <c r="AP76" s="2828">
        <f>I76-AH76</f>
        <v>0</v>
      </c>
      <c r="AQ76" s="2829">
        <f>I76-AK76</f>
        <v>0</v>
      </c>
      <c r="AR76" s="2534"/>
    </row>
    <row r="77" spans="1:44" ht="15.95" customHeight="1">
      <c r="A77" s="2312"/>
      <c r="B77" s="2414"/>
      <c r="C77" s="2495"/>
      <c r="D77" s="2415"/>
      <c r="E77" s="2415"/>
      <c r="F77" s="2510"/>
      <c r="G77" s="2429"/>
      <c r="H77" s="2413"/>
      <c r="I77" s="2738"/>
      <c r="J77" s="2430"/>
      <c r="K77" s="2403"/>
      <c r="L77" s="2404"/>
      <c r="M77" s="2754"/>
      <c r="N77" s="2431"/>
      <c r="O77" s="2432"/>
      <c r="P77" s="2302"/>
      <c r="Q77" s="2843">
        <f t="shared" si="71"/>
        <v>0</v>
      </c>
      <c r="R77" s="2819"/>
      <c r="S77" s="2844"/>
      <c r="T77" s="2305"/>
      <c r="U77" s="2843"/>
      <c r="V77" s="2819"/>
      <c r="W77" s="2844"/>
      <c r="X77" s="2305"/>
      <c r="Y77" s="2843"/>
      <c r="Z77" s="2819"/>
      <c r="AA77" s="2844"/>
      <c r="AB77" s="2305"/>
      <c r="AC77" s="2843"/>
      <c r="AD77" s="2819"/>
      <c r="AE77" s="2845"/>
      <c r="AF77" s="2822"/>
      <c r="AG77" s="2284"/>
      <c r="AH77" s="2846"/>
      <c r="AI77" s="2891"/>
      <c r="AJ77" s="2307"/>
      <c r="AK77" s="2848"/>
      <c r="AL77" s="2849"/>
      <c r="AM77" s="2814"/>
      <c r="AN77" s="2850"/>
      <c r="AO77" s="2308"/>
      <c r="AP77" s="2828"/>
      <c r="AQ77" s="2851"/>
      <c r="AR77" s="2287"/>
    </row>
    <row r="78" spans="1:44" s="2185" customFormat="1" ht="15.95" customHeight="1">
      <c r="A78" s="2535"/>
      <c r="B78" s="2536"/>
      <c r="C78" s="2537"/>
      <c r="D78" s="2538"/>
      <c r="E78" s="2538"/>
      <c r="F78" s="3389" t="s">
        <v>251</v>
      </c>
      <c r="G78" s="3390"/>
      <c r="H78" s="2539"/>
      <c r="I78" s="2358">
        <f>I8+I28+I61+I73</f>
        <v>0</v>
      </c>
      <c r="J78" s="2540"/>
      <c r="K78" s="2541"/>
      <c r="L78" s="2435">
        <f>L8+L28+L61+L73</f>
        <v>0</v>
      </c>
      <c r="M78" s="2436">
        <f>M8+M28+M61+M73</f>
        <v>0</v>
      </c>
      <c r="N78" s="2542">
        <f>N8+N28+N61+N73</f>
        <v>0</v>
      </c>
      <c r="O78" s="2543">
        <f>O8+O28+O61+O73</f>
        <v>0</v>
      </c>
      <c r="P78" s="2544"/>
      <c r="Q78" s="2545">
        <f>Q8+Q28+Q61+Q73</f>
        <v>0</v>
      </c>
      <c r="R78" s="2892">
        <f>R8+R28+R61+R73</f>
        <v>0</v>
      </c>
      <c r="S78" s="2546">
        <f>S8+S28+S61+S73</f>
        <v>0</v>
      </c>
      <c r="T78" s="2547"/>
      <c r="U78" s="2548">
        <f>U8+U28+U61+U73</f>
        <v>0</v>
      </c>
      <c r="V78" s="2892">
        <f>V8+V28+V61+V73</f>
        <v>0</v>
      </c>
      <c r="W78" s="2546">
        <f>W8+W28+W61+W73</f>
        <v>0</v>
      </c>
      <c r="X78" s="2369"/>
      <c r="Y78" s="2548">
        <f>Y8+Y28+Y61+Y73</f>
        <v>0</v>
      </c>
      <c r="Z78" s="2892">
        <f>Z8+Z28+Z61+Z73</f>
        <v>0</v>
      </c>
      <c r="AA78" s="2546">
        <f>AA8+AA28+AA61+AA73</f>
        <v>0</v>
      </c>
      <c r="AB78" s="2369"/>
      <c r="AC78" s="2548">
        <f>AC8+AC28+AC61+AC73</f>
        <v>0</v>
      </c>
      <c r="AD78" s="2892">
        <f>AD8+AD28+AD61+AD73</f>
        <v>0</v>
      </c>
      <c r="AE78" s="2546">
        <f>AE8+AE28+AE61+AE73</f>
        <v>0</v>
      </c>
      <c r="AF78" s="2893">
        <f>AF8+AF28+AF61+AF73</f>
        <v>0</v>
      </c>
      <c r="AG78" s="2549"/>
      <c r="AH78" s="2854">
        <f>AH8+AH28+AH61+AH73</f>
        <v>0</v>
      </c>
      <c r="AI78" s="2894"/>
      <c r="AJ78" s="2369"/>
      <c r="AK78" s="2876">
        <f>AK8+AK28+AK61+AK73</f>
        <v>0</v>
      </c>
      <c r="AL78" s="2895"/>
      <c r="AM78" s="2896"/>
      <c r="AN78" s="2897">
        <f>AN8+AN28+AN61+AN73</f>
        <v>0</v>
      </c>
      <c r="AO78" s="2550"/>
      <c r="AP78" s="2446">
        <f>AP8+AP28+AP61+AP73</f>
        <v>0</v>
      </c>
      <c r="AQ78" s="2447">
        <f>AQ8+AQ28+AQ61+AQ73</f>
        <v>0</v>
      </c>
      <c r="AR78" s="2376"/>
    </row>
    <row r="79" spans="1:44" ht="18" customHeight="1">
      <c r="A79" s="2551"/>
      <c r="B79" s="2552" t="s">
        <v>252</v>
      </c>
      <c r="C79" s="2553">
        <v>500</v>
      </c>
      <c r="D79" s="2554" t="s">
        <v>253</v>
      </c>
      <c r="E79" s="2555"/>
      <c r="F79" s="2556" t="s">
        <v>254</v>
      </c>
      <c r="G79" s="2557"/>
      <c r="H79" s="3007"/>
      <c r="I79" s="2739"/>
      <c r="J79" s="2558"/>
      <c r="K79" s="2403"/>
      <c r="L79" s="2559"/>
      <c r="M79" s="2757"/>
      <c r="N79" s="2560"/>
      <c r="O79" s="2561"/>
      <c r="P79" s="2562"/>
      <c r="Q79" s="2898"/>
      <c r="R79" s="2899"/>
      <c r="S79" s="2898"/>
      <c r="T79" s="2563"/>
      <c r="U79" s="2898"/>
      <c r="V79" s="2899"/>
      <c r="W79" s="2898"/>
      <c r="X79" s="2305"/>
      <c r="Y79" s="2898"/>
      <c r="Z79" s="2899"/>
      <c r="AA79" s="2898"/>
      <c r="AB79" s="2563"/>
      <c r="AC79" s="2898"/>
      <c r="AD79" s="2899"/>
      <c r="AE79" s="2900"/>
      <c r="AF79" s="2901"/>
      <c r="AG79" s="2518"/>
      <c r="AH79" s="2902"/>
      <c r="AI79" s="2903"/>
      <c r="AJ79" s="2519"/>
      <c r="AK79" s="2904"/>
      <c r="AL79" s="2859"/>
      <c r="AM79" s="2860"/>
      <c r="AN79" s="2861"/>
      <c r="AO79" s="2486"/>
      <c r="AP79" s="2905"/>
      <c r="AQ79" s="2906"/>
      <c r="AR79" s="2287"/>
    </row>
    <row r="80" spans="1:44" ht="15.95" customHeight="1" outlineLevel="1">
      <c r="A80" s="2312" t="s">
        <v>985</v>
      </c>
      <c r="B80" s="2564"/>
      <c r="C80" s="2565"/>
      <c r="D80" s="2566"/>
      <c r="E80" s="2565"/>
      <c r="F80" s="557" t="s">
        <v>986</v>
      </c>
      <c r="G80" s="2567"/>
      <c r="H80" s="2413"/>
      <c r="I80" s="2738"/>
      <c r="J80" s="2430"/>
      <c r="K80" s="2403"/>
      <c r="L80" s="2404"/>
      <c r="M80" s="2758">
        <f>L83-L78</f>
        <v>0</v>
      </c>
      <c r="N80" s="2431"/>
      <c r="O80" s="2432"/>
      <c r="P80" s="2302"/>
      <c r="Q80" s="2891"/>
      <c r="R80" s="2819"/>
      <c r="S80" s="2758">
        <f>R83-R78</f>
        <v>0</v>
      </c>
      <c r="T80" s="2305"/>
      <c r="U80" s="2891"/>
      <c r="V80" s="2819"/>
      <c r="W80" s="2758">
        <f>V83-V78</f>
        <v>0</v>
      </c>
      <c r="X80" s="2305"/>
      <c r="Y80" s="2891"/>
      <c r="Z80" s="2819"/>
      <c r="AA80" s="2758"/>
      <c r="AB80" s="2305"/>
      <c r="AC80" s="2891"/>
      <c r="AD80" s="2819"/>
      <c r="AE80" s="2758">
        <f>AD83-AD78</f>
        <v>0</v>
      </c>
      <c r="AF80" s="2907"/>
      <c r="AG80" s="2284"/>
      <c r="AH80" s="2746"/>
      <c r="AI80" s="2747"/>
      <c r="AJ80" s="2307"/>
      <c r="AK80" s="2846"/>
      <c r="AL80" s="2908"/>
      <c r="AM80" s="2814"/>
      <c r="AN80" s="2846"/>
      <c r="AO80" s="2308"/>
      <c r="AP80" s="2828"/>
      <c r="AQ80" s="2851"/>
      <c r="AR80" s="2287"/>
    </row>
    <row r="81" spans="1:46" ht="15.95" customHeight="1" thickBot="1">
      <c r="A81" s="2312"/>
      <c r="B81" s="2568"/>
      <c r="C81" s="2569"/>
      <c r="D81" s="2570"/>
      <c r="E81" s="2569"/>
      <c r="F81" s="2571"/>
      <c r="G81" s="2572"/>
      <c r="H81" s="2573"/>
      <c r="I81" s="2740"/>
      <c r="J81" s="2574"/>
      <c r="K81" s="2575"/>
      <c r="L81" s="2576"/>
      <c r="M81" s="2759"/>
      <c r="N81" s="2577"/>
      <c r="O81" s="2578"/>
      <c r="P81" s="2345"/>
      <c r="Q81" s="2909"/>
      <c r="R81" s="2910"/>
      <c r="S81" s="2909"/>
      <c r="T81" s="2579"/>
      <c r="U81" s="2909"/>
      <c r="V81" s="2910"/>
      <c r="W81" s="2909"/>
      <c r="X81" s="2346"/>
      <c r="Y81" s="2909"/>
      <c r="Z81" s="2910"/>
      <c r="AA81" s="2909"/>
      <c r="AB81" s="2346"/>
      <c r="AC81" s="2909"/>
      <c r="AD81" s="2910"/>
      <c r="AE81" s="2909"/>
      <c r="AF81" s="2911"/>
      <c r="AG81" s="2347"/>
      <c r="AH81" s="2912"/>
      <c r="AI81" s="2913"/>
      <c r="AJ81" s="2307"/>
      <c r="AK81" s="2912"/>
      <c r="AL81" s="2914"/>
      <c r="AM81" s="2915"/>
      <c r="AN81" s="2912"/>
      <c r="AO81" s="2308"/>
      <c r="AP81" s="2916"/>
      <c r="AQ81" s="2917"/>
      <c r="AR81" s="2287"/>
    </row>
    <row r="82" spans="1:46" ht="18" customHeight="1" thickBot="1">
      <c r="A82" s="2312"/>
      <c r="B82" s="2580"/>
      <c r="C82" s="2187"/>
      <c r="D82" s="2581"/>
      <c r="E82" s="2187"/>
      <c r="F82" s="2582" t="s">
        <v>987</v>
      </c>
      <c r="G82" s="2583"/>
      <c r="H82" s="2413"/>
      <c r="I82" s="2998">
        <f>I83-I78</f>
        <v>0</v>
      </c>
      <c r="J82" s="2584"/>
      <c r="K82" s="2585"/>
      <c r="L82" s="2586">
        <f>L83-(L78+M80)</f>
        <v>0</v>
      </c>
      <c r="M82" s="2741">
        <f>M83-(M78+M80)</f>
        <v>0</v>
      </c>
      <c r="N82" s="2587"/>
      <c r="O82" s="2588"/>
      <c r="P82" s="2302"/>
      <c r="Q82" s="2918">
        <f>Q83-Q78</f>
        <v>0</v>
      </c>
      <c r="R82" s="2747"/>
      <c r="S82" s="2918">
        <f>S83-(S78+S80)</f>
        <v>0</v>
      </c>
      <c r="T82" s="2544"/>
      <c r="U82" s="2918">
        <f>U83-U78</f>
        <v>0</v>
      </c>
      <c r="V82" s="2747"/>
      <c r="W82" s="2918">
        <f>W83-(W78+W80)</f>
        <v>0</v>
      </c>
      <c r="X82" s="2305"/>
      <c r="Y82" s="2918">
        <f>Y83-Y78</f>
        <v>0</v>
      </c>
      <c r="Z82" s="2747"/>
      <c r="AA82" s="2918">
        <f>AA83</f>
        <v>0</v>
      </c>
      <c r="AB82" s="2305"/>
      <c r="AC82" s="2918">
        <f>AC83-AC78</f>
        <v>0</v>
      </c>
      <c r="AD82" s="2747"/>
      <c r="AE82" s="2918">
        <f>AE83-(AE78+AE80)</f>
        <v>0</v>
      </c>
      <c r="AF82" s="2919">
        <f>M82-(S82+W82+AA82+AE82)</f>
        <v>0</v>
      </c>
      <c r="AG82" s="2589"/>
      <c r="AH82" s="2920">
        <f>AH83</f>
        <v>0</v>
      </c>
      <c r="AI82" s="2921"/>
      <c r="AJ82" s="2305"/>
      <c r="AK82" s="2922">
        <f>AK83</f>
        <v>0</v>
      </c>
      <c r="AL82" s="2923"/>
      <c r="AM82" s="2924"/>
      <c r="AN82" s="2922">
        <f>AN83</f>
        <v>0</v>
      </c>
      <c r="AO82" s="2308"/>
      <c r="AP82" s="2746"/>
      <c r="AQ82" s="2746"/>
      <c r="AR82" s="2287"/>
    </row>
    <row r="83" spans="1:46" s="2185" customFormat="1" ht="15.95" customHeight="1" thickBot="1">
      <c r="A83" s="2535"/>
      <c r="B83" s="2590" t="s">
        <v>266</v>
      </c>
      <c r="C83" s="2591">
        <v>790</v>
      </c>
      <c r="D83" s="2592"/>
      <c r="E83" s="2593"/>
      <c r="F83" s="2594" t="s">
        <v>267</v>
      </c>
      <c r="G83" s="2595"/>
      <c r="H83" s="3008"/>
      <c r="I83" s="2999">
        <f>I84+I90</f>
        <v>0</v>
      </c>
      <c r="J83" s="2596"/>
      <c r="K83" s="2597"/>
      <c r="L83" s="2598">
        <f>L84+L90</f>
        <v>0</v>
      </c>
      <c r="M83" s="2599">
        <f>M84+M90</f>
        <v>0</v>
      </c>
      <c r="N83" s="2600"/>
      <c r="O83" s="2601"/>
      <c r="P83" s="2544"/>
      <c r="Q83" s="2602">
        <f>Q84+Q90</f>
        <v>0</v>
      </c>
      <c r="R83" s="2925">
        <f>R84+R90</f>
        <v>0</v>
      </c>
      <c r="S83" s="2603">
        <f>S84+S90</f>
        <v>0</v>
      </c>
      <c r="T83" s="2544"/>
      <c r="U83" s="2602">
        <f>U84+U90</f>
        <v>0</v>
      </c>
      <c r="V83" s="2925">
        <f>V84+V90</f>
        <v>0</v>
      </c>
      <c r="W83" s="2603">
        <f>W84+W90</f>
        <v>0</v>
      </c>
      <c r="X83" s="2544"/>
      <c r="Y83" s="2602">
        <f>Y84</f>
        <v>0</v>
      </c>
      <c r="Z83" s="2926">
        <f>Z84</f>
        <v>0</v>
      </c>
      <c r="AA83" s="2603">
        <f>AA84</f>
        <v>0</v>
      </c>
      <c r="AB83" s="2369"/>
      <c r="AC83" s="2602">
        <f>AC84+AC90</f>
        <v>0</v>
      </c>
      <c r="AD83" s="2925">
        <f>AD84+AD90</f>
        <v>0</v>
      </c>
      <c r="AE83" s="2603">
        <f>AE84+AE90</f>
        <v>0</v>
      </c>
      <c r="AF83" s="2927">
        <f>M83-(S83+W83+AA83+AE83)</f>
        <v>0</v>
      </c>
      <c r="AG83" s="2604"/>
      <c r="AH83" s="2928"/>
      <c r="AI83" s="2929"/>
      <c r="AJ83" s="2369"/>
      <c r="AK83" s="2605"/>
      <c r="AL83" s="2606"/>
      <c r="AM83" s="2930"/>
      <c r="AN83" s="2607"/>
      <c r="AO83" s="2608"/>
      <c r="AP83" s="2931"/>
      <c r="AQ83" s="2609"/>
      <c r="AR83" s="2376"/>
    </row>
    <row r="84" spans="1:46" s="2187" customFormat="1" ht="15.95" customHeight="1" thickBot="1">
      <c r="A84" s="2610"/>
      <c r="B84" s="2611" t="s">
        <v>988</v>
      </c>
      <c r="C84" s="2612"/>
      <c r="D84" s="2613"/>
      <c r="E84" s="2614"/>
      <c r="F84" s="2615" t="s">
        <v>989</v>
      </c>
      <c r="G84" s="2616"/>
      <c r="H84" s="2617"/>
      <c r="I84" s="2618">
        <f>SUM(I86:I89)</f>
        <v>0</v>
      </c>
      <c r="J84" s="2619"/>
      <c r="K84" s="2620"/>
      <c r="L84" s="2621">
        <f>SUM(L86:L89)</f>
        <v>0</v>
      </c>
      <c r="M84" s="2622">
        <f>SUM(M86:M89)</f>
        <v>0</v>
      </c>
      <c r="N84" s="2623"/>
      <c r="O84" s="2624"/>
      <c r="P84" s="2544"/>
      <c r="Q84" s="2932">
        <f>Q88+Q89</f>
        <v>0</v>
      </c>
      <c r="R84" s="2933">
        <f>R88+R89</f>
        <v>0</v>
      </c>
      <c r="S84" s="2932">
        <f>S88+S89</f>
        <v>0</v>
      </c>
      <c r="T84" s="2302"/>
      <c r="U84" s="2932">
        <f>U88+U89</f>
        <v>0</v>
      </c>
      <c r="V84" s="2933">
        <f>V88+V89</f>
        <v>0</v>
      </c>
      <c r="W84" s="2932">
        <f>SUM(W85:W89)</f>
        <v>0</v>
      </c>
      <c r="X84" s="2544"/>
      <c r="Y84" s="2932">
        <f>Y86+Y87</f>
        <v>0</v>
      </c>
      <c r="Z84" s="2934">
        <f>Z86+Z87</f>
        <v>0</v>
      </c>
      <c r="AA84" s="2932">
        <f>AA86+AA87</f>
        <v>0</v>
      </c>
      <c r="AB84" s="2625"/>
      <c r="AC84" s="2932">
        <f>SUM(AC86:AC89)</f>
        <v>0</v>
      </c>
      <c r="AD84" s="2932">
        <f>SUM(AD86:AD89)</f>
        <v>0</v>
      </c>
      <c r="AE84" s="2932">
        <f>SUM(AE85:AE89)</f>
        <v>0</v>
      </c>
      <c r="AF84" s="2927">
        <f>M84-(S84+W84+AA84+AE84)</f>
        <v>0</v>
      </c>
      <c r="AG84" s="2626"/>
      <c r="AH84" s="2935"/>
      <c r="AI84" s="2936"/>
      <c r="AJ84" s="2369"/>
      <c r="AK84" s="2627"/>
      <c r="AL84" s="2628"/>
      <c r="AM84" s="2937"/>
      <c r="AN84" s="2629"/>
      <c r="AO84" s="2608"/>
      <c r="AP84" s="2938"/>
      <c r="AQ84" s="2630"/>
      <c r="AR84" s="2376"/>
      <c r="AS84" s="2580"/>
    </row>
    <row r="85" spans="1:46" ht="15.95" customHeight="1">
      <c r="A85" s="2312"/>
      <c r="B85" s="2631"/>
      <c r="C85" s="2632"/>
      <c r="D85" s="2461"/>
      <c r="E85" s="2633"/>
      <c r="F85" s="2408"/>
      <c r="G85" s="2634"/>
      <c r="H85" s="2413"/>
      <c r="I85" s="2742"/>
      <c r="J85" s="2635"/>
      <c r="K85" s="2403"/>
      <c r="L85" s="2404"/>
      <c r="M85" s="2760"/>
      <c r="N85" s="2431"/>
      <c r="O85" s="2432"/>
      <c r="P85" s="2302"/>
      <c r="Q85" s="2939"/>
      <c r="R85" s="2940"/>
      <c r="S85" s="2939"/>
      <c r="T85" s="1249"/>
      <c r="U85" s="2941"/>
      <c r="V85" s="2940"/>
      <c r="W85" s="2939"/>
      <c r="X85" s="1249"/>
      <c r="Y85" s="2941"/>
      <c r="Z85" s="2940"/>
      <c r="AA85" s="2939"/>
      <c r="AB85" s="2305"/>
      <c r="AC85" s="2939"/>
      <c r="AD85" s="2942"/>
      <c r="AE85" s="2943"/>
      <c r="AF85" s="2907"/>
      <c r="AG85" s="2485"/>
      <c r="AH85" s="2944"/>
      <c r="AI85" s="2939"/>
      <c r="AJ85" s="2305"/>
      <c r="AK85" s="2848"/>
      <c r="AL85" s="2849"/>
      <c r="AM85" s="2814"/>
      <c r="AN85" s="2850"/>
      <c r="AO85" s="2308"/>
      <c r="AP85" s="2945"/>
      <c r="AQ85" s="2846"/>
      <c r="AR85" s="2287"/>
    </row>
    <row r="86" spans="1:46" ht="15.95" customHeight="1">
      <c r="A86" s="2396">
        <v>701200</v>
      </c>
      <c r="B86" s="2636"/>
      <c r="C86" s="2398">
        <v>739</v>
      </c>
      <c r="D86" s="2637">
        <v>734</v>
      </c>
      <c r="E86" s="2638"/>
      <c r="F86" s="557" t="s">
        <v>990</v>
      </c>
      <c r="G86" s="2639"/>
      <c r="H86" s="2640"/>
      <c r="I86" s="2743">
        <f>Q86+U86+Y86+AC86</f>
        <v>0</v>
      </c>
      <c r="J86" s="2635"/>
      <c r="K86" s="2403"/>
      <c r="L86" s="2404">
        <f>R86+V86+Z86+AD86</f>
        <v>0</v>
      </c>
      <c r="M86" s="2761">
        <f>I86+L86</f>
        <v>0</v>
      </c>
      <c r="N86" s="2641"/>
      <c r="O86" s="2642"/>
      <c r="P86" s="2302"/>
      <c r="Q86" s="2946"/>
      <c r="R86" s="2947"/>
      <c r="S86" s="2948"/>
      <c r="T86" s="1249"/>
      <c r="U86" s="2949"/>
      <c r="V86" s="2947"/>
      <c r="W86" s="2948"/>
      <c r="X86" s="1249"/>
      <c r="Y86" s="2949"/>
      <c r="Z86" s="2947"/>
      <c r="AA86" s="2948"/>
      <c r="AB86" s="2305"/>
      <c r="AC86" s="2950">
        <f>250*AD3*0</f>
        <v>0</v>
      </c>
      <c r="AD86" s="2951">
        <f>AC86*TVAN</f>
        <v>0</v>
      </c>
      <c r="AE86" s="2948">
        <f>AC86+AD86</f>
        <v>0</v>
      </c>
      <c r="AF86" s="2907">
        <f>M86-(S86+W86+AA86+AE86)</f>
        <v>0</v>
      </c>
      <c r="AG86" s="2589"/>
      <c r="AH86" s="2952"/>
      <c r="AI86" s="2939"/>
      <c r="AJ86" s="2305"/>
      <c r="AK86" s="2953">
        <v>0</v>
      </c>
      <c r="AL86" s="2826"/>
      <c r="AM86" s="2814">
        <f>AK86*$K86</f>
        <v>0</v>
      </c>
      <c r="AN86" s="2827">
        <f>AK86+AM86</f>
        <v>0</v>
      </c>
      <c r="AO86" s="2308"/>
      <c r="AP86" s="2828">
        <f>I86-AH86</f>
        <v>0</v>
      </c>
      <c r="AQ86" s="2954">
        <f>I86-AK86</f>
        <v>0</v>
      </c>
      <c r="AR86" s="2287"/>
    </row>
    <row r="87" spans="1:46" ht="15.95" customHeight="1">
      <c r="A87" s="2396">
        <v>701400</v>
      </c>
      <c r="B87" s="2636"/>
      <c r="C87" s="2398">
        <v>739</v>
      </c>
      <c r="D87" s="2637">
        <v>735</v>
      </c>
      <c r="E87" s="2638"/>
      <c r="F87" s="557" t="s">
        <v>991</v>
      </c>
      <c r="G87" s="2639"/>
      <c r="H87" s="2643"/>
      <c r="I87" s="2743">
        <f>Q87+U87+Y87+AC87</f>
        <v>0</v>
      </c>
      <c r="J87" s="2635"/>
      <c r="K87" s="2403"/>
      <c r="L87" s="2404">
        <f>R87+V87+Z87+AD87</f>
        <v>0</v>
      </c>
      <c r="M87" s="2761">
        <f>I87+L87</f>
        <v>0</v>
      </c>
      <c r="N87" s="2644"/>
      <c r="O87" s="2645"/>
      <c r="P87" s="2302"/>
      <c r="Q87" s="2946"/>
      <c r="R87" s="2955"/>
      <c r="S87" s="2948"/>
      <c r="T87" s="1249"/>
      <c r="U87" s="2949"/>
      <c r="V87" s="2955"/>
      <c r="W87" s="2948"/>
      <c r="X87" s="1249"/>
      <c r="Y87" s="2949"/>
      <c r="Z87" s="2947">
        <f>Y87*TVAS</f>
        <v>0</v>
      </c>
      <c r="AA87" s="2948">
        <f>Y87+Z87</f>
        <v>0</v>
      </c>
      <c r="AB87" s="2305"/>
      <c r="AC87" s="2950"/>
      <c r="AD87" s="2956"/>
      <c r="AE87" s="2948"/>
      <c r="AF87" s="2907">
        <f>M87-(S87+W87+AA87+AE87)</f>
        <v>0</v>
      </c>
      <c r="AG87" s="2485"/>
      <c r="AH87" s="2952"/>
      <c r="AI87" s="2939"/>
      <c r="AJ87" s="2305"/>
      <c r="AK87" s="2953">
        <v>0</v>
      </c>
      <c r="AL87" s="2826"/>
      <c r="AM87" s="2814">
        <f>AK87*$K87</f>
        <v>0</v>
      </c>
      <c r="AN87" s="2827">
        <f>AK87+AM87</f>
        <v>0</v>
      </c>
      <c r="AO87" s="2308"/>
      <c r="AP87" s="2828">
        <f>I87-AH87</f>
        <v>0</v>
      </c>
      <c r="AQ87" s="2954">
        <f>I87-AK87</f>
        <v>0</v>
      </c>
      <c r="AR87" s="2287"/>
    </row>
    <row r="88" spans="1:46" ht="15.95" customHeight="1">
      <c r="A88" s="2646" t="s">
        <v>992</v>
      </c>
      <c r="B88" s="2647"/>
      <c r="C88" s="2398">
        <v>739</v>
      </c>
      <c r="D88" s="2637">
        <v>737</v>
      </c>
      <c r="E88" s="2648"/>
      <c r="F88" s="557" t="s">
        <v>993</v>
      </c>
      <c r="G88" s="2649" t="s">
        <v>428</v>
      </c>
      <c r="H88" s="2650"/>
      <c r="I88" s="2743">
        <f>Q88+U88+Y88+AC88</f>
        <v>0</v>
      </c>
      <c r="J88" s="2635"/>
      <c r="K88" s="2651">
        <f>TVAS</f>
        <v>2.1000000000000001E-2</v>
      </c>
      <c r="L88" s="2404">
        <f>I88*K88</f>
        <v>0</v>
      </c>
      <c r="M88" s="2761">
        <f>I88+L88</f>
        <v>0</v>
      </c>
      <c r="N88" s="2641"/>
      <c r="O88" s="2652"/>
      <c r="P88" s="2302"/>
      <c r="Q88" s="2946">
        <f>'FRAFU AVS + LESG'!M80</f>
        <v>0</v>
      </c>
      <c r="R88" s="2951">
        <f>Q88*TVA0</f>
        <v>0</v>
      </c>
      <c r="S88" s="2948">
        <f>Q88+R88</f>
        <v>0</v>
      </c>
      <c r="T88" s="2653"/>
      <c r="U88" s="2949">
        <f>'FRAFU AVS + LESG'!M81</f>
        <v>0</v>
      </c>
      <c r="V88" s="2951">
        <f>U88*TVAS</f>
        <v>0</v>
      </c>
      <c r="W88" s="2948">
        <f>U88+V88</f>
        <v>0</v>
      </c>
      <c r="X88" s="1249"/>
      <c r="Y88" s="2949"/>
      <c r="Z88" s="2947"/>
      <c r="AA88" s="2948"/>
      <c r="AB88" s="2305"/>
      <c r="AC88" s="2950"/>
      <c r="AD88" s="2951"/>
      <c r="AE88" s="2948"/>
      <c r="AF88" s="2907">
        <f>M88-(S88+W88+AA88+AE88)</f>
        <v>0</v>
      </c>
      <c r="AG88" s="2589"/>
      <c r="AH88" s="2952"/>
      <c r="AI88" s="2939"/>
      <c r="AJ88" s="2305"/>
      <c r="AK88" s="2953"/>
      <c r="AL88" s="2826"/>
      <c r="AM88" s="2814">
        <f>AK88*$K88</f>
        <v>0</v>
      </c>
      <c r="AN88" s="2827">
        <f>AK88+AM88</f>
        <v>0</v>
      </c>
      <c r="AO88" s="2308"/>
      <c r="AP88" s="2828">
        <f>I88-AH88</f>
        <v>0</v>
      </c>
      <c r="AQ88" s="2954">
        <f>I88-AK88</f>
        <v>0</v>
      </c>
      <c r="AR88" s="2287"/>
      <c r="AT88" s="2456"/>
    </row>
    <row r="89" spans="1:46" s="2670" customFormat="1" ht="15.95" customHeight="1" thickBot="1">
      <c r="A89" s="2654" t="s">
        <v>994</v>
      </c>
      <c r="B89" s="2655"/>
      <c r="C89" s="2656">
        <v>739</v>
      </c>
      <c r="D89" s="2657">
        <v>738</v>
      </c>
      <c r="E89" s="2658"/>
      <c r="F89" s="2659" t="s">
        <v>995</v>
      </c>
      <c r="G89" s="2660" t="s">
        <v>996</v>
      </c>
      <c r="H89" s="2661"/>
      <c r="I89" s="2743">
        <f>Q89+U89+Y89+AC89</f>
        <v>0</v>
      </c>
      <c r="J89" s="2662"/>
      <c r="K89" s="2663"/>
      <c r="L89" s="2576">
        <f>R89+V89+Z89+AD89</f>
        <v>0</v>
      </c>
      <c r="M89" s="2762">
        <f>I89+L89</f>
        <v>0</v>
      </c>
      <c r="N89" s="2664"/>
      <c r="O89" s="2665"/>
      <c r="P89" s="2666"/>
      <c r="Q89" s="2957"/>
      <c r="R89" s="2958"/>
      <c r="S89" s="2959"/>
      <c r="T89" s="1249"/>
      <c r="U89" s="2960"/>
      <c r="V89" s="2961"/>
      <c r="W89" s="2959">
        <f>U89+V89</f>
        <v>0</v>
      </c>
      <c r="X89" s="2653"/>
      <c r="Y89" s="2960"/>
      <c r="Z89" s="2961"/>
      <c r="AA89" s="2959"/>
      <c r="AB89" s="2667"/>
      <c r="AC89" s="2962"/>
      <c r="AD89" s="2958">
        <f>AC89*TVAN</f>
        <v>0</v>
      </c>
      <c r="AE89" s="2959">
        <f>AC89+AD89</f>
        <v>0</v>
      </c>
      <c r="AF89" s="2963">
        <f>M89-(S89+W89+AA89+AE89)</f>
        <v>0</v>
      </c>
      <c r="AG89" s="2667"/>
      <c r="AH89" s="2964"/>
      <c r="AI89" s="2965"/>
      <c r="AJ89" s="2668"/>
      <c r="AK89" s="2966">
        <v>0</v>
      </c>
      <c r="AL89" s="2967"/>
      <c r="AM89" s="2968">
        <f>AK89*$K89</f>
        <v>0</v>
      </c>
      <c r="AN89" s="2969">
        <f>AK89+AM89</f>
        <v>0</v>
      </c>
      <c r="AO89" s="2668"/>
      <c r="AP89" s="2916">
        <f>I89-AH89</f>
        <v>0</v>
      </c>
      <c r="AQ89" s="2970">
        <f>I89-AK89</f>
        <v>0</v>
      </c>
      <c r="AR89" s="2669"/>
    </row>
    <row r="90" spans="1:46" s="2705" customFormat="1" ht="15.95" customHeight="1" outlineLevel="1">
      <c r="A90" s="2671"/>
      <c r="B90" s="2672"/>
      <c r="C90" s="2673"/>
      <c r="D90" s="2674"/>
      <c r="E90" s="2675"/>
      <c r="F90" s="2676"/>
      <c r="G90" s="2677"/>
      <c r="H90" s="2678"/>
      <c r="I90" s="2679">
        <f>I92+I94+I95</f>
        <v>0</v>
      </c>
      <c r="J90" s="2680"/>
      <c r="K90" s="2681"/>
      <c r="L90" s="2682">
        <f>L92+L94</f>
        <v>0</v>
      </c>
      <c r="M90" s="2683">
        <f>M92+M94+M95</f>
        <v>0</v>
      </c>
      <c r="N90" s="2684"/>
      <c r="O90" s="2685"/>
      <c r="P90" s="2302"/>
      <c r="Q90" s="2686">
        <f>Q92+Q94</f>
        <v>0</v>
      </c>
      <c r="R90" s="2687">
        <f>R92+R94</f>
        <v>0</v>
      </c>
      <c r="S90" s="2686">
        <f>S92+S94</f>
        <v>0</v>
      </c>
      <c r="T90" s="1249"/>
      <c r="U90" s="2688">
        <f>U92+U94+U95</f>
        <v>0</v>
      </c>
      <c r="V90" s="2689">
        <f>V92+V94</f>
        <v>0</v>
      </c>
      <c r="W90" s="2686">
        <f>W92+W94+W95</f>
        <v>0</v>
      </c>
      <c r="X90" s="1249"/>
      <c r="Y90" s="2690">
        <f>Y92+Y94</f>
        <v>0</v>
      </c>
      <c r="Z90" s="2691">
        <f>Z92+Z94</f>
        <v>0</v>
      </c>
      <c r="AA90" s="2692">
        <f>AA92+AA94</f>
        <v>0</v>
      </c>
      <c r="AB90" s="2693"/>
      <c r="AC90" s="2692">
        <f>AC92+AC94</f>
        <v>0</v>
      </c>
      <c r="AD90" s="2691">
        <f>AD92+AD94</f>
        <v>0</v>
      </c>
      <c r="AE90" s="2694">
        <f>AE92+AE94</f>
        <v>0</v>
      </c>
      <c r="AF90" s="2695"/>
      <c r="AG90" s="2696"/>
      <c r="AH90" s="2697"/>
      <c r="AI90" s="2692"/>
      <c r="AJ90" s="2693"/>
      <c r="AK90" s="2698"/>
      <c r="AL90" s="2698"/>
      <c r="AM90" s="2699"/>
      <c r="AN90" s="2700"/>
      <c r="AO90" s="2701"/>
      <c r="AP90" s="2702"/>
      <c r="AQ90" s="2703"/>
      <c r="AR90" s="2704"/>
      <c r="AT90" s="2706"/>
    </row>
    <row r="91" spans="1:46" ht="15.95" customHeight="1" outlineLevel="1">
      <c r="A91" s="2396">
        <v>701200</v>
      </c>
      <c r="B91" s="2636"/>
      <c r="C91" s="2398">
        <v>739</v>
      </c>
      <c r="D91" s="2637">
        <v>734</v>
      </c>
      <c r="E91" s="2638"/>
      <c r="F91" s="3391" t="s">
        <v>275</v>
      </c>
      <c r="G91" s="3392"/>
      <c r="H91" s="2640"/>
      <c r="I91" s="2744"/>
      <c r="J91" s="2635"/>
      <c r="K91" s="2403"/>
      <c r="L91" s="2404"/>
      <c r="M91" s="2760"/>
      <c r="N91" s="2641"/>
      <c r="O91" s="2642"/>
      <c r="P91" s="2302"/>
      <c r="Q91" s="2939"/>
      <c r="R91" s="2951"/>
      <c r="S91" s="2971"/>
      <c r="T91" s="1249"/>
      <c r="U91" s="2972"/>
      <c r="V91" s="2947"/>
      <c r="W91" s="2971"/>
      <c r="X91" s="1249"/>
      <c r="Y91" s="2972"/>
      <c r="Z91" s="2947"/>
      <c r="AA91" s="2971"/>
      <c r="AB91" s="2305"/>
      <c r="AC91" s="2973"/>
      <c r="AD91" s="2947"/>
      <c r="AE91" s="2971"/>
      <c r="AF91" s="2907">
        <f>M91-(S91+W91+AA91+AE91)</f>
        <v>0</v>
      </c>
      <c r="AG91" s="2589"/>
      <c r="AH91" s="2952"/>
      <c r="AI91" s="2939"/>
      <c r="AJ91" s="2305"/>
      <c r="AK91" s="2953"/>
      <c r="AL91" s="2953"/>
      <c r="AM91" s="2814"/>
      <c r="AN91" s="2850"/>
      <c r="AO91" s="2589"/>
      <c r="AP91" s="2974"/>
      <c r="AQ91" s="2975"/>
      <c r="AR91" s="2534"/>
    </row>
    <row r="92" spans="1:46" ht="15.95" customHeight="1" outlineLevel="1">
      <c r="A92" s="2396">
        <v>701400</v>
      </c>
      <c r="B92" s="2636"/>
      <c r="C92" s="2398">
        <v>739</v>
      </c>
      <c r="D92" s="2637">
        <v>735</v>
      </c>
      <c r="E92" s="2638"/>
      <c r="F92" s="2585" t="s">
        <v>997</v>
      </c>
      <c r="G92" s="2639" t="s">
        <v>998</v>
      </c>
      <c r="H92" s="2707"/>
      <c r="I92" s="2743">
        <f>LBU_FRAFU</f>
        <v>0</v>
      </c>
      <c r="J92" s="2635"/>
      <c r="K92" s="2403">
        <v>0</v>
      </c>
      <c r="L92" s="2404">
        <f>I92*K92</f>
        <v>0</v>
      </c>
      <c r="M92" s="2761">
        <f>I92+L92</f>
        <v>0</v>
      </c>
      <c r="N92" s="3011">
        <f>I92/$G$3</f>
        <v>0</v>
      </c>
      <c r="O92" s="3012">
        <f>I92/$G$2</f>
        <v>0</v>
      </c>
      <c r="P92" s="2302"/>
      <c r="Q92" s="2976">
        <f t="shared" ref="Q92" si="75">N92*$R$3</f>
        <v>0</v>
      </c>
      <c r="R92" s="2951">
        <v>0</v>
      </c>
      <c r="S92" s="2948"/>
      <c r="T92" s="2255"/>
      <c r="U92" s="2949">
        <f t="shared" ref="U92:U95" si="76">$V$3*N92</f>
        <v>0</v>
      </c>
      <c r="V92" s="2951">
        <v>0</v>
      </c>
      <c r="W92" s="2948">
        <f>U92</f>
        <v>0</v>
      </c>
      <c r="X92" s="2708"/>
      <c r="Y92" s="2949"/>
      <c r="Z92" s="2947"/>
      <c r="AA92" s="2948"/>
      <c r="AB92" s="2305"/>
      <c r="AC92" s="2976"/>
      <c r="AD92" s="2947"/>
      <c r="AE92" s="2948">
        <f>AC92</f>
        <v>0</v>
      </c>
      <c r="AF92" s="2907">
        <f>M92-(S92+W92+AA92+AE92)</f>
        <v>0</v>
      </c>
      <c r="AG92" s="2485"/>
      <c r="AH92" s="2952"/>
      <c r="AI92" s="2939"/>
      <c r="AJ92" s="2305"/>
      <c r="AK92" s="2953"/>
      <c r="AL92" s="2953"/>
      <c r="AM92" s="2814"/>
      <c r="AN92" s="2850"/>
      <c r="AO92" s="2589"/>
      <c r="AP92" s="2974"/>
      <c r="AQ92" s="2975"/>
      <c r="AR92" s="2534"/>
    </row>
    <row r="93" spans="1:46" ht="15.95" customHeight="1" outlineLevel="1">
      <c r="A93" s="2646" t="s">
        <v>992</v>
      </c>
      <c r="B93" s="2647"/>
      <c r="C93" s="2398">
        <v>739</v>
      </c>
      <c r="D93" s="2637">
        <v>737</v>
      </c>
      <c r="E93" s="2648"/>
      <c r="F93" s="3391" t="s">
        <v>999</v>
      </c>
      <c r="G93" s="3392"/>
      <c r="I93" s="2744"/>
      <c r="J93" s="2635"/>
      <c r="K93" s="2403"/>
      <c r="L93" s="2404"/>
      <c r="M93" s="2760"/>
      <c r="N93" s="3015"/>
      <c r="O93" s="3016"/>
      <c r="P93" s="2302"/>
      <c r="Q93" s="2977"/>
      <c r="R93" s="2947"/>
      <c r="S93" s="2971"/>
      <c r="T93" s="2255"/>
      <c r="U93" s="2978"/>
      <c r="V93" s="2951"/>
      <c r="W93" s="2971"/>
      <c r="X93" s="2708"/>
      <c r="Y93" s="2972"/>
      <c r="Z93" s="2947"/>
      <c r="AA93" s="2971"/>
      <c r="AB93" s="2305"/>
      <c r="AC93" s="2977"/>
      <c r="AD93" s="2947"/>
      <c r="AE93" s="2971"/>
      <c r="AF93" s="2907">
        <f>M93-(S93+W93+AA93+AE93)</f>
        <v>0</v>
      </c>
      <c r="AG93" s="2589"/>
      <c r="AH93" s="2952"/>
      <c r="AI93" s="2939"/>
      <c r="AJ93" s="2305"/>
      <c r="AK93" s="2953"/>
      <c r="AL93" s="2953"/>
      <c r="AM93" s="2814"/>
      <c r="AN93" s="2850"/>
      <c r="AO93" s="2589"/>
      <c r="AP93" s="2974"/>
      <c r="AQ93" s="2975"/>
      <c r="AR93" s="2534"/>
    </row>
    <row r="94" spans="1:46" ht="15.95" customHeight="1" outlineLevel="1">
      <c r="A94" s="2646" t="s">
        <v>994</v>
      </c>
      <c r="B94" s="2636"/>
      <c r="C94" s="2398">
        <v>739</v>
      </c>
      <c r="D94" s="2637">
        <v>738</v>
      </c>
      <c r="E94" s="2638"/>
      <c r="F94" s="557" t="s">
        <v>1000</v>
      </c>
      <c r="G94" s="2649" t="s">
        <v>428</v>
      </c>
      <c r="H94" s="2413"/>
      <c r="I94" s="2743"/>
      <c r="J94" s="2635"/>
      <c r="K94" s="2709">
        <f>TVAN</f>
        <v>8.5000000000000006E-2</v>
      </c>
      <c r="L94" s="2404">
        <f>I94*K94</f>
        <v>0</v>
      </c>
      <c r="M94" s="2761">
        <f>I94+L94</f>
        <v>0</v>
      </c>
      <c r="N94" s="2405">
        <f t="shared" ref="N94:N95" si="77">I94/$G$3</f>
        <v>0</v>
      </c>
      <c r="O94" s="2406">
        <f t="shared" ref="O94:O95" si="78">I94/$G$2</f>
        <v>0</v>
      </c>
      <c r="P94" s="2302"/>
      <c r="Q94" s="2976">
        <f t="shared" ref="Q94:Q95" si="79">N94*$R$3</f>
        <v>0</v>
      </c>
      <c r="R94" s="2979">
        <f>Q94*TVAN</f>
        <v>0</v>
      </c>
      <c r="S94" s="2948">
        <f>Q94+R94</f>
        <v>0</v>
      </c>
      <c r="T94" s="2708"/>
      <c r="U94" s="2949">
        <f t="shared" si="76"/>
        <v>0</v>
      </c>
      <c r="V94" s="2979">
        <f>U94*TVAN</f>
        <v>0</v>
      </c>
      <c r="W94" s="2948">
        <f>U94+V94</f>
        <v>0</v>
      </c>
      <c r="X94" s="2708"/>
      <c r="Y94" s="2949"/>
      <c r="Z94" s="2980"/>
      <c r="AA94" s="2948"/>
      <c r="AB94" s="2305"/>
      <c r="AC94" s="2976"/>
      <c r="AD94" s="2980"/>
      <c r="AE94" s="2948"/>
      <c r="AF94" s="2981">
        <f>M94-(S94+W94+AA94+AE94)</f>
        <v>0</v>
      </c>
      <c r="AG94" s="2485"/>
      <c r="AH94" s="2952"/>
      <c r="AI94" s="2939"/>
      <c r="AJ94" s="2305"/>
      <c r="AK94" s="2953"/>
      <c r="AL94" s="2953"/>
      <c r="AM94" s="2814"/>
      <c r="AN94" s="2850"/>
      <c r="AO94" s="2589"/>
      <c r="AP94" s="2974"/>
      <c r="AQ94" s="2975"/>
      <c r="AR94" s="2534"/>
    </row>
    <row r="95" spans="1:46" s="2722" customFormat="1" ht="15.95" customHeight="1" outlineLevel="1" thickBot="1">
      <c r="A95" s="2710"/>
      <c r="B95" s="2711"/>
      <c r="C95" s="2712"/>
      <c r="D95" s="2713"/>
      <c r="E95" s="2714"/>
      <c r="F95" s="2715" t="s">
        <v>1001</v>
      </c>
      <c r="G95" s="2716"/>
      <c r="H95" s="2573"/>
      <c r="I95" s="2745">
        <f>'FRAFU AVS + LESG'!D106</f>
        <v>0</v>
      </c>
      <c r="J95" s="2717"/>
      <c r="K95" s="2575">
        <v>0</v>
      </c>
      <c r="L95" s="2576">
        <f>I95*K95</f>
        <v>0</v>
      </c>
      <c r="M95" s="2762">
        <f>I95+L95</f>
        <v>0</v>
      </c>
      <c r="N95" s="3013">
        <f t="shared" si="77"/>
        <v>0</v>
      </c>
      <c r="O95" s="3014">
        <f t="shared" si="78"/>
        <v>0</v>
      </c>
      <c r="P95" s="2345"/>
      <c r="Q95" s="2982">
        <f t="shared" si="79"/>
        <v>0</v>
      </c>
      <c r="R95" s="2983"/>
      <c r="S95" s="2984"/>
      <c r="T95" s="2718"/>
      <c r="U95" s="2985">
        <f t="shared" si="76"/>
        <v>0</v>
      </c>
      <c r="V95" s="2983"/>
      <c r="W95" s="2984">
        <f>U95</f>
        <v>0</v>
      </c>
      <c r="X95" s="2718"/>
      <c r="Y95" s="2985"/>
      <c r="Z95" s="2986"/>
      <c r="AA95" s="2984"/>
      <c r="AB95" s="2346"/>
      <c r="AC95" s="2982"/>
      <c r="AD95" s="2986"/>
      <c r="AE95" s="2984"/>
      <c r="AF95" s="2911"/>
      <c r="AG95" s="2719"/>
      <c r="AH95" s="2964"/>
      <c r="AI95" s="2987"/>
      <c r="AJ95" s="2346"/>
      <c r="AK95" s="2988"/>
      <c r="AL95" s="2988"/>
      <c r="AM95" s="2915"/>
      <c r="AN95" s="2989"/>
      <c r="AO95" s="2720"/>
      <c r="AP95" s="2990"/>
      <c r="AQ95" s="2991"/>
      <c r="AR95" s="2721"/>
    </row>
    <row r="96" spans="1:46" ht="18" customHeight="1">
      <c r="B96" s="2288"/>
      <c r="C96" s="2288"/>
      <c r="D96" s="2288"/>
      <c r="E96" s="2288"/>
      <c r="F96" s="2724"/>
      <c r="G96" s="2725"/>
      <c r="H96" s="2725"/>
      <c r="I96" s="2746"/>
      <c r="J96" s="2288"/>
      <c r="K96" s="2726"/>
      <c r="L96" s="2288"/>
      <c r="M96" s="2747"/>
      <c r="N96" s="2288"/>
      <c r="O96" s="2288"/>
      <c r="P96" s="2288"/>
      <c r="Q96" s="2747">
        <v>130</v>
      </c>
      <c r="R96" s="2747"/>
      <c r="S96" s="2747"/>
      <c r="T96" s="2747"/>
      <c r="U96" s="2747">
        <v>115</v>
      </c>
      <c r="V96" s="2747"/>
      <c r="W96" s="2747"/>
      <c r="X96" s="2747"/>
      <c r="Y96" s="2747"/>
      <c r="Z96" s="2747"/>
      <c r="AA96" s="2747"/>
      <c r="AB96" s="2747"/>
      <c r="AC96" s="2747"/>
      <c r="AD96" s="2747"/>
      <c r="AE96" s="2747"/>
      <c r="AF96" s="2747"/>
      <c r="AG96" s="2747"/>
      <c r="AH96" s="2747"/>
      <c r="AI96" s="2747"/>
      <c r="AJ96" s="2992"/>
      <c r="AK96" s="2747"/>
      <c r="AL96" s="2747"/>
      <c r="AM96" s="2992"/>
      <c r="AN96" s="2747"/>
      <c r="AO96" s="2747"/>
      <c r="AP96" s="2747"/>
      <c r="AQ96" s="2747"/>
      <c r="AR96" s="2513"/>
    </row>
    <row r="97" spans="2:44" ht="18" customHeight="1">
      <c r="B97" s="2288"/>
      <c r="C97" s="2288"/>
      <c r="D97" s="2288"/>
      <c r="E97" s="2288"/>
      <c r="F97" s="2724"/>
      <c r="G97" s="2727" t="s">
        <v>572</v>
      </c>
      <c r="H97" s="2725"/>
      <c r="I97" s="2746">
        <f>I78-(I88+I92+I94)</f>
        <v>0</v>
      </c>
      <c r="J97" s="2288"/>
      <c r="K97" s="2726"/>
      <c r="L97" s="2288"/>
      <c r="M97" s="2747"/>
      <c r="N97" s="2288"/>
      <c r="O97" s="2288"/>
      <c r="P97" s="2288"/>
      <c r="Q97" s="2747"/>
      <c r="R97" s="2747"/>
      <c r="S97" s="2747"/>
      <c r="T97" s="2747"/>
      <c r="U97" s="2747"/>
      <c r="V97" s="2747"/>
      <c r="W97" s="2747"/>
      <c r="X97" s="2747"/>
      <c r="Y97" s="2747"/>
      <c r="Z97" s="2747"/>
      <c r="AA97" s="2747"/>
      <c r="AB97" s="2747"/>
      <c r="AC97" s="2747"/>
      <c r="AD97" s="2747"/>
      <c r="AE97" s="2747"/>
      <c r="AF97" s="2747"/>
      <c r="AG97" s="2747"/>
      <c r="AH97" s="2747"/>
      <c r="AI97" s="2747"/>
      <c r="AJ97" s="2992"/>
      <c r="AK97" s="2747"/>
      <c r="AL97" s="2747"/>
      <c r="AM97" s="2992"/>
      <c r="AN97" s="2747"/>
      <c r="AO97" s="2747"/>
      <c r="AP97" s="2747"/>
      <c r="AQ97" s="2747"/>
      <c r="AR97" s="2513"/>
    </row>
    <row r="98" spans="2:44" ht="18" customHeight="1">
      <c r="B98" s="2288"/>
      <c r="C98" s="2288"/>
      <c r="D98" s="2288"/>
      <c r="E98" s="2288"/>
      <c r="F98" s="2724"/>
      <c r="G98" s="2725"/>
      <c r="H98" s="2725"/>
      <c r="I98" s="2747"/>
      <c r="J98" s="2288"/>
      <c r="K98" s="2726"/>
      <c r="L98" s="2288"/>
      <c r="M98" s="2747"/>
      <c r="N98" s="2288"/>
      <c r="O98" s="2288"/>
      <c r="P98" s="2288"/>
      <c r="Q98" s="2747"/>
      <c r="R98" s="2747"/>
      <c r="S98" s="2747"/>
      <c r="T98" s="2747"/>
      <c r="U98" s="2747"/>
      <c r="V98" s="2747"/>
      <c r="W98" s="2747"/>
      <c r="X98" s="2747"/>
      <c r="Y98" s="2747"/>
      <c r="Z98" s="2747"/>
      <c r="AA98" s="2747"/>
      <c r="AB98" s="2747"/>
      <c r="AC98" s="2747"/>
      <c r="AD98" s="2747"/>
      <c r="AE98" s="2747"/>
      <c r="AF98" s="2747"/>
      <c r="AG98" s="2747"/>
      <c r="AH98" s="2747"/>
      <c r="AI98" s="2747"/>
      <c r="AJ98" s="2992"/>
      <c r="AK98" s="2747"/>
      <c r="AL98" s="2747"/>
      <c r="AM98" s="2992"/>
      <c r="AN98" s="2747"/>
      <c r="AO98" s="2747"/>
      <c r="AP98" s="2747"/>
      <c r="AQ98" s="2747"/>
      <c r="AR98" s="2513"/>
    </row>
    <row r="99" spans="2:44" ht="18" customHeight="1">
      <c r="B99" s="2288"/>
      <c r="C99" s="2288"/>
      <c r="D99" s="2288"/>
      <c r="E99" s="2288"/>
      <c r="F99" s="2724"/>
      <c r="G99" s="2725"/>
      <c r="H99" s="2725"/>
      <c r="I99" s="2747"/>
      <c r="J99" s="2288"/>
      <c r="K99" s="2726"/>
      <c r="L99" s="2288"/>
      <c r="M99" s="2747"/>
      <c r="N99" s="2288"/>
      <c r="O99" s="2288"/>
      <c r="P99" s="2288"/>
      <c r="Q99" s="2747"/>
      <c r="R99" s="2747"/>
      <c r="S99" s="2747"/>
      <c r="T99" s="2747"/>
      <c r="U99" s="2747"/>
      <c r="V99" s="2747"/>
      <c r="W99" s="2747"/>
      <c r="X99" s="2747"/>
      <c r="Y99" s="2747"/>
      <c r="Z99" s="2747"/>
      <c r="AA99" s="2747"/>
      <c r="AB99" s="2747"/>
      <c r="AC99" s="2747"/>
      <c r="AD99" s="2747"/>
      <c r="AE99" s="2747"/>
      <c r="AF99" s="2747"/>
      <c r="AG99" s="2747"/>
      <c r="AH99" s="2747"/>
      <c r="AI99" s="2747"/>
      <c r="AJ99" s="2992"/>
      <c r="AK99" s="2747"/>
      <c r="AL99" s="2747"/>
      <c r="AM99" s="2992"/>
      <c r="AN99" s="2747"/>
      <c r="AO99" s="2747"/>
      <c r="AP99" s="2747"/>
      <c r="AQ99" s="2747"/>
      <c r="AR99" s="2513"/>
    </row>
    <row r="100" spans="2:44" ht="18" customHeight="1">
      <c r="B100" s="2288"/>
      <c r="C100" s="2288"/>
      <c r="D100" s="2288"/>
      <c r="E100" s="2288"/>
      <c r="F100" s="2724"/>
      <c r="G100" s="2725"/>
      <c r="H100" s="2725"/>
      <c r="I100" s="2747"/>
      <c r="J100" s="2288"/>
      <c r="K100" s="2726"/>
      <c r="L100" s="2288"/>
      <c r="M100" s="2747"/>
      <c r="N100" s="2288"/>
      <c r="O100" s="2288"/>
      <c r="P100" s="2288"/>
      <c r="Q100" s="2747"/>
      <c r="R100" s="2747"/>
      <c r="S100" s="2747"/>
      <c r="T100" s="2747"/>
      <c r="U100" s="2747"/>
      <c r="V100" s="2747"/>
      <c r="W100" s="2747"/>
      <c r="X100" s="2747"/>
      <c r="Y100" s="2747"/>
      <c r="Z100" s="2747"/>
      <c r="AA100" s="2747"/>
      <c r="AB100" s="2747"/>
      <c r="AC100" s="2747"/>
      <c r="AD100" s="2747"/>
      <c r="AE100" s="2747"/>
      <c r="AF100" s="2747"/>
      <c r="AG100" s="2747"/>
      <c r="AH100" s="2747"/>
      <c r="AI100" s="2747"/>
      <c r="AJ100" s="2992"/>
      <c r="AK100" s="2747"/>
      <c r="AL100" s="2747"/>
      <c r="AM100" s="2992"/>
      <c r="AN100" s="2747"/>
      <c r="AO100" s="2747"/>
      <c r="AP100" s="2747"/>
      <c r="AQ100" s="2747"/>
      <c r="AR100" s="2513"/>
    </row>
    <row r="101" spans="2:44" ht="18" customHeight="1">
      <c r="B101" s="2288"/>
      <c r="C101" s="2288"/>
      <c r="D101" s="2288"/>
      <c r="E101" s="2288"/>
      <c r="F101" s="2724"/>
      <c r="G101" s="2725"/>
      <c r="H101" s="2725"/>
      <c r="I101" s="2747"/>
      <c r="J101" s="2288"/>
      <c r="K101" s="2726"/>
      <c r="L101" s="2288"/>
      <c r="M101" s="2747"/>
      <c r="N101" s="2288"/>
      <c r="O101" s="2288"/>
      <c r="P101" s="2288"/>
      <c r="Q101" s="2747"/>
      <c r="R101" s="2747"/>
      <c r="S101" s="2747"/>
      <c r="T101" s="2747"/>
      <c r="U101" s="2747"/>
      <c r="V101" s="2747"/>
      <c r="W101" s="2747"/>
      <c r="X101" s="2747"/>
      <c r="Y101" s="2747"/>
      <c r="Z101" s="2747"/>
      <c r="AA101" s="2747"/>
      <c r="AB101" s="2747"/>
      <c r="AC101" s="2747"/>
      <c r="AD101" s="2747"/>
      <c r="AE101" s="2747"/>
      <c r="AF101" s="2747"/>
      <c r="AG101" s="2747"/>
      <c r="AH101" s="2747"/>
      <c r="AI101" s="2747"/>
      <c r="AJ101" s="2992"/>
      <c r="AK101" s="2747"/>
      <c r="AL101" s="2747"/>
      <c r="AM101" s="2992"/>
      <c r="AN101" s="2747"/>
      <c r="AO101" s="2747"/>
      <c r="AP101" s="2747"/>
      <c r="AQ101" s="2747"/>
      <c r="AR101" s="2513"/>
    </row>
    <row r="102" spans="2:44" ht="18" customHeight="1">
      <c r="B102" s="2288"/>
      <c r="C102" s="2288"/>
      <c r="D102" s="2288"/>
      <c r="E102" s="2288"/>
      <c r="F102" s="2724"/>
      <c r="G102" s="2725"/>
      <c r="H102" s="2725"/>
      <c r="I102" s="2747"/>
      <c r="J102" s="2288"/>
      <c r="K102" s="2726"/>
      <c r="L102" s="2288"/>
      <c r="M102" s="2747"/>
      <c r="N102" s="2288"/>
      <c r="O102" s="2288"/>
      <c r="P102" s="2288"/>
      <c r="Q102" s="2747"/>
      <c r="R102" s="2747"/>
      <c r="S102" s="2747"/>
      <c r="T102" s="2747"/>
      <c r="U102" s="2747"/>
      <c r="V102" s="2747"/>
      <c r="W102" s="2747"/>
      <c r="X102" s="2747"/>
      <c r="Y102" s="2747"/>
      <c r="Z102" s="2747"/>
      <c r="AA102" s="2747"/>
      <c r="AB102" s="2747"/>
      <c r="AC102" s="2747"/>
      <c r="AD102" s="2747"/>
      <c r="AE102" s="2747"/>
      <c r="AF102" s="2747"/>
      <c r="AG102" s="2747"/>
      <c r="AH102" s="2747"/>
      <c r="AI102" s="2747"/>
      <c r="AJ102" s="2992"/>
      <c r="AK102" s="2747"/>
      <c r="AL102" s="2747"/>
      <c r="AM102" s="2992"/>
      <c r="AN102" s="2747"/>
      <c r="AO102" s="2747"/>
      <c r="AP102" s="2747"/>
      <c r="AQ102" s="2747"/>
      <c r="AR102" s="2513"/>
    </row>
    <row r="103" spans="2:44" ht="18" customHeight="1">
      <c r="B103" s="2728"/>
      <c r="C103" s="2728"/>
      <c r="D103" s="2728"/>
      <c r="E103" s="2728"/>
      <c r="G103" s="2512"/>
      <c r="I103" s="2748"/>
      <c r="J103" s="2728"/>
      <c r="L103" s="2728"/>
      <c r="M103" s="2748"/>
      <c r="N103" s="2728"/>
      <c r="O103" s="2728"/>
      <c r="P103" s="2728"/>
      <c r="Q103" s="2748"/>
      <c r="R103" s="2748"/>
      <c r="S103" s="2748"/>
      <c r="T103" s="2748"/>
      <c r="U103" s="2748"/>
      <c r="V103" s="2748"/>
      <c r="W103" s="2748"/>
      <c r="X103" s="2748"/>
      <c r="Y103" s="2748"/>
      <c r="Z103" s="2748"/>
      <c r="AA103" s="2748"/>
      <c r="AB103" s="2748"/>
      <c r="AC103" s="2748"/>
      <c r="AD103" s="2748"/>
      <c r="AE103" s="2748"/>
      <c r="AF103" s="2748"/>
      <c r="AG103" s="2748"/>
      <c r="AH103" s="2748"/>
      <c r="AI103" s="2748"/>
      <c r="AK103" s="2748"/>
      <c r="AL103" s="2748"/>
      <c r="AN103" s="2748"/>
      <c r="AO103" s="2748"/>
      <c r="AP103" s="2748"/>
    </row>
    <row r="104" spans="2:44" ht="18" customHeight="1">
      <c r="B104" s="2728"/>
      <c r="C104" s="2728"/>
      <c r="D104" s="2728"/>
      <c r="E104" s="2728"/>
      <c r="G104" s="2512"/>
      <c r="I104" s="2748"/>
      <c r="J104" s="2728"/>
      <c r="L104" s="2728"/>
      <c r="M104" s="2748"/>
      <c r="N104" s="2728"/>
      <c r="O104" s="2728"/>
      <c r="P104" s="2728"/>
      <c r="Q104" s="2748"/>
      <c r="R104" s="2748"/>
      <c r="S104" s="2748"/>
      <c r="T104" s="2748"/>
      <c r="U104" s="2748"/>
      <c r="V104" s="2748"/>
      <c r="W104" s="2748"/>
      <c r="X104" s="2748"/>
      <c r="Y104" s="2748"/>
      <c r="Z104" s="2748"/>
      <c r="AA104" s="2748"/>
      <c r="AB104" s="2748"/>
      <c r="AC104" s="2748"/>
      <c r="AD104" s="2748"/>
      <c r="AE104" s="2748"/>
      <c r="AF104" s="2748"/>
      <c r="AG104" s="2748"/>
      <c r="AH104" s="2748"/>
      <c r="AI104" s="2748"/>
      <c r="AK104" s="2748"/>
      <c r="AL104" s="2748"/>
      <c r="AN104" s="2748"/>
      <c r="AO104" s="2748"/>
      <c r="AP104" s="2748"/>
    </row>
    <row r="105" spans="2:44" ht="18" customHeight="1">
      <c r="B105" s="2728"/>
      <c r="C105" s="2728"/>
      <c r="D105" s="2728"/>
      <c r="E105" s="2728"/>
      <c r="G105" s="2512"/>
      <c r="I105" s="2748"/>
      <c r="J105" s="2728"/>
      <c r="L105" s="2728"/>
      <c r="M105" s="2748"/>
      <c r="N105" s="2728"/>
      <c r="O105" s="2728"/>
      <c r="P105" s="2728"/>
      <c r="Q105" s="2748"/>
      <c r="R105" s="2748"/>
      <c r="S105" s="2748"/>
      <c r="T105" s="2748"/>
      <c r="U105" s="2748"/>
      <c r="V105" s="2748"/>
      <c r="W105" s="2748"/>
      <c r="X105" s="2748"/>
      <c r="Y105" s="2748"/>
      <c r="Z105" s="2748"/>
      <c r="AA105" s="2748"/>
      <c r="AB105" s="2748"/>
      <c r="AC105" s="2748"/>
      <c r="AD105" s="2748"/>
      <c r="AE105" s="2748"/>
      <c r="AF105" s="2748"/>
      <c r="AG105" s="2748"/>
      <c r="AH105" s="2748"/>
      <c r="AI105" s="2748"/>
      <c r="AK105" s="2748"/>
      <c r="AL105" s="2748"/>
      <c r="AN105" s="2748"/>
      <c r="AO105" s="2748"/>
      <c r="AP105" s="2748"/>
    </row>
    <row r="106" spans="2:44" ht="18" customHeight="1">
      <c r="B106" s="2728"/>
      <c r="C106" s="2728"/>
      <c r="D106" s="2728"/>
      <c r="E106" s="2728"/>
      <c r="G106" s="2512"/>
      <c r="I106" s="2748"/>
      <c r="J106" s="2728"/>
      <c r="L106" s="2728"/>
      <c r="M106" s="2748"/>
      <c r="N106" s="2728"/>
      <c r="O106" s="2728"/>
      <c r="P106" s="2728"/>
      <c r="Q106" s="2748"/>
      <c r="R106" s="2748"/>
      <c r="S106" s="2748"/>
      <c r="T106" s="2748"/>
      <c r="U106" s="2748"/>
      <c r="V106" s="2748"/>
      <c r="W106" s="2748"/>
      <c r="X106" s="2748"/>
      <c r="Y106" s="2748"/>
      <c r="Z106" s="2748"/>
      <c r="AA106" s="2748"/>
      <c r="AB106" s="2748"/>
      <c r="AC106" s="2748"/>
      <c r="AD106" s="2748"/>
      <c r="AE106" s="2748"/>
      <c r="AF106" s="2748"/>
      <c r="AG106" s="2748"/>
      <c r="AH106" s="2748"/>
      <c r="AI106" s="2748"/>
      <c r="AK106" s="2748"/>
      <c r="AL106" s="2748"/>
      <c r="AN106" s="2748"/>
      <c r="AO106" s="2748"/>
      <c r="AP106" s="2748"/>
    </row>
    <row r="107" spans="2:44" ht="18" customHeight="1">
      <c r="B107" s="2728"/>
      <c r="C107" s="2728"/>
      <c r="D107" s="2728"/>
      <c r="E107" s="2728"/>
      <c r="G107" s="2512"/>
      <c r="I107" s="2748"/>
      <c r="J107" s="2728"/>
      <c r="L107" s="2728"/>
      <c r="M107" s="2748"/>
      <c r="N107" s="2728"/>
      <c r="O107" s="2728"/>
      <c r="P107" s="2728"/>
      <c r="Q107" s="2748"/>
      <c r="R107" s="2748"/>
      <c r="S107" s="2748"/>
      <c r="T107" s="2748"/>
      <c r="U107" s="2748"/>
      <c r="V107" s="2748"/>
      <c r="W107" s="2748"/>
      <c r="X107" s="2748"/>
      <c r="Y107" s="2748"/>
      <c r="Z107" s="2748"/>
      <c r="AA107" s="2748"/>
      <c r="AB107" s="2748"/>
      <c r="AC107" s="2748"/>
      <c r="AD107" s="2748"/>
      <c r="AE107" s="2748"/>
      <c r="AF107" s="2748"/>
      <c r="AG107" s="2748"/>
      <c r="AH107" s="2748"/>
      <c r="AI107" s="2748"/>
      <c r="AK107" s="2748"/>
      <c r="AL107" s="2748"/>
      <c r="AN107" s="2748"/>
      <c r="AO107" s="2748"/>
      <c r="AP107" s="2748"/>
    </row>
    <row r="108" spans="2:44" ht="18" customHeight="1">
      <c r="B108" s="2728"/>
      <c r="C108" s="2728"/>
      <c r="D108" s="2728"/>
      <c r="E108" s="2728"/>
      <c r="G108" s="2512"/>
      <c r="I108" s="2748"/>
      <c r="J108" s="2728"/>
      <c r="L108" s="2728"/>
      <c r="M108" s="2748"/>
      <c r="N108" s="2728"/>
      <c r="O108" s="2728"/>
      <c r="P108" s="2728"/>
      <c r="Q108" s="2748"/>
      <c r="R108" s="2748"/>
      <c r="S108" s="2748"/>
      <c r="T108" s="2748"/>
      <c r="U108" s="2748"/>
      <c r="V108" s="2748"/>
      <c r="W108" s="2748"/>
      <c r="X108" s="2748"/>
      <c r="Y108" s="2748"/>
      <c r="Z108" s="2748"/>
      <c r="AA108" s="2748"/>
      <c r="AB108" s="2748"/>
      <c r="AC108" s="2748"/>
      <c r="AD108" s="2748"/>
      <c r="AE108" s="2748"/>
      <c r="AF108" s="2748"/>
      <c r="AG108" s="2748"/>
      <c r="AH108" s="2748"/>
      <c r="AI108" s="2748"/>
      <c r="AK108" s="2748"/>
      <c r="AL108" s="2748"/>
      <c r="AN108" s="2748"/>
      <c r="AO108" s="2748"/>
      <c r="AP108" s="2748"/>
    </row>
    <row r="109" spans="2:44" ht="18" customHeight="1">
      <c r="B109" s="2728"/>
      <c r="C109" s="2728"/>
      <c r="D109" s="2728"/>
      <c r="E109" s="2728"/>
      <c r="G109" s="2512"/>
      <c r="I109" s="2748"/>
      <c r="J109" s="2728"/>
      <c r="L109" s="2728"/>
      <c r="M109" s="2748"/>
      <c r="N109" s="2728"/>
      <c r="O109" s="2728"/>
      <c r="P109" s="2728"/>
      <c r="Q109" s="2748"/>
      <c r="R109" s="2748"/>
      <c r="S109" s="2748"/>
      <c r="T109" s="2748"/>
      <c r="U109" s="2748"/>
      <c r="V109" s="2748"/>
      <c r="W109" s="2748"/>
      <c r="X109" s="2748"/>
      <c r="Y109" s="2748"/>
      <c r="Z109" s="2748"/>
      <c r="AA109" s="2748"/>
      <c r="AB109" s="2748"/>
      <c r="AC109" s="2748"/>
      <c r="AD109" s="2748"/>
      <c r="AE109" s="2748"/>
      <c r="AF109" s="2748"/>
      <c r="AG109" s="2748"/>
      <c r="AH109" s="2748"/>
      <c r="AI109" s="2748"/>
      <c r="AK109" s="2748"/>
      <c r="AL109" s="2748"/>
      <c r="AN109" s="2748"/>
      <c r="AO109" s="2748"/>
      <c r="AP109" s="2748"/>
    </row>
    <row r="110" spans="2:44" ht="18" customHeight="1">
      <c r="B110" s="2728"/>
      <c r="C110" s="2728"/>
      <c r="D110" s="2728"/>
      <c r="E110" s="2728"/>
      <c r="G110" s="2512"/>
      <c r="I110" s="2748"/>
      <c r="J110" s="2728"/>
      <c r="L110" s="2728"/>
      <c r="M110" s="2748"/>
      <c r="N110" s="2728"/>
      <c r="O110" s="2728"/>
      <c r="P110" s="2728"/>
      <c r="Q110" s="2748"/>
      <c r="R110" s="2748"/>
      <c r="S110" s="2748"/>
      <c r="T110" s="2748"/>
      <c r="U110" s="2748"/>
      <c r="V110" s="2748"/>
      <c r="W110" s="2748"/>
      <c r="X110" s="2748"/>
      <c r="Y110" s="2748"/>
      <c r="Z110" s="2748"/>
      <c r="AA110" s="2748"/>
      <c r="AB110" s="2748"/>
      <c r="AC110" s="2748"/>
      <c r="AD110" s="2748"/>
      <c r="AE110" s="2748"/>
      <c r="AF110" s="2748"/>
      <c r="AG110" s="2748"/>
      <c r="AH110" s="2748"/>
      <c r="AI110" s="2748"/>
      <c r="AK110" s="2748"/>
      <c r="AL110" s="2748"/>
      <c r="AN110" s="2748"/>
      <c r="AO110" s="2748"/>
      <c r="AP110" s="2748"/>
    </row>
    <row r="111" spans="2:44" ht="18" customHeight="1">
      <c r="B111" s="2728"/>
      <c r="C111" s="2728"/>
      <c r="D111" s="2728"/>
      <c r="E111" s="2728"/>
      <c r="G111" s="2512"/>
      <c r="I111" s="2748"/>
      <c r="J111" s="2728"/>
      <c r="L111" s="2728"/>
      <c r="M111" s="2748"/>
      <c r="N111" s="2728"/>
      <c r="O111" s="2728"/>
      <c r="P111" s="2728"/>
      <c r="Q111" s="2748"/>
      <c r="R111" s="2748"/>
      <c r="S111" s="2748"/>
      <c r="T111" s="2748"/>
      <c r="U111" s="2748"/>
      <c r="V111" s="2748"/>
      <c r="W111" s="2748"/>
      <c r="X111" s="2748"/>
      <c r="Y111" s="2748"/>
      <c r="Z111" s="2748"/>
      <c r="AA111" s="2748"/>
      <c r="AB111" s="2748"/>
      <c r="AC111" s="2748"/>
      <c r="AD111" s="2748"/>
      <c r="AE111" s="2748"/>
      <c r="AF111" s="2748"/>
      <c r="AG111" s="2748"/>
      <c r="AH111" s="2748"/>
      <c r="AI111" s="2748"/>
      <c r="AK111" s="2748"/>
      <c r="AL111" s="2748"/>
      <c r="AN111" s="2748"/>
      <c r="AO111" s="2748"/>
      <c r="AP111" s="2748"/>
    </row>
    <row r="112" spans="2:44" ht="18" customHeight="1">
      <c r="B112" s="2728"/>
      <c r="C112" s="2728"/>
      <c r="D112" s="2728"/>
      <c r="E112" s="2728"/>
      <c r="G112" s="2512"/>
      <c r="I112" s="2748"/>
      <c r="J112" s="2728"/>
      <c r="L112" s="2728"/>
      <c r="M112" s="2748"/>
      <c r="N112" s="2728"/>
      <c r="O112" s="2728"/>
      <c r="P112" s="2728"/>
      <c r="Q112" s="2748"/>
      <c r="R112" s="2748"/>
      <c r="S112" s="2748"/>
      <c r="T112" s="2748"/>
      <c r="U112" s="2748"/>
      <c r="V112" s="2748"/>
      <c r="W112" s="2748"/>
      <c r="X112" s="2748"/>
      <c r="Y112" s="2748"/>
      <c r="Z112" s="2748"/>
      <c r="AA112" s="2748"/>
      <c r="AB112" s="2748"/>
      <c r="AC112" s="2748"/>
      <c r="AD112" s="2748"/>
      <c r="AE112" s="2748"/>
      <c r="AF112" s="2748"/>
      <c r="AG112" s="2748"/>
      <c r="AH112" s="2748"/>
      <c r="AI112" s="2748"/>
      <c r="AK112" s="2748"/>
      <c r="AL112" s="2748"/>
      <c r="AN112" s="2748"/>
      <c r="AO112" s="2748"/>
      <c r="AP112" s="2748"/>
    </row>
    <row r="113" spans="2:42" ht="18" customHeight="1">
      <c r="B113" s="2728"/>
      <c r="C113" s="2728"/>
      <c r="D113" s="2728"/>
      <c r="E113" s="2728"/>
      <c r="G113" s="2512"/>
      <c r="I113" s="2748"/>
      <c r="J113" s="2728"/>
      <c r="L113" s="2728"/>
      <c r="M113" s="2748"/>
      <c r="N113" s="2728"/>
      <c r="O113" s="2728"/>
      <c r="P113" s="2728"/>
      <c r="Q113" s="2748"/>
      <c r="R113" s="2748"/>
      <c r="S113" s="2748"/>
      <c r="T113" s="2748"/>
      <c r="U113" s="2748"/>
      <c r="V113" s="2748"/>
      <c r="W113" s="2748"/>
      <c r="X113" s="2748"/>
      <c r="Y113" s="2748"/>
      <c r="Z113" s="2748"/>
      <c r="AA113" s="2748"/>
      <c r="AB113" s="2748"/>
      <c r="AC113" s="2748"/>
      <c r="AD113" s="2748"/>
      <c r="AE113" s="2748"/>
      <c r="AF113" s="2748"/>
      <c r="AG113" s="2748"/>
      <c r="AH113" s="2748"/>
      <c r="AI113" s="2748"/>
      <c r="AK113" s="2748"/>
      <c r="AL113" s="2748"/>
      <c r="AN113" s="2748"/>
      <c r="AO113" s="2748"/>
      <c r="AP113" s="2748"/>
    </row>
    <row r="114" spans="2:42" ht="18" customHeight="1">
      <c r="B114" s="2728"/>
      <c r="C114" s="2728"/>
      <c r="D114" s="2728"/>
      <c r="E114" s="2728"/>
      <c r="G114" s="2512"/>
      <c r="I114" s="2748"/>
      <c r="J114" s="2728"/>
      <c r="L114" s="2728"/>
      <c r="M114" s="2748"/>
      <c r="N114" s="2728"/>
      <c r="O114" s="2728"/>
      <c r="P114" s="2728"/>
      <c r="Q114" s="2748"/>
      <c r="R114" s="2748"/>
      <c r="S114" s="2748"/>
      <c r="T114" s="2748"/>
      <c r="U114" s="2748"/>
      <c r="V114" s="2748"/>
      <c r="W114" s="2748"/>
      <c r="X114" s="2748"/>
      <c r="Y114" s="2748"/>
      <c r="Z114" s="2748"/>
      <c r="AA114" s="2748"/>
      <c r="AB114" s="2748"/>
      <c r="AC114" s="2748"/>
      <c r="AD114" s="2748"/>
      <c r="AE114" s="2748"/>
      <c r="AF114" s="2748"/>
      <c r="AG114" s="2748"/>
      <c r="AH114" s="2748"/>
      <c r="AI114" s="2748"/>
      <c r="AK114" s="2748"/>
      <c r="AL114" s="2748"/>
      <c r="AN114" s="2748"/>
      <c r="AO114" s="2748"/>
      <c r="AP114" s="2748"/>
    </row>
    <row r="115" spans="2:42" ht="18" customHeight="1">
      <c r="B115" s="2728"/>
      <c r="C115" s="2728"/>
      <c r="D115" s="2728"/>
      <c r="E115" s="2728"/>
      <c r="G115" s="2512"/>
      <c r="I115" s="2748"/>
      <c r="J115" s="2728"/>
      <c r="L115" s="2728"/>
      <c r="M115" s="2748"/>
      <c r="N115" s="2728"/>
      <c r="O115" s="2728"/>
      <c r="P115" s="2728"/>
      <c r="Q115" s="2748"/>
      <c r="R115" s="2748"/>
      <c r="S115" s="2748"/>
      <c r="T115" s="2748"/>
      <c r="U115" s="2748"/>
      <c r="V115" s="2748"/>
      <c r="W115" s="2748"/>
      <c r="X115" s="2748"/>
      <c r="Y115" s="2748"/>
      <c r="Z115" s="2748"/>
      <c r="AA115" s="2748"/>
      <c r="AB115" s="2748"/>
      <c r="AC115" s="2748"/>
      <c r="AD115" s="2748"/>
      <c r="AE115" s="2748"/>
      <c r="AF115" s="2748"/>
      <c r="AG115" s="2748"/>
      <c r="AH115" s="2748"/>
      <c r="AI115" s="2748"/>
      <c r="AK115" s="2748"/>
      <c r="AL115" s="2748"/>
      <c r="AN115" s="2748"/>
      <c r="AO115" s="2748"/>
      <c r="AP115" s="2748"/>
    </row>
    <row r="116" spans="2:42" ht="18" customHeight="1">
      <c r="B116" s="2728"/>
      <c r="C116" s="2728"/>
      <c r="D116" s="2728"/>
      <c r="E116" s="2728"/>
      <c r="G116" s="2512"/>
      <c r="I116" s="2748"/>
      <c r="J116" s="2728"/>
      <c r="L116" s="2728"/>
      <c r="M116" s="2748"/>
      <c r="N116" s="2728"/>
      <c r="O116" s="2728"/>
      <c r="P116" s="2728"/>
      <c r="Q116" s="2748"/>
      <c r="R116" s="2748"/>
      <c r="S116" s="2748"/>
      <c r="T116" s="2748"/>
      <c r="U116" s="2748"/>
      <c r="V116" s="2748"/>
      <c r="W116" s="2748"/>
      <c r="X116" s="2748"/>
      <c r="Y116" s="2748"/>
      <c r="Z116" s="2748"/>
      <c r="AA116" s="2748"/>
      <c r="AB116" s="2748"/>
      <c r="AC116" s="2748"/>
      <c r="AD116" s="2748"/>
      <c r="AE116" s="2748"/>
      <c r="AF116" s="2748"/>
      <c r="AG116" s="2748"/>
      <c r="AH116" s="2748"/>
      <c r="AI116" s="2748"/>
      <c r="AK116" s="2748"/>
      <c r="AL116" s="2748"/>
      <c r="AN116" s="2748"/>
      <c r="AO116" s="2748"/>
      <c r="AP116" s="2748"/>
    </row>
    <row r="117" spans="2:42" ht="18" customHeight="1">
      <c r="B117" s="2728"/>
      <c r="C117" s="2728"/>
      <c r="D117" s="2728"/>
      <c r="E117" s="2728"/>
      <c r="G117" s="2512"/>
      <c r="I117" s="2748"/>
      <c r="J117" s="2728"/>
      <c r="L117" s="2728"/>
      <c r="M117" s="2748"/>
      <c r="N117" s="2728"/>
      <c r="O117" s="2728"/>
      <c r="P117" s="2728"/>
      <c r="Q117" s="2748"/>
      <c r="R117" s="2748"/>
      <c r="S117" s="2748"/>
      <c r="T117" s="2748"/>
      <c r="U117" s="2748"/>
      <c r="V117" s="2748"/>
      <c r="W117" s="2748"/>
      <c r="X117" s="2748"/>
      <c r="Y117" s="2748"/>
      <c r="Z117" s="2748"/>
      <c r="AA117" s="2748"/>
      <c r="AB117" s="2748"/>
      <c r="AC117" s="2748"/>
      <c r="AD117" s="2748"/>
      <c r="AE117" s="2748"/>
      <c r="AF117" s="2748"/>
      <c r="AG117" s="2748"/>
      <c r="AH117" s="2748"/>
      <c r="AI117" s="2748"/>
      <c r="AK117" s="2748"/>
      <c r="AL117" s="2748"/>
      <c r="AN117" s="2748"/>
      <c r="AO117" s="2748"/>
      <c r="AP117" s="2748"/>
    </row>
    <row r="118" spans="2:42" ht="18" customHeight="1">
      <c r="B118" s="2728"/>
      <c r="C118" s="2728"/>
      <c r="D118" s="2728"/>
      <c r="E118" s="2728"/>
      <c r="G118" s="2512"/>
      <c r="I118" s="2748"/>
      <c r="J118" s="2728"/>
      <c r="L118" s="2728"/>
      <c r="M118" s="2748"/>
      <c r="N118" s="2728"/>
      <c r="O118" s="2728"/>
      <c r="P118" s="2728"/>
      <c r="Q118" s="2748"/>
      <c r="R118" s="2748"/>
      <c r="S118" s="2748"/>
      <c r="T118" s="2748"/>
      <c r="U118" s="2748"/>
      <c r="V118" s="2748"/>
      <c r="W118" s="2748"/>
      <c r="X118" s="2748"/>
      <c r="Y118" s="2748"/>
      <c r="Z118" s="2748"/>
      <c r="AA118" s="2748"/>
      <c r="AB118" s="2748"/>
      <c r="AC118" s="2748"/>
      <c r="AD118" s="2748"/>
      <c r="AE118" s="2748"/>
      <c r="AF118" s="2748"/>
      <c r="AG118" s="2748"/>
      <c r="AH118" s="2748"/>
      <c r="AI118" s="2748"/>
      <c r="AK118" s="2748"/>
      <c r="AL118" s="2748"/>
      <c r="AN118" s="2748"/>
      <c r="AO118" s="2748"/>
      <c r="AP118" s="2748"/>
    </row>
    <row r="119" spans="2:42" ht="18" customHeight="1">
      <c r="B119" s="2728"/>
      <c r="C119" s="2728"/>
      <c r="D119" s="2728"/>
      <c r="E119" s="2728"/>
      <c r="G119" s="2512"/>
      <c r="I119" s="2748"/>
      <c r="J119" s="2728"/>
      <c r="L119" s="2728"/>
      <c r="M119" s="2748"/>
      <c r="N119" s="2728"/>
      <c r="O119" s="2728"/>
      <c r="P119" s="2728"/>
      <c r="Q119" s="2748"/>
      <c r="R119" s="2748"/>
      <c r="S119" s="2748"/>
      <c r="T119" s="2748"/>
      <c r="U119" s="2748"/>
      <c r="V119" s="2748"/>
      <c r="W119" s="2748"/>
      <c r="X119" s="2748"/>
      <c r="Y119" s="2748"/>
      <c r="Z119" s="2748"/>
      <c r="AA119" s="2748"/>
      <c r="AB119" s="2748"/>
      <c r="AC119" s="2748"/>
      <c r="AD119" s="2748"/>
      <c r="AE119" s="2748"/>
      <c r="AF119" s="2748"/>
      <c r="AG119" s="2748"/>
      <c r="AH119" s="2748"/>
      <c r="AI119" s="2748"/>
      <c r="AK119" s="2748"/>
      <c r="AL119" s="2748"/>
      <c r="AN119" s="2748"/>
      <c r="AO119" s="2748"/>
      <c r="AP119" s="2748"/>
    </row>
    <row r="120" spans="2:42" ht="18" customHeight="1">
      <c r="B120" s="2728"/>
      <c r="C120" s="2728"/>
      <c r="D120" s="2728"/>
      <c r="E120" s="2728"/>
      <c r="G120" s="2512"/>
      <c r="I120" s="2748"/>
      <c r="J120" s="2728"/>
      <c r="L120" s="2728"/>
      <c r="M120" s="2748"/>
      <c r="N120" s="2728"/>
      <c r="O120" s="2728"/>
      <c r="P120" s="2728"/>
      <c r="Q120" s="2748"/>
      <c r="R120" s="2748"/>
      <c r="S120" s="2748"/>
      <c r="T120" s="2748"/>
      <c r="U120" s="2748"/>
      <c r="V120" s="2748"/>
      <c r="W120" s="2748"/>
      <c r="X120" s="2748"/>
      <c r="Y120" s="2748"/>
      <c r="Z120" s="2748"/>
      <c r="AA120" s="2748"/>
      <c r="AB120" s="2748"/>
      <c r="AC120" s="2748"/>
      <c r="AD120" s="2748"/>
      <c r="AE120" s="2748"/>
      <c r="AF120" s="2748"/>
      <c r="AG120" s="2748"/>
      <c r="AH120" s="2748"/>
      <c r="AI120" s="2748"/>
      <c r="AK120" s="2748"/>
      <c r="AL120" s="2748"/>
      <c r="AN120" s="2748"/>
      <c r="AO120" s="2748"/>
      <c r="AP120" s="2748"/>
    </row>
    <row r="121" spans="2:42" ht="18" customHeight="1">
      <c r="B121" s="2728"/>
      <c r="C121" s="2728"/>
      <c r="D121" s="2728"/>
      <c r="E121" s="2728"/>
      <c r="G121" s="2512"/>
      <c r="I121" s="2748"/>
      <c r="J121" s="2728"/>
      <c r="L121" s="2728"/>
      <c r="M121" s="2748"/>
      <c r="N121" s="2728"/>
      <c r="O121" s="2728"/>
      <c r="P121" s="2728"/>
      <c r="Q121" s="2748"/>
      <c r="R121" s="2748"/>
      <c r="S121" s="2748"/>
      <c r="T121" s="2748"/>
      <c r="U121" s="2748"/>
      <c r="V121" s="2748"/>
      <c r="W121" s="2748"/>
      <c r="X121" s="2748"/>
      <c r="Y121" s="2748"/>
      <c r="Z121" s="2748"/>
      <c r="AA121" s="2748"/>
      <c r="AB121" s="2748"/>
      <c r="AC121" s="2748"/>
      <c r="AD121" s="2748"/>
      <c r="AE121" s="2748"/>
      <c r="AF121" s="2748"/>
      <c r="AG121" s="2748"/>
      <c r="AH121" s="2748"/>
      <c r="AI121" s="2748"/>
      <c r="AK121" s="2748"/>
      <c r="AL121" s="2748"/>
      <c r="AN121" s="2748"/>
      <c r="AO121" s="2748"/>
      <c r="AP121" s="2748"/>
    </row>
    <row r="122" spans="2:42" ht="18" customHeight="1">
      <c r="B122" s="2728"/>
      <c r="C122" s="2728"/>
      <c r="D122" s="2728"/>
      <c r="E122" s="2728"/>
      <c r="G122" s="2512"/>
      <c r="I122" s="2748"/>
      <c r="J122" s="2728"/>
      <c r="L122" s="2728"/>
      <c r="M122" s="2748"/>
      <c r="N122" s="2728"/>
      <c r="O122" s="2728"/>
      <c r="P122" s="2728"/>
      <c r="Q122" s="2748"/>
      <c r="R122" s="2748"/>
      <c r="S122" s="2748"/>
      <c r="T122" s="2748"/>
      <c r="U122" s="2748"/>
      <c r="V122" s="2748"/>
      <c r="W122" s="2748"/>
      <c r="X122" s="2748"/>
      <c r="Y122" s="2748"/>
      <c r="Z122" s="2748"/>
      <c r="AA122" s="2748"/>
      <c r="AB122" s="2748"/>
      <c r="AC122" s="2748"/>
      <c r="AD122" s="2748"/>
      <c r="AE122" s="2748"/>
      <c r="AF122" s="2748"/>
      <c r="AG122" s="2748"/>
      <c r="AH122" s="2748"/>
      <c r="AI122" s="2748"/>
      <c r="AK122" s="2748"/>
      <c r="AL122" s="2748"/>
      <c r="AN122" s="2748"/>
      <c r="AO122" s="2748"/>
      <c r="AP122" s="2748"/>
    </row>
    <row r="123" spans="2:42" ht="18" customHeight="1">
      <c r="B123" s="2728"/>
      <c r="C123" s="2728"/>
      <c r="D123" s="2728"/>
      <c r="E123" s="2728"/>
      <c r="G123" s="2512"/>
      <c r="I123" s="2748"/>
      <c r="J123" s="2728"/>
      <c r="L123" s="2728"/>
      <c r="M123" s="2748"/>
      <c r="N123" s="2728"/>
      <c r="O123" s="2728"/>
      <c r="P123" s="2728"/>
      <c r="Q123" s="2748"/>
      <c r="R123" s="2748"/>
      <c r="S123" s="2748"/>
      <c r="T123" s="2748"/>
      <c r="U123" s="2748"/>
      <c r="V123" s="2748"/>
      <c r="W123" s="2748"/>
      <c r="X123" s="2748"/>
      <c r="Y123" s="2748"/>
      <c r="Z123" s="2748"/>
      <c r="AA123" s="2748"/>
      <c r="AB123" s="2748"/>
      <c r="AC123" s="2748"/>
      <c r="AD123" s="2748"/>
      <c r="AE123" s="2748"/>
      <c r="AF123" s="2748"/>
      <c r="AG123" s="2748"/>
      <c r="AH123" s="2748"/>
      <c r="AI123" s="2748"/>
      <c r="AK123" s="2748"/>
      <c r="AL123" s="2748"/>
      <c r="AN123" s="2748"/>
      <c r="AO123" s="2748"/>
      <c r="AP123" s="2748"/>
    </row>
    <row r="124" spans="2:42" ht="18" customHeight="1">
      <c r="B124" s="2728"/>
      <c r="C124" s="2728"/>
      <c r="D124" s="2728"/>
      <c r="E124" s="2728"/>
      <c r="G124" s="2512"/>
      <c r="I124" s="2748"/>
      <c r="J124" s="2728"/>
      <c r="L124" s="2728"/>
      <c r="M124" s="2748"/>
      <c r="N124" s="2728"/>
      <c r="O124" s="2728"/>
      <c r="P124" s="2728"/>
      <c r="Q124" s="2748"/>
      <c r="R124" s="2748"/>
      <c r="S124" s="2748"/>
      <c r="T124" s="2748"/>
      <c r="U124" s="2748"/>
      <c r="V124" s="2748"/>
      <c r="W124" s="2748"/>
      <c r="X124" s="2748"/>
      <c r="Y124" s="2748"/>
      <c r="Z124" s="2748"/>
      <c r="AA124" s="2748"/>
      <c r="AB124" s="2748"/>
      <c r="AC124" s="2748"/>
      <c r="AD124" s="2748"/>
      <c r="AE124" s="2748"/>
      <c r="AF124" s="2748"/>
      <c r="AG124" s="2748"/>
      <c r="AH124" s="2748"/>
      <c r="AI124" s="2748"/>
      <c r="AK124" s="2748"/>
      <c r="AL124" s="2748"/>
      <c r="AN124" s="2748"/>
      <c r="AO124" s="2748"/>
      <c r="AP124" s="2748"/>
    </row>
    <row r="125" spans="2:42" ht="18" customHeight="1">
      <c r="B125" s="2728"/>
      <c r="C125" s="2728"/>
      <c r="D125" s="2728"/>
      <c r="E125" s="2728"/>
      <c r="G125" s="2512"/>
      <c r="I125" s="2748"/>
      <c r="J125" s="2728"/>
      <c r="L125" s="2728"/>
      <c r="M125" s="2748"/>
      <c r="N125" s="2728"/>
      <c r="O125" s="2728"/>
      <c r="P125" s="2728"/>
      <c r="Q125" s="2748"/>
      <c r="R125" s="2748"/>
      <c r="S125" s="2748"/>
      <c r="T125" s="2748"/>
      <c r="U125" s="2748"/>
      <c r="V125" s="2748"/>
      <c r="W125" s="2748"/>
      <c r="X125" s="2748"/>
      <c r="Y125" s="2748"/>
      <c r="Z125" s="2748"/>
      <c r="AA125" s="2748"/>
      <c r="AB125" s="2748"/>
      <c r="AC125" s="2748"/>
      <c r="AD125" s="2748"/>
      <c r="AE125" s="2748"/>
      <c r="AF125" s="2748"/>
      <c r="AG125" s="2748"/>
      <c r="AH125" s="2748"/>
      <c r="AI125" s="2748"/>
      <c r="AK125" s="2748"/>
      <c r="AL125" s="2748"/>
      <c r="AN125" s="2748"/>
      <c r="AO125" s="2748"/>
      <c r="AP125" s="2748"/>
    </row>
    <row r="126" spans="2:42" ht="18" customHeight="1">
      <c r="B126" s="2728"/>
      <c r="C126" s="2728"/>
      <c r="D126" s="2728"/>
      <c r="E126" s="2728"/>
      <c r="G126" s="2512"/>
      <c r="I126" s="2748"/>
      <c r="J126" s="2728"/>
      <c r="L126" s="2728"/>
      <c r="M126" s="2748"/>
      <c r="N126" s="2728"/>
      <c r="O126" s="2728"/>
      <c r="P126" s="2728"/>
      <c r="Q126" s="2748"/>
      <c r="R126" s="2748"/>
      <c r="S126" s="2748"/>
      <c r="T126" s="2748"/>
      <c r="U126" s="2748"/>
      <c r="V126" s="2748"/>
      <c r="W126" s="2748"/>
      <c r="X126" s="2748"/>
      <c r="Y126" s="2748"/>
      <c r="Z126" s="2748"/>
      <c r="AA126" s="2748"/>
      <c r="AB126" s="2748"/>
      <c r="AC126" s="2748"/>
      <c r="AD126" s="2748"/>
      <c r="AE126" s="2748"/>
      <c r="AF126" s="2748"/>
      <c r="AG126" s="2748"/>
      <c r="AH126" s="2748"/>
      <c r="AI126" s="2748"/>
      <c r="AK126" s="2748"/>
      <c r="AL126" s="2748"/>
      <c r="AN126" s="2748"/>
      <c r="AO126" s="2748"/>
      <c r="AP126" s="2748"/>
    </row>
    <row r="127" spans="2:42" ht="18" customHeight="1">
      <c r="B127" s="2728"/>
      <c r="C127" s="2728"/>
      <c r="D127" s="2728"/>
      <c r="E127" s="2728"/>
      <c r="G127" s="2512"/>
      <c r="I127" s="2748"/>
      <c r="J127" s="2728"/>
      <c r="L127" s="2728"/>
      <c r="M127" s="2748"/>
      <c r="N127" s="2728"/>
      <c r="O127" s="2728"/>
      <c r="P127" s="2728"/>
      <c r="Q127" s="2748"/>
      <c r="R127" s="2748"/>
      <c r="S127" s="2748"/>
      <c r="T127" s="2748"/>
      <c r="U127" s="2748"/>
      <c r="V127" s="2748"/>
      <c r="W127" s="2748"/>
      <c r="X127" s="2748"/>
      <c r="Y127" s="2748"/>
      <c r="Z127" s="2748"/>
      <c r="AA127" s="2748"/>
      <c r="AB127" s="2748"/>
      <c r="AC127" s="2748"/>
      <c r="AD127" s="2748"/>
      <c r="AE127" s="2748"/>
      <c r="AF127" s="2748"/>
      <c r="AG127" s="2748"/>
      <c r="AH127" s="2748"/>
      <c r="AI127" s="2748"/>
      <c r="AK127" s="2748"/>
      <c r="AL127" s="2748"/>
      <c r="AN127" s="2748"/>
      <c r="AO127" s="2748"/>
      <c r="AP127" s="2748"/>
    </row>
    <row r="128" spans="2:42" ht="18" customHeight="1">
      <c r="B128" s="2728"/>
      <c r="C128" s="2728"/>
      <c r="D128" s="2728"/>
      <c r="E128" s="2728"/>
      <c r="G128" s="2512"/>
      <c r="I128" s="2748"/>
      <c r="J128" s="2728"/>
      <c r="L128" s="2728"/>
      <c r="M128" s="2748"/>
      <c r="N128" s="2728"/>
      <c r="O128" s="2728"/>
      <c r="P128" s="2728"/>
      <c r="Q128" s="2748"/>
      <c r="R128" s="2748"/>
      <c r="S128" s="2748"/>
      <c r="T128" s="2748"/>
      <c r="U128" s="2748"/>
      <c r="V128" s="2748"/>
      <c r="W128" s="2748"/>
      <c r="X128" s="2748"/>
      <c r="Y128" s="2748"/>
      <c r="Z128" s="2748"/>
      <c r="AA128" s="2748"/>
      <c r="AB128" s="2748"/>
      <c r="AC128" s="2748"/>
      <c r="AD128" s="2748"/>
      <c r="AE128" s="2748"/>
      <c r="AF128" s="2748"/>
      <c r="AG128" s="2748"/>
      <c r="AH128" s="2748"/>
      <c r="AI128" s="2748"/>
      <c r="AK128" s="2748"/>
      <c r="AL128" s="2748"/>
      <c r="AN128" s="2748"/>
      <c r="AO128" s="2748"/>
      <c r="AP128" s="2748"/>
    </row>
    <row r="129" spans="2:42" ht="18" customHeight="1">
      <c r="B129" s="2728"/>
      <c r="C129" s="2728"/>
      <c r="D129" s="2728"/>
      <c r="E129" s="2728"/>
      <c r="G129" s="2512"/>
      <c r="I129" s="2748"/>
      <c r="J129" s="2728"/>
      <c r="L129" s="2728"/>
      <c r="M129" s="2748"/>
      <c r="N129" s="2728"/>
      <c r="O129" s="2728"/>
      <c r="P129" s="2728"/>
      <c r="Q129" s="2748"/>
      <c r="R129" s="2748"/>
      <c r="S129" s="2748"/>
      <c r="T129" s="2748"/>
      <c r="U129" s="2748"/>
      <c r="V129" s="2748"/>
      <c r="W129" s="2748"/>
      <c r="X129" s="2748"/>
      <c r="Y129" s="2748"/>
      <c r="Z129" s="2748"/>
      <c r="AA129" s="2748"/>
      <c r="AB129" s="2748"/>
      <c r="AC129" s="2748"/>
      <c r="AD129" s="2748"/>
      <c r="AE129" s="2748"/>
      <c r="AF129" s="2748"/>
      <c r="AG129" s="2748"/>
      <c r="AH129" s="2748"/>
      <c r="AI129" s="2748"/>
      <c r="AK129" s="2748"/>
      <c r="AL129" s="2748"/>
      <c r="AN129" s="2748"/>
      <c r="AO129" s="2748"/>
      <c r="AP129" s="2748"/>
    </row>
    <row r="130" spans="2:42" ht="18" customHeight="1">
      <c r="B130" s="2728"/>
      <c r="C130" s="2728"/>
      <c r="D130" s="2728"/>
      <c r="E130" s="2728"/>
      <c r="G130" s="2512"/>
      <c r="I130" s="2748"/>
      <c r="J130" s="2728"/>
      <c r="L130" s="2728"/>
      <c r="M130" s="2748"/>
      <c r="N130" s="2728"/>
      <c r="O130" s="2728"/>
      <c r="P130" s="2728"/>
      <c r="Q130" s="2748"/>
      <c r="R130" s="2748"/>
      <c r="S130" s="2748"/>
      <c r="T130" s="2748"/>
      <c r="U130" s="2748"/>
      <c r="V130" s="2748"/>
      <c r="W130" s="2748"/>
      <c r="X130" s="2748"/>
      <c r="Y130" s="2748"/>
      <c r="Z130" s="2748"/>
      <c r="AA130" s="2748"/>
      <c r="AB130" s="2748"/>
      <c r="AC130" s="2748"/>
      <c r="AD130" s="2748"/>
      <c r="AE130" s="2748"/>
      <c r="AF130" s="2748"/>
      <c r="AG130" s="2748"/>
      <c r="AH130" s="2748"/>
      <c r="AI130" s="2748"/>
      <c r="AK130" s="2748"/>
      <c r="AL130" s="2748"/>
      <c r="AN130" s="2748"/>
      <c r="AO130" s="2748"/>
      <c r="AP130" s="2748"/>
    </row>
    <row r="131" spans="2:42" ht="18" customHeight="1">
      <c r="B131" s="2728"/>
      <c r="C131" s="2728"/>
      <c r="D131" s="2728"/>
      <c r="E131" s="2728"/>
      <c r="G131" s="2512"/>
      <c r="I131" s="2748"/>
      <c r="J131" s="2728"/>
      <c r="L131" s="2728"/>
      <c r="M131" s="2748"/>
      <c r="N131" s="2728"/>
      <c r="O131" s="2728"/>
      <c r="P131" s="2728"/>
      <c r="Q131" s="2748"/>
      <c r="R131" s="2748"/>
      <c r="S131" s="2748"/>
      <c r="T131" s="2748"/>
      <c r="U131" s="2748"/>
      <c r="V131" s="2748"/>
      <c r="W131" s="2748"/>
      <c r="X131" s="2748"/>
      <c r="Y131" s="2748"/>
      <c r="Z131" s="2748"/>
      <c r="AA131" s="2748"/>
      <c r="AB131" s="2748"/>
      <c r="AC131" s="2748"/>
      <c r="AD131" s="2748"/>
      <c r="AE131" s="2748"/>
      <c r="AF131" s="2748"/>
      <c r="AG131" s="2748"/>
      <c r="AH131" s="2748"/>
      <c r="AI131" s="2748"/>
      <c r="AK131" s="2748"/>
      <c r="AL131" s="2748"/>
      <c r="AN131" s="2748"/>
      <c r="AO131" s="2748"/>
      <c r="AP131" s="2748"/>
    </row>
    <row r="132" spans="2:42" ht="18" customHeight="1">
      <c r="B132" s="2728"/>
      <c r="C132" s="2728"/>
      <c r="D132" s="2728"/>
      <c r="E132" s="2728"/>
      <c r="G132" s="2512"/>
      <c r="I132" s="2748"/>
      <c r="J132" s="2728"/>
      <c r="L132" s="2728"/>
      <c r="M132" s="2748"/>
      <c r="N132" s="2728"/>
      <c r="O132" s="2728"/>
      <c r="P132" s="2728"/>
      <c r="Q132" s="2748"/>
      <c r="R132" s="2748"/>
      <c r="S132" s="2748"/>
      <c r="T132" s="2748"/>
      <c r="U132" s="2748"/>
      <c r="V132" s="2748"/>
      <c r="W132" s="2748"/>
      <c r="X132" s="2748"/>
      <c r="Y132" s="2748"/>
      <c r="Z132" s="2748"/>
      <c r="AA132" s="2748"/>
      <c r="AB132" s="2748"/>
      <c r="AC132" s="2748"/>
      <c r="AD132" s="2748"/>
      <c r="AE132" s="2748"/>
      <c r="AF132" s="2748"/>
      <c r="AG132" s="2748"/>
      <c r="AH132" s="2748"/>
      <c r="AI132" s="2748"/>
      <c r="AK132" s="2748"/>
      <c r="AL132" s="2748"/>
      <c r="AN132" s="2748"/>
      <c r="AO132" s="2748"/>
      <c r="AP132" s="2748"/>
    </row>
    <row r="133" spans="2:42" ht="18" customHeight="1">
      <c r="B133" s="2728"/>
      <c r="C133" s="2728"/>
      <c r="D133" s="2728"/>
      <c r="E133" s="2728"/>
      <c r="G133" s="2512"/>
      <c r="I133" s="2748"/>
      <c r="J133" s="2728"/>
      <c r="L133" s="2728"/>
      <c r="M133" s="2748"/>
      <c r="N133" s="2728"/>
      <c r="O133" s="2728"/>
      <c r="P133" s="2728"/>
      <c r="Q133" s="2748"/>
      <c r="R133" s="2748"/>
      <c r="S133" s="2748"/>
      <c r="T133" s="2748"/>
      <c r="U133" s="2748"/>
      <c r="V133" s="2748"/>
      <c r="W133" s="2748"/>
      <c r="X133" s="2748"/>
      <c r="Y133" s="2748"/>
      <c r="Z133" s="2748"/>
      <c r="AA133" s="2748"/>
      <c r="AB133" s="2748"/>
      <c r="AC133" s="2748"/>
      <c r="AD133" s="2748"/>
      <c r="AE133" s="2748"/>
      <c r="AF133" s="2748"/>
      <c r="AG133" s="2748"/>
      <c r="AH133" s="2748"/>
      <c r="AI133" s="2748"/>
      <c r="AK133" s="2748"/>
      <c r="AL133" s="2748"/>
      <c r="AN133" s="2748"/>
      <c r="AO133" s="2748"/>
      <c r="AP133" s="2748"/>
    </row>
    <row r="134" spans="2:42" ht="18" customHeight="1">
      <c r="B134" s="2728"/>
      <c r="C134" s="2728"/>
      <c r="D134" s="2728"/>
      <c r="E134" s="2728"/>
      <c r="G134" s="2512"/>
      <c r="I134" s="2748"/>
      <c r="J134" s="2728"/>
      <c r="L134" s="2728"/>
      <c r="M134" s="2748"/>
      <c r="N134" s="2728"/>
      <c r="O134" s="2728"/>
      <c r="P134" s="2728"/>
      <c r="Q134" s="2748"/>
      <c r="R134" s="2748"/>
      <c r="S134" s="2748"/>
      <c r="T134" s="2748"/>
      <c r="U134" s="2748"/>
      <c r="V134" s="2748"/>
      <c r="W134" s="2748"/>
      <c r="X134" s="2748"/>
      <c r="Y134" s="2748"/>
      <c r="Z134" s="2748"/>
      <c r="AA134" s="2748"/>
      <c r="AB134" s="2748"/>
      <c r="AC134" s="2748"/>
      <c r="AD134" s="2748"/>
      <c r="AE134" s="2748"/>
      <c r="AF134" s="2748"/>
      <c r="AG134" s="2748"/>
      <c r="AH134" s="2748"/>
      <c r="AI134" s="2748"/>
      <c r="AK134" s="2748"/>
      <c r="AL134" s="2748"/>
      <c r="AN134" s="2748"/>
      <c r="AO134" s="2748"/>
      <c r="AP134" s="2748"/>
    </row>
    <row r="135" spans="2:42" ht="18" customHeight="1">
      <c r="B135" s="2728"/>
      <c r="C135" s="2728"/>
      <c r="D135" s="2728"/>
      <c r="E135" s="2728"/>
      <c r="G135" s="2512"/>
      <c r="I135" s="2748"/>
      <c r="J135" s="2728"/>
      <c r="L135" s="2728"/>
      <c r="M135" s="2748"/>
      <c r="N135" s="2728"/>
      <c r="O135" s="2728"/>
      <c r="P135" s="2728"/>
      <c r="Q135" s="2748"/>
      <c r="R135" s="2748"/>
      <c r="S135" s="2748"/>
      <c r="T135" s="2748"/>
      <c r="U135" s="2748"/>
      <c r="V135" s="2748"/>
      <c r="W135" s="2748"/>
      <c r="X135" s="2748"/>
      <c r="Y135" s="2748"/>
      <c r="Z135" s="2748"/>
      <c r="AA135" s="2748"/>
      <c r="AB135" s="2748"/>
      <c r="AC135" s="2748"/>
      <c r="AD135" s="2748"/>
      <c r="AE135" s="2748"/>
      <c r="AF135" s="2748"/>
      <c r="AG135" s="2748"/>
      <c r="AH135" s="2748"/>
      <c r="AI135" s="2748"/>
      <c r="AK135" s="2748"/>
      <c r="AL135" s="2748"/>
      <c r="AN135" s="2748"/>
      <c r="AO135" s="2748"/>
      <c r="AP135" s="2748"/>
    </row>
    <row r="136" spans="2:42" ht="18" customHeight="1">
      <c r="B136" s="2728"/>
      <c r="C136" s="2728"/>
      <c r="D136" s="2728"/>
      <c r="E136" s="2728"/>
      <c r="G136" s="2512"/>
      <c r="I136" s="2748"/>
      <c r="J136" s="2728"/>
      <c r="L136" s="2728"/>
      <c r="M136" s="2748"/>
      <c r="N136" s="2728"/>
      <c r="O136" s="2728"/>
      <c r="P136" s="2728"/>
      <c r="Q136" s="2748"/>
      <c r="R136" s="2748"/>
      <c r="S136" s="2748"/>
      <c r="T136" s="2748"/>
      <c r="U136" s="2748"/>
      <c r="V136" s="2748"/>
      <c r="W136" s="2748"/>
      <c r="X136" s="2748"/>
      <c r="Y136" s="2748"/>
      <c r="Z136" s="2748"/>
      <c r="AA136" s="2748"/>
      <c r="AB136" s="2748"/>
      <c r="AC136" s="2748"/>
      <c r="AD136" s="2748"/>
      <c r="AE136" s="2748"/>
      <c r="AF136" s="2748"/>
      <c r="AG136" s="2748"/>
      <c r="AH136" s="2748"/>
      <c r="AI136" s="2748"/>
      <c r="AK136" s="2748"/>
      <c r="AL136" s="2748"/>
      <c r="AN136" s="2748"/>
      <c r="AO136" s="2748"/>
      <c r="AP136" s="2748"/>
    </row>
    <row r="137" spans="2:42" ht="18" customHeight="1">
      <c r="B137" s="2728"/>
      <c r="C137" s="2728"/>
      <c r="D137" s="2728"/>
      <c r="E137" s="2728"/>
      <c r="G137" s="2512"/>
      <c r="I137" s="2748"/>
      <c r="J137" s="2728"/>
      <c r="L137" s="2728"/>
      <c r="M137" s="2748"/>
      <c r="N137" s="2728"/>
      <c r="O137" s="2728"/>
      <c r="P137" s="2728"/>
      <c r="Q137" s="2748"/>
      <c r="R137" s="2748"/>
      <c r="S137" s="2748"/>
      <c r="T137" s="2748"/>
      <c r="U137" s="2748"/>
      <c r="V137" s="2748"/>
      <c r="W137" s="2748"/>
      <c r="X137" s="2748"/>
      <c r="Y137" s="2748"/>
      <c r="Z137" s="2748"/>
      <c r="AA137" s="2748"/>
      <c r="AB137" s="2748"/>
      <c r="AC137" s="2748"/>
      <c r="AD137" s="2748"/>
      <c r="AE137" s="2748"/>
      <c r="AF137" s="2748"/>
      <c r="AG137" s="2748"/>
      <c r="AH137" s="2748"/>
      <c r="AI137" s="2748"/>
      <c r="AK137" s="2748"/>
      <c r="AL137" s="2748"/>
      <c r="AN137" s="2748"/>
      <c r="AO137" s="2748"/>
      <c r="AP137" s="2748"/>
    </row>
    <row r="138" spans="2:42" ht="18" customHeight="1">
      <c r="B138" s="2728"/>
      <c r="C138" s="2728"/>
      <c r="D138" s="2728"/>
      <c r="E138" s="2728"/>
      <c r="G138" s="2512"/>
      <c r="I138" s="2748"/>
      <c r="J138" s="2728"/>
      <c r="L138" s="2728"/>
      <c r="M138" s="2748"/>
      <c r="N138" s="2728"/>
      <c r="O138" s="2728"/>
      <c r="P138" s="2728"/>
      <c r="Q138" s="2748"/>
      <c r="R138" s="2748"/>
      <c r="S138" s="2748"/>
      <c r="T138" s="2748"/>
      <c r="U138" s="2748"/>
      <c r="V138" s="2748"/>
      <c r="W138" s="2748"/>
      <c r="X138" s="2748"/>
      <c r="Y138" s="2748"/>
      <c r="Z138" s="2748"/>
      <c r="AA138" s="2748"/>
      <c r="AB138" s="2748"/>
      <c r="AC138" s="2748"/>
      <c r="AD138" s="2748"/>
      <c r="AE138" s="2748"/>
      <c r="AF138" s="2748"/>
      <c r="AG138" s="2748"/>
      <c r="AH138" s="2748"/>
      <c r="AI138" s="2748"/>
      <c r="AK138" s="2748"/>
      <c r="AL138" s="2748"/>
      <c r="AN138" s="2748"/>
      <c r="AO138" s="2748"/>
      <c r="AP138" s="2748"/>
    </row>
    <row r="139" spans="2:42" ht="18" customHeight="1">
      <c r="B139" s="2728"/>
      <c r="C139" s="2728"/>
      <c r="D139" s="2728"/>
      <c r="E139" s="2728"/>
      <c r="G139" s="2512"/>
      <c r="I139" s="2748"/>
      <c r="J139" s="2728"/>
      <c r="L139" s="2728"/>
      <c r="M139" s="2748"/>
      <c r="N139" s="2728"/>
      <c r="O139" s="2728"/>
      <c r="P139" s="2728"/>
      <c r="Q139" s="2748"/>
      <c r="R139" s="2748"/>
      <c r="S139" s="2748"/>
      <c r="T139" s="2748"/>
      <c r="U139" s="2748"/>
      <c r="V139" s="2748"/>
      <c r="W139" s="2748"/>
      <c r="X139" s="2748"/>
      <c r="Y139" s="2748"/>
      <c r="Z139" s="2748"/>
      <c r="AA139" s="2748"/>
      <c r="AB139" s="2748"/>
      <c r="AC139" s="2748"/>
      <c r="AD139" s="2748"/>
      <c r="AE139" s="2748"/>
      <c r="AF139" s="2748"/>
      <c r="AG139" s="2748"/>
      <c r="AH139" s="2748"/>
      <c r="AI139" s="2748"/>
      <c r="AK139" s="2748"/>
      <c r="AL139" s="2748"/>
      <c r="AN139" s="2748"/>
      <c r="AO139" s="2748"/>
      <c r="AP139" s="2748"/>
    </row>
    <row r="140" spans="2:42" ht="18" customHeight="1">
      <c r="B140" s="2728"/>
      <c r="C140" s="2728"/>
      <c r="D140" s="2728"/>
      <c r="E140" s="2728"/>
      <c r="G140" s="2512"/>
      <c r="I140" s="2748"/>
      <c r="J140" s="2728"/>
      <c r="L140" s="2728"/>
      <c r="M140" s="2748"/>
      <c r="N140" s="2728"/>
      <c r="O140" s="2728"/>
      <c r="P140" s="2728"/>
      <c r="Q140" s="2748"/>
      <c r="R140" s="2748"/>
      <c r="S140" s="2748"/>
      <c r="T140" s="2748"/>
      <c r="U140" s="2748"/>
      <c r="V140" s="2748"/>
      <c r="W140" s="2748"/>
      <c r="X140" s="2748"/>
      <c r="Y140" s="2748"/>
      <c r="Z140" s="2748"/>
      <c r="AA140" s="2748"/>
      <c r="AB140" s="2748"/>
      <c r="AC140" s="2748"/>
      <c r="AD140" s="2748"/>
      <c r="AE140" s="2748"/>
      <c r="AF140" s="2748"/>
      <c r="AG140" s="2748"/>
      <c r="AH140" s="2748"/>
      <c r="AI140" s="2748"/>
      <c r="AK140" s="2748"/>
      <c r="AL140" s="2748"/>
      <c r="AN140" s="2748"/>
      <c r="AO140" s="2748"/>
      <c r="AP140" s="2748"/>
    </row>
    <row r="141" spans="2:42" ht="18" customHeight="1">
      <c r="B141" s="2728"/>
      <c r="C141" s="2728"/>
      <c r="D141" s="2728"/>
      <c r="E141" s="2728"/>
      <c r="G141" s="2512"/>
      <c r="I141" s="2748"/>
      <c r="J141" s="2728"/>
      <c r="L141" s="2728"/>
      <c r="M141" s="2748"/>
      <c r="N141" s="2728"/>
      <c r="O141" s="2728"/>
      <c r="P141" s="2728"/>
      <c r="Q141" s="2748"/>
      <c r="R141" s="2748"/>
      <c r="S141" s="2748"/>
      <c r="T141" s="2748"/>
      <c r="U141" s="2748"/>
      <c r="V141" s="2748"/>
      <c r="W141" s="2748"/>
      <c r="X141" s="2748"/>
      <c r="Y141" s="2748"/>
      <c r="Z141" s="2748"/>
      <c r="AA141" s="2748"/>
      <c r="AB141" s="2748"/>
      <c r="AC141" s="2748"/>
      <c r="AD141" s="2748"/>
      <c r="AE141" s="2748"/>
      <c r="AF141" s="2748"/>
      <c r="AG141" s="2748"/>
      <c r="AH141" s="2748"/>
      <c r="AI141" s="2748"/>
      <c r="AK141" s="2748"/>
      <c r="AL141" s="2748"/>
      <c r="AN141" s="2748"/>
      <c r="AO141" s="2748"/>
      <c r="AP141" s="2748"/>
    </row>
    <row r="142" spans="2:42" ht="18" customHeight="1">
      <c r="B142" s="2728"/>
      <c r="C142" s="2728"/>
      <c r="D142" s="2728"/>
      <c r="E142" s="2728"/>
      <c r="G142" s="2512"/>
      <c r="I142" s="2748"/>
      <c r="J142" s="2728"/>
      <c r="L142" s="2728"/>
      <c r="M142" s="2748"/>
      <c r="N142" s="2728"/>
      <c r="O142" s="2728"/>
      <c r="P142" s="2728"/>
      <c r="Q142" s="2748"/>
      <c r="R142" s="2748"/>
      <c r="S142" s="2748"/>
      <c r="T142" s="2748"/>
      <c r="U142" s="2748"/>
      <c r="V142" s="2748"/>
      <c r="W142" s="2748"/>
      <c r="X142" s="2748"/>
      <c r="Y142" s="2748"/>
      <c r="Z142" s="2748"/>
      <c r="AA142" s="2748"/>
      <c r="AB142" s="2748"/>
      <c r="AC142" s="2748"/>
      <c r="AD142" s="2748"/>
      <c r="AE142" s="2748"/>
      <c r="AF142" s="2748"/>
      <c r="AG142" s="2748"/>
      <c r="AH142" s="2748"/>
      <c r="AI142" s="2748"/>
      <c r="AK142" s="2748"/>
      <c r="AL142" s="2748"/>
      <c r="AN142" s="2748"/>
      <c r="AO142" s="2748"/>
      <c r="AP142" s="2748"/>
    </row>
    <row r="143" spans="2:42" ht="18" customHeight="1">
      <c r="B143" s="2728"/>
      <c r="C143" s="2728"/>
      <c r="D143" s="2728"/>
      <c r="E143" s="2728"/>
      <c r="G143" s="2512"/>
      <c r="I143" s="2748"/>
      <c r="J143" s="2728"/>
      <c r="L143" s="2728"/>
      <c r="M143" s="2748"/>
      <c r="N143" s="2728"/>
      <c r="O143" s="2728"/>
      <c r="P143" s="2728"/>
      <c r="Q143" s="2748"/>
      <c r="R143" s="2748"/>
      <c r="S143" s="2748"/>
      <c r="T143" s="2748"/>
      <c r="U143" s="2748"/>
      <c r="V143" s="2748"/>
      <c r="W143" s="2748"/>
      <c r="X143" s="2748"/>
      <c r="Y143" s="2748"/>
      <c r="Z143" s="2748"/>
      <c r="AA143" s="2748"/>
      <c r="AB143" s="2748"/>
      <c r="AC143" s="2748"/>
      <c r="AD143" s="2748"/>
      <c r="AE143" s="2748"/>
      <c r="AF143" s="2748"/>
      <c r="AG143" s="2748"/>
      <c r="AH143" s="2748"/>
      <c r="AI143" s="2748"/>
      <c r="AK143" s="2748"/>
      <c r="AL143" s="2748"/>
      <c r="AN143" s="2748"/>
      <c r="AO143" s="2748"/>
      <c r="AP143" s="2748"/>
    </row>
    <row r="144" spans="2:42" ht="18" customHeight="1">
      <c r="B144" s="2728"/>
      <c r="C144" s="2728"/>
      <c r="D144" s="2728"/>
      <c r="E144" s="2728"/>
      <c r="G144" s="2512"/>
      <c r="I144" s="2748"/>
      <c r="J144" s="2728"/>
      <c r="L144" s="2728"/>
      <c r="M144" s="2748"/>
      <c r="N144" s="2728"/>
      <c r="O144" s="2728"/>
      <c r="P144" s="2728"/>
      <c r="Q144" s="2748"/>
      <c r="R144" s="2748"/>
      <c r="S144" s="2748"/>
      <c r="T144" s="2748"/>
      <c r="U144" s="2748"/>
      <c r="V144" s="2748"/>
      <c r="W144" s="2748"/>
      <c r="X144" s="2748"/>
      <c r="Y144" s="2748"/>
      <c r="Z144" s="2748"/>
      <c r="AA144" s="2748"/>
      <c r="AB144" s="2748"/>
      <c r="AC144" s="2748"/>
      <c r="AD144" s="2748"/>
      <c r="AE144" s="2748"/>
      <c r="AF144" s="2748"/>
      <c r="AG144" s="2748"/>
      <c r="AH144" s="2748"/>
      <c r="AI144" s="2748"/>
      <c r="AK144" s="2748"/>
      <c r="AL144" s="2748"/>
      <c r="AN144" s="2748"/>
      <c r="AO144" s="2748"/>
      <c r="AP144" s="2748"/>
    </row>
    <row r="145" spans="2:42" ht="18" customHeight="1">
      <c r="B145" s="2728"/>
      <c r="C145" s="2728"/>
      <c r="D145" s="2728"/>
      <c r="E145" s="2728"/>
      <c r="G145" s="2512"/>
      <c r="I145" s="2748"/>
      <c r="J145" s="2728"/>
      <c r="L145" s="2728"/>
      <c r="M145" s="2748"/>
      <c r="N145" s="2728"/>
      <c r="O145" s="2728"/>
      <c r="P145" s="2728"/>
      <c r="Q145" s="2748"/>
      <c r="R145" s="2748"/>
      <c r="S145" s="2748"/>
      <c r="T145" s="2748"/>
      <c r="U145" s="2748"/>
      <c r="V145" s="2748"/>
      <c r="W145" s="2748"/>
      <c r="X145" s="2748"/>
      <c r="Y145" s="2748"/>
      <c r="Z145" s="2748"/>
      <c r="AA145" s="2748"/>
      <c r="AB145" s="2748"/>
      <c r="AC145" s="2748"/>
      <c r="AD145" s="2748"/>
      <c r="AE145" s="2748"/>
      <c r="AF145" s="2748"/>
      <c r="AG145" s="2748"/>
      <c r="AH145" s="2748"/>
      <c r="AI145" s="2748"/>
      <c r="AK145" s="2748"/>
      <c r="AL145" s="2748"/>
      <c r="AN145" s="2748"/>
      <c r="AO145" s="2748"/>
      <c r="AP145" s="2748"/>
    </row>
    <row r="146" spans="2:42" ht="18" customHeight="1">
      <c r="B146" s="2728"/>
      <c r="C146" s="2728"/>
      <c r="D146" s="2728"/>
      <c r="E146" s="2728"/>
      <c r="G146" s="2512"/>
      <c r="I146" s="2748"/>
      <c r="J146" s="2728"/>
      <c r="L146" s="2728"/>
      <c r="M146" s="2748"/>
      <c r="N146" s="2728"/>
      <c r="O146" s="2728"/>
      <c r="P146" s="2728"/>
      <c r="Q146" s="2748"/>
      <c r="R146" s="2748"/>
      <c r="S146" s="2748"/>
      <c r="T146" s="2748"/>
      <c r="U146" s="2748"/>
      <c r="V146" s="2748"/>
      <c r="W146" s="2748"/>
      <c r="X146" s="2748"/>
      <c r="Y146" s="2748"/>
      <c r="Z146" s="2748"/>
      <c r="AA146" s="2748"/>
      <c r="AB146" s="2748"/>
      <c r="AC146" s="2748"/>
      <c r="AD146" s="2748"/>
      <c r="AE146" s="2748"/>
      <c r="AF146" s="2748"/>
      <c r="AG146" s="2748"/>
      <c r="AH146" s="2748"/>
      <c r="AI146" s="2748"/>
      <c r="AK146" s="2748"/>
      <c r="AL146" s="2748"/>
      <c r="AN146" s="2748"/>
      <c r="AO146" s="2748"/>
      <c r="AP146" s="2748"/>
    </row>
    <row r="147" spans="2:42" ht="18" customHeight="1">
      <c r="B147" s="2728"/>
      <c r="C147" s="2728"/>
      <c r="D147" s="2728"/>
      <c r="E147" s="2728"/>
      <c r="G147" s="2512"/>
      <c r="I147" s="2748"/>
      <c r="J147" s="2728"/>
      <c r="L147" s="2728"/>
      <c r="M147" s="2748"/>
      <c r="N147" s="2728"/>
      <c r="O147" s="2728"/>
      <c r="P147" s="2728"/>
      <c r="Q147" s="2748"/>
      <c r="R147" s="2748"/>
      <c r="S147" s="2748"/>
      <c r="T147" s="2748"/>
      <c r="U147" s="2748"/>
      <c r="V147" s="2748"/>
      <c r="W147" s="2748"/>
      <c r="X147" s="2748"/>
      <c r="Y147" s="2748"/>
      <c r="Z147" s="2748"/>
      <c r="AA147" s="2748"/>
      <c r="AB147" s="2748"/>
      <c r="AC147" s="2748"/>
      <c r="AD147" s="2748"/>
      <c r="AE147" s="2748"/>
      <c r="AF147" s="2748"/>
      <c r="AG147" s="2748"/>
      <c r="AH147" s="2748"/>
      <c r="AI147" s="2748"/>
      <c r="AK147" s="2748"/>
      <c r="AL147" s="2748"/>
      <c r="AN147" s="2748"/>
      <c r="AO147" s="2748"/>
      <c r="AP147" s="2748"/>
    </row>
    <row r="148" spans="2:42" ht="18" customHeight="1">
      <c r="B148" s="2728"/>
      <c r="C148" s="2728"/>
      <c r="D148" s="2728"/>
      <c r="E148" s="2728"/>
      <c r="G148" s="2512"/>
      <c r="I148" s="2748"/>
      <c r="J148" s="2728"/>
      <c r="L148" s="2728"/>
      <c r="M148" s="2748"/>
      <c r="N148" s="2728"/>
      <c r="O148" s="2728"/>
      <c r="P148" s="2728"/>
      <c r="Q148" s="2748"/>
      <c r="R148" s="2748"/>
      <c r="S148" s="2748"/>
      <c r="T148" s="2748"/>
      <c r="U148" s="2748"/>
      <c r="V148" s="2748"/>
      <c r="W148" s="2748"/>
      <c r="X148" s="2748"/>
      <c r="Y148" s="2748"/>
      <c r="Z148" s="2748"/>
      <c r="AA148" s="2748"/>
      <c r="AB148" s="2748"/>
      <c r="AC148" s="2748"/>
      <c r="AD148" s="2748"/>
      <c r="AE148" s="2748"/>
      <c r="AF148" s="2748"/>
      <c r="AG148" s="2748"/>
      <c r="AH148" s="2748"/>
      <c r="AI148" s="2748"/>
      <c r="AK148" s="2748"/>
      <c r="AL148" s="2748"/>
      <c r="AN148" s="2748"/>
      <c r="AO148" s="2748"/>
      <c r="AP148" s="2748"/>
    </row>
    <row r="149" spans="2:42" ht="18" customHeight="1">
      <c r="B149" s="2728"/>
      <c r="C149" s="2728"/>
      <c r="D149" s="2728"/>
      <c r="E149" s="2728"/>
      <c r="G149" s="2512"/>
      <c r="I149" s="2748"/>
      <c r="J149" s="2728"/>
      <c r="L149" s="2728"/>
      <c r="M149" s="2748"/>
      <c r="N149" s="2728"/>
      <c r="O149" s="2728"/>
      <c r="P149" s="2728"/>
      <c r="Q149" s="2748"/>
      <c r="R149" s="2748"/>
      <c r="S149" s="2748"/>
      <c r="T149" s="2748"/>
      <c r="U149" s="2748"/>
      <c r="V149" s="2748"/>
      <c r="W149" s="2748"/>
      <c r="X149" s="2748"/>
      <c r="Y149" s="2748"/>
      <c r="Z149" s="2748"/>
      <c r="AA149" s="2748"/>
      <c r="AB149" s="2748"/>
      <c r="AC149" s="2748"/>
      <c r="AD149" s="2748"/>
      <c r="AE149" s="2748"/>
      <c r="AF149" s="2748"/>
      <c r="AG149" s="2748"/>
      <c r="AH149" s="2748"/>
      <c r="AI149" s="2748"/>
      <c r="AK149" s="2748"/>
      <c r="AL149" s="2748"/>
      <c r="AN149" s="2748"/>
      <c r="AO149" s="2748"/>
      <c r="AP149" s="2748"/>
    </row>
    <row r="150" spans="2:42" ht="18" customHeight="1">
      <c r="B150" s="2728"/>
      <c r="C150" s="2728"/>
      <c r="D150" s="2728"/>
      <c r="E150" s="2728"/>
      <c r="G150" s="2512"/>
      <c r="I150" s="2748"/>
      <c r="J150" s="2728"/>
      <c r="L150" s="2728"/>
      <c r="M150" s="2748"/>
      <c r="N150" s="2728"/>
      <c r="O150" s="2728"/>
      <c r="P150" s="2728"/>
      <c r="Q150" s="2748"/>
      <c r="R150" s="2748"/>
      <c r="S150" s="2748"/>
      <c r="T150" s="2748"/>
      <c r="U150" s="2748"/>
      <c r="V150" s="2748"/>
      <c r="W150" s="2748"/>
      <c r="X150" s="2748"/>
      <c r="Y150" s="2748"/>
      <c r="Z150" s="2748"/>
      <c r="AA150" s="2748"/>
      <c r="AB150" s="2748"/>
      <c r="AC150" s="2748"/>
      <c r="AD150" s="2748"/>
      <c r="AE150" s="2748"/>
      <c r="AF150" s="2748"/>
      <c r="AG150" s="2748"/>
      <c r="AH150" s="2748"/>
      <c r="AI150" s="2748"/>
      <c r="AK150" s="2748"/>
      <c r="AL150" s="2748"/>
      <c r="AN150" s="2748"/>
      <c r="AO150" s="2748"/>
      <c r="AP150" s="2748"/>
    </row>
    <row r="151" spans="2:42" ht="18" customHeight="1">
      <c r="B151" s="2728"/>
      <c r="C151" s="2728"/>
      <c r="D151" s="2728"/>
      <c r="E151" s="2728"/>
      <c r="G151" s="2512"/>
      <c r="I151" s="2748"/>
      <c r="J151" s="2728"/>
      <c r="L151" s="2728"/>
      <c r="M151" s="2748"/>
      <c r="N151" s="2728"/>
      <c r="O151" s="2728"/>
      <c r="P151" s="2728"/>
      <c r="Q151" s="2748"/>
      <c r="R151" s="2748"/>
      <c r="S151" s="2748"/>
      <c r="T151" s="2748"/>
      <c r="U151" s="2748"/>
      <c r="V151" s="2748"/>
      <c r="W151" s="2748"/>
      <c r="X151" s="2748"/>
      <c r="Y151" s="2748"/>
      <c r="Z151" s="2748"/>
      <c r="AA151" s="2748"/>
      <c r="AB151" s="2748"/>
      <c r="AC151" s="2748"/>
      <c r="AD151" s="2748"/>
      <c r="AE151" s="2748"/>
      <c r="AF151" s="2748"/>
      <c r="AG151" s="2748"/>
      <c r="AH151" s="2748"/>
      <c r="AI151" s="2748"/>
      <c r="AK151" s="2748"/>
      <c r="AL151" s="2748"/>
      <c r="AN151" s="2748"/>
      <c r="AO151" s="2748"/>
      <c r="AP151" s="2748"/>
    </row>
    <row r="152" spans="2:42" ht="18" customHeight="1">
      <c r="B152" s="2728"/>
      <c r="C152" s="2728"/>
      <c r="D152" s="2728"/>
      <c r="E152" s="2728"/>
      <c r="G152" s="2512"/>
      <c r="I152" s="2748"/>
      <c r="J152" s="2728"/>
      <c r="L152" s="2728"/>
      <c r="M152" s="2748"/>
      <c r="N152" s="2728"/>
      <c r="O152" s="2728"/>
      <c r="P152" s="2728"/>
      <c r="Q152" s="2748"/>
      <c r="R152" s="2748"/>
      <c r="S152" s="2748"/>
      <c r="T152" s="2748"/>
      <c r="U152" s="2748"/>
      <c r="V152" s="2748"/>
      <c r="W152" s="2748"/>
      <c r="X152" s="2748"/>
      <c r="Y152" s="2748"/>
      <c r="Z152" s="2748"/>
      <c r="AA152" s="2748"/>
      <c r="AB152" s="2748"/>
      <c r="AC152" s="2748"/>
      <c r="AD152" s="2748"/>
      <c r="AE152" s="2748"/>
      <c r="AF152" s="2748"/>
      <c r="AG152" s="2748"/>
      <c r="AH152" s="2748"/>
      <c r="AI152" s="2748"/>
      <c r="AK152" s="2748"/>
      <c r="AL152" s="2748"/>
      <c r="AN152" s="2748"/>
      <c r="AO152" s="2748"/>
      <c r="AP152" s="2748"/>
    </row>
    <row r="153" spans="2:42" ht="18" customHeight="1">
      <c r="B153" s="2728"/>
      <c r="C153" s="2728"/>
      <c r="D153" s="2728"/>
      <c r="E153" s="2728"/>
      <c r="G153" s="2512"/>
      <c r="I153" s="2748"/>
      <c r="J153" s="2728"/>
      <c r="L153" s="2728"/>
      <c r="M153" s="2748"/>
      <c r="N153" s="2728"/>
      <c r="O153" s="2728"/>
      <c r="P153" s="2728"/>
      <c r="Q153" s="2748"/>
      <c r="R153" s="2748"/>
      <c r="S153" s="2748"/>
      <c r="T153" s="2748"/>
      <c r="U153" s="2748"/>
      <c r="V153" s="2748"/>
      <c r="W153" s="2748"/>
      <c r="X153" s="2748"/>
      <c r="Y153" s="2748"/>
      <c r="Z153" s="2748"/>
      <c r="AA153" s="2748"/>
      <c r="AB153" s="2748"/>
      <c r="AC153" s="2748"/>
      <c r="AD153" s="2748"/>
      <c r="AE153" s="2748"/>
      <c r="AF153" s="2748"/>
      <c r="AG153" s="2748"/>
      <c r="AH153" s="2748"/>
      <c r="AI153" s="2748"/>
      <c r="AK153" s="2748"/>
      <c r="AL153" s="2748"/>
      <c r="AN153" s="2748"/>
      <c r="AO153" s="2748"/>
      <c r="AP153" s="2748"/>
    </row>
    <row r="154" spans="2:42" ht="18" customHeight="1">
      <c r="B154" s="2728"/>
      <c r="C154" s="2728"/>
      <c r="D154" s="2728"/>
      <c r="E154" s="2728"/>
      <c r="G154" s="2512"/>
      <c r="I154" s="2748"/>
      <c r="J154" s="2728"/>
      <c r="L154" s="2728"/>
      <c r="M154" s="2748"/>
      <c r="N154" s="2728"/>
      <c r="O154" s="2728"/>
      <c r="P154" s="2728"/>
      <c r="Q154" s="2748"/>
      <c r="R154" s="2748"/>
      <c r="S154" s="2748"/>
      <c r="T154" s="2748"/>
      <c r="U154" s="2748"/>
      <c r="V154" s="2748"/>
      <c r="W154" s="2748"/>
      <c r="X154" s="2748"/>
      <c r="Y154" s="2748"/>
      <c r="Z154" s="2748"/>
      <c r="AA154" s="2748"/>
      <c r="AB154" s="2748"/>
      <c r="AC154" s="2748"/>
      <c r="AD154" s="2748"/>
      <c r="AE154" s="2748"/>
      <c r="AF154" s="2748"/>
      <c r="AG154" s="2748"/>
      <c r="AH154" s="2748"/>
      <c r="AI154" s="2748"/>
      <c r="AK154" s="2748"/>
      <c r="AL154" s="2748"/>
      <c r="AN154" s="2748"/>
      <c r="AO154" s="2748"/>
      <c r="AP154" s="2748"/>
    </row>
    <row r="155" spans="2:42" ht="18" customHeight="1">
      <c r="B155" s="2728"/>
      <c r="C155" s="2728"/>
      <c r="D155" s="2728"/>
      <c r="E155" s="2728"/>
      <c r="G155" s="2512"/>
      <c r="I155" s="2748"/>
      <c r="J155" s="2728"/>
      <c r="L155" s="2728"/>
      <c r="M155" s="2748"/>
      <c r="N155" s="2728"/>
      <c r="O155" s="2728"/>
      <c r="P155" s="2728"/>
      <c r="Q155" s="2748"/>
      <c r="R155" s="2748"/>
      <c r="S155" s="2748"/>
      <c r="T155" s="2748"/>
      <c r="U155" s="2748"/>
      <c r="V155" s="2748"/>
      <c r="W155" s="2748"/>
      <c r="X155" s="2748"/>
      <c r="Y155" s="2748"/>
      <c r="Z155" s="2748"/>
      <c r="AA155" s="2748"/>
      <c r="AB155" s="2748"/>
      <c r="AC155" s="2748"/>
      <c r="AD155" s="2748"/>
      <c r="AE155" s="2748"/>
      <c r="AF155" s="2748"/>
      <c r="AG155" s="2748"/>
      <c r="AH155" s="2748"/>
      <c r="AI155" s="2748"/>
      <c r="AK155" s="2748"/>
      <c r="AL155" s="2748"/>
      <c r="AN155" s="2748"/>
      <c r="AO155" s="2748"/>
      <c r="AP155" s="2748"/>
    </row>
    <row r="156" spans="2:42" ht="18" customHeight="1">
      <c r="B156" s="2728"/>
      <c r="C156" s="2728"/>
      <c r="D156" s="2728"/>
      <c r="E156" s="2728"/>
      <c r="G156" s="2512"/>
      <c r="I156" s="2748"/>
      <c r="J156" s="2728"/>
      <c r="L156" s="2728"/>
      <c r="M156" s="2748"/>
      <c r="N156" s="2728"/>
      <c r="O156" s="2728"/>
      <c r="P156" s="2728"/>
      <c r="Q156" s="2748"/>
      <c r="R156" s="2748"/>
      <c r="S156" s="2748"/>
      <c r="T156" s="2748"/>
      <c r="U156" s="2748"/>
      <c r="V156" s="2748"/>
      <c r="W156" s="2748"/>
      <c r="X156" s="2748"/>
      <c r="Y156" s="2748"/>
      <c r="Z156" s="2748"/>
      <c r="AA156" s="2748"/>
      <c r="AB156" s="2748"/>
      <c r="AC156" s="2748"/>
      <c r="AD156" s="2748"/>
      <c r="AE156" s="2748"/>
      <c r="AF156" s="2748"/>
      <c r="AG156" s="2748"/>
      <c r="AH156" s="2748"/>
      <c r="AI156" s="2748"/>
      <c r="AK156" s="2748"/>
      <c r="AL156" s="2748"/>
      <c r="AN156" s="2748"/>
      <c r="AO156" s="2748"/>
      <c r="AP156" s="2748"/>
    </row>
    <row r="157" spans="2:42" ht="18" customHeight="1">
      <c r="B157" s="2728"/>
      <c r="C157" s="2728"/>
      <c r="D157" s="2728"/>
      <c r="E157" s="2728"/>
      <c r="G157" s="2512"/>
      <c r="I157" s="2748"/>
      <c r="J157" s="2728"/>
      <c r="L157" s="2728"/>
      <c r="M157" s="2748"/>
      <c r="N157" s="2728"/>
      <c r="O157" s="2728"/>
      <c r="P157" s="2728"/>
      <c r="Q157" s="2748"/>
      <c r="R157" s="2748"/>
      <c r="S157" s="2748"/>
      <c r="T157" s="2748"/>
      <c r="U157" s="2748"/>
      <c r="V157" s="2748"/>
      <c r="W157" s="2748"/>
      <c r="X157" s="2748"/>
      <c r="Y157" s="2748"/>
      <c r="Z157" s="2748"/>
      <c r="AA157" s="2748"/>
      <c r="AB157" s="2748"/>
      <c r="AC157" s="2748"/>
      <c r="AD157" s="2748"/>
      <c r="AE157" s="2748"/>
      <c r="AF157" s="2748"/>
      <c r="AG157" s="2748"/>
      <c r="AH157" s="2748"/>
      <c r="AI157" s="2748"/>
      <c r="AK157" s="2748"/>
      <c r="AL157" s="2748"/>
      <c r="AN157" s="2748"/>
      <c r="AO157" s="2748"/>
      <c r="AP157" s="2748"/>
    </row>
    <row r="158" spans="2:42" ht="18" customHeight="1">
      <c r="B158" s="2728"/>
      <c r="C158" s="2728"/>
      <c r="D158" s="2728"/>
      <c r="E158" s="2728"/>
      <c r="G158" s="2512"/>
      <c r="I158" s="2748"/>
      <c r="J158" s="2728"/>
      <c r="L158" s="2728"/>
      <c r="M158" s="2748"/>
      <c r="N158" s="2728"/>
      <c r="O158" s="2728"/>
      <c r="P158" s="2728"/>
      <c r="Q158" s="2748"/>
      <c r="R158" s="2748"/>
      <c r="S158" s="2748"/>
      <c r="T158" s="2748"/>
      <c r="U158" s="2748"/>
      <c r="V158" s="2748"/>
      <c r="W158" s="2748"/>
      <c r="X158" s="2748"/>
      <c r="Y158" s="2748"/>
      <c r="Z158" s="2748"/>
      <c r="AA158" s="2748"/>
      <c r="AB158" s="2748"/>
      <c r="AC158" s="2748"/>
      <c r="AD158" s="2748"/>
      <c r="AE158" s="2748"/>
      <c r="AF158" s="2748"/>
      <c r="AG158" s="2748"/>
      <c r="AH158" s="2748"/>
      <c r="AI158" s="2748"/>
      <c r="AK158" s="2748"/>
      <c r="AL158" s="2748"/>
      <c r="AN158" s="2748"/>
      <c r="AO158" s="2748"/>
      <c r="AP158" s="2748"/>
    </row>
    <row r="159" spans="2:42" ht="18" customHeight="1">
      <c r="B159" s="2728"/>
      <c r="C159" s="2728"/>
      <c r="D159" s="2728"/>
      <c r="E159" s="2728"/>
      <c r="G159" s="2512"/>
      <c r="I159" s="2748"/>
      <c r="J159" s="2728"/>
      <c r="L159" s="2728"/>
      <c r="M159" s="2748"/>
      <c r="N159" s="2728"/>
      <c r="O159" s="2728"/>
      <c r="P159" s="2728"/>
      <c r="Q159" s="2748"/>
      <c r="R159" s="2748"/>
      <c r="S159" s="2748"/>
      <c r="T159" s="2748"/>
      <c r="U159" s="2748"/>
      <c r="V159" s="2748"/>
      <c r="W159" s="2748"/>
      <c r="X159" s="2748"/>
      <c r="Y159" s="2748"/>
      <c r="Z159" s="2748"/>
      <c r="AA159" s="2748"/>
      <c r="AB159" s="2748"/>
      <c r="AC159" s="2748"/>
      <c r="AD159" s="2748"/>
      <c r="AE159" s="2748"/>
      <c r="AF159" s="2748"/>
      <c r="AG159" s="2748"/>
      <c r="AH159" s="2748"/>
      <c r="AI159" s="2748"/>
      <c r="AK159" s="2748"/>
      <c r="AL159" s="2748"/>
      <c r="AN159" s="2748"/>
      <c r="AO159" s="2748"/>
      <c r="AP159" s="2748"/>
    </row>
    <row r="160" spans="2:42" ht="18" customHeight="1">
      <c r="B160" s="2728"/>
      <c r="C160" s="2728"/>
      <c r="D160" s="2728"/>
      <c r="E160" s="2728"/>
      <c r="G160" s="2512"/>
      <c r="I160" s="2748"/>
      <c r="J160" s="2728"/>
      <c r="L160" s="2728"/>
      <c r="M160" s="2748"/>
      <c r="N160" s="2728"/>
      <c r="O160" s="2728"/>
      <c r="P160" s="2728"/>
      <c r="Q160" s="2748"/>
      <c r="R160" s="2748"/>
      <c r="S160" s="2748"/>
      <c r="T160" s="2748"/>
      <c r="U160" s="2748"/>
      <c r="V160" s="2748"/>
      <c r="W160" s="2748"/>
      <c r="X160" s="2748"/>
      <c r="Y160" s="2748"/>
      <c r="Z160" s="2748"/>
      <c r="AA160" s="2748"/>
      <c r="AB160" s="2748"/>
      <c r="AC160" s="2748"/>
      <c r="AD160" s="2748"/>
      <c r="AE160" s="2748"/>
      <c r="AF160" s="2748"/>
      <c r="AG160" s="2748"/>
      <c r="AH160" s="2748"/>
      <c r="AI160" s="2748"/>
      <c r="AK160" s="2748"/>
      <c r="AL160" s="2748"/>
      <c r="AN160" s="2748"/>
      <c r="AO160" s="2748"/>
      <c r="AP160" s="2748"/>
    </row>
    <row r="161" spans="2:42" ht="18" customHeight="1">
      <c r="B161" s="2728"/>
      <c r="C161" s="2728"/>
      <c r="D161" s="2728"/>
      <c r="E161" s="2728"/>
      <c r="G161" s="2512"/>
      <c r="I161" s="2748"/>
      <c r="J161" s="2728"/>
      <c r="L161" s="2728"/>
      <c r="M161" s="2748"/>
      <c r="N161" s="2728"/>
      <c r="O161" s="2728"/>
      <c r="P161" s="2728"/>
      <c r="Q161" s="2748"/>
      <c r="R161" s="2748"/>
      <c r="S161" s="2748"/>
      <c r="T161" s="2748"/>
      <c r="U161" s="2748"/>
      <c r="V161" s="2748"/>
      <c r="W161" s="2748"/>
      <c r="X161" s="2748"/>
      <c r="Y161" s="2748"/>
      <c r="Z161" s="2748"/>
      <c r="AA161" s="2748"/>
      <c r="AB161" s="2748"/>
      <c r="AC161" s="2748"/>
      <c r="AD161" s="2748"/>
      <c r="AE161" s="2748"/>
      <c r="AF161" s="2748"/>
      <c r="AG161" s="2748"/>
      <c r="AH161" s="2748"/>
      <c r="AI161" s="2748"/>
      <c r="AK161" s="2748"/>
      <c r="AL161" s="2748"/>
      <c r="AN161" s="2748"/>
      <c r="AO161" s="2748"/>
      <c r="AP161" s="2748"/>
    </row>
    <row r="162" spans="2:42" ht="18" customHeight="1">
      <c r="B162" s="2728"/>
      <c r="C162" s="2728"/>
      <c r="D162" s="2728"/>
      <c r="E162" s="2728"/>
      <c r="G162" s="2512"/>
      <c r="I162" s="2748"/>
      <c r="J162" s="2728"/>
      <c r="L162" s="2728"/>
      <c r="M162" s="2748"/>
      <c r="N162" s="2728"/>
      <c r="O162" s="2728"/>
      <c r="P162" s="2728"/>
      <c r="Q162" s="2748"/>
      <c r="R162" s="2748"/>
      <c r="S162" s="2748"/>
      <c r="T162" s="2748"/>
      <c r="U162" s="2748"/>
      <c r="V162" s="2748"/>
      <c r="W162" s="2748"/>
      <c r="X162" s="2748"/>
      <c r="Y162" s="2748"/>
      <c r="Z162" s="2748"/>
      <c r="AA162" s="2748"/>
      <c r="AB162" s="2748"/>
      <c r="AC162" s="2748"/>
      <c r="AD162" s="2748"/>
      <c r="AE162" s="2748"/>
      <c r="AF162" s="2748"/>
      <c r="AG162" s="2748"/>
      <c r="AH162" s="2748"/>
      <c r="AI162" s="2748"/>
      <c r="AK162" s="2748"/>
      <c r="AL162" s="2748"/>
      <c r="AN162" s="2748"/>
      <c r="AO162" s="2748"/>
      <c r="AP162" s="2748"/>
    </row>
    <row r="163" spans="2:42" ht="18" customHeight="1">
      <c r="B163" s="2728"/>
      <c r="C163" s="2728"/>
      <c r="D163" s="2728"/>
      <c r="E163" s="2728"/>
      <c r="G163" s="2512"/>
      <c r="I163" s="2748"/>
      <c r="J163" s="2728"/>
      <c r="L163" s="2728"/>
      <c r="M163" s="2748"/>
      <c r="N163" s="2728"/>
      <c r="O163" s="2728"/>
      <c r="P163" s="2728"/>
      <c r="Q163" s="2748"/>
      <c r="R163" s="2748"/>
      <c r="S163" s="2748"/>
      <c r="T163" s="2748"/>
      <c r="U163" s="2748"/>
      <c r="V163" s="2748"/>
      <c r="W163" s="2748"/>
      <c r="X163" s="2748"/>
      <c r="Y163" s="2748"/>
      <c r="Z163" s="2748"/>
      <c r="AA163" s="2748"/>
      <c r="AB163" s="2748"/>
      <c r="AC163" s="2748"/>
      <c r="AD163" s="2748"/>
      <c r="AE163" s="2748"/>
      <c r="AF163" s="2748"/>
      <c r="AG163" s="2748"/>
      <c r="AH163" s="2748"/>
      <c r="AI163" s="2748"/>
      <c r="AK163" s="2748"/>
      <c r="AL163" s="2748"/>
      <c r="AN163" s="2748"/>
      <c r="AO163" s="2748"/>
      <c r="AP163" s="2748"/>
    </row>
    <row r="164" spans="2:42" ht="18" customHeight="1">
      <c r="B164" s="2728"/>
      <c r="C164" s="2728"/>
      <c r="D164" s="2728"/>
      <c r="E164" s="2728"/>
      <c r="G164" s="2512"/>
      <c r="I164" s="2748"/>
      <c r="J164" s="2728"/>
      <c r="L164" s="2728"/>
      <c r="M164" s="2748"/>
      <c r="N164" s="2728"/>
      <c r="O164" s="2728"/>
      <c r="P164" s="2728"/>
      <c r="Q164" s="2748"/>
      <c r="R164" s="2748"/>
      <c r="S164" s="2748"/>
      <c r="T164" s="2748"/>
      <c r="U164" s="2748"/>
      <c r="V164" s="2748"/>
      <c r="W164" s="2748"/>
      <c r="X164" s="2748"/>
      <c r="Y164" s="2748"/>
      <c r="Z164" s="2748"/>
      <c r="AA164" s="2748"/>
      <c r="AB164" s="2748"/>
      <c r="AC164" s="2748"/>
      <c r="AD164" s="2748"/>
      <c r="AE164" s="2748"/>
      <c r="AF164" s="2748"/>
      <c r="AG164" s="2748"/>
      <c r="AH164" s="2748"/>
      <c r="AI164" s="2748"/>
      <c r="AK164" s="2748"/>
      <c r="AL164" s="2748"/>
      <c r="AN164" s="2748"/>
      <c r="AO164" s="2748"/>
      <c r="AP164" s="2748"/>
    </row>
    <row r="165" spans="2:42" ht="18" customHeight="1">
      <c r="B165" s="2728"/>
      <c r="C165" s="2728"/>
      <c r="D165" s="2728"/>
      <c r="E165" s="2728"/>
      <c r="G165" s="2512"/>
      <c r="I165" s="2748"/>
      <c r="J165" s="2728"/>
      <c r="L165" s="2728"/>
      <c r="M165" s="2748"/>
      <c r="N165" s="2728"/>
      <c r="O165" s="2728"/>
      <c r="P165" s="2728"/>
      <c r="Q165" s="2748"/>
      <c r="R165" s="2748"/>
      <c r="S165" s="2748"/>
      <c r="T165" s="2748"/>
      <c r="U165" s="2748"/>
      <c r="V165" s="2748"/>
      <c r="W165" s="2748"/>
      <c r="X165" s="2748"/>
      <c r="Y165" s="2748"/>
      <c r="Z165" s="2748"/>
      <c r="AA165" s="2748"/>
      <c r="AB165" s="2748"/>
      <c r="AC165" s="2748"/>
      <c r="AD165" s="2748"/>
      <c r="AE165" s="2748"/>
      <c r="AF165" s="2748"/>
      <c r="AG165" s="2748"/>
      <c r="AH165" s="2748"/>
      <c r="AI165" s="2748"/>
      <c r="AK165" s="2748"/>
      <c r="AL165" s="2748"/>
      <c r="AN165" s="2748"/>
      <c r="AO165" s="2748"/>
      <c r="AP165" s="2748"/>
    </row>
    <row r="166" spans="2:42" ht="18" customHeight="1">
      <c r="B166" s="2728"/>
      <c r="C166" s="2728"/>
      <c r="D166" s="2728"/>
      <c r="E166" s="2728"/>
      <c r="G166" s="2512"/>
      <c r="I166" s="2748"/>
      <c r="J166" s="2728"/>
      <c r="L166" s="2728"/>
      <c r="M166" s="2748"/>
      <c r="N166" s="2728"/>
      <c r="O166" s="2728"/>
      <c r="P166" s="2728"/>
      <c r="Q166" s="2748"/>
      <c r="R166" s="2748"/>
      <c r="S166" s="2748"/>
      <c r="T166" s="2748"/>
      <c r="U166" s="2748"/>
      <c r="V166" s="2748"/>
      <c r="W166" s="2748"/>
      <c r="X166" s="2748"/>
      <c r="Y166" s="2748"/>
      <c r="Z166" s="2748"/>
      <c r="AA166" s="2748"/>
      <c r="AB166" s="2748"/>
      <c r="AC166" s="2748"/>
      <c r="AD166" s="2748"/>
      <c r="AE166" s="2748"/>
      <c r="AF166" s="2748"/>
      <c r="AG166" s="2748"/>
      <c r="AH166" s="2748"/>
      <c r="AI166" s="2748"/>
      <c r="AK166" s="2748"/>
      <c r="AL166" s="2748"/>
      <c r="AN166" s="2748"/>
      <c r="AO166" s="2748"/>
      <c r="AP166" s="2748"/>
    </row>
    <row r="167" spans="2:42" ht="18" customHeight="1">
      <c r="B167" s="2728"/>
      <c r="C167" s="2728"/>
      <c r="D167" s="2728"/>
      <c r="E167" s="2728"/>
      <c r="G167" s="2512"/>
      <c r="I167" s="2748"/>
      <c r="J167" s="2728"/>
      <c r="L167" s="2728"/>
      <c r="M167" s="2748"/>
      <c r="N167" s="2728"/>
      <c r="O167" s="2728"/>
      <c r="P167" s="2728"/>
      <c r="Q167" s="2748"/>
      <c r="R167" s="2748"/>
      <c r="S167" s="2748"/>
      <c r="T167" s="2748"/>
      <c r="U167" s="2748"/>
      <c r="V167" s="2748"/>
      <c r="W167" s="2748"/>
      <c r="X167" s="2748"/>
      <c r="Y167" s="2748"/>
      <c r="Z167" s="2748"/>
      <c r="AA167" s="2748"/>
      <c r="AB167" s="2748"/>
      <c r="AC167" s="2748"/>
      <c r="AD167" s="2748"/>
      <c r="AE167" s="2748"/>
      <c r="AF167" s="2748"/>
      <c r="AG167" s="2748"/>
      <c r="AH167" s="2748"/>
      <c r="AI167" s="2748"/>
      <c r="AK167" s="2748"/>
      <c r="AL167" s="2748"/>
      <c r="AN167" s="2748"/>
      <c r="AO167" s="2748"/>
      <c r="AP167" s="2748"/>
    </row>
    <row r="168" spans="2:42" ht="18" customHeight="1">
      <c r="B168" s="2728"/>
      <c r="C168" s="2728"/>
      <c r="D168" s="2728"/>
      <c r="E168" s="2728"/>
      <c r="G168" s="2512"/>
      <c r="I168" s="2748"/>
      <c r="J168" s="2728"/>
      <c r="L168" s="2728"/>
      <c r="M168" s="2748"/>
      <c r="N168" s="2728"/>
      <c r="O168" s="2728"/>
      <c r="P168" s="2728"/>
      <c r="Q168" s="2748"/>
      <c r="R168" s="2748"/>
      <c r="S168" s="2748"/>
      <c r="T168" s="2748"/>
      <c r="U168" s="2748"/>
      <c r="V168" s="2748"/>
      <c r="W168" s="2748"/>
      <c r="X168" s="2748"/>
      <c r="Y168" s="2748"/>
      <c r="Z168" s="2748"/>
      <c r="AA168" s="2748"/>
      <c r="AB168" s="2748"/>
      <c r="AC168" s="2748"/>
      <c r="AD168" s="2748"/>
      <c r="AE168" s="2748"/>
      <c r="AF168" s="2748"/>
      <c r="AG168" s="2748"/>
      <c r="AH168" s="2748"/>
      <c r="AI168" s="2748"/>
      <c r="AK168" s="2748"/>
      <c r="AL168" s="2748"/>
      <c r="AN168" s="2748"/>
      <c r="AO168" s="2748"/>
      <c r="AP168" s="2748"/>
    </row>
    <row r="169" spans="2:42" ht="18" customHeight="1">
      <c r="B169" s="2728"/>
      <c r="C169" s="2728"/>
      <c r="D169" s="2728"/>
      <c r="E169" s="2728"/>
      <c r="G169" s="2512"/>
      <c r="I169" s="2748"/>
      <c r="J169" s="2728"/>
      <c r="L169" s="2728"/>
      <c r="M169" s="2748"/>
      <c r="N169" s="2728"/>
      <c r="O169" s="2728"/>
      <c r="P169" s="2728"/>
      <c r="Q169" s="2748"/>
      <c r="R169" s="2748"/>
      <c r="S169" s="2748"/>
      <c r="T169" s="2748"/>
      <c r="U169" s="2748"/>
      <c r="V169" s="2748"/>
      <c r="W169" s="2748"/>
      <c r="X169" s="2748"/>
      <c r="Y169" s="2748"/>
      <c r="Z169" s="2748"/>
      <c r="AA169" s="2748"/>
      <c r="AB169" s="2748"/>
      <c r="AC169" s="2748"/>
      <c r="AD169" s="2748"/>
      <c r="AE169" s="2748"/>
      <c r="AF169" s="2748"/>
      <c r="AG169" s="2748"/>
      <c r="AH169" s="2748"/>
      <c r="AI169" s="2748"/>
      <c r="AK169" s="2748"/>
      <c r="AL169" s="2748"/>
      <c r="AN169" s="2748"/>
      <c r="AO169" s="2748"/>
      <c r="AP169" s="2748"/>
    </row>
    <row r="170" spans="2:42" ht="18" customHeight="1">
      <c r="B170" s="2728"/>
      <c r="C170" s="2728"/>
      <c r="D170" s="2728"/>
      <c r="E170" s="2728"/>
      <c r="G170" s="2512"/>
      <c r="I170" s="2748"/>
      <c r="J170" s="2728"/>
      <c r="L170" s="2728"/>
      <c r="M170" s="2748"/>
      <c r="N170" s="2728"/>
      <c r="O170" s="2728"/>
      <c r="P170" s="2728"/>
      <c r="Q170" s="2748"/>
      <c r="R170" s="2748"/>
      <c r="S170" s="2748"/>
      <c r="T170" s="2748"/>
      <c r="U170" s="2748"/>
      <c r="V170" s="2748"/>
      <c r="W170" s="2748"/>
      <c r="X170" s="2748"/>
      <c r="Y170" s="2748"/>
      <c r="Z170" s="2748"/>
      <c r="AA170" s="2748"/>
      <c r="AB170" s="2748"/>
      <c r="AC170" s="2748"/>
      <c r="AD170" s="2748"/>
      <c r="AE170" s="2748"/>
      <c r="AF170" s="2748"/>
      <c r="AG170" s="2748"/>
      <c r="AH170" s="2748"/>
      <c r="AI170" s="2748"/>
      <c r="AK170" s="2748"/>
      <c r="AL170" s="2748"/>
      <c r="AN170" s="2748"/>
      <c r="AO170" s="2748"/>
      <c r="AP170" s="2748"/>
    </row>
    <row r="171" spans="2:42" ht="18" customHeight="1">
      <c r="B171" s="2728"/>
      <c r="C171" s="2728"/>
      <c r="D171" s="2728"/>
      <c r="E171" s="2728"/>
      <c r="G171" s="2512"/>
      <c r="I171" s="2748"/>
      <c r="J171" s="2728"/>
      <c r="L171" s="2728"/>
      <c r="M171" s="2748"/>
      <c r="N171" s="2728"/>
      <c r="O171" s="2728"/>
      <c r="P171" s="2728"/>
      <c r="Q171" s="2748"/>
      <c r="R171" s="2748"/>
      <c r="S171" s="2748"/>
      <c r="T171" s="2748"/>
      <c r="U171" s="2748"/>
      <c r="V171" s="2748"/>
      <c r="W171" s="2748"/>
      <c r="X171" s="2748"/>
      <c r="Y171" s="2748"/>
      <c r="Z171" s="2748"/>
      <c r="AA171" s="2748"/>
      <c r="AB171" s="2748"/>
      <c r="AC171" s="2748"/>
      <c r="AD171" s="2748"/>
      <c r="AE171" s="2748"/>
      <c r="AF171" s="2748"/>
      <c r="AG171" s="2748"/>
      <c r="AH171" s="2748"/>
      <c r="AI171" s="2748"/>
      <c r="AK171" s="2748"/>
      <c r="AL171" s="2748"/>
      <c r="AN171" s="2748"/>
      <c r="AO171" s="2748"/>
      <c r="AP171" s="2748"/>
    </row>
    <row r="172" spans="2:42" ht="18" customHeight="1">
      <c r="B172" s="2728"/>
      <c r="C172" s="2728"/>
      <c r="D172" s="2728"/>
      <c r="E172" s="2728"/>
      <c r="G172" s="2512"/>
      <c r="I172" s="2748"/>
      <c r="J172" s="2728"/>
      <c r="L172" s="2728"/>
      <c r="M172" s="2748"/>
      <c r="N172" s="2728"/>
      <c r="O172" s="2728"/>
      <c r="P172" s="2728"/>
      <c r="Q172" s="2748"/>
      <c r="R172" s="2748"/>
      <c r="S172" s="2748"/>
      <c r="T172" s="2748"/>
      <c r="U172" s="2748"/>
      <c r="V172" s="2748"/>
      <c r="W172" s="2748"/>
      <c r="X172" s="2748"/>
      <c r="Y172" s="2748"/>
      <c r="Z172" s="2748"/>
      <c r="AA172" s="2748"/>
      <c r="AB172" s="2748"/>
      <c r="AC172" s="2748"/>
      <c r="AD172" s="2748"/>
      <c r="AE172" s="2748"/>
      <c r="AF172" s="2748"/>
      <c r="AG172" s="2748"/>
      <c r="AH172" s="2748"/>
      <c r="AI172" s="2748"/>
      <c r="AK172" s="2748"/>
      <c r="AL172" s="2748"/>
      <c r="AN172" s="2748"/>
      <c r="AO172" s="2748"/>
      <c r="AP172" s="2748"/>
    </row>
    <row r="173" spans="2:42" ht="18" customHeight="1">
      <c r="B173" s="2728"/>
      <c r="C173" s="2728"/>
      <c r="D173" s="2728"/>
      <c r="E173" s="2728"/>
      <c r="G173" s="2512"/>
      <c r="I173" s="2748"/>
      <c r="J173" s="2728"/>
      <c r="L173" s="2728"/>
      <c r="M173" s="2748"/>
      <c r="N173" s="2728"/>
      <c r="O173" s="2728"/>
      <c r="P173" s="2728"/>
      <c r="Q173" s="2748"/>
      <c r="R173" s="2748"/>
      <c r="S173" s="2748"/>
      <c r="T173" s="2748"/>
      <c r="U173" s="2748"/>
      <c r="V173" s="2748"/>
      <c r="W173" s="2748"/>
      <c r="X173" s="2748"/>
      <c r="Y173" s="2748"/>
      <c r="Z173" s="2748"/>
      <c r="AA173" s="2748"/>
      <c r="AB173" s="2748"/>
      <c r="AC173" s="2748"/>
      <c r="AD173" s="2748"/>
      <c r="AE173" s="2748"/>
      <c r="AF173" s="2748"/>
      <c r="AG173" s="2748"/>
      <c r="AH173" s="2748"/>
      <c r="AI173" s="2748"/>
      <c r="AK173" s="2748"/>
      <c r="AL173" s="2748"/>
      <c r="AN173" s="2748"/>
      <c r="AO173" s="2748"/>
      <c r="AP173" s="2748"/>
    </row>
    <row r="174" spans="2:42" ht="18" customHeight="1">
      <c r="B174" s="2728"/>
      <c r="C174" s="2728"/>
      <c r="D174" s="2728"/>
      <c r="E174" s="2728"/>
      <c r="G174" s="2512"/>
      <c r="I174" s="2748"/>
      <c r="J174" s="2728"/>
      <c r="L174" s="2728"/>
      <c r="M174" s="2748"/>
      <c r="N174" s="2728"/>
      <c r="O174" s="2728"/>
      <c r="P174" s="2728"/>
      <c r="Q174" s="2748"/>
      <c r="R174" s="2748"/>
      <c r="S174" s="2748"/>
      <c r="T174" s="2748"/>
      <c r="U174" s="2748"/>
      <c r="V174" s="2748"/>
      <c r="W174" s="2748"/>
      <c r="X174" s="2748"/>
      <c r="Y174" s="2748"/>
      <c r="Z174" s="2748"/>
      <c r="AA174" s="2748"/>
      <c r="AB174" s="2748"/>
      <c r="AC174" s="2748"/>
      <c r="AD174" s="2748"/>
      <c r="AE174" s="2748"/>
      <c r="AF174" s="2748"/>
      <c r="AG174" s="2748"/>
      <c r="AH174" s="2748"/>
      <c r="AI174" s="2748"/>
      <c r="AK174" s="2748"/>
      <c r="AL174" s="2748"/>
      <c r="AN174" s="2748"/>
      <c r="AO174" s="2748"/>
      <c r="AP174" s="2748"/>
    </row>
    <row r="175" spans="2:42" ht="18" customHeight="1">
      <c r="B175" s="2728"/>
      <c r="C175" s="2728"/>
      <c r="D175" s="2728"/>
      <c r="E175" s="2728"/>
      <c r="G175" s="2512"/>
      <c r="I175" s="2748"/>
      <c r="J175" s="2728"/>
      <c r="L175" s="2728"/>
      <c r="M175" s="2748"/>
      <c r="N175" s="2728"/>
      <c r="O175" s="2728"/>
      <c r="P175" s="2728"/>
      <c r="Q175" s="2748"/>
      <c r="R175" s="2748"/>
      <c r="S175" s="2748"/>
      <c r="T175" s="2748"/>
      <c r="U175" s="2748"/>
      <c r="V175" s="2748"/>
      <c r="W175" s="2748"/>
      <c r="X175" s="2748"/>
      <c r="Y175" s="2748"/>
      <c r="Z175" s="2748"/>
      <c r="AA175" s="2748"/>
      <c r="AB175" s="2748"/>
      <c r="AC175" s="2748"/>
      <c r="AD175" s="2748"/>
      <c r="AE175" s="2748"/>
      <c r="AF175" s="2748"/>
      <c r="AG175" s="2748"/>
      <c r="AH175" s="2748"/>
      <c r="AI175" s="2748"/>
      <c r="AK175" s="2748"/>
      <c r="AL175" s="2748"/>
      <c r="AN175" s="2748"/>
      <c r="AO175" s="2748"/>
      <c r="AP175" s="2748"/>
    </row>
    <row r="176" spans="2:42" ht="18" customHeight="1">
      <c r="B176" s="2728"/>
      <c r="C176" s="2728"/>
      <c r="D176" s="2728"/>
      <c r="E176" s="2728"/>
      <c r="G176" s="2512"/>
      <c r="I176" s="2748"/>
      <c r="J176" s="2728"/>
      <c r="L176" s="2728"/>
      <c r="M176" s="2748"/>
      <c r="N176" s="2728"/>
      <c r="O176" s="2728"/>
      <c r="P176" s="2728"/>
      <c r="Q176" s="2748"/>
      <c r="R176" s="2748"/>
      <c r="S176" s="2748"/>
      <c r="T176" s="2748"/>
      <c r="U176" s="2748"/>
      <c r="V176" s="2748"/>
      <c r="W176" s="2748"/>
      <c r="X176" s="2748"/>
      <c r="Y176" s="2748"/>
      <c r="Z176" s="2748"/>
      <c r="AA176" s="2748"/>
      <c r="AB176" s="2748"/>
      <c r="AC176" s="2748"/>
      <c r="AD176" s="2748"/>
      <c r="AE176" s="2748"/>
      <c r="AF176" s="2748"/>
      <c r="AG176" s="2748"/>
      <c r="AH176" s="2748"/>
      <c r="AI176" s="2748"/>
      <c r="AK176" s="2748"/>
      <c r="AL176" s="2748"/>
      <c r="AN176" s="2748"/>
      <c r="AO176" s="2748"/>
      <c r="AP176" s="2748"/>
    </row>
    <row r="177" spans="2:42" ht="18" customHeight="1">
      <c r="B177" s="2728"/>
      <c r="C177" s="2728"/>
      <c r="D177" s="2728"/>
      <c r="E177" s="2728"/>
      <c r="G177" s="2512"/>
      <c r="I177" s="2748"/>
      <c r="J177" s="2728"/>
      <c r="L177" s="2728"/>
      <c r="M177" s="2748"/>
      <c r="N177" s="2728"/>
      <c r="O177" s="2728"/>
      <c r="P177" s="2728"/>
      <c r="Q177" s="2748"/>
      <c r="R177" s="2748"/>
      <c r="S177" s="2748"/>
      <c r="T177" s="2748"/>
      <c r="U177" s="2748"/>
      <c r="V177" s="2748"/>
      <c r="W177" s="2748"/>
      <c r="X177" s="2748"/>
      <c r="Y177" s="2748"/>
      <c r="Z177" s="2748"/>
      <c r="AA177" s="2748"/>
      <c r="AB177" s="2748"/>
      <c r="AC177" s="2748"/>
      <c r="AD177" s="2748"/>
      <c r="AE177" s="2748"/>
      <c r="AF177" s="2748"/>
      <c r="AG177" s="2748"/>
      <c r="AH177" s="2748"/>
      <c r="AI177" s="2748"/>
      <c r="AK177" s="2748"/>
      <c r="AL177" s="2748"/>
      <c r="AN177" s="2748"/>
      <c r="AO177" s="2748"/>
      <c r="AP177" s="2748"/>
    </row>
    <row r="178" spans="2:42" ht="18" customHeight="1">
      <c r="B178" s="2728"/>
      <c r="C178" s="2728"/>
      <c r="D178" s="2728"/>
      <c r="E178" s="2728"/>
      <c r="G178" s="2512"/>
      <c r="I178" s="2748"/>
      <c r="J178" s="2728"/>
      <c r="L178" s="2728"/>
      <c r="M178" s="2748"/>
      <c r="N178" s="2728"/>
      <c r="O178" s="2728"/>
      <c r="P178" s="2728"/>
      <c r="Q178" s="2748"/>
      <c r="R178" s="2748"/>
      <c r="S178" s="2748"/>
      <c r="T178" s="2748"/>
      <c r="U178" s="2748"/>
      <c r="V178" s="2748"/>
      <c r="W178" s="2748"/>
      <c r="X178" s="2748"/>
      <c r="Y178" s="2748"/>
      <c r="Z178" s="2748"/>
      <c r="AA178" s="2748"/>
      <c r="AB178" s="2748"/>
      <c r="AC178" s="2748"/>
      <c r="AD178" s="2748"/>
      <c r="AE178" s="2748"/>
      <c r="AF178" s="2748"/>
      <c r="AG178" s="2748"/>
      <c r="AH178" s="2748"/>
      <c r="AI178" s="2748"/>
      <c r="AK178" s="2748"/>
      <c r="AL178" s="2748"/>
      <c r="AN178" s="2748"/>
      <c r="AO178" s="2748"/>
      <c r="AP178" s="2748"/>
    </row>
    <row r="179" spans="2:42" ht="18" customHeight="1">
      <c r="B179" s="2728"/>
      <c r="C179" s="2728"/>
      <c r="D179" s="2728"/>
      <c r="E179" s="2728"/>
      <c r="G179" s="2512"/>
      <c r="I179" s="2748"/>
      <c r="J179" s="2728"/>
      <c r="L179" s="2728"/>
      <c r="M179" s="2748"/>
      <c r="N179" s="2728"/>
      <c r="O179" s="2728"/>
      <c r="P179" s="2728"/>
      <c r="Q179" s="2748"/>
      <c r="R179" s="2748"/>
      <c r="S179" s="2748"/>
      <c r="T179" s="2748"/>
      <c r="U179" s="2748"/>
      <c r="V179" s="2748"/>
      <c r="W179" s="2748"/>
      <c r="X179" s="2748"/>
      <c r="Y179" s="2748"/>
      <c r="Z179" s="2748"/>
      <c r="AA179" s="2748"/>
      <c r="AB179" s="2748"/>
      <c r="AC179" s="2748"/>
      <c r="AD179" s="2748"/>
      <c r="AE179" s="2748"/>
      <c r="AF179" s="2748"/>
      <c r="AG179" s="2748"/>
      <c r="AH179" s="2748"/>
      <c r="AI179" s="2748"/>
      <c r="AK179" s="2748"/>
      <c r="AL179" s="2748"/>
      <c r="AN179" s="2748"/>
      <c r="AO179" s="2748"/>
      <c r="AP179" s="2748"/>
    </row>
    <row r="180" spans="2:42" ht="18" customHeight="1">
      <c r="B180" s="2728"/>
      <c r="C180" s="2728"/>
      <c r="D180" s="2728"/>
      <c r="E180" s="2728"/>
      <c r="G180" s="2512"/>
      <c r="I180" s="2748"/>
      <c r="J180" s="2728"/>
      <c r="L180" s="2728"/>
      <c r="M180" s="2748"/>
      <c r="N180" s="2728"/>
      <c r="O180" s="2728"/>
      <c r="P180" s="2728"/>
      <c r="Q180" s="2748"/>
      <c r="R180" s="2748"/>
      <c r="S180" s="2748"/>
      <c r="T180" s="2748"/>
      <c r="U180" s="2748"/>
      <c r="V180" s="2748"/>
      <c r="W180" s="2748"/>
      <c r="X180" s="2748"/>
      <c r="Y180" s="2748"/>
      <c r="Z180" s="2748"/>
      <c r="AA180" s="2748"/>
      <c r="AB180" s="2748"/>
      <c r="AC180" s="2748"/>
      <c r="AD180" s="2748"/>
      <c r="AE180" s="2748"/>
      <c r="AF180" s="2748"/>
      <c r="AG180" s="2748"/>
      <c r="AH180" s="2748"/>
      <c r="AI180" s="2748"/>
      <c r="AK180" s="2748"/>
      <c r="AL180" s="2748"/>
      <c r="AN180" s="2748"/>
      <c r="AO180" s="2748"/>
      <c r="AP180" s="2748"/>
    </row>
    <row r="181" spans="2:42" ht="18" customHeight="1">
      <c r="B181" s="2728"/>
      <c r="C181" s="2728"/>
      <c r="D181" s="2728"/>
      <c r="E181" s="2728"/>
      <c r="G181" s="2512"/>
      <c r="I181" s="2748"/>
      <c r="J181" s="2728"/>
      <c r="L181" s="2728"/>
      <c r="M181" s="2748"/>
      <c r="N181" s="2728"/>
      <c r="O181" s="2728"/>
      <c r="P181" s="2728"/>
      <c r="Q181" s="2748"/>
      <c r="R181" s="2748"/>
      <c r="S181" s="2748"/>
      <c r="T181" s="2748"/>
      <c r="U181" s="2748"/>
      <c r="V181" s="2748"/>
      <c r="W181" s="2748"/>
      <c r="X181" s="2748"/>
      <c r="Y181" s="2748"/>
      <c r="Z181" s="2748"/>
      <c r="AA181" s="2748"/>
      <c r="AB181" s="2748"/>
      <c r="AC181" s="2748"/>
      <c r="AD181" s="2748"/>
      <c r="AE181" s="2748"/>
      <c r="AF181" s="2748"/>
      <c r="AG181" s="2748"/>
      <c r="AH181" s="2748"/>
      <c r="AI181" s="2748"/>
      <c r="AK181" s="2748"/>
      <c r="AL181" s="2748"/>
      <c r="AN181" s="2748"/>
      <c r="AO181" s="2748"/>
      <c r="AP181" s="2748"/>
    </row>
    <row r="182" spans="2:42" ht="18" customHeight="1">
      <c r="B182" s="2728"/>
      <c r="C182" s="2728"/>
      <c r="D182" s="2728"/>
      <c r="E182" s="2728"/>
      <c r="G182" s="2512"/>
      <c r="I182" s="2748"/>
      <c r="J182" s="2728"/>
      <c r="L182" s="2728"/>
      <c r="M182" s="2748"/>
      <c r="N182" s="2728"/>
      <c r="O182" s="2728"/>
      <c r="P182" s="2728"/>
      <c r="Q182" s="2748"/>
      <c r="R182" s="2748"/>
      <c r="S182" s="2748"/>
      <c r="T182" s="2748"/>
      <c r="U182" s="2748"/>
      <c r="V182" s="2748"/>
      <c r="W182" s="2748"/>
      <c r="X182" s="2748"/>
      <c r="Y182" s="2748"/>
      <c r="Z182" s="2748"/>
      <c r="AA182" s="2748"/>
      <c r="AB182" s="2748"/>
      <c r="AC182" s="2748"/>
      <c r="AD182" s="2748"/>
      <c r="AE182" s="2748"/>
      <c r="AF182" s="2748"/>
      <c r="AG182" s="2748"/>
      <c r="AH182" s="2748"/>
      <c r="AI182" s="2748"/>
      <c r="AK182" s="2748"/>
      <c r="AL182" s="2748"/>
      <c r="AN182" s="2748"/>
      <c r="AO182" s="2748"/>
      <c r="AP182" s="2748"/>
    </row>
    <row r="183" spans="2:42" ht="18" customHeight="1">
      <c r="B183" s="2728"/>
      <c r="C183" s="2728"/>
      <c r="D183" s="2728"/>
      <c r="E183" s="2728"/>
      <c r="G183" s="2512"/>
      <c r="I183" s="2748"/>
      <c r="J183" s="2728"/>
      <c r="L183" s="2728"/>
      <c r="M183" s="2748"/>
      <c r="N183" s="2728"/>
      <c r="O183" s="2728"/>
      <c r="P183" s="2728"/>
      <c r="Q183" s="2748"/>
      <c r="R183" s="2748"/>
      <c r="S183" s="2748"/>
      <c r="T183" s="2748"/>
      <c r="U183" s="2748"/>
      <c r="V183" s="2748"/>
      <c r="W183" s="2748"/>
      <c r="X183" s="2748"/>
      <c r="Y183" s="2748"/>
      <c r="Z183" s="2748"/>
      <c r="AA183" s="2748"/>
      <c r="AB183" s="2748"/>
      <c r="AC183" s="2748"/>
      <c r="AD183" s="2748"/>
      <c r="AE183" s="2748"/>
      <c r="AF183" s="2748"/>
      <c r="AG183" s="2748"/>
      <c r="AH183" s="2748"/>
      <c r="AI183" s="2748"/>
      <c r="AK183" s="2748"/>
      <c r="AL183" s="2748"/>
      <c r="AN183" s="2748"/>
      <c r="AO183" s="2748"/>
      <c r="AP183" s="2748"/>
    </row>
    <row r="184" spans="2:42" ht="18" customHeight="1">
      <c r="B184" s="2728"/>
      <c r="C184" s="2728"/>
      <c r="D184" s="2728"/>
      <c r="E184" s="2728"/>
      <c r="G184" s="2512"/>
      <c r="I184" s="2748"/>
      <c r="J184" s="2728"/>
      <c r="L184" s="2728"/>
      <c r="M184" s="2748"/>
      <c r="N184" s="2728"/>
      <c r="O184" s="2728"/>
      <c r="P184" s="2728"/>
      <c r="Q184" s="2748"/>
      <c r="R184" s="2748"/>
      <c r="S184" s="2748"/>
      <c r="T184" s="2748"/>
      <c r="U184" s="2748"/>
      <c r="V184" s="2748"/>
      <c r="W184" s="2748"/>
      <c r="X184" s="2748"/>
      <c r="Y184" s="2748"/>
      <c r="Z184" s="2748"/>
      <c r="AA184" s="2748"/>
      <c r="AB184" s="2748"/>
      <c r="AC184" s="2748"/>
      <c r="AD184" s="2748"/>
      <c r="AE184" s="2748"/>
      <c r="AF184" s="2748"/>
      <c r="AG184" s="2748"/>
      <c r="AH184" s="2748"/>
      <c r="AI184" s="2748"/>
      <c r="AK184" s="2748"/>
      <c r="AL184" s="2748"/>
      <c r="AN184" s="2748"/>
      <c r="AO184" s="2748"/>
      <c r="AP184" s="2748"/>
    </row>
    <row r="185" spans="2:42" ht="18" customHeight="1">
      <c r="B185" s="2728"/>
      <c r="C185" s="2728"/>
      <c r="D185" s="2728"/>
      <c r="E185" s="2728"/>
      <c r="G185" s="2512"/>
      <c r="I185" s="2748"/>
      <c r="J185" s="2728"/>
      <c r="L185" s="2728"/>
      <c r="M185" s="2748"/>
      <c r="N185" s="2728"/>
      <c r="O185" s="2728"/>
      <c r="P185" s="2728"/>
      <c r="Q185" s="2748"/>
      <c r="R185" s="2748"/>
      <c r="S185" s="2748"/>
      <c r="T185" s="2748"/>
      <c r="U185" s="2748"/>
      <c r="V185" s="2748"/>
      <c r="W185" s="2748"/>
      <c r="X185" s="2748"/>
      <c r="Y185" s="2748"/>
      <c r="Z185" s="2748"/>
      <c r="AA185" s="2748"/>
      <c r="AB185" s="2748"/>
      <c r="AC185" s="2748"/>
      <c r="AD185" s="2748"/>
      <c r="AE185" s="2748"/>
      <c r="AF185" s="2748"/>
      <c r="AG185" s="2748"/>
      <c r="AH185" s="2748"/>
      <c r="AI185" s="2748"/>
      <c r="AK185" s="2748"/>
      <c r="AL185" s="2748"/>
      <c r="AN185" s="2748"/>
      <c r="AO185" s="2748"/>
      <c r="AP185" s="2748"/>
    </row>
    <row r="186" spans="2:42" ht="18" customHeight="1">
      <c r="B186" s="2728"/>
      <c r="C186" s="2728"/>
      <c r="D186" s="2728"/>
      <c r="E186" s="2728"/>
      <c r="G186" s="2512"/>
      <c r="I186" s="2748"/>
      <c r="J186" s="2728"/>
      <c r="L186" s="2728"/>
      <c r="M186" s="2748"/>
      <c r="N186" s="2728"/>
      <c r="O186" s="2728"/>
      <c r="P186" s="2728"/>
      <c r="Q186" s="2748"/>
      <c r="R186" s="2748"/>
      <c r="S186" s="2748"/>
      <c r="T186" s="2748"/>
      <c r="U186" s="2748"/>
      <c r="V186" s="2748"/>
      <c r="W186" s="2748"/>
      <c r="X186" s="2748"/>
      <c r="Y186" s="2748"/>
      <c r="Z186" s="2748"/>
      <c r="AA186" s="2748"/>
      <c r="AB186" s="2748"/>
      <c r="AC186" s="2748"/>
      <c r="AD186" s="2748"/>
      <c r="AE186" s="2748"/>
      <c r="AF186" s="2748"/>
      <c r="AG186" s="2748"/>
      <c r="AH186" s="2748"/>
      <c r="AI186" s="2748"/>
      <c r="AK186" s="2748"/>
      <c r="AL186" s="2748"/>
      <c r="AN186" s="2748"/>
      <c r="AO186" s="2748"/>
      <c r="AP186" s="2748"/>
    </row>
    <row r="187" spans="2:42" ht="18" customHeight="1">
      <c r="B187" s="2728"/>
      <c r="C187" s="2728"/>
      <c r="D187" s="2728"/>
      <c r="E187" s="2728"/>
      <c r="G187" s="2512"/>
      <c r="I187" s="2748"/>
      <c r="J187" s="2728"/>
      <c r="L187" s="2728"/>
      <c r="M187" s="2748"/>
      <c r="N187" s="2728"/>
      <c r="O187" s="2728"/>
      <c r="P187" s="2728"/>
      <c r="Q187" s="2748"/>
      <c r="R187" s="2748"/>
      <c r="S187" s="2748"/>
      <c r="T187" s="2748"/>
      <c r="U187" s="2748"/>
      <c r="V187" s="2748"/>
      <c r="W187" s="2748"/>
      <c r="X187" s="2748"/>
      <c r="Y187" s="2748"/>
      <c r="Z187" s="2748"/>
      <c r="AA187" s="2748"/>
      <c r="AB187" s="2748"/>
      <c r="AC187" s="2748"/>
      <c r="AD187" s="2748"/>
      <c r="AE187" s="2748"/>
      <c r="AF187" s="2748"/>
      <c r="AG187" s="2748"/>
      <c r="AH187" s="2748"/>
      <c r="AI187" s="2748"/>
      <c r="AK187" s="2748"/>
      <c r="AL187" s="2748"/>
      <c r="AN187" s="2748"/>
      <c r="AO187" s="2748"/>
      <c r="AP187" s="2748"/>
    </row>
    <row r="188" spans="2:42" ht="18" customHeight="1">
      <c r="B188" s="2728"/>
      <c r="C188" s="2728"/>
      <c r="D188" s="2728"/>
      <c r="E188" s="2728"/>
      <c r="G188" s="2512"/>
      <c r="I188" s="2748"/>
      <c r="J188" s="2728"/>
      <c r="L188" s="2728"/>
      <c r="M188" s="2748"/>
      <c r="N188" s="2728"/>
      <c r="O188" s="2728"/>
      <c r="P188" s="2728"/>
      <c r="Q188" s="2748"/>
      <c r="R188" s="2748"/>
      <c r="S188" s="2748"/>
      <c r="T188" s="2748"/>
      <c r="U188" s="2748"/>
      <c r="V188" s="2748"/>
      <c r="W188" s="2748"/>
      <c r="X188" s="2748"/>
      <c r="Y188" s="2748"/>
      <c r="Z188" s="2748"/>
      <c r="AA188" s="2748"/>
      <c r="AB188" s="2748"/>
      <c r="AC188" s="2748"/>
      <c r="AD188" s="2748"/>
      <c r="AE188" s="2748"/>
      <c r="AF188" s="2748"/>
      <c r="AG188" s="2748"/>
      <c r="AH188" s="2748"/>
      <c r="AI188" s="2748"/>
      <c r="AK188" s="2748"/>
      <c r="AL188" s="2748"/>
      <c r="AN188" s="2748"/>
      <c r="AO188" s="2748"/>
      <c r="AP188" s="2748"/>
    </row>
    <row r="189" spans="2:42" ht="18" customHeight="1">
      <c r="B189" s="2728"/>
      <c r="C189" s="2728"/>
      <c r="D189" s="2728"/>
      <c r="E189" s="2728"/>
      <c r="G189" s="2512"/>
      <c r="I189" s="2748"/>
      <c r="J189" s="2728"/>
      <c r="L189" s="2728"/>
      <c r="M189" s="2748"/>
      <c r="N189" s="2728"/>
      <c r="O189" s="2728"/>
      <c r="P189" s="2728"/>
      <c r="Q189" s="2748"/>
      <c r="R189" s="2748"/>
      <c r="S189" s="2748"/>
      <c r="T189" s="2748"/>
      <c r="U189" s="2748"/>
      <c r="V189" s="2748"/>
      <c r="W189" s="2748"/>
      <c r="X189" s="2748"/>
      <c r="Y189" s="2748"/>
      <c r="Z189" s="2748"/>
      <c r="AA189" s="2748"/>
      <c r="AB189" s="2748"/>
      <c r="AC189" s="2748"/>
      <c r="AD189" s="2748"/>
      <c r="AE189" s="2748"/>
      <c r="AF189" s="2748"/>
      <c r="AG189" s="2748"/>
      <c r="AH189" s="2748"/>
      <c r="AI189" s="2748"/>
      <c r="AK189" s="2748"/>
      <c r="AL189" s="2748"/>
      <c r="AN189" s="2748"/>
      <c r="AO189" s="2748"/>
      <c r="AP189" s="2748"/>
    </row>
    <row r="190" spans="2:42" ht="18" customHeight="1">
      <c r="B190" s="2728"/>
      <c r="C190" s="2728"/>
      <c r="D190" s="2728"/>
      <c r="E190" s="2728"/>
      <c r="G190" s="2512"/>
      <c r="I190" s="2748"/>
      <c r="J190" s="2728"/>
      <c r="L190" s="2728"/>
      <c r="M190" s="2748"/>
      <c r="N190" s="2728"/>
      <c r="O190" s="2728"/>
      <c r="P190" s="2728"/>
      <c r="Q190" s="2748"/>
      <c r="R190" s="2748"/>
      <c r="S190" s="2748"/>
      <c r="T190" s="2748"/>
      <c r="U190" s="2748"/>
      <c r="V190" s="2748"/>
      <c r="W190" s="2748"/>
      <c r="X190" s="2748"/>
      <c r="Y190" s="2748"/>
      <c r="Z190" s="2748"/>
      <c r="AA190" s="2748"/>
      <c r="AB190" s="2748"/>
      <c r="AC190" s="2748"/>
      <c r="AD190" s="2748"/>
      <c r="AE190" s="2748"/>
      <c r="AF190" s="2748"/>
      <c r="AG190" s="2748"/>
      <c r="AH190" s="2748"/>
      <c r="AI190" s="2748"/>
      <c r="AK190" s="2748"/>
      <c r="AL190" s="2748"/>
      <c r="AN190" s="2748"/>
      <c r="AO190" s="2748"/>
      <c r="AP190" s="2748"/>
    </row>
    <row r="191" spans="2:42" ht="18" customHeight="1">
      <c r="B191" s="2728"/>
      <c r="C191" s="2728"/>
      <c r="D191" s="2728"/>
      <c r="E191" s="2728"/>
      <c r="G191" s="2512"/>
      <c r="I191" s="2748"/>
      <c r="J191" s="2728"/>
      <c r="L191" s="2728"/>
      <c r="M191" s="2748"/>
      <c r="N191" s="2728"/>
      <c r="O191" s="2728"/>
      <c r="P191" s="2728"/>
      <c r="Q191" s="2748"/>
      <c r="R191" s="2748"/>
      <c r="S191" s="2748"/>
      <c r="T191" s="2748"/>
      <c r="U191" s="2748"/>
      <c r="V191" s="2748"/>
      <c r="W191" s="2748"/>
      <c r="X191" s="2748"/>
      <c r="Y191" s="2748"/>
      <c r="Z191" s="2748"/>
      <c r="AA191" s="2748"/>
      <c r="AB191" s="2748"/>
      <c r="AC191" s="2748"/>
      <c r="AD191" s="2748"/>
      <c r="AE191" s="2748"/>
      <c r="AF191" s="2748"/>
      <c r="AG191" s="2748"/>
      <c r="AH191" s="2748"/>
      <c r="AI191" s="2748"/>
      <c r="AK191" s="2748"/>
      <c r="AL191" s="2748"/>
      <c r="AN191" s="2748"/>
      <c r="AO191" s="2748"/>
      <c r="AP191" s="2748"/>
    </row>
    <row r="192" spans="2:42" ht="18" customHeight="1">
      <c r="B192" s="2728"/>
      <c r="C192" s="2728"/>
      <c r="D192" s="2728"/>
      <c r="E192" s="2728"/>
      <c r="G192" s="2512"/>
      <c r="I192" s="2748"/>
      <c r="J192" s="2728"/>
      <c r="L192" s="2728"/>
      <c r="M192" s="2748"/>
      <c r="N192" s="2728"/>
      <c r="O192" s="2728"/>
      <c r="P192" s="2728"/>
      <c r="Q192" s="2748"/>
      <c r="R192" s="2748"/>
      <c r="S192" s="2748"/>
      <c r="T192" s="2748"/>
      <c r="U192" s="2748"/>
      <c r="V192" s="2748"/>
      <c r="W192" s="2748"/>
      <c r="X192" s="2748"/>
      <c r="Y192" s="2748"/>
      <c r="Z192" s="2748"/>
      <c r="AA192" s="2748"/>
      <c r="AB192" s="2748"/>
      <c r="AC192" s="2748"/>
      <c r="AD192" s="2748"/>
      <c r="AE192" s="2748"/>
      <c r="AF192" s="2748"/>
      <c r="AG192" s="2748"/>
      <c r="AH192" s="2748"/>
      <c r="AI192" s="2748"/>
      <c r="AK192" s="2748"/>
      <c r="AL192" s="2748"/>
      <c r="AN192" s="2748"/>
      <c r="AO192" s="2748"/>
      <c r="AP192" s="2748"/>
    </row>
    <row r="193" spans="2:42" ht="18" customHeight="1">
      <c r="B193" s="2728"/>
      <c r="C193" s="2728"/>
      <c r="D193" s="2728"/>
      <c r="E193" s="2728"/>
      <c r="G193" s="2512"/>
      <c r="I193" s="2748"/>
      <c r="J193" s="2728"/>
      <c r="L193" s="2728"/>
      <c r="M193" s="2748"/>
      <c r="N193" s="2728"/>
      <c r="O193" s="2728"/>
      <c r="P193" s="2728"/>
      <c r="Q193" s="2748"/>
      <c r="R193" s="2748"/>
      <c r="S193" s="2748"/>
      <c r="T193" s="2748"/>
      <c r="U193" s="2748"/>
      <c r="V193" s="2748"/>
      <c r="W193" s="2748"/>
      <c r="X193" s="2748"/>
      <c r="Y193" s="2748"/>
      <c r="Z193" s="2748"/>
      <c r="AA193" s="2748"/>
      <c r="AB193" s="2748"/>
      <c r="AC193" s="2748"/>
      <c r="AD193" s="2748"/>
      <c r="AE193" s="2748"/>
      <c r="AF193" s="2748"/>
      <c r="AG193" s="2748"/>
      <c r="AH193" s="2748"/>
      <c r="AI193" s="2748"/>
      <c r="AK193" s="2748"/>
      <c r="AL193" s="2748"/>
      <c r="AN193" s="2748"/>
      <c r="AO193" s="2748"/>
      <c r="AP193" s="2748"/>
    </row>
    <row r="194" spans="2:42" ht="18" customHeight="1">
      <c r="B194" s="2728"/>
      <c r="C194" s="2728"/>
      <c r="D194" s="2728"/>
      <c r="E194" s="2728"/>
      <c r="G194" s="2512"/>
      <c r="I194" s="2748"/>
      <c r="J194" s="2728"/>
      <c r="L194" s="2728"/>
      <c r="M194" s="2748"/>
      <c r="N194" s="2728"/>
      <c r="O194" s="2728"/>
      <c r="P194" s="2728"/>
      <c r="Q194" s="2748"/>
      <c r="R194" s="2748"/>
      <c r="S194" s="2748"/>
      <c r="T194" s="2748"/>
      <c r="U194" s="2748"/>
      <c r="V194" s="2748"/>
      <c r="W194" s="2748"/>
      <c r="X194" s="2748"/>
      <c r="Y194" s="2748"/>
      <c r="Z194" s="2748"/>
      <c r="AA194" s="2748"/>
      <c r="AB194" s="2748"/>
      <c r="AC194" s="2748"/>
      <c r="AD194" s="2748"/>
      <c r="AE194" s="2748"/>
      <c r="AF194" s="2748"/>
      <c r="AG194" s="2748"/>
      <c r="AH194" s="2748"/>
      <c r="AI194" s="2748"/>
      <c r="AK194" s="2748"/>
      <c r="AL194" s="2748"/>
      <c r="AN194" s="2748"/>
      <c r="AO194" s="2748"/>
      <c r="AP194" s="2748"/>
    </row>
    <row r="195" spans="2:42" ht="18" customHeight="1">
      <c r="B195" s="2728"/>
      <c r="C195" s="2728"/>
      <c r="D195" s="2728"/>
      <c r="E195" s="2728"/>
      <c r="G195" s="2512"/>
      <c r="I195" s="2748"/>
      <c r="J195" s="2728"/>
      <c r="L195" s="2728"/>
      <c r="M195" s="2748"/>
      <c r="N195" s="2728"/>
      <c r="O195" s="2728"/>
      <c r="P195" s="2728"/>
      <c r="Q195" s="2748"/>
      <c r="R195" s="2748"/>
      <c r="S195" s="2748"/>
      <c r="T195" s="2748"/>
      <c r="U195" s="2748"/>
      <c r="V195" s="2748"/>
      <c r="W195" s="2748"/>
      <c r="X195" s="2748"/>
      <c r="Y195" s="2748"/>
      <c r="Z195" s="2748"/>
      <c r="AA195" s="2748"/>
      <c r="AB195" s="2748"/>
      <c r="AC195" s="2748"/>
      <c r="AD195" s="2748"/>
      <c r="AE195" s="2748"/>
      <c r="AF195" s="2748"/>
      <c r="AG195" s="2748"/>
      <c r="AH195" s="2748"/>
      <c r="AI195" s="2748"/>
      <c r="AK195" s="2748"/>
      <c r="AL195" s="2748"/>
      <c r="AN195" s="2748"/>
      <c r="AO195" s="2748"/>
      <c r="AP195" s="2748"/>
    </row>
    <row r="196" spans="2:42" ht="18" customHeight="1">
      <c r="B196" s="2728"/>
      <c r="C196" s="2728"/>
      <c r="D196" s="2728"/>
      <c r="E196" s="2728"/>
      <c r="G196" s="2512"/>
      <c r="I196" s="2748"/>
      <c r="J196" s="2728"/>
      <c r="L196" s="2728"/>
      <c r="M196" s="2748"/>
      <c r="N196" s="2728"/>
      <c r="O196" s="2728"/>
      <c r="P196" s="2728"/>
      <c r="Q196" s="2748"/>
      <c r="R196" s="2748"/>
      <c r="S196" s="2748"/>
      <c r="T196" s="2748"/>
      <c r="U196" s="2748"/>
      <c r="V196" s="2748"/>
      <c r="W196" s="2748"/>
      <c r="X196" s="2748"/>
      <c r="Y196" s="2748"/>
      <c r="Z196" s="2748"/>
      <c r="AA196" s="2748"/>
      <c r="AB196" s="2748"/>
      <c r="AC196" s="2748"/>
      <c r="AD196" s="2748"/>
      <c r="AE196" s="2748"/>
      <c r="AF196" s="2748"/>
      <c r="AG196" s="2748"/>
      <c r="AH196" s="2748"/>
      <c r="AI196" s="2748"/>
      <c r="AK196" s="2748"/>
      <c r="AL196" s="2748"/>
      <c r="AN196" s="2748"/>
      <c r="AO196" s="2748"/>
      <c r="AP196" s="2748"/>
    </row>
    <row r="197" spans="2:42" ht="18" customHeight="1">
      <c r="B197" s="2728"/>
      <c r="C197" s="2728"/>
      <c r="D197" s="2728"/>
      <c r="E197" s="2728"/>
      <c r="G197" s="2512"/>
      <c r="I197" s="2748"/>
      <c r="J197" s="2728"/>
      <c r="L197" s="2728"/>
      <c r="M197" s="2748"/>
      <c r="N197" s="2728"/>
      <c r="O197" s="2728"/>
      <c r="P197" s="2728"/>
      <c r="Q197" s="2748"/>
      <c r="R197" s="2748"/>
      <c r="S197" s="2748"/>
      <c r="T197" s="2748"/>
      <c r="U197" s="2748"/>
      <c r="V197" s="2748"/>
      <c r="W197" s="2748"/>
      <c r="X197" s="2748"/>
      <c r="Y197" s="2748"/>
      <c r="Z197" s="2748"/>
      <c r="AA197" s="2748"/>
      <c r="AB197" s="2748"/>
      <c r="AC197" s="2748"/>
      <c r="AD197" s="2748"/>
      <c r="AE197" s="2748"/>
      <c r="AF197" s="2748"/>
      <c r="AG197" s="2748"/>
      <c r="AH197" s="2748"/>
      <c r="AI197" s="2748"/>
      <c r="AK197" s="2748"/>
      <c r="AL197" s="2748"/>
      <c r="AN197" s="2748"/>
      <c r="AO197" s="2748"/>
      <c r="AP197" s="2748"/>
    </row>
    <row r="198" spans="2:42" ht="18" customHeight="1">
      <c r="B198" s="2728"/>
      <c r="C198" s="2728"/>
      <c r="D198" s="2728"/>
      <c r="E198" s="2728"/>
      <c r="G198" s="2512"/>
      <c r="I198" s="2748"/>
      <c r="J198" s="2728"/>
      <c r="L198" s="2728"/>
      <c r="M198" s="2748"/>
      <c r="N198" s="2728"/>
      <c r="O198" s="2728"/>
      <c r="P198" s="2728"/>
      <c r="Q198" s="2748"/>
      <c r="R198" s="2748"/>
      <c r="S198" s="2748"/>
      <c r="T198" s="2748"/>
      <c r="U198" s="2748"/>
      <c r="V198" s="2748"/>
      <c r="W198" s="2748"/>
      <c r="X198" s="2748"/>
      <c r="Y198" s="2748"/>
      <c r="Z198" s="2748"/>
      <c r="AA198" s="2748"/>
      <c r="AB198" s="2748"/>
      <c r="AC198" s="2748"/>
      <c r="AD198" s="2748"/>
      <c r="AE198" s="2748"/>
      <c r="AF198" s="2748"/>
      <c r="AG198" s="2748"/>
      <c r="AH198" s="2748"/>
      <c r="AI198" s="2748"/>
      <c r="AK198" s="2748"/>
      <c r="AL198" s="2748"/>
      <c r="AN198" s="2748"/>
      <c r="AO198" s="2748"/>
      <c r="AP198" s="2748"/>
    </row>
    <row r="199" spans="2:42" ht="18" customHeight="1">
      <c r="B199" s="2728"/>
      <c r="C199" s="2728"/>
      <c r="D199" s="2728"/>
      <c r="E199" s="2728"/>
      <c r="G199" s="2512"/>
      <c r="I199" s="2748"/>
      <c r="J199" s="2728"/>
      <c r="L199" s="2728"/>
      <c r="M199" s="2748"/>
      <c r="N199" s="2728"/>
      <c r="O199" s="2728"/>
      <c r="P199" s="2728"/>
      <c r="Q199" s="2748"/>
      <c r="R199" s="2748"/>
      <c r="S199" s="2748"/>
      <c r="T199" s="2748"/>
      <c r="U199" s="2748"/>
      <c r="V199" s="2748"/>
      <c r="W199" s="2748"/>
      <c r="X199" s="2748"/>
      <c r="Y199" s="2748"/>
      <c r="Z199" s="2748"/>
      <c r="AA199" s="2748"/>
      <c r="AB199" s="2748"/>
      <c r="AC199" s="2748"/>
      <c r="AD199" s="2748"/>
      <c r="AE199" s="2748"/>
      <c r="AF199" s="2748"/>
      <c r="AG199" s="2748"/>
      <c r="AH199" s="2748"/>
      <c r="AI199" s="2748"/>
      <c r="AK199" s="2748"/>
      <c r="AL199" s="2748"/>
      <c r="AN199" s="2748"/>
      <c r="AO199" s="2748"/>
      <c r="AP199" s="2748"/>
    </row>
    <row r="200" spans="2:42" ht="18" customHeight="1">
      <c r="B200" s="2728"/>
      <c r="C200" s="2728"/>
      <c r="D200" s="2728"/>
      <c r="E200" s="2728"/>
      <c r="G200" s="2512"/>
      <c r="I200" s="2748"/>
      <c r="J200" s="2728"/>
      <c r="L200" s="2728"/>
      <c r="M200" s="2748"/>
      <c r="N200" s="2728"/>
      <c r="O200" s="2728"/>
      <c r="P200" s="2728"/>
      <c r="Q200" s="2748"/>
      <c r="R200" s="2748"/>
      <c r="S200" s="2748"/>
      <c r="T200" s="2748"/>
      <c r="U200" s="2748"/>
      <c r="V200" s="2748"/>
      <c r="W200" s="2748"/>
      <c r="X200" s="2748"/>
      <c r="Y200" s="2748"/>
      <c r="Z200" s="2748"/>
      <c r="AA200" s="2748"/>
      <c r="AB200" s="2748"/>
      <c r="AC200" s="2748"/>
      <c r="AD200" s="2748"/>
      <c r="AE200" s="2748"/>
      <c r="AF200" s="2748"/>
      <c r="AG200" s="2748"/>
      <c r="AH200" s="2748"/>
      <c r="AI200" s="2748"/>
      <c r="AK200" s="2748"/>
      <c r="AL200" s="2748"/>
      <c r="AN200" s="2748"/>
      <c r="AO200" s="2748"/>
      <c r="AP200" s="2748"/>
    </row>
    <row r="201" spans="2:42" ht="18" customHeight="1">
      <c r="B201" s="2728"/>
      <c r="C201" s="2728"/>
      <c r="D201" s="2728"/>
      <c r="E201" s="2728"/>
      <c r="G201" s="2512"/>
      <c r="I201" s="2748"/>
      <c r="J201" s="2728"/>
      <c r="L201" s="2728"/>
      <c r="M201" s="2748"/>
      <c r="N201" s="2728"/>
      <c r="O201" s="2728"/>
      <c r="P201" s="2728"/>
      <c r="Q201" s="2748"/>
      <c r="R201" s="2748"/>
      <c r="S201" s="2748"/>
      <c r="T201" s="2748"/>
      <c r="U201" s="2748"/>
      <c r="V201" s="2748"/>
      <c r="W201" s="2748"/>
      <c r="X201" s="2748"/>
      <c r="Y201" s="2748"/>
      <c r="Z201" s="2748"/>
      <c r="AA201" s="2748"/>
      <c r="AB201" s="2748"/>
      <c r="AC201" s="2748"/>
      <c r="AD201" s="2748"/>
      <c r="AE201" s="2748"/>
      <c r="AF201" s="2748"/>
      <c r="AG201" s="2748"/>
      <c r="AH201" s="2748"/>
      <c r="AI201" s="2748"/>
      <c r="AK201" s="2748"/>
      <c r="AL201" s="2748"/>
      <c r="AN201" s="2748"/>
      <c r="AO201" s="2748"/>
      <c r="AP201" s="2748"/>
    </row>
    <row r="202" spans="2:42" ht="18" customHeight="1">
      <c r="B202" s="2728"/>
      <c r="C202" s="2728"/>
      <c r="D202" s="2728"/>
      <c r="E202" s="2728"/>
      <c r="G202" s="2512"/>
      <c r="I202" s="2748"/>
      <c r="J202" s="2728"/>
      <c r="L202" s="2728"/>
      <c r="M202" s="2748"/>
      <c r="N202" s="2728"/>
      <c r="O202" s="2728"/>
      <c r="P202" s="2728"/>
      <c r="Q202" s="2748"/>
      <c r="R202" s="2748"/>
      <c r="S202" s="2748"/>
      <c r="T202" s="2748"/>
      <c r="U202" s="2748"/>
      <c r="V202" s="2748"/>
      <c r="W202" s="2748"/>
      <c r="X202" s="2748"/>
      <c r="Y202" s="2748"/>
      <c r="Z202" s="2748"/>
      <c r="AA202" s="2748"/>
      <c r="AB202" s="2748"/>
      <c r="AC202" s="2748"/>
      <c r="AD202" s="2748"/>
      <c r="AE202" s="2748"/>
      <c r="AF202" s="2748"/>
      <c r="AG202" s="2748"/>
      <c r="AH202" s="2748"/>
      <c r="AI202" s="2748"/>
      <c r="AK202" s="2748"/>
      <c r="AL202" s="2748"/>
      <c r="AN202" s="2748"/>
      <c r="AO202" s="2748"/>
      <c r="AP202" s="2748"/>
    </row>
    <row r="203" spans="2:42" ht="18" customHeight="1">
      <c r="B203" s="2728"/>
      <c r="C203" s="2728"/>
      <c r="D203" s="2728"/>
      <c r="E203" s="2728"/>
      <c r="G203" s="2512"/>
      <c r="I203" s="2748"/>
      <c r="J203" s="2728"/>
      <c r="L203" s="2728"/>
      <c r="M203" s="2748"/>
      <c r="N203" s="2728"/>
      <c r="O203" s="2728"/>
      <c r="P203" s="2728"/>
      <c r="Q203" s="2748"/>
      <c r="R203" s="2748"/>
      <c r="S203" s="2748"/>
      <c r="T203" s="2748"/>
      <c r="U203" s="2748"/>
      <c r="V203" s="2748"/>
      <c r="W203" s="2748"/>
      <c r="X203" s="2748"/>
      <c r="Y203" s="2748"/>
      <c r="Z203" s="2748"/>
      <c r="AA203" s="2748"/>
      <c r="AB203" s="2748"/>
      <c r="AC203" s="2748"/>
      <c r="AD203" s="2748"/>
      <c r="AE203" s="2748"/>
      <c r="AF203" s="2748"/>
      <c r="AG203" s="2748"/>
      <c r="AH203" s="2748"/>
      <c r="AI203" s="2748"/>
      <c r="AK203" s="2748"/>
      <c r="AL203" s="2748"/>
      <c r="AN203" s="2748"/>
      <c r="AO203" s="2748"/>
      <c r="AP203" s="2748"/>
    </row>
    <row r="204" spans="2:42" ht="18" customHeight="1">
      <c r="B204" s="2728"/>
      <c r="C204" s="2728"/>
      <c r="D204" s="2728"/>
      <c r="E204" s="2728"/>
      <c r="G204" s="2512"/>
      <c r="I204" s="2748"/>
      <c r="J204" s="2728"/>
      <c r="L204" s="2728"/>
      <c r="M204" s="2748"/>
      <c r="N204" s="2728"/>
      <c r="O204" s="2728"/>
      <c r="P204" s="2728"/>
      <c r="Q204" s="2748"/>
      <c r="R204" s="2748"/>
      <c r="S204" s="2748"/>
      <c r="T204" s="2748"/>
      <c r="U204" s="2748"/>
      <c r="V204" s="2748"/>
      <c r="W204" s="2748"/>
      <c r="X204" s="2748"/>
      <c r="Y204" s="2748"/>
      <c r="Z204" s="2748"/>
      <c r="AA204" s="2748"/>
      <c r="AB204" s="2748"/>
      <c r="AC204" s="2748"/>
      <c r="AD204" s="2748"/>
      <c r="AE204" s="2748"/>
      <c r="AF204" s="2748"/>
      <c r="AG204" s="2748"/>
      <c r="AH204" s="2748"/>
      <c r="AI204" s="2748"/>
      <c r="AK204" s="2748"/>
      <c r="AL204" s="2748"/>
      <c r="AN204" s="2748"/>
      <c r="AO204" s="2748"/>
      <c r="AP204" s="2748"/>
    </row>
    <row r="205" spans="2:42" ht="18" customHeight="1">
      <c r="B205" s="2728"/>
      <c r="C205" s="2728"/>
      <c r="D205" s="2728"/>
      <c r="E205" s="2728"/>
      <c r="G205" s="2512"/>
      <c r="I205" s="2748"/>
      <c r="J205" s="2728"/>
      <c r="L205" s="2728"/>
      <c r="M205" s="2748"/>
      <c r="N205" s="2728"/>
      <c r="O205" s="2728"/>
      <c r="P205" s="2728"/>
      <c r="Q205" s="2748"/>
      <c r="R205" s="2748"/>
      <c r="S205" s="2748"/>
      <c r="T205" s="2748"/>
      <c r="U205" s="2748"/>
      <c r="V205" s="2748"/>
      <c r="W205" s="2748"/>
      <c r="X205" s="2748"/>
      <c r="Y205" s="2748"/>
      <c r="Z205" s="2748"/>
      <c r="AA205" s="2748"/>
      <c r="AB205" s="2748"/>
      <c r="AC205" s="2748"/>
      <c r="AD205" s="2748"/>
      <c r="AE205" s="2748"/>
      <c r="AF205" s="2748"/>
      <c r="AG205" s="2748"/>
      <c r="AH205" s="2748"/>
      <c r="AI205" s="2748"/>
      <c r="AK205" s="2748"/>
      <c r="AL205" s="2748"/>
      <c r="AN205" s="2748"/>
      <c r="AO205" s="2748"/>
      <c r="AP205" s="2748"/>
    </row>
    <row r="206" spans="2:42" ht="18" customHeight="1">
      <c r="B206" s="2728"/>
      <c r="C206" s="2728"/>
      <c r="D206" s="2728"/>
      <c r="E206" s="2728"/>
      <c r="G206" s="2512"/>
      <c r="I206" s="2748"/>
      <c r="J206" s="2728"/>
      <c r="L206" s="2728"/>
      <c r="M206" s="2748"/>
      <c r="N206" s="2728"/>
      <c r="O206" s="2728"/>
      <c r="P206" s="2728"/>
      <c r="Q206" s="2748"/>
      <c r="R206" s="2748"/>
      <c r="S206" s="2748"/>
      <c r="T206" s="2748"/>
      <c r="U206" s="2748"/>
      <c r="V206" s="2748"/>
      <c r="W206" s="2748"/>
      <c r="X206" s="2748"/>
      <c r="Y206" s="2748"/>
      <c r="Z206" s="2748"/>
      <c r="AA206" s="2748"/>
      <c r="AB206" s="2748"/>
      <c r="AC206" s="2748"/>
      <c r="AD206" s="2748"/>
      <c r="AE206" s="2748"/>
      <c r="AF206" s="2748"/>
      <c r="AG206" s="2748"/>
      <c r="AH206" s="2748"/>
      <c r="AI206" s="2748"/>
      <c r="AK206" s="2748"/>
      <c r="AL206" s="2748"/>
      <c r="AN206" s="2748"/>
      <c r="AO206" s="2748"/>
      <c r="AP206" s="2748"/>
    </row>
    <row r="207" spans="2:42" ht="18" customHeight="1">
      <c r="B207" s="2728"/>
      <c r="C207" s="2728"/>
      <c r="D207" s="2728"/>
      <c r="E207" s="2728"/>
      <c r="G207" s="2512"/>
      <c r="I207" s="2748"/>
      <c r="J207" s="2728"/>
      <c r="L207" s="2728"/>
      <c r="M207" s="2748"/>
      <c r="N207" s="2728"/>
      <c r="O207" s="2728"/>
      <c r="P207" s="2728"/>
      <c r="Q207" s="2748"/>
      <c r="R207" s="2748"/>
      <c r="S207" s="2748"/>
      <c r="T207" s="2748"/>
      <c r="U207" s="2748"/>
      <c r="V207" s="2748"/>
      <c r="W207" s="2748"/>
      <c r="X207" s="2748"/>
      <c r="Y207" s="2748"/>
      <c r="Z207" s="2748"/>
      <c r="AA207" s="2748"/>
      <c r="AB207" s="2748"/>
      <c r="AC207" s="2748"/>
      <c r="AD207" s="2748"/>
      <c r="AE207" s="2748"/>
      <c r="AF207" s="2748"/>
      <c r="AG207" s="2748"/>
      <c r="AH207" s="2748"/>
      <c r="AI207" s="2748"/>
      <c r="AK207" s="2748"/>
      <c r="AL207" s="2748"/>
      <c r="AN207" s="2748"/>
      <c r="AO207" s="2748"/>
      <c r="AP207" s="2748"/>
    </row>
    <row r="208" spans="2:42" ht="18" customHeight="1">
      <c r="B208" s="2728"/>
      <c r="C208" s="2728"/>
      <c r="D208" s="2728"/>
      <c r="E208" s="2728"/>
      <c r="G208" s="2512"/>
      <c r="I208" s="2748"/>
      <c r="J208" s="2728"/>
      <c r="L208" s="2728"/>
      <c r="M208" s="2748"/>
      <c r="N208" s="2728"/>
      <c r="O208" s="2728"/>
      <c r="P208" s="2728"/>
      <c r="Q208" s="2748"/>
      <c r="R208" s="2748"/>
      <c r="S208" s="2748"/>
      <c r="T208" s="2748"/>
      <c r="U208" s="2748"/>
      <c r="V208" s="2748"/>
      <c r="W208" s="2748"/>
      <c r="X208" s="2748"/>
      <c r="Y208" s="2748"/>
      <c r="Z208" s="2748"/>
      <c r="AA208" s="2748"/>
      <c r="AB208" s="2748"/>
      <c r="AC208" s="2748"/>
      <c r="AD208" s="2748"/>
      <c r="AE208" s="2748"/>
      <c r="AF208" s="2748"/>
      <c r="AG208" s="2748"/>
      <c r="AH208" s="2748"/>
      <c r="AI208" s="2748"/>
      <c r="AK208" s="2748"/>
      <c r="AL208" s="2748"/>
      <c r="AN208" s="2748"/>
      <c r="AO208" s="2748"/>
      <c r="AP208" s="2748"/>
    </row>
    <row r="209" spans="2:42" ht="18" customHeight="1">
      <c r="B209" s="2728"/>
      <c r="C209" s="2728"/>
      <c r="D209" s="2728"/>
      <c r="E209" s="2728"/>
      <c r="G209" s="2512"/>
      <c r="I209" s="2748"/>
      <c r="J209" s="2728"/>
      <c r="L209" s="2728"/>
      <c r="M209" s="2748"/>
      <c r="N209" s="2728"/>
      <c r="O209" s="2728"/>
      <c r="P209" s="2728"/>
      <c r="Q209" s="2748"/>
      <c r="R209" s="2748"/>
      <c r="S209" s="2748"/>
      <c r="T209" s="2748"/>
      <c r="U209" s="2748"/>
      <c r="V209" s="2748"/>
      <c r="W209" s="2748"/>
      <c r="X209" s="2748"/>
      <c r="Y209" s="2748"/>
      <c r="Z209" s="2748"/>
      <c r="AA209" s="2748"/>
      <c r="AB209" s="2748"/>
      <c r="AC209" s="2748"/>
      <c r="AD209" s="2748"/>
      <c r="AE209" s="2748"/>
      <c r="AF209" s="2748"/>
      <c r="AG209" s="2748"/>
      <c r="AH209" s="2748"/>
      <c r="AI209" s="2748"/>
      <c r="AK209" s="2748"/>
      <c r="AL209" s="2748"/>
      <c r="AN209" s="2748"/>
      <c r="AO209" s="2748"/>
      <c r="AP209" s="2748"/>
    </row>
    <row r="210" spans="2:42" ht="18" customHeight="1">
      <c r="B210" s="2728"/>
      <c r="C210" s="2728"/>
      <c r="D210" s="2728"/>
      <c r="E210" s="2728"/>
      <c r="G210" s="2512"/>
      <c r="I210" s="2748"/>
      <c r="J210" s="2728"/>
      <c r="L210" s="2728"/>
      <c r="M210" s="2748"/>
      <c r="N210" s="2728"/>
      <c r="O210" s="2728"/>
      <c r="P210" s="2728"/>
      <c r="Q210" s="2748"/>
      <c r="R210" s="2748"/>
      <c r="S210" s="2748"/>
      <c r="T210" s="2748"/>
      <c r="U210" s="2748"/>
      <c r="V210" s="2748"/>
      <c r="W210" s="2748"/>
      <c r="X210" s="2748"/>
      <c r="Y210" s="2748"/>
      <c r="Z210" s="2748"/>
      <c r="AA210" s="2748"/>
      <c r="AB210" s="2748"/>
      <c r="AC210" s="2748"/>
      <c r="AD210" s="2748"/>
      <c r="AE210" s="2748"/>
      <c r="AF210" s="2748"/>
      <c r="AG210" s="2748"/>
      <c r="AH210" s="2748"/>
      <c r="AI210" s="2748"/>
      <c r="AK210" s="2748"/>
      <c r="AL210" s="2748"/>
      <c r="AN210" s="2748"/>
      <c r="AO210" s="2748"/>
      <c r="AP210" s="2748"/>
    </row>
    <row r="211" spans="2:42" ht="18" customHeight="1">
      <c r="B211" s="2728"/>
      <c r="C211" s="2728"/>
      <c r="D211" s="2728"/>
      <c r="E211" s="2728"/>
      <c r="G211" s="2512"/>
      <c r="I211" s="2748"/>
      <c r="J211" s="2728"/>
      <c r="L211" s="2728"/>
      <c r="M211" s="2748"/>
      <c r="N211" s="2728"/>
      <c r="O211" s="2728"/>
      <c r="P211" s="2728"/>
      <c r="Q211" s="2748"/>
      <c r="R211" s="2748"/>
      <c r="S211" s="2748"/>
      <c r="T211" s="2748"/>
      <c r="U211" s="2748"/>
      <c r="V211" s="2748"/>
      <c r="W211" s="2748"/>
      <c r="X211" s="2748"/>
      <c r="Y211" s="2748"/>
      <c r="Z211" s="2748"/>
      <c r="AA211" s="2748"/>
      <c r="AB211" s="2748"/>
      <c r="AC211" s="2748"/>
      <c r="AD211" s="2748"/>
      <c r="AE211" s="2748"/>
      <c r="AF211" s="2748"/>
      <c r="AG211" s="2748"/>
      <c r="AH211" s="2748"/>
      <c r="AI211" s="2748"/>
      <c r="AK211" s="2748"/>
      <c r="AL211" s="2748"/>
      <c r="AN211" s="2748"/>
      <c r="AO211" s="2748"/>
      <c r="AP211" s="2748"/>
    </row>
    <row r="212" spans="2:42" ht="18" customHeight="1">
      <c r="B212" s="2728"/>
      <c r="C212" s="2728"/>
      <c r="D212" s="2728"/>
      <c r="E212" s="2728"/>
      <c r="G212" s="2512"/>
      <c r="I212" s="2748"/>
      <c r="J212" s="2728"/>
      <c r="L212" s="2728"/>
      <c r="M212" s="2748"/>
      <c r="N212" s="2728"/>
      <c r="O212" s="2728"/>
      <c r="P212" s="2728"/>
      <c r="Q212" s="2748"/>
      <c r="R212" s="2748"/>
      <c r="S212" s="2748"/>
      <c r="T212" s="2748"/>
      <c r="U212" s="2748"/>
      <c r="V212" s="2748"/>
      <c r="W212" s="2748"/>
      <c r="X212" s="2748"/>
      <c r="Y212" s="2748"/>
      <c r="Z212" s="2748"/>
      <c r="AA212" s="2748"/>
      <c r="AB212" s="2748"/>
      <c r="AC212" s="2748"/>
      <c r="AD212" s="2748"/>
      <c r="AE212" s="2748"/>
      <c r="AF212" s="2748"/>
      <c r="AG212" s="2748"/>
      <c r="AH212" s="2748"/>
      <c r="AI212" s="2748"/>
      <c r="AK212" s="2748"/>
      <c r="AL212" s="2748"/>
      <c r="AN212" s="2748"/>
      <c r="AO212" s="2748"/>
      <c r="AP212" s="2748"/>
    </row>
    <row r="213" spans="2:42" ht="18" customHeight="1">
      <c r="B213" s="2728"/>
      <c r="C213" s="2728"/>
      <c r="D213" s="2728"/>
      <c r="E213" s="2728"/>
      <c r="G213" s="2512"/>
      <c r="I213" s="2748"/>
      <c r="J213" s="2728"/>
      <c r="L213" s="2728"/>
      <c r="M213" s="2748"/>
      <c r="N213" s="2728"/>
      <c r="O213" s="2728"/>
      <c r="P213" s="2728"/>
      <c r="Q213" s="2748"/>
      <c r="R213" s="2748"/>
      <c r="S213" s="2748"/>
      <c r="T213" s="2748"/>
      <c r="U213" s="2748"/>
      <c r="V213" s="2748"/>
      <c r="W213" s="2748"/>
      <c r="X213" s="2748"/>
      <c r="Y213" s="2748"/>
      <c r="Z213" s="2748"/>
      <c r="AA213" s="2748"/>
      <c r="AB213" s="2748"/>
      <c r="AC213" s="2748"/>
      <c r="AD213" s="2748"/>
      <c r="AE213" s="2748"/>
      <c r="AF213" s="2748"/>
      <c r="AG213" s="2748"/>
      <c r="AH213" s="2748"/>
      <c r="AI213" s="2748"/>
      <c r="AK213" s="2748"/>
      <c r="AL213" s="2748"/>
      <c r="AN213" s="2748"/>
      <c r="AO213" s="2748"/>
      <c r="AP213" s="2748"/>
    </row>
    <row r="214" spans="2:42" ht="18" customHeight="1">
      <c r="B214" s="2728"/>
      <c r="C214" s="2728"/>
      <c r="D214" s="2728"/>
      <c r="E214" s="2728"/>
      <c r="G214" s="2512"/>
      <c r="I214" s="2748"/>
      <c r="J214" s="2728"/>
      <c r="L214" s="2728"/>
      <c r="M214" s="2748"/>
      <c r="N214" s="2728"/>
      <c r="O214" s="2728"/>
      <c r="P214" s="2728"/>
      <c r="Q214" s="2748"/>
      <c r="R214" s="2748"/>
      <c r="S214" s="2748"/>
      <c r="T214" s="2748"/>
      <c r="U214" s="2748"/>
      <c r="V214" s="2748"/>
      <c r="W214" s="2748"/>
      <c r="X214" s="2748"/>
      <c r="Y214" s="2748"/>
      <c r="Z214" s="2748"/>
      <c r="AA214" s="2748"/>
      <c r="AB214" s="2748"/>
      <c r="AC214" s="2748"/>
      <c r="AD214" s="2748"/>
      <c r="AE214" s="2748"/>
      <c r="AF214" s="2748"/>
      <c r="AG214" s="2748"/>
      <c r="AH214" s="2748"/>
      <c r="AI214" s="2748"/>
      <c r="AK214" s="2748"/>
      <c r="AL214" s="2748"/>
      <c r="AN214" s="2748"/>
      <c r="AO214" s="2748"/>
      <c r="AP214" s="2748"/>
    </row>
    <row r="215" spans="2:42" ht="18" customHeight="1">
      <c r="B215" s="2728"/>
      <c r="C215" s="2728"/>
      <c r="D215" s="2728"/>
      <c r="E215" s="2728"/>
      <c r="G215" s="2512"/>
      <c r="I215" s="2748"/>
      <c r="J215" s="2728"/>
      <c r="L215" s="2728"/>
      <c r="M215" s="2748"/>
      <c r="N215" s="2728"/>
      <c r="O215" s="2728"/>
      <c r="P215" s="2728"/>
      <c r="Q215" s="2748"/>
      <c r="R215" s="2748"/>
      <c r="S215" s="2748"/>
      <c r="T215" s="2748"/>
      <c r="U215" s="2748"/>
      <c r="V215" s="2748"/>
      <c r="W215" s="2748"/>
      <c r="X215" s="2748"/>
      <c r="Y215" s="2748"/>
      <c r="Z215" s="2748"/>
      <c r="AA215" s="2748"/>
      <c r="AB215" s="2748"/>
      <c r="AC215" s="2748"/>
      <c r="AD215" s="2748"/>
      <c r="AE215" s="2748"/>
      <c r="AF215" s="2748"/>
      <c r="AG215" s="2748"/>
      <c r="AH215" s="2748"/>
      <c r="AI215" s="2748"/>
      <c r="AK215" s="2748"/>
      <c r="AL215" s="2748"/>
      <c r="AN215" s="2748"/>
      <c r="AO215" s="2748"/>
      <c r="AP215" s="2748"/>
    </row>
    <row r="216" spans="2:42" ht="18" customHeight="1">
      <c r="B216" s="2728"/>
      <c r="C216" s="2728"/>
      <c r="D216" s="2728"/>
      <c r="E216" s="2728"/>
      <c r="G216" s="2512"/>
      <c r="I216" s="2748"/>
      <c r="J216" s="2728"/>
      <c r="L216" s="2728"/>
      <c r="M216" s="2748"/>
      <c r="N216" s="2728"/>
      <c r="O216" s="2728"/>
      <c r="P216" s="2728"/>
      <c r="Q216" s="2748"/>
      <c r="R216" s="2748"/>
      <c r="S216" s="2748"/>
      <c r="T216" s="2748"/>
      <c r="U216" s="2748"/>
      <c r="V216" s="2748"/>
      <c r="W216" s="2748"/>
      <c r="X216" s="2748"/>
      <c r="Y216" s="2748"/>
      <c r="Z216" s="2748"/>
      <c r="AA216" s="2748"/>
      <c r="AB216" s="2748"/>
      <c r="AC216" s="2748"/>
      <c r="AD216" s="2748"/>
      <c r="AE216" s="2748"/>
      <c r="AF216" s="2748"/>
      <c r="AG216" s="2748"/>
      <c r="AH216" s="2748"/>
      <c r="AI216" s="2748"/>
      <c r="AK216" s="2748"/>
      <c r="AL216" s="2748"/>
      <c r="AN216" s="2748"/>
      <c r="AO216" s="2748"/>
      <c r="AP216" s="2748"/>
    </row>
    <row r="217" spans="2:42" ht="18" customHeight="1">
      <c r="B217" s="2728"/>
      <c r="C217" s="2728"/>
      <c r="D217" s="2728"/>
      <c r="E217" s="2728"/>
      <c r="G217" s="2512"/>
      <c r="I217" s="2748"/>
      <c r="J217" s="2728"/>
      <c r="L217" s="2728"/>
      <c r="M217" s="2748"/>
      <c r="N217" s="2728"/>
      <c r="O217" s="2728"/>
      <c r="P217" s="2728"/>
      <c r="Q217" s="2748"/>
      <c r="R217" s="2748"/>
      <c r="S217" s="2748"/>
      <c r="T217" s="2748"/>
      <c r="U217" s="2748"/>
      <c r="V217" s="2748"/>
      <c r="W217" s="2748"/>
      <c r="X217" s="2748"/>
      <c r="Y217" s="2748"/>
      <c r="Z217" s="2748"/>
      <c r="AA217" s="2748"/>
      <c r="AB217" s="2748"/>
      <c r="AC217" s="2748"/>
      <c r="AD217" s="2748"/>
      <c r="AE217" s="2748"/>
      <c r="AF217" s="2748"/>
      <c r="AG217" s="2748"/>
      <c r="AH217" s="2748"/>
      <c r="AI217" s="2748"/>
      <c r="AK217" s="2748"/>
      <c r="AL217" s="2748"/>
      <c r="AN217" s="2748"/>
      <c r="AO217" s="2748"/>
      <c r="AP217" s="2748"/>
    </row>
    <row r="218" spans="2:42" ht="18" customHeight="1">
      <c r="B218" s="2728"/>
      <c r="C218" s="2728"/>
      <c r="D218" s="2728"/>
      <c r="E218" s="2728"/>
      <c r="G218" s="2512"/>
      <c r="I218" s="2748"/>
      <c r="J218" s="2728"/>
      <c r="L218" s="2728"/>
      <c r="M218" s="2748"/>
      <c r="N218" s="2728"/>
      <c r="O218" s="2728"/>
      <c r="P218" s="2728"/>
      <c r="Q218" s="2748"/>
      <c r="R218" s="2748"/>
      <c r="S218" s="2748"/>
      <c r="T218" s="2748"/>
      <c r="U218" s="2748"/>
      <c r="V218" s="2748"/>
      <c r="W218" s="2748"/>
      <c r="X218" s="2748"/>
      <c r="Y218" s="2748"/>
      <c r="Z218" s="2748"/>
      <c r="AA218" s="2748"/>
      <c r="AB218" s="2748"/>
      <c r="AC218" s="2748"/>
      <c r="AD218" s="2748"/>
      <c r="AE218" s="2748"/>
      <c r="AF218" s="2748"/>
      <c r="AG218" s="2748"/>
      <c r="AH218" s="2748"/>
      <c r="AI218" s="2748"/>
      <c r="AK218" s="2748"/>
      <c r="AL218" s="2748"/>
      <c r="AN218" s="2748"/>
      <c r="AO218" s="2748"/>
      <c r="AP218" s="2748"/>
    </row>
    <row r="219" spans="2:42" ht="18" customHeight="1">
      <c r="B219" s="2728"/>
      <c r="C219" s="2728"/>
      <c r="D219" s="2728"/>
      <c r="E219" s="2728"/>
      <c r="G219" s="2512"/>
      <c r="I219" s="2748"/>
      <c r="J219" s="2728"/>
      <c r="L219" s="2728"/>
      <c r="M219" s="2748"/>
      <c r="N219" s="2728"/>
      <c r="O219" s="2728"/>
      <c r="P219" s="2728"/>
      <c r="Q219" s="2748"/>
      <c r="R219" s="2748"/>
      <c r="S219" s="2748"/>
      <c r="T219" s="2748"/>
      <c r="U219" s="2748"/>
      <c r="V219" s="2748"/>
      <c r="W219" s="2748"/>
      <c r="X219" s="2748"/>
      <c r="Y219" s="2748"/>
      <c r="Z219" s="2748"/>
      <c r="AA219" s="2748"/>
      <c r="AB219" s="2748"/>
      <c r="AC219" s="2748"/>
      <c r="AD219" s="2748"/>
      <c r="AE219" s="2748"/>
      <c r="AF219" s="2748"/>
      <c r="AG219" s="2748"/>
      <c r="AH219" s="2748"/>
      <c r="AI219" s="2748"/>
      <c r="AK219" s="2748"/>
      <c r="AL219" s="2748"/>
      <c r="AN219" s="2748"/>
      <c r="AO219" s="2748"/>
      <c r="AP219" s="2748"/>
    </row>
    <row r="220" spans="2:42" ht="18" customHeight="1">
      <c r="B220" s="2728"/>
      <c r="C220" s="2728"/>
      <c r="D220" s="2728"/>
      <c r="E220" s="2728"/>
      <c r="G220" s="2512"/>
      <c r="I220" s="2748"/>
      <c r="J220" s="2728"/>
      <c r="L220" s="2728"/>
      <c r="M220" s="2748"/>
      <c r="N220" s="2728"/>
      <c r="O220" s="2728"/>
      <c r="P220" s="2728"/>
      <c r="Q220" s="2748"/>
      <c r="R220" s="2748"/>
      <c r="S220" s="2748"/>
      <c r="T220" s="2748"/>
      <c r="U220" s="2748"/>
      <c r="V220" s="2748"/>
      <c r="W220" s="2748"/>
      <c r="X220" s="2748"/>
      <c r="Y220" s="2748"/>
      <c r="Z220" s="2748"/>
      <c r="AA220" s="2748"/>
      <c r="AB220" s="2748"/>
      <c r="AC220" s="2748"/>
      <c r="AD220" s="2748"/>
      <c r="AE220" s="2748"/>
      <c r="AF220" s="2748"/>
      <c r="AG220" s="2748"/>
      <c r="AH220" s="2748"/>
      <c r="AI220" s="2748"/>
      <c r="AK220" s="2748"/>
      <c r="AL220" s="2748"/>
      <c r="AN220" s="2748"/>
      <c r="AO220" s="2748"/>
      <c r="AP220" s="2748"/>
    </row>
    <row r="221" spans="2:42" ht="18" customHeight="1">
      <c r="B221" s="2728"/>
      <c r="C221" s="2728"/>
      <c r="D221" s="2728"/>
      <c r="E221" s="2728"/>
      <c r="G221" s="2512"/>
      <c r="I221" s="2748"/>
      <c r="J221" s="2728"/>
      <c r="L221" s="2728"/>
      <c r="M221" s="2748"/>
      <c r="N221" s="2728"/>
      <c r="O221" s="2728"/>
      <c r="P221" s="2728"/>
      <c r="Q221" s="2748"/>
      <c r="R221" s="2748"/>
      <c r="S221" s="2748"/>
      <c r="T221" s="2748"/>
      <c r="U221" s="2748"/>
      <c r="V221" s="2748"/>
      <c r="W221" s="2748"/>
      <c r="X221" s="2748"/>
      <c r="Y221" s="2748"/>
      <c r="Z221" s="2748"/>
      <c r="AA221" s="2748"/>
      <c r="AB221" s="2748"/>
      <c r="AC221" s="2748"/>
      <c r="AD221" s="2748"/>
      <c r="AE221" s="2748"/>
      <c r="AF221" s="2748"/>
      <c r="AG221" s="2748"/>
      <c r="AH221" s="2748"/>
      <c r="AI221" s="2748"/>
      <c r="AK221" s="2748"/>
      <c r="AL221" s="2748"/>
      <c r="AN221" s="2748"/>
      <c r="AO221" s="2748"/>
      <c r="AP221" s="2748"/>
    </row>
    <row r="222" spans="2:42" ht="18" customHeight="1">
      <c r="B222" s="2728"/>
      <c r="C222" s="2728"/>
      <c r="D222" s="2728"/>
      <c r="E222" s="2728"/>
      <c r="G222" s="2512"/>
      <c r="I222" s="2748"/>
      <c r="J222" s="2728"/>
      <c r="L222" s="2728"/>
      <c r="M222" s="2748"/>
      <c r="N222" s="2728"/>
      <c r="O222" s="2728"/>
      <c r="P222" s="2728"/>
      <c r="Q222" s="2748"/>
      <c r="R222" s="2748"/>
      <c r="S222" s="2748"/>
      <c r="T222" s="2748"/>
      <c r="U222" s="2748"/>
      <c r="V222" s="2748"/>
      <c r="W222" s="2748"/>
      <c r="X222" s="2748"/>
      <c r="Y222" s="2748"/>
      <c r="Z222" s="2748"/>
      <c r="AA222" s="2748"/>
      <c r="AB222" s="2748"/>
      <c r="AC222" s="2748"/>
      <c r="AD222" s="2748"/>
      <c r="AE222" s="2748"/>
      <c r="AF222" s="2748"/>
      <c r="AG222" s="2748"/>
      <c r="AH222" s="2748"/>
      <c r="AI222" s="2748"/>
      <c r="AK222" s="2748"/>
      <c r="AL222" s="2748"/>
      <c r="AN222" s="2748"/>
      <c r="AO222" s="2748"/>
      <c r="AP222" s="2748"/>
    </row>
    <row r="223" spans="2:42" ht="18" customHeight="1">
      <c r="B223" s="2728"/>
      <c r="C223" s="2728"/>
      <c r="D223" s="2728"/>
      <c r="E223" s="2728"/>
      <c r="G223" s="2512"/>
      <c r="I223" s="2748"/>
      <c r="J223" s="2728"/>
      <c r="L223" s="2728"/>
      <c r="M223" s="2748"/>
      <c r="N223" s="2728"/>
      <c r="O223" s="2728"/>
      <c r="P223" s="2728"/>
      <c r="Q223" s="2748"/>
      <c r="R223" s="2748"/>
      <c r="S223" s="2748"/>
      <c r="T223" s="2748"/>
      <c r="U223" s="2748"/>
      <c r="V223" s="2748"/>
      <c r="W223" s="2748"/>
      <c r="X223" s="2748"/>
      <c r="Y223" s="2748"/>
      <c r="Z223" s="2748"/>
      <c r="AA223" s="2748"/>
      <c r="AB223" s="2748"/>
      <c r="AC223" s="2748"/>
      <c r="AD223" s="2748"/>
      <c r="AE223" s="2748"/>
      <c r="AF223" s="2748"/>
      <c r="AG223" s="2748"/>
      <c r="AH223" s="2748"/>
      <c r="AI223" s="2748"/>
      <c r="AK223" s="2748"/>
      <c r="AL223" s="2748"/>
      <c r="AN223" s="2748"/>
      <c r="AO223" s="2748"/>
      <c r="AP223" s="2748"/>
    </row>
    <row r="224" spans="2:42" ht="18" customHeight="1">
      <c r="B224" s="2728"/>
      <c r="C224" s="2728"/>
      <c r="D224" s="2728"/>
      <c r="E224" s="2728"/>
      <c r="G224" s="2512"/>
      <c r="I224" s="2748"/>
      <c r="J224" s="2728"/>
      <c r="L224" s="2728"/>
      <c r="M224" s="2748"/>
      <c r="N224" s="2728"/>
      <c r="O224" s="2728"/>
      <c r="P224" s="2728"/>
      <c r="Q224" s="2748"/>
      <c r="R224" s="2748"/>
      <c r="S224" s="2748"/>
      <c r="T224" s="2748"/>
      <c r="U224" s="2748"/>
      <c r="V224" s="2748"/>
      <c r="W224" s="2748"/>
      <c r="X224" s="2748"/>
      <c r="Y224" s="2748"/>
      <c r="Z224" s="2748"/>
      <c r="AA224" s="2748"/>
      <c r="AB224" s="2748"/>
      <c r="AC224" s="2748"/>
      <c r="AD224" s="2748"/>
      <c r="AE224" s="2748"/>
      <c r="AF224" s="2748"/>
      <c r="AG224" s="2748"/>
      <c r="AH224" s="2748"/>
      <c r="AI224" s="2748"/>
      <c r="AK224" s="2748"/>
      <c r="AL224" s="2748"/>
      <c r="AN224" s="2748"/>
      <c r="AO224" s="2748"/>
      <c r="AP224" s="2748"/>
    </row>
    <row r="225" spans="2:42" ht="18" customHeight="1">
      <c r="B225" s="2728"/>
      <c r="C225" s="2728"/>
      <c r="D225" s="2728"/>
      <c r="E225" s="2728"/>
      <c r="G225" s="2512"/>
      <c r="I225" s="2748"/>
      <c r="J225" s="2728"/>
      <c r="L225" s="2728"/>
      <c r="M225" s="2748"/>
      <c r="N225" s="2728"/>
      <c r="O225" s="2728"/>
      <c r="P225" s="2728"/>
      <c r="Q225" s="2748"/>
      <c r="R225" s="2748"/>
      <c r="S225" s="2748"/>
      <c r="T225" s="2748"/>
      <c r="U225" s="2748"/>
      <c r="V225" s="2748"/>
      <c r="W225" s="2748"/>
      <c r="X225" s="2748"/>
      <c r="Y225" s="2748"/>
      <c r="Z225" s="2748"/>
      <c r="AA225" s="2748"/>
      <c r="AB225" s="2748"/>
      <c r="AC225" s="2748"/>
      <c r="AD225" s="2748"/>
      <c r="AE225" s="2748"/>
      <c r="AF225" s="2748"/>
      <c r="AG225" s="2748"/>
      <c r="AH225" s="2748"/>
      <c r="AI225" s="2748"/>
      <c r="AK225" s="2748"/>
      <c r="AL225" s="2748"/>
      <c r="AN225" s="2748"/>
      <c r="AO225" s="2748"/>
      <c r="AP225" s="2748"/>
    </row>
    <row r="226" spans="2:42" ht="18" customHeight="1">
      <c r="B226" s="2728"/>
      <c r="C226" s="2728"/>
      <c r="D226" s="2728"/>
      <c r="E226" s="2728"/>
      <c r="G226" s="2512"/>
      <c r="I226" s="2748"/>
      <c r="J226" s="2728"/>
      <c r="L226" s="2728"/>
      <c r="M226" s="2748"/>
      <c r="N226" s="2728"/>
      <c r="O226" s="2728"/>
      <c r="P226" s="2728"/>
      <c r="Q226" s="2748"/>
      <c r="R226" s="2748"/>
      <c r="S226" s="2748"/>
      <c r="T226" s="2748"/>
      <c r="U226" s="2748"/>
      <c r="V226" s="2748"/>
      <c r="W226" s="2748"/>
      <c r="X226" s="2748"/>
      <c r="Y226" s="2748"/>
      <c r="Z226" s="2748"/>
      <c r="AA226" s="2748"/>
      <c r="AB226" s="2748"/>
      <c r="AC226" s="2748"/>
      <c r="AD226" s="2748"/>
      <c r="AE226" s="2748"/>
      <c r="AF226" s="2748"/>
      <c r="AG226" s="2748"/>
      <c r="AH226" s="2748"/>
      <c r="AI226" s="2748"/>
      <c r="AK226" s="2748"/>
      <c r="AL226" s="2748"/>
      <c r="AN226" s="2748"/>
      <c r="AO226" s="2748"/>
      <c r="AP226" s="2748"/>
    </row>
    <row r="227" spans="2:42" ht="18" customHeight="1">
      <c r="B227" s="2728"/>
      <c r="C227" s="2728"/>
      <c r="D227" s="2728"/>
      <c r="E227" s="2728"/>
      <c r="G227" s="2512"/>
      <c r="I227" s="2748"/>
      <c r="J227" s="2728"/>
      <c r="L227" s="2728"/>
      <c r="M227" s="2748"/>
      <c r="N227" s="2728"/>
      <c r="O227" s="2728"/>
      <c r="P227" s="2728"/>
      <c r="Q227" s="2748"/>
      <c r="R227" s="2748"/>
      <c r="S227" s="2748"/>
      <c r="T227" s="2748"/>
      <c r="U227" s="2748"/>
      <c r="V227" s="2748"/>
      <c r="W227" s="2748"/>
      <c r="X227" s="2748"/>
      <c r="Y227" s="2748"/>
      <c r="Z227" s="2748"/>
      <c r="AA227" s="2748"/>
      <c r="AB227" s="2748"/>
      <c r="AC227" s="2748"/>
      <c r="AD227" s="2748"/>
      <c r="AE227" s="2748"/>
      <c r="AF227" s="2748"/>
      <c r="AG227" s="2748"/>
      <c r="AH227" s="2748"/>
      <c r="AI227" s="2748"/>
      <c r="AK227" s="2748"/>
      <c r="AL227" s="2748"/>
      <c r="AN227" s="2748"/>
      <c r="AO227" s="2748"/>
      <c r="AP227" s="2748"/>
    </row>
    <row r="228" spans="2:42" ht="18" customHeight="1">
      <c r="B228" s="2728"/>
      <c r="C228" s="2728"/>
      <c r="D228" s="2728"/>
      <c r="E228" s="2728"/>
      <c r="G228" s="2512"/>
      <c r="I228" s="2748"/>
      <c r="J228" s="2728"/>
      <c r="L228" s="2728"/>
      <c r="M228" s="2748"/>
      <c r="N228" s="2728"/>
      <c r="O228" s="2728"/>
      <c r="P228" s="2728"/>
      <c r="Q228" s="2748"/>
      <c r="R228" s="2748"/>
      <c r="S228" s="2748"/>
      <c r="T228" s="2748"/>
      <c r="U228" s="2748"/>
      <c r="V228" s="2748"/>
      <c r="W228" s="2748"/>
      <c r="X228" s="2748"/>
      <c r="Y228" s="2748"/>
      <c r="Z228" s="2748"/>
      <c r="AA228" s="2748"/>
      <c r="AB228" s="2748"/>
      <c r="AC228" s="2748"/>
      <c r="AD228" s="2748"/>
      <c r="AE228" s="2748"/>
      <c r="AF228" s="2748"/>
      <c r="AG228" s="2748"/>
      <c r="AH228" s="2748"/>
      <c r="AI228" s="2748"/>
      <c r="AK228" s="2748"/>
      <c r="AL228" s="2748"/>
      <c r="AN228" s="2748"/>
      <c r="AO228" s="2748"/>
      <c r="AP228" s="2748"/>
    </row>
    <row r="229" spans="2:42" ht="18" customHeight="1">
      <c r="B229" s="2728"/>
      <c r="C229" s="2728"/>
      <c r="D229" s="2728"/>
      <c r="E229" s="2728"/>
      <c r="G229" s="2512"/>
      <c r="I229" s="2748"/>
      <c r="J229" s="2728"/>
      <c r="L229" s="2728"/>
      <c r="M229" s="2748"/>
      <c r="N229" s="2728"/>
      <c r="O229" s="2728"/>
      <c r="P229" s="2728"/>
      <c r="Q229" s="2748"/>
      <c r="R229" s="2748"/>
      <c r="S229" s="2748"/>
      <c r="T229" s="2748"/>
      <c r="U229" s="2748"/>
      <c r="V229" s="2748"/>
      <c r="W229" s="2748"/>
      <c r="X229" s="2748"/>
      <c r="Y229" s="2748"/>
      <c r="Z229" s="2748"/>
      <c r="AA229" s="2748"/>
      <c r="AB229" s="2748"/>
      <c r="AC229" s="2748"/>
      <c r="AD229" s="2748"/>
      <c r="AE229" s="2748"/>
      <c r="AF229" s="2748"/>
      <c r="AG229" s="2748"/>
      <c r="AH229" s="2748"/>
      <c r="AI229" s="2748"/>
      <c r="AK229" s="2748"/>
      <c r="AL229" s="2748"/>
      <c r="AN229" s="2748"/>
      <c r="AO229" s="2748"/>
      <c r="AP229" s="2748"/>
    </row>
    <row r="230" spans="2:42" ht="18" customHeight="1">
      <c r="B230" s="2728"/>
      <c r="C230" s="2728"/>
      <c r="D230" s="2728"/>
      <c r="E230" s="2728"/>
      <c r="G230" s="2512"/>
      <c r="I230" s="2748"/>
      <c r="J230" s="2728"/>
      <c r="L230" s="2728"/>
      <c r="M230" s="2748"/>
      <c r="N230" s="2728"/>
      <c r="O230" s="2728"/>
      <c r="P230" s="2728"/>
      <c r="Q230" s="2748"/>
      <c r="R230" s="2748"/>
      <c r="S230" s="2748"/>
      <c r="T230" s="2748"/>
      <c r="U230" s="2748"/>
      <c r="V230" s="2748"/>
      <c r="W230" s="2748"/>
      <c r="X230" s="2748"/>
      <c r="Y230" s="2748"/>
      <c r="Z230" s="2748"/>
      <c r="AA230" s="2748"/>
      <c r="AB230" s="2748"/>
      <c r="AC230" s="2748"/>
      <c r="AD230" s="2748"/>
      <c r="AE230" s="2748"/>
      <c r="AF230" s="2748"/>
      <c r="AG230" s="2748"/>
      <c r="AH230" s="2748"/>
      <c r="AI230" s="2748"/>
      <c r="AK230" s="2748"/>
      <c r="AL230" s="2748"/>
      <c r="AN230" s="2748"/>
      <c r="AO230" s="2748"/>
      <c r="AP230" s="2748"/>
    </row>
    <row r="231" spans="2:42" ht="18" customHeight="1">
      <c r="B231" s="2728"/>
      <c r="C231" s="2728"/>
      <c r="D231" s="2728"/>
      <c r="E231" s="2728"/>
      <c r="G231" s="2512"/>
      <c r="I231" s="2748"/>
      <c r="J231" s="2728"/>
      <c r="L231" s="2728"/>
      <c r="M231" s="2748"/>
      <c r="N231" s="2728"/>
      <c r="O231" s="2728"/>
      <c r="P231" s="2728"/>
      <c r="Q231" s="2748"/>
      <c r="R231" s="2748"/>
      <c r="S231" s="2748"/>
      <c r="T231" s="2748"/>
      <c r="U231" s="2748"/>
      <c r="V231" s="2748"/>
      <c r="W231" s="2748"/>
      <c r="X231" s="2748"/>
      <c r="Y231" s="2748"/>
      <c r="Z231" s="2748"/>
      <c r="AA231" s="2748"/>
      <c r="AB231" s="2748"/>
      <c r="AC231" s="2748"/>
      <c r="AD231" s="2748"/>
      <c r="AE231" s="2748"/>
      <c r="AF231" s="2748"/>
      <c r="AG231" s="2748"/>
      <c r="AH231" s="2748"/>
      <c r="AI231" s="2748"/>
      <c r="AK231" s="2748"/>
      <c r="AL231" s="2748"/>
      <c r="AN231" s="2748"/>
      <c r="AO231" s="2748"/>
      <c r="AP231" s="2748"/>
    </row>
    <row r="232" spans="2:42" ht="18" customHeight="1">
      <c r="B232" s="2728"/>
      <c r="C232" s="2728"/>
      <c r="D232" s="2728"/>
      <c r="E232" s="2728"/>
      <c r="G232" s="2512"/>
      <c r="I232" s="2748"/>
      <c r="J232" s="2728"/>
      <c r="L232" s="2728"/>
      <c r="M232" s="2748"/>
      <c r="N232" s="2728"/>
      <c r="O232" s="2728"/>
      <c r="P232" s="2728"/>
      <c r="Q232" s="2748"/>
      <c r="R232" s="2748"/>
      <c r="S232" s="2748"/>
      <c r="T232" s="2748"/>
      <c r="U232" s="2748"/>
      <c r="V232" s="2748"/>
      <c r="W232" s="2748"/>
      <c r="X232" s="2748"/>
      <c r="Y232" s="2748"/>
      <c r="Z232" s="2748"/>
      <c r="AA232" s="2748"/>
      <c r="AB232" s="2748"/>
      <c r="AC232" s="2748"/>
      <c r="AD232" s="2748"/>
      <c r="AE232" s="2748"/>
      <c r="AF232" s="2748"/>
      <c r="AG232" s="2748"/>
      <c r="AH232" s="2748"/>
      <c r="AI232" s="2748"/>
      <c r="AK232" s="2748"/>
      <c r="AL232" s="2748"/>
      <c r="AN232" s="2748"/>
      <c r="AO232" s="2748"/>
      <c r="AP232" s="2748"/>
    </row>
    <row r="233" spans="2:42" ht="18" customHeight="1">
      <c r="B233" s="2728"/>
      <c r="C233" s="2728"/>
      <c r="D233" s="2728"/>
      <c r="E233" s="2728"/>
      <c r="G233" s="2512"/>
      <c r="I233" s="2748"/>
      <c r="J233" s="2728"/>
      <c r="L233" s="2728"/>
      <c r="M233" s="2748"/>
      <c r="N233" s="2728"/>
      <c r="O233" s="2728"/>
      <c r="P233" s="2728"/>
      <c r="Q233" s="2748"/>
      <c r="R233" s="2748"/>
      <c r="S233" s="2748"/>
      <c r="T233" s="2748"/>
      <c r="U233" s="2748"/>
      <c r="V233" s="2748"/>
      <c r="W233" s="2748"/>
      <c r="X233" s="2748"/>
      <c r="Y233" s="2748"/>
      <c r="Z233" s="2748"/>
      <c r="AA233" s="2748"/>
      <c r="AB233" s="2748"/>
      <c r="AC233" s="2748"/>
      <c r="AD233" s="2748"/>
      <c r="AE233" s="2748"/>
      <c r="AF233" s="2748"/>
      <c r="AG233" s="2748"/>
      <c r="AH233" s="2748"/>
      <c r="AI233" s="2748"/>
      <c r="AK233" s="2748"/>
      <c r="AL233" s="2748"/>
      <c r="AN233" s="2748"/>
      <c r="AO233" s="2748"/>
      <c r="AP233" s="2748"/>
    </row>
    <row r="234" spans="2:42" ht="18" customHeight="1">
      <c r="B234" s="2728"/>
      <c r="C234" s="2728"/>
      <c r="D234" s="2728"/>
      <c r="E234" s="2728"/>
      <c r="G234" s="2512"/>
      <c r="I234" s="2748"/>
      <c r="J234" s="2728"/>
      <c r="L234" s="2728"/>
      <c r="M234" s="2748"/>
      <c r="N234" s="2728"/>
      <c r="O234" s="2728"/>
      <c r="P234" s="2728"/>
      <c r="Q234" s="2748"/>
      <c r="R234" s="2748"/>
      <c r="S234" s="2748"/>
      <c r="T234" s="2748"/>
      <c r="U234" s="2748"/>
      <c r="V234" s="2748"/>
      <c r="W234" s="2748"/>
      <c r="X234" s="2748"/>
      <c r="Y234" s="2748"/>
      <c r="Z234" s="2748"/>
      <c r="AA234" s="2748"/>
      <c r="AB234" s="2748"/>
      <c r="AC234" s="2748"/>
      <c r="AD234" s="2748"/>
      <c r="AE234" s="2748"/>
      <c r="AF234" s="2748"/>
      <c r="AG234" s="2748"/>
      <c r="AH234" s="2748"/>
      <c r="AI234" s="2748"/>
      <c r="AK234" s="2748"/>
      <c r="AL234" s="2748"/>
      <c r="AN234" s="2748"/>
      <c r="AO234" s="2748"/>
      <c r="AP234" s="2748"/>
    </row>
    <row r="235" spans="2:42" ht="18" customHeight="1">
      <c r="B235" s="2728"/>
      <c r="C235" s="2728"/>
      <c r="D235" s="2728"/>
      <c r="E235" s="2728"/>
      <c r="G235" s="2512"/>
      <c r="I235" s="2748"/>
      <c r="J235" s="2728"/>
      <c r="L235" s="2728"/>
      <c r="M235" s="2748"/>
      <c r="N235" s="2728"/>
      <c r="O235" s="2728"/>
      <c r="P235" s="2728"/>
      <c r="Q235" s="2748"/>
      <c r="R235" s="2748"/>
      <c r="S235" s="2748"/>
      <c r="T235" s="2748"/>
      <c r="U235" s="2748"/>
      <c r="V235" s="2748"/>
      <c r="W235" s="2748"/>
      <c r="X235" s="2748"/>
      <c r="Y235" s="2748"/>
      <c r="Z235" s="2748"/>
      <c r="AA235" s="2748"/>
      <c r="AB235" s="2748"/>
      <c r="AC235" s="2748"/>
      <c r="AD235" s="2748"/>
      <c r="AE235" s="2748"/>
      <c r="AF235" s="2748"/>
      <c r="AG235" s="2748"/>
      <c r="AH235" s="2748"/>
      <c r="AI235" s="2748"/>
      <c r="AK235" s="2748"/>
      <c r="AL235" s="2748"/>
      <c r="AN235" s="2748"/>
      <c r="AO235" s="2748"/>
      <c r="AP235" s="2748"/>
    </row>
    <row r="236" spans="2:42" ht="18" customHeight="1">
      <c r="B236" s="2728"/>
      <c r="C236" s="2728"/>
      <c r="D236" s="2728"/>
      <c r="E236" s="2728"/>
      <c r="G236" s="2512"/>
      <c r="I236" s="2748"/>
      <c r="J236" s="2728"/>
      <c r="L236" s="2728"/>
      <c r="M236" s="2748"/>
      <c r="N236" s="2728"/>
      <c r="O236" s="2728"/>
      <c r="P236" s="2728"/>
      <c r="Q236" s="2748"/>
      <c r="R236" s="2748"/>
      <c r="S236" s="2748"/>
      <c r="T236" s="2748"/>
      <c r="U236" s="2748"/>
      <c r="V236" s="2748"/>
      <c r="W236" s="2748"/>
      <c r="X236" s="2748"/>
      <c r="Y236" s="2748"/>
      <c r="Z236" s="2748"/>
      <c r="AA236" s="2748"/>
      <c r="AB236" s="2748"/>
      <c r="AC236" s="2748"/>
      <c r="AD236" s="2748"/>
      <c r="AE236" s="2748"/>
      <c r="AF236" s="2748"/>
      <c r="AG236" s="2748"/>
      <c r="AH236" s="2748"/>
      <c r="AI236" s="2748"/>
      <c r="AK236" s="2748"/>
      <c r="AL236" s="2748"/>
      <c r="AN236" s="2748"/>
      <c r="AO236" s="2748"/>
      <c r="AP236" s="2748"/>
    </row>
    <row r="237" spans="2:42" ht="18" customHeight="1">
      <c r="B237" s="2728"/>
      <c r="C237" s="2728"/>
      <c r="D237" s="2728"/>
      <c r="E237" s="2728"/>
      <c r="G237" s="2512"/>
      <c r="I237" s="2748"/>
      <c r="J237" s="2728"/>
      <c r="L237" s="2728"/>
      <c r="M237" s="2748"/>
      <c r="N237" s="2728"/>
      <c r="O237" s="2728"/>
      <c r="P237" s="2728"/>
      <c r="Q237" s="2748"/>
      <c r="R237" s="2748"/>
      <c r="S237" s="2748"/>
      <c r="T237" s="2748"/>
      <c r="U237" s="2748"/>
      <c r="V237" s="2748"/>
      <c r="W237" s="2748"/>
      <c r="X237" s="2748"/>
      <c r="Y237" s="2748"/>
      <c r="Z237" s="2748"/>
      <c r="AA237" s="2748"/>
      <c r="AB237" s="2748"/>
      <c r="AC237" s="2748"/>
      <c r="AD237" s="2748"/>
      <c r="AE237" s="2748"/>
      <c r="AF237" s="2748"/>
      <c r="AG237" s="2748"/>
      <c r="AH237" s="2748"/>
      <c r="AI237" s="2748"/>
      <c r="AK237" s="2748"/>
      <c r="AL237" s="2748"/>
      <c r="AN237" s="2748"/>
      <c r="AO237" s="2748"/>
      <c r="AP237" s="2748"/>
    </row>
    <row r="238" spans="2:42" ht="18" customHeight="1">
      <c r="B238" s="2728"/>
      <c r="C238" s="2728"/>
      <c r="D238" s="2728"/>
      <c r="E238" s="2728"/>
      <c r="G238" s="2512"/>
      <c r="I238" s="2748"/>
      <c r="J238" s="2728"/>
      <c r="L238" s="2728"/>
      <c r="M238" s="2748"/>
      <c r="N238" s="2728"/>
      <c r="O238" s="2728"/>
      <c r="P238" s="2728"/>
      <c r="Q238" s="2748"/>
      <c r="R238" s="2748"/>
      <c r="S238" s="2748"/>
      <c r="T238" s="2748"/>
      <c r="U238" s="2748"/>
      <c r="V238" s="2748"/>
      <c r="W238" s="2748"/>
      <c r="X238" s="2748"/>
      <c r="Y238" s="2748"/>
      <c r="Z238" s="2748"/>
      <c r="AA238" s="2748"/>
      <c r="AB238" s="2748"/>
      <c r="AC238" s="2748"/>
      <c r="AD238" s="2748"/>
      <c r="AE238" s="2748"/>
      <c r="AF238" s="2748"/>
      <c r="AG238" s="2748"/>
      <c r="AH238" s="2748"/>
      <c r="AI238" s="2748"/>
      <c r="AK238" s="2748"/>
      <c r="AL238" s="2748"/>
      <c r="AN238" s="2748"/>
      <c r="AO238" s="2748"/>
      <c r="AP238" s="2748"/>
    </row>
    <row r="239" spans="2:42" ht="18" customHeight="1">
      <c r="B239" s="2728"/>
      <c r="C239" s="2728"/>
      <c r="D239" s="2728"/>
      <c r="E239" s="2728"/>
      <c r="G239" s="2512"/>
      <c r="I239" s="2748"/>
      <c r="J239" s="2728"/>
      <c r="L239" s="2728"/>
      <c r="M239" s="2748"/>
      <c r="N239" s="2728"/>
      <c r="O239" s="2728"/>
      <c r="P239" s="2728"/>
      <c r="Q239" s="2748"/>
      <c r="R239" s="2748"/>
      <c r="S239" s="2748"/>
      <c r="T239" s="2748"/>
      <c r="U239" s="2748"/>
      <c r="V239" s="2748"/>
      <c r="W239" s="2748"/>
      <c r="X239" s="2748"/>
      <c r="Y239" s="2748"/>
      <c r="Z239" s="2748"/>
      <c r="AA239" s="2748"/>
      <c r="AB239" s="2748"/>
      <c r="AC239" s="2748"/>
      <c r="AD239" s="2748"/>
      <c r="AE239" s="2748"/>
      <c r="AF239" s="2748"/>
      <c r="AG239" s="2748"/>
      <c r="AH239" s="2748"/>
      <c r="AI239" s="2748"/>
      <c r="AK239" s="2748"/>
      <c r="AL239" s="2748"/>
      <c r="AN239" s="2748"/>
      <c r="AO239" s="2748"/>
      <c r="AP239" s="2748"/>
    </row>
    <row r="240" spans="2:42" ht="18" customHeight="1">
      <c r="B240" s="2728"/>
      <c r="C240" s="2728"/>
      <c r="D240" s="2728"/>
      <c r="E240" s="2728"/>
      <c r="G240" s="2512"/>
      <c r="I240" s="2748"/>
      <c r="J240" s="2728"/>
      <c r="L240" s="2728"/>
      <c r="M240" s="2748"/>
      <c r="N240" s="2728"/>
      <c r="O240" s="2728"/>
      <c r="P240" s="2728"/>
      <c r="Q240" s="2748"/>
      <c r="R240" s="2748"/>
      <c r="S240" s="2748"/>
      <c r="T240" s="2748"/>
      <c r="U240" s="2748"/>
      <c r="V240" s="2748"/>
      <c r="W240" s="2748"/>
      <c r="X240" s="2748"/>
      <c r="Y240" s="2748"/>
      <c r="Z240" s="2748"/>
      <c r="AA240" s="2748"/>
      <c r="AB240" s="2748"/>
      <c r="AC240" s="2748"/>
      <c r="AD240" s="2748"/>
      <c r="AE240" s="2748"/>
      <c r="AF240" s="2748"/>
      <c r="AG240" s="2748"/>
      <c r="AH240" s="2748"/>
      <c r="AI240" s="2748"/>
      <c r="AK240" s="2748"/>
      <c r="AL240" s="2748"/>
      <c r="AN240" s="2748"/>
      <c r="AO240" s="2748"/>
      <c r="AP240" s="2748"/>
    </row>
    <row r="241" spans="2:42" ht="18" customHeight="1">
      <c r="B241" s="2728"/>
      <c r="C241" s="2728"/>
      <c r="D241" s="2728"/>
      <c r="E241" s="2728"/>
      <c r="G241" s="2512"/>
      <c r="I241" s="2748"/>
      <c r="J241" s="2728"/>
      <c r="L241" s="2728"/>
      <c r="M241" s="2748"/>
      <c r="N241" s="2728"/>
      <c r="O241" s="2728"/>
      <c r="P241" s="2728"/>
      <c r="Q241" s="2748"/>
      <c r="R241" s="2748"/>
      <c r="S241" s="2748"/>
      <c r="T241" s="2748"/>
      <c r="U241" s="2748"/>
      <c r="V241" s="2748"/>
      <c r="W241" s="2748"/>
      <c r="X241" s="2748"/>
      <c r="Y241" s="2748"/>
      <c r="Z241" s="2748"/>
      <c r="AA241" s="2748"/>
      <c r="AB241" s="2748"/>
      <c r="AC241" s="2748"/>
      <c r="AD241" s="2748"/>
      <c r="AE241" s="2748"/>
      <c r="AF241" s="2748"/>
      <c r="AG241" s="2748"/>
      <c r="AH241" s="2748"/>
      <c r="AI241" s="2748"/>
      <c r="AK241" s="2748"/>
      <c r="AL241" s="2748"/>
      <c r="AN241" s="2748"/>
      <c r="AO241" s="2748"/>
      <c r="AP241" s="2748"/>
    </row>
    <row r="242" spans="2:42" ht="18" customHeight="1">
      <c r="B242" s="2728"/>
      <c r="C242" s="2728"/>
      <c r="D242" s="2728"/>
      <c r="E242" s="2728"/>
      <c r="G242" s="2512"/>
      <c r="I242" s="2748"/>
      <c r="J242" s="2728"/>
      <c r="L242" s="2728"/>
      <c r="M242" s="2748"/>
      <c r="N242" s="2728"/>
      <c r="O242" s="2728"/>
      <c r="P242" s="2728"/>
      <c r="Q242" s="2748"/>
      <c r="R242" s="2748"/>
      <c r="S242" s="2748"/>
      <c r="T242" s="2748"/>
      <c r="U242" s="2748"/>
      <c r="V242" s="2748"/>
      <c r="W242" s="2748"/>
      <c r="X242" s="2748"/>
      <c r="Y242" s="2748"/>
      <c r="Z242" s="2748"/>
      <c r="AA242" s="2748"/>
      <c r="AB242" s="2748"/>
      <c r="AC242" s="2748"/>
      <c r="AD242" s="2748"/>
      <c r="AE242" s="2748"/>
      <c r="AF242" s="2748"/>
      <c r="AG242" s="2748"/>
      <c r="AH242" s="2748"/>
      <c r="AI242" s="2748"/>
      <c r="AK242" s="2748"/>
      <c r="AL242" s="2748"/>
      <c r="AN242" s="2748"/>
      <c r="AO242" s="2748"/>
      <c r="AP242" s="2748"/>
    </row>
    <row r="243" spans="2:42" ht="18" customHeight="1">
      <c r="B243" s="2728"/>
      <c r="C243" s="2728"/>
      <c r="D243" s="2728"/>
      <c r="E243" s="2728"/>
      <c r="G243" s="2512"/>
      <c r="I243" s="2748"/>
      <c r="J243" s="2728"/>
      <c r="L243" s="2728"/>
      <c r="M243" s="2748"/>
      <c r="N243" s="2728"/>
      <c r="O243" s="2728"/>
      <c r="P243" s="2728"/>
      <c r="Q243" s="2748"/>
      <c r="R243" s="2748"/>
      <c r="S243" s="2748"/>
      <c r="T243" s="2748"/>
      <c r="U243" s="2748"/>
      <c r="V243" s="2748"/>
      <c r="W243" s="2748"/>
      <c r="X243" s="2748"/>
      <c r="Y243" s="2748"/>
      <c r="Z243" s="2748"/>
      <c r="AA243" s="2748"/>
      <c r="AB243" s="2748"/>
      <c r="AC243" s="2748"/>
      <c r="AD243" s="2748"/>
      <c r="AE243" s="2748"/>
      <c r="AF243" s="2748"/>
      <c r="AG243" s="2748"/>
      <c r="AH243" s="2748"/>
      <c r="AI243" s="2748"/>
      <c r="AK243" s="2748"/>
      <c r="AL243" s="2748"/>
      <c r="AN243" s="2748"/>
      <c r="AO243" s="2748"/>
      <c r="AP243" s="2748"/>
    </row>
    <row r="244" spans="2:42" ht="18" customHeight="1">
      <c r="B244" s="2728"/>
      <c r="C244" s="2728"/>
      <c r="D244" s="2728"/>
      <c r="E244" s="2728"/>
      <c r="G244" s="2512"/>
      <c r="I244" s="2748"/>
      <c r="J244" s="2728"/>
      <c r="L244" s="2728"/>
      <c r="M244" s="2748"/>
      <c r="N244" s="2728"/>
      <c r="O244" s="2728"/>
      <c r="P244" s="2728"/>
      <c r="Q244" s="2748"/>
      <c r="R244" s="2748"/>
      <c r="S244" s="2748"/>
      <c r="T244" s="2748"/>
      <c r="U244" s="2748"/>
      <c r="V244" s="2748"/>
      <c r="W244" s="2748"/>
      <c r="X244" s="2748"/>
      <c r="Y244" s="2748"/>
      <c r="Z244" s="2748"/>
      <c r="AA244" s="2748"/>
      <c r="AB244" s="2748"/>
      <c r="AC244" s="2748"/>
      <c r="AD244" s="2748"/>
      <c r="AE244" s="2748"/>
      <c r="AF244" s="2748"/>
      <c r="AG244" s="2748"/>
      <c r="AH244" s="2748"/>
      <c r="AI244" s="2748"/>
      <c r="AK244" s="2748"/>
      <c r="AL244" s="2748"/>
      <c r="AN244" s="2748"/>
      <c r="AO244" s="2748"/>
      <c r="AP244" s="2748"/>
    </row>
    <row r="245" spans="2:42" ht="18" customHeight="1">
      <c r="B245" s="2728"/>
      <c r="C245" s="2728"/>
      <c r="D245" s="2728"/>
      <c r="E245" s="2728"/>
      <c r="G245" s="2512"/>
      <c r="I245" s="2748"/>
      <c r="J245" s="2728"/>
      <c r="L245" s="2728"/>
      <c r="M245" s="2748"/>
      <c r="N245" s="2728"/>
      <c r="O245" s="2728"/>
      <c r="P245" s="2728"/>
      <c r="Q245" s="2748"/>
      <c r="R245" s="2748"/>
      <c r="S245" s="2748"/>
      <c r="T245" s="2748"/>
      <c r="U245" s="2748"/>
      <c r="V245" s="2748"/>
      <c r="W245" s="2748"/>
      <c r="X245" s="2748"/>
      <c r="Y245" s="2748"/>
      <c r="Z245" s="2748"/>
      <c r="AA245" s="2748"/>
      <c r="AB245" s="2748"/>
      <c r="AC245" s="2748"/>
      <c r="AD245" s="2748"/>
      <c r="AE245" s="2748"/>
      <c r="AF245" s="2748"/>
      <c r="AG245" s="2748"/>
      <c r="AH245" s="2748"/>
      <c r="AI245" s="2748"/>
      <c r="AK245" s="2748"/>
      <c r="AL245" s="2748"/>
      <c r="AN245" s="2748"/>
      <c r="AO245" s="2748"/>
      <c r="AP245" s="2748"/>
    </row>
    <row r="246" spans="2:42" ht="18" customHeight="1">
      <c r="B246" s="2728"/>
      <c r="C246" s="2728"/>
      <c r="D246" s="2728"/>
      <c r="E246" s="2728"/>
      <c r="G246" s="2512"/>
      <c r="I246" s="2748"/>
      <c r="J246" s="2728"/>
      <c r="L246" s="2728"/>
      <c r="M246" s="2748"/>
      <c r="N246" s="2728"/>
      <c r="O246" s="2728"/>
      <c r="P246" s="2728"/>
      <c r="Q246" s="2748"/>
      <c r="R246" s="2748"/>
      <c r="S246" s="2748"/>
      <c r="T246" s="2748"/>
      <c r="U246" s="2748"/>
      <c r="V246" s="2748"/>
      <c r="W246" s="2748"/>
      <c r="X246" s="2748"/>
      <c r="Y246" s="2748"/>
      <c r="Z246" s="2748"/>
      <c r="AA246" s="2748"/>
      <c r="AB246" s="2748"/>
      <c r="AC246" s="2748"/>
      <c r="AD246" s="2748"/>
      <c r="AE246" s="2748"/>
      <c r="AF246" s="2748"/>
      <c r="AG246" s="2748"/>
      <c r="AH246" s="2748"/>
      <c r="AI246" s="2748"/>
      <c r="AK246" s="2748"/>
      <c r="AL246" s="2748"/>
      <c r="AN246" s="2748"/>
      <c r="AO246" s="2748"/>
      <c r="AP246" s="2748"/>
    </row>
    <row r="247" spans="2:42" ht="18" customHeight="1">
      <c r="B247" s="2728"/>
      <c r="C247" s="2728"/>
      <c r="D247" s="2728"/>
      <c r="E247" s="2728"/>
      <c r="G247" s="2512"/>
      <c r="I247" s="2748"/>
      <c r="J247" s="2728"/>
      <c r="L247" s="2728"/>
      <c r="M247" s="2748"/>
      <c r="N247" s="2728"/>
      <c r="O247" s="2728"/>
      <c r="P247" s="2728"/>
      <c r="Q247" s="2748"/>
      <c r="R247" s="2748"/>
      <c r="S247" s="2748"/>
      <c r="T247" s="2748"/>
      <c r="U247" s="2748"/>
      <c r="V247" s="2748"/>
      <c r="W247" s="2748"/>
      <c r="X247" s="2748"/>
      <c r="Y247" s="2748"/>
      <c r="Z247" s="2748"/>
      <c r="AA247" s="2748"/>
      <c r="AB247" s="2748"/>
      <c r="AC247" s="2748"/>
      <c r="AD247" s="2748"/>
      <c r="AE247" s="2748"/>
      <c r="AF247" s="2748"/>
      <c r="AG247" s="2748"/>
      <c r="AH247" s="2748"/>
      <c r="AI247" s="2748"/>
      <c r="AK247" s="2748"/>
      <c r="AL247" s="2748"/>
      <c r="AN247" s="2748"/>
      <c r="AO247" s="2748"/>
      <c r="AP247" s="2748"/>
    </row>
    <row r="248" spans="2:42" ht="18" customHeight="1">
      <c r="B248" s="2728"/>
      <c r="C248" s="2728"/>
      <c r="D248" s="2728"/>
      <c r="E248" s="2728"/>
      <c r="G248" s="2512"/>
      <c r="I248" s="2748"/>
      <c r="J248" s="2728"/>
      <c r="L248" s="2728"/>
      <c r="M248" s="2748"/>
      <c r="N248" s="2728"/>
      <c r="O248" s="2728"/>
      <c r="P248" s="2728"/>
      <c r="Q248" s="2748"/>
      <c r="R248" s="2748"/>
      <c r="S248" s="2748"/>
      <c r="T248" s="2748"/>
      <c r="U248" s="2748"/>
      <c r="V248" s="2748"/>
      <c r="W248" s="2748"/>
      <c r="X248" s="2748"/>
      <c r="Y248" s="2748"/>
      <c r="Z248" s="2748"/>
      <c r="AA248" s="2748"/>
      <c r="AB248" s="2748"/>
      <c r="AC248" s="2748"/>
      <c r="AD248" s="2748"/>
      <c r="AE248" s="2748"/>
      <c r="AF248" s="2748"/>
      <c r="AG248" s="2748"/>
      <c r="AH248" s="2748"/>
      <c r="AI248" s="2748"/>
      <c r="AK248" s="2748"/>
      <c r="AL248" s="2748"/>
      <c r="AN248" s="2748"/>
      <c r="AO248" s="2748"/>
      <c r="AP248" s="2748"/>
    </row>
    <row r="249" spans="2:42" ht="18" customHeight="1">
      <c r="B249" s="2728"/>
      <c r="C249" s="2728"/>
      <c r="D249" s="2728"/>
      <c r="E249" s="2728"/>
      <c r="G249" s="2512"/>
      <c r="I249" s="2748"/>
      <c r="J249" s="2728"/>
      <c r="L249" s="2728"/>
      <c r="M249" s="2748"/>
      <c r="N249" s="2728"/>
      <c r="O249" s="2728"/>
      <c r="P249" s="2728"/>
      <c r="Q249" s="2748"/>
      <c r="R249" s="2748"/>
      <c r="S249" s="2748"/>
      <c r="T249" s="2748"/>
      <c r="U249" s="2748"/>
      <c r="V249" s="2748"/>
      <c r="W249" s="2748"/>
      <c r="X249" s="2748"/>
      <c r="Y249" s="2748"/>
      <c r="Z249" s="2748"/>
      <c r="AA249" s="2748"/>
      <c r="AB249" s="2748"/>
      <c r="AC249" s="2748"/>
      <c r="AD249" s="2748"/>
      <c r="AE249" s="2748"/>
      <c r="AF249" s="2748"/>
      <c r="AG249" s="2748"/>
      <c r="AH249" s="2748"/>
      <c r="AI249" s="2748"/>
      <c r="AK249" s="2748"/>
      <c r="AL249" s="2748"/>
      <c r="AN249" s="2748"/>
      <c r="AO249" s="2748"/>
      <c r="AP249" s="2748"/>
    </row>
    <row r="250" spans="2:42" ht="18" customHeight="1">
      <c r="B250" s="2728"/>
      <c r="C250" s="2728"/>
      <c r="D250" s="2728"/>
      <c r="E250" s="2728"/>
      <c r="G250" s="2512"/>
      <c r="I250" s="2748"/>
      <c r="J250" s="2728"/>
      <c r="L250" s="2728"/>
      <c r="M250" s="2748"/>
      <c r="N250" s="2728"/>
      <c r="O250" s="2728"/>
      <c r="P250" s="2728"/>
      <c r="Q250" s="2748"/>
      <c r="R250" s="2748"/>
      <c r="S250" s="2748"/>
      <c r="T250" s="2748"/>
      <c r="U250" s="2748"/>
      <c r="V250" s="2748"/>
      <c r="W250" s="2748"/>
      <c r="X250" s="2748"/>
      <c r="Y250" s="2748"/>
      <c r="Z250" s="2748"/>
      <c r="AA250" s="2748"/>
      <c r="AB250" s="2748"/>
      <c r="AC250" s="2748"/>
      <c r="AD250" s="2748"/>
      <c r="AE250" s="2748"/>
      <c r="AF250" s="2748"/>
      <c r="AG250" s="2748"/>
      <c r="AH250" s="2748"/>
      <c r="AI250" s="2748"/>
      <c r="AK250" s="2748"/>
      <c r="AL250" s="2748"/>
      <c r="AN250" s="2748"/>
      <c r="AO250" s="2748"/>
      <c r="AP250" s="2748"/>
    </row>
    <row r="251" spans="2:42" ht="18" customHeight="1">
      <c r="B251" s="2728"/>
      <c r="C251" s="2728"/>
      <c r="D251" s="2728"/>
      <c r="E251" s="2728"/>
      <c r="G251" s="2512"/>
      <c r="I251" s="2748"/>
      <c r="J251" s="2728"/>
      <c r="L251" s="2728"/>
      <c r="M251" s="2748"/>
      <c r="N251" s="2728"/>
      <c r="O251" s="2728"/>
      <c r="P251" s="2728"/>
      <c r="Q251" s="2748"/>
      <c r="R251" s="2748"/>
      <c r="S251" s="2748"/>
      <c r="T251" s="2748"/>
      <c r="U251" s="2748"/>
      <c r="V251" s="2748"/>
      <c r="W251" s="2748"/>
      <c r="X251" s="2748"/>
      <c r="Y251" s="2748"/>
      <c r="Z251" s="2748"/>
      <c r="AA251" s="2748"/>
      <c r="AB251" s="2748"/>
      <c r="AC251" s="2748"/>
      <c r="AD251" s="2748"/>
      <c r="AE251" s="2748"/>
      <c r="AF251" s="2748"/>
      <c r="AG251" s="2748"/>
      <c r="AH251" s="2748"/>
      <c r="AI251" s="2748"/>
      <c r="AK251" s="2748"/>
      <c r="AL251" s="2748"/>
      <c r="AN251" s="2748"/>
      <c r="AO251" s="2748"/>
      <c r="AP251" s="2748"/>
    </row>
    <row r="252" spans="2:42" ht="18" customHeight="1">
      <c r="B252" s="2728"/>
      <c r="C252" s="2728"/>
      <c r="D252" s="2728"/>
      <c r="E252" s="2728"/>
      <c r="G252" s="2512"/>
      <c r="I252" s="2748"/>
      <c r="J252" s="2728"/>
      <c r="L252" s="2728"/>
      <c r="M252" s="2748"/>
      <c r="N252" s="2728"/>
      <c r="O252" s="2728"/>
      <c r="P252" s="2728"/>
      <c r="Q252" s="2748"/>
      <c r="R252" s="2748"/>
      <c r="S252" s="2748"/>
      <c r="T252" s="2748"/>
      <c r="U252" s="2748"/>
      <c r="V252" s="2748"/>
      <c r="W252" s="2748"/>
      <c r="X252" s="2748"/>
      <c r="Y252" s="2748"/>
      <c r="Z252" s="2748"/>
      <c r="AA252" s="2748"/>
      <c r="AB252" s="2748"/>
      <c r="AC252" s="2748"/>
      <c r="AD252" s="2748"/>
      <c r="AE252" s="2748"/>
      <c r="AF252" s="2748"/>
      <c r="AG252" s="2748"/>
      <c r="AH252" s="2748"/>
      <c r="AI252" s="2748"/>
      <c r="AK252" s="2748"/>
      <c r="AL252" s="2748"/>
      <c r="AN252" s="2748"/>
      <c r="AO252" s="2748"/>
      <c r="AP252" s="2748"/>
    </row>
    <row r="253" spans="2:42" ht="18" customHeight="1">
      <c r="B253" s="2728"/>
      <c r="C253" s="2728"/>
      <c r="D253" s="2728"/>
      <c r="E253" s="2728"/>
      <c r="G253" s="2512"/>
      <c r="I253" s="2748"/>
      <c r="J253" s="2728"/>
      <c r="L253" s="2728"/>
      <c r="M253" s="2748"/>
      <c r="N253" s="2728"/>
      <c r="O253" s="2728"/>
      <c r="P253" s="2728"/>
      <c r="Q253" s="2748"/>
      <c r="R253" s="2748"/>
      <c r="S253" s="2748"/>
      <c r="T253" s="2748"/>
      <c r="U253" s="2748"/>
      <c r="V253" s="2748"/>
      <c r="W253" s="2748"/>
      <c r="X253" s="2748"/>
      <c r="Y253" s="2748"/>
      <c r="Z253" s="2748"/>
      <c r="AA253" s="2748"/>
      <c r="AB253" s="2748"/>
      <c r="AC253" s="2748"/>
      <c r="AD253" s="2748"/>
      <c r="AE253" s="2748"/>
      <c r="AF253" s="2748"/>
      <c r="AG253" s="2748"/>
      <c r="AH253" s="2748"/>
      <c r="AI253" s="2748"/>
      <c r="AK253" s="2748"/>
      <c r="AL253" s="2748"/>
      <c r="AN253" s="2748"/>
      <c r="AO253" s="2748"/>
      <c r="AP253" s="2748"/>
    </row>
    <row r="254" spans="2:42" ht="18" customHeight="1">
      <c r="B254" s="2728"/>
      <c r="C254" s="2728"/>
      <c r="D254" s="2728"/>
      <c r="E254" s="2728"/>
      <c r="G254" s="2512"/>
      <c r="I254" s="2748"/>
      <c r="J254" s="2728"/>
      <c r="L254" s="2728"/>
      <c r="M254" s="2748"/>
      <c r="N254" s="2728"/>
      <c r="O254" s="2728"/>
      <c r="P254" s="2728"/>
      <c r="Q254" s="2748"/>
      <c r="R254" s="2748"/>
      <c r="S254" s="2748"/>
      <c r="T254" s="2748"/>
      <c r="U254" s="2748"/>
      <c r="V254" s="2748"/>
      <c r="W254" s="2748"/>
      <c r="X254" s="2748"/>
      <c r="Y254" s="2748"/>
      <c r="Z254" s="2748"/>
      <c r="AA254" s="2748"/>
      <c r="AB254" s="2748"/>
      <c r="AC254" s="2748"/>
      <c r="AD254" s="2748"/>
      <c r="AE254" s="2748"/>
      <c r="AF254" s="2748"/>
      <c r="AG254" s="2748"/>
      <c r="AH254" s="2748"/>
      <c r="AI254" s="2748"/>
      <c r="AK254" s="2748"/>
      <c r="AL254" s="2748"/>
      <c r="AN254" s="2748"/>
      <c r="AO254" s="2748"/>
      <c r="AP254" s="2748"/>
    </row>
    <row r="255" spans="2:42" ht="18" customHeight="1">
      <c r="B255" s="2728"/>
      <c r="C255" s="2728"/>
      <c r="D255" s="2728"/>
      <c r="E255" s="2728"/>
      <c r="G255" s="2512"/>
      <c r="I255" s="2748"/>
      <c r="J255" s="2728"/>
      <c r="L255" s="2728"/>
      <c r="M255" s="2748"/>
      <c r="N255" s="2728"/>
      <c r="O255" s="2728"/>
      <c r="P255" s="2728"/>
      <c r="Q255" s="2748"/>
      <c r="R255" s="2748"/>
      <c r="S255" s="2748"/>
      <c r="T255" s="2748"/>
      <c r="U255" s="2748"/>
      <c r="V255" s="2748"/>
      <c r="W255" s="2748"/>
      <c r="X255" s="2748"/>
      <c r="Y255" s="2748"/>
      <c r="Z255" s="2748"/>
      <c r="AA255" s="2748"/>
      <c r="AB255" s="2748"/>
      <c r="AC255" s="2748"/>
      <c r="AD255" s="2748"/>
      <c r="AE255" s="2748"/>
      <c r="AF255" s="2748"/>
      <c r="AG255" s="2748"/>
      <c r="AH255" s="2748"/>
      <c r="AI255" s="2748"/>
      <c r="AK255" s="2748"/>
      <c r="AL255" s="2748"/>
      <c r="AN255" s="2748"/>
      <c r="AO255" s="2748"/>
      <c r="AP255" s="2748"/>
    </row>
    <row r="256" spans="2:42" ht="18" customHeight="1">
      <c r="B256" s="2728"/>
      <c r="C256" s="2728"/>
      <c r="D256" s="2728"/>
      <c r="E256" s="2728"/>
      <c r="G256" s="2512"/>
      <c r="I256" s="2748"/>
      <c r="J256" s="2728"/>
      <c r="L256" s="2728"/>
      <c r="M256" s="2748"/>
      <c r="N256" s="2728"/>
      <c r="O256" s="2728"/>
      <c r="P256" s="2728"/>
      <c r="Q256" s="2748"/>
      <c r="R256" s="2748"/>
      <c r="S256" s="2748"/>
      <c r="T256" s="2748"/>
      <c r="U256" s="2748"/>
      <c r="V256" s="2748"/>
      <c r="W256" s="2748"/>
      <c r="X256" s="2748"/>
      <c r="Y256" s="2748"/>
      <c r="Z256" s="2748"/>
      <c r="AA256" s="2748"/>
      <c r="AB256" s="2748"/>
      <c r="AC256" s="2748"/>
      <c r="AD256" s="2748"/>
      <c r="AE256" s="2748"/>
      <c r="AF256" s="2748"/>
      <c r="AG256" s="2748"/>
      <c r="AH256" s="2748"/>
      <c r="AI256" s="2748"/>
      <c r="AK256" s="2748"/>
      <c r="AL256" s="2748"/>
      <c r="AN256" s="2748"/>
      <c r="AO256" s="2748"/>
      <c r="AP256" s="2748"/>
    </row>
    <row r="257" spans="2:42" ht="18" customHeight="1">
      <c r="B257" s="2728"/>
      <c r="C257" s="2728"/>
      <c r="D257" s="2728"/>
      <c r="E257" s="2728"/>
      <c r="G257" s="2512"/>
      <c r="I257" s="2748"/>
      <c r="J257" s="2728"/>
      <c r="L257" s="2728"/>
      <c r="M257" s="2748"/>
      <c r="N257" s="2728"/>
      <c r="O257" s="2728"/>
      <c r="P257" s="2728"/>
      <c r="Q257" s="2748"/>
      <c r="R257" s="2748"/>
      <c r="S257" s="2748"/>
      <c r="T257" s="2748"/>
      <c r="U257" s="2748"/>
      <c r="V257" s="2748"/>
      <c r="W257" s="2748"/>
      <c r="X257" s="2748"/>
      <c r="Y257" s="2748"/>
      <c r="Z257" s="2748"/>
      <c r="AA257" s="2748"/>
      <c r="AB257" s="2748"/>
      <c r="AC257" s="2748"/>
      <c r="AD257" s="2748"/>
      <c r="AE257" s="2748"/>
      <c r="AF257" s="2748"/>
      <c r="AG257" s="2748"/>
      <c r="AH257" s="2748"/>
      <c r="AI257" s="2748"/>
      <c r="AK257" s="2748"/>
      <c r="AL257" s="2748"/>
      <c r="AN257" s="2748"/>
      <c r="AO257" s="2748"/>
      <c r="AP257" s="2748"/>
    </row>
    <row r="258" spans="2:42" ht="18" customHeight="1">
      <c r="B258" s="2728"/>
      <c r="C258" s="2728"/>
      <c r="D258" s="2728"/>
      <c r="E258" s="2728"/>
      <c r="G258" s="2512"/>
      <c r="I258" s="2748"/>
      <c r="J258" s="2728"/>
      <c r="L258" s="2728"/>
      <c r="M258" s="2748"/>
      <c r="N258" s="2728"/>
      <c r="O258" s="2728"/>
      <c r="P258" s="2728"/>
      <c r="Q258" s="2748"/>
      <c r="R258" s="2748"/>
      <c r="S258" s="2748"/>
      <c r="T258" s="2748"/>
      <c r="U258" s="2748"/>
      <c r="V258" s="2748"/>
      <c r="W258" s="2748"/>
      <c r="X258" s="2748"/>
      <c r="Y258" s="2748"/>
      <c r="Z258" s="2748"/>
      <c r="AA258" s="2748"/>
      <c r="AB258" s="2748"/>
      <c r="AC258" s="2748"/>
      <c r="AD258" s="2748"/>
      <c r="AE258" s="2748"/>
      <c r="AF258" s="2748"/>
      <c r="AG258" s="2748"/>
      <c r="AH258" s="2748"/>
      <c r="AI258" s="2748"/>
      <c r="AK258" s="2748"/>
      <c r="AL258" s="2748"/>
      <c r="AN258" s="2748"/>
      <c r="AO258" s="2748"/>
      <c r="AP258" s="2748"/>
    </row>
    <row r="259" spans="2:42" ht="18" customHeight="1">
      <c r="B259" s="2728"/>
      <c r="C259" s="2728"/>
      <c r="D259" s="2728"/>
      <c r="E259" s="2728"/>
      <c r="G259" s="2512"/>
      <c r="I259" s="2748"/>
      <c r="J259" s="2728"/>
      <c r="L259" s="2728"/>
      <c r="M259" s="2748"/>
      <c r="N259" s="2728"/>
      <c r="O259" s="2728"/>
      <c r="P259" s="2728"/>
      <c r="Q259" s="2748"/>
      <c r="R259" s="2748"/>
      <c r="S259" s="2748"/>
      <c r="T259" s="2748"/>
      <c r="U259" s="2748"/>
      <c r="V259" s="2748"/>
      <c r="W259" s="2748"/>
      <c r="X259" s="2748"/>
      <c r="Y259" s="2748"/>
      <c r="Z259" s="2748"/>
      <c r="AA259" s="2748"/>
      <c r="AB259" s="2748"/>
      <c r="AC259" s="2748"/>
      <c r="AD259" s="2748"/>
      <c r="AE259" s="2748"/>
      <c r="AF259" s="2748"/>
      <c r="AG259" s="2748"/>
      <c r="AH259" s="2748"/>
      <c r="AI259" s="2748"/>
      <c r="AK259" s="2748"/>
      <c r="AL259" s="2748"/>
      <c r="AN259" s="2748"/>
      <c r="AO259" s="2748"/>
      <c r="AP259" s="2748"/>
    </row>
    <row r="260" spans="2:42" ht="18" customHeight="1">
      <c r="B260" s="2728"/>
      <c r="C260" s="2728"/>
      <c r="D260" s="2728"/>
      <c r="E260" s="2728"/>
      <c r="G260" s="2512"/>
      <c r="I260" s="2748"/>
      <c r="J260" s="2728"/>
      <c r="L260" s="2728"/>
      <c r="M260" s="2748"/>
      <c r="N260" s="2728"/>
      <c r="O260" s="2728"/>
      <c r="P260" s="2728"/>
      <c r="Q260" s="2748"/>
      <c r="R260" s="2748"/>
      <c r="S260" s="2748"/>
      <c r="T260" s="2748"/>
      <c r="U260" s="2748"/>
      <c r="V260" s="2748"/>
      <c r="W260" s="2748"/>
      <c r="X260" s="2748"/>
      <c r="Y260" s="2748"/>
      <c r="Z260" s="2748"/>
      <c r="AA260" s="2748"/>
      <c r="AB260" s="2748"/>
      <c r="AC260" s="2748"/>
      <c r="AD260" s="2748"/>
      <c r="AE260" s="2748"/>
      <c r="AF260" s="2748"/>
      <c r="AG260" s="2748"/>
      <c r="AH260" s="2748"/>
      <c r="AI260" s="2748"/>
      <c r="AK260" s="2748"/>
      <c r="AL260" s="2748"/>
      <c r="AN260" s="2748"/>
      <c r="AO260" s="2748"/>
      <c r="AP260" s="2748"/>
    </row>
    <row r="261" spans="2:42" ht="18" customHeight="1">
      <c r="B261" s="2728"/>
      <c r="C261" s="2728"/>
      <c r="D261" s="2728"/>
      <c r="E261" s="2728"/>
      <c r="G261" s="2512"/>
      <c r="I261" s="2748"/>
      <c r="J261" s="2728"/>
      <c r="L261" s="2728"/>
      <c r="M261" s="2748"/>
      <c r="N261" s="2728"/>
      <c r="O261" s="2728"/>
      <c r="P261" s="2728"/>
      <c r="Q261" s="2748"/>
      <c r="R261" s="2748"/>
      <c r="S261" s="2748"/>
      <c r="T261" s="2748"/>
      <c r="U261" s="2748"/>
      <c r="V261" s="2748"/>
      <c r="W261" s="2748"/>
      <c r="X261" s="2748"/>
      <c r="Y261" s="2748"/>
      <c r="Z261" s="2748"/>
      <c r="AA261" s="2748"/>
      <c r="AB261" s="2748"/>
      <c r="AC261" s="2748"/>
      <c r="AD261" s="2748"/>
      <c r="AE261" s="2748"/>
      <c r="AF261" s="2748"/>
      <c r="AG261" s="2748"/>
      <c r="AH261" s="2748"/>
      <c r="AI261" s="2748"/>
      <c r="AK261" s="2748"/>
      <c r="AL261" s="2748"/>
      <c r="AN261" s="2748"/>
      <c r="AO261" s="2748"/>
      <c r="AP261" s="2748"/>
    </row>
    <row r="262" spans="2:42" ht="18" customHeight="1">
      <c r="B262" s="2728"/>
      <c r="C262" s="2728"/>
      <c r="D262" s="2728"/>
      <c r="E262" s="2728"/>
      <c r="G262" s="2512"/>
      <c r="I262" s="2748"/>
      <c r="J262" s="2728"/>
      <c r="L262" s="2728"/>
      <c r="M262" s="2748"/>
      <c r="N262" s="2728"/>
      <c r="O262" s="2728"/>
      <c r="P262" s="2728"/>
      <c r="Q262" s="2748"/>
      <c r="R262" s="2748"/>
      <c r="S262" s="2748"/>
      <c r="T262" s="2748"/>
      <c r="U262" s="2748"/>
      <c r="V262" s="2748"/>
      <c r="W262" s="2748"/>
      <c r="X262" s="2748"/>
      <c r="Y262" s="2748"/>
      <c r="Z262" s="2748"/>
      <c r="AA262" s="2748"/>
      <c r="AB262" s="2748"/>
      <c r="AC262" s="2748"/>
      <c r="AD262" s="2748"/>
      <c r="AE262" s="2748"/>
      <c r="AF262" s="2748"/>
      <c r="AG262" s="2748"/>
      <c r="AH262" s="2748"/>
      <c r="AI262" s="2748"/>
      <c r="AK262" s="2748"/>
      <c r="AL262" s="2748"/>
      <c r="AN262" s="2748"/>
      <c r="AO262" s="2748"/>
      <c r="AP262" s="2748"/>
    </row>
    <row r="263" spans="2:42" ht="18" customHeight="1">
      <c r="B263" s="2728"/>
      <c r="C263" s="2728"/>
      <c r="D263" s="2728"/>
      <c r="E263" s="2728"/>
      <c r="G263" s="2512"/>
      <c r="I263" s="2748"/>
      <c r="J263" s="2728"/>
      <c r="L263" s="2728"/>
      <c r="M263" s="2748"/>
      <c r="N263" s="2728"/>
      <c r="O263" s="2728"/>
      <c r="P263" s="2728"/>
      <c r="Q263" s="2748"/>
      <c r="R263" s="2748"/>
      <c r="S263" s="2748"/>
      <c r="T263" s="2748"/>
      <c r="U263" s="2748"/>
      <c r="V263" s="2748"/>
      <c r="W263" s="2748"/>
      <c r="X263" s="2748"/>
      <c r="Y263" s="2748"/>
      <c r="Z263" s="2748"/>
      <c r="AA263" s="2748"/>
      <c r="AB263" s="2748"/>
      <c r="AC263" s="2748"/>
      <c r="AD263" s="2748"/>
      <c r="AE263" s="2748"/>
      <c r="AF263" s="2748"/>
      <c r="AG263" s="2748"/>
      <c r="AH263" s="2748"/>
      <c r="AI263" s="2748"/>
      <c r="AK263" s="2748"/>
      <c r="AL263" s="2748"/>
      <c r="AN263" s="2748"/>
      <c r="AO263" s="2748"/>
      <c r="AP263" s="2748"/>
    </row>
    <row r="264" spans="2:42" ht="18" customHeight="1">
      <c r="B264" s="2728"/>
      <c r="C264" s="2728"/>
      <c r="D264" s="2728"/>
      <c r="E264" s="2728"/>
      <c r="G264" s="2512"/>
      <c r="I264" s="2748"/>
      <c r="J264" s="2728"/>
      <c r="L264" s="2728"/>
      <c r="M264" s="2748"/>
      <c r="N264" s="2728"/>
      <c r="O264" s="2728"/>
      <c r="P264" s="2728"/>
      <c r="Q264" s="2748"/>
      <c r="R264" s="2748"/>
      <c r="S264" s="2748"/>
      <c r="T264" s="2748"/>
      <c r="U264" s="2748"/>
      <c r="V264" s="2748"/>
      <c r="W264" s="2748"/>
      <c r="X264" s="2748"/>
      <c r="Y264" s="2748"/>
      <c r="Z264" s="2748"/>
      <c r="AA264" s="2748"/>
      <c r="AB264" s="2748"/>
      <c r="AC264" s="2748"/>
      <c r="AD264" s="2748"/>
      <c r="AE264" s="2748"/>
      <c r="AF264" s="2748"/>
      <c r="AG264" s="2748"/>
      <c r="AH264" s="2748"/>
      <c r="AI264" s="2748"/>
      <c r="AK264" s="2748"/>
      <c r="AL264" s="2748"/>
      <c r="AN264" s="2748"/>
      <c r="AO264" s="2748"/>
      <c r="AP264" s="2748"/>
    </row>
    <row r="265" spans="2:42" ht="18" customHeight="1">
      <c r="B265" s="2728"/>
      <c r="C265" s="2728"/>
      <c r="D265" s="2728"/>
      <c r="E265" s="2728"/>
      <c r="G265" s="2512"/>
      <c r="I265" s="2748"/>
      <c r="J265" s="2728"/>
      <c r="L265" s="2728"/>
      <c r="M265" s="2748"/>
      <c r="N265" s="2728"/>
      <c r="O265" s="2728"/>
      <c r="P265" s="2728"/>
      <c r="Q265" s="2748"/>
      <c r="R265" s="2748"/>
      <c r="S265" s="2748"/>
      <c r="T265" s="2748"/>
      <c r="U265" s="2748"/>
      <c r="V265" s="2748"/>
      <c r="W265" s="2748"/>
      <c r="X265" s="2748"/>
      <c r="Y265" s="2748"/>
      <c r="Z265" s="2748"/>
      <c r="AA265" s="2748"/>
      <c r="AB265" s="2748"/>
      <c r="AC265" s="2748"/>
      <c r="AD265" s="2748"/>
      <c r="AE265" s="2748"/>
      <c r="AF265" s="2748"/>
      <c r="AG265" s="2748"/>
      <c r="AH265" s="2748"/>
      <c r="AI265" s="2748"/>
      <c r="AK265" s="2748"/>
      <c r="AL265" s="2748"/>
      <c r="AN265" s="2748"/>
      <c r="AO265" s="2748"/>
      <c r="AP265" s="2748"/>
    </row>
    <row r="266" spans="2:42" ht="18" customHeight="1">
      <c r="B266" s="2728"/>
      <c r="C266" s="2728"/>
      <c r="D266" s="2728"/>
      <c r="E266" s="2728"/>
      <c r="G266" s="2512"/>
      <c r="I266" s="2748"/>
      <c r="J266" s="2728"/>
      <c r="L266" s="2728"/>
      <c r="M266" s="2748"/>
      <c r="N266" s="2728"/>
      <c r="O266" s="2728"/>
      <c r="P266" s="2728"/>
      <c r="Q266" s="2748"/>
      <c r="R266" s="2748"/>
      <c r="S266" s="2748"/>
      <c r="T266" s="2748"/>
      <c r="U266" s="2748"/>
      <c r="V266" s="2748"/>
      <c r="W266" s="2748"/>
      <c r="X266" s="2748"/>
      <c r="Y266" s="2748"/>
      <c r="Z266" s="2748"/>
      <c r="AA266" s="2748"/>
      <c r="AB266" s="2748"/>
      <c r="AC266" s="2748"/>
      <c r="AD266" s="2748"/>
      <c r="AE266" s="2748"/>
      <c r="AF266" s="2748"/>
      <c r="AG266" s="2748"/>
      <c r="AH266" s="2748"/>
      <c r="AI266" s="2748"/>
      <c r="AK266" s="2748"/>
      <c r="AL266" s="2748"/>
      <c r="AN266" s="2748"/>
      <c r="AO266" s="2748"/>
      <c r="AP266" s="2748"/>
    </row>
    <row r="267" spans="2:42" ht="18" customHeight="1">
      <c r="B267" s="2728"/>
      <c r="C267" s="2728"/>
      <c r="D267" s="2728"/>
      <c r="E267" s="2728"/>
      <c r="G267" s="2512"/>
      <c r="I267" s="2748"/>
      <c r="J267" s="2728"/>
      <c r="L267" s="2728"/>
      <c r="M267" s="2748"/>
      <c r="N267" s="2728"/>
      <c r="O267" s="2728"/>
      <c r="P267" s="2728"/>
      <c r="Q267" s="2748"/>
      <c r="R267" s="2748"/>
      <c r="S267" s="2748"/>
      <c r="T267" s="2748"/>
      <c r="U267" s="2748"/>
      <c r="V267" s="2748"/>
      <c r="W267" s="2748"/>
      <c r="X267" s="2748"/>
      <c r="Y267" s="2748"/>
      <c r="Z267" s="2748"/>
      <c r="AA267" s="2748"/>
      <c r="AB267" s="2748"/>
      <c r="AC267" s="2748"/>
      <c r="AD267" s="2748"/>
      <c r="AE267" s="2748"/>
      <c r="AF267" s="2748"/>
      <c r="AG267" s="2748"/>
      <c r="AH267" s="2748"/>
      <c r="AI267" s="2748"/>
      <c r="AK267" s="2748"/>
      <c r="AL267" s="2748"/>
      <c r="AN267" s="2748"/>
      <c r="AO267" s="2748"/>
      <c r="AP267" s="2748"/>
    </row>
    <row r="268" spans="2:42" ht="18" customHeight="1">
      <c r="B268" s="2728"/>
      <c r="C268" s="2728"/>
      <c r="D268" s="2728"/>
      <c r="E268" s="2728"/>
      <c r="G268" s="2512"/>
      <c r="I268" s="2748"/>
      <c r="J268" s="2728"/>
      <c r="L268" s="2728"/>
      <c r="M268" s="2748"/>
      <c r="N268" s="2728"/>
      <c r="O268" s="2728"/>
      <c r="P268" s="2728"/>
      <c r="Q268" s="2748"/>
      <c r="R268" s="2748"/>
      <c r="S268" s="2748"/>
      <c r="T268" s="2748"/>
      <c r="U268" s="2748"/>
      <c r="V268" s="2748"/>
      <c r="W268" s="2748"/>
      <c r="X268" s="2748"/>
      <c r="Y268" s="2748"/>
      <c r="Z268" s="2748"/>
      <c r="AA268" s="2748"/>
      <c r="AB268" s="2748"/>
      <c r="AC268" s="2748"/>
      <c r="AD268" s="2748"/>
      <c r="AE268" s="2748"/>
      <c r="AF268" s="2748"/>
      <c r="AG268" s="2748"/>
      <c r="AH268" s="2748"/>
      <c r="AI268" s="2748"/>
      <c r="AK268" s="2748"/>
      <c r="AL268" s="2748"/>
      <c r="AN268" s="2748"/>
      <c r="AO268" s="2748"/>
      <c r="AP268" s="2748"/>
    </row>
    <row r="269" spans="2:42" ht="18" customHeight="1">
      <c r="B269" s="2728"/>
      <c r="C269" s="2728"/>
      <c r="D269" s="2728"/>
      <c r="E269" s="2728"/>
      <c r="G269" s="2512"/>
      <c r="I269" s="2748"/>
      <c r="J269" s="2728"/>
      <c r="L269" s="2728"/>
      <c r="M269" s="2748"/>
      <c r="N269" s="2728"/>
      <c r="O269" s="2728"/>
      <c r="P269" s="2728"/>
      <c r="Q269" s="2748"/>
      <c r="R269" s="2748"/>
      <c r="S269" s="2748"/>
      <c r="T269" s="2748"/>
      <c r="U269" s="2748"/>
      <c r="V269" s="2748"/>
      <c r="W269" s="2748"/>
      <c r="X269" s="2748"/>
      <c r="Y269" s="2748"/>
      <c r="Z269" s="2748"/>
      <c r="AA269" s="2748"/>
      <c r="AB269" s="2748"/>
      <c r="AC269" s="2748"/>
      <c r="AD269" s="2748"/>
      <c r="AE269" s="2748"/>
      <c r="AF269" s="2748"/>
      <c r="AG269" s="2748"/>
      <c r="AH269" s="2748"/>
      <c r="AI269" s="2748"/>
      <c r="AK269" s="2748"/>
      <c r="AL269" s="2748"/>
      <c r="AN269" s="2748"/>
      <c r="AO269" s="2748"/>
      <c r="AP269" s="2748"/>
    </row>
    <row r="270" spans="2:42" ht="18" customHeight="1">
      <c r="B270" s="2728"/>
      <c r="C270" s="2728"/>
      <c r="D270" s="2728"/>
      <c r="E270" s="2728"/>
      <c r="G270" s="2512"/>
      <c r="I270" s="2748"/>
      <c r="J270" s="2728"/>
      <c r="L270" s="2728"/>
      <c r="M270" s="2748"/>
      <c r="N270" s="2728"/>
      <c r="O270" s="2728"/>
      <c r="P270" s="2728"/>
      <c r="Q270" s="2748"/>
      <c r="R270" s="2748"/>
      <c r="S270" s="2748"/>
      <c r="T270" s="2748"/>
      <c r="U270" s="2748"/>
      <c r="V270" s="2748"/>
      <c r="W270" s="2748"/>
      <c r="X270" s="2748"/>
      <c r="Y270" s="2748"/>
      <c r="Z270" s="2748"/>
      <c r="AA270" s="2748"/>
      <c r="AB270" s="2748"/>
      <c r="AC270" s="2748"/>
      <c r="AD270" s="2748"/>
      <c r="AE270" s="2748"/>
      <c r="AF270" s="2748"/>
      <c r="AG270" s="2748"/>
      <c r="AH270" s="2748"/>
      <c r="AI270" s="2748"/>
      <c r="AK270" s="2748"/>
      <c r="AL270" s="2748"/>
      <c r="AN270" s="2748"/>
      <c r="AO270" s="2748"/>
      <c r="AP270" s="2748"/>
    </row>
    <row r="271" spans="2:42" ht="18" customHeight="1">
      <c r="B271" s="2728"/>
      <c r="C271" s="2728"/>
      <c r="D271" s="2728"/>
      <c r="E271" s="2728"/>
      <c r="G271" s="2512"/>
      <c r="I271" s="2748"/>
      <c r="J271" s="2728"/>
      <c r="L271" s="2728"/>
      <c r="M271" s="2748"/>
      <c r="N271" s="2728"/>
      <c r="O271" s="2728"/>
      <c r="P271" s="2728"/>
      <c r="Q271" s="2748"/>
      <c r="R271" s="2748"/>
      <c r="S271" s="2748"/>
      <c r="T271" s="2748"/>
      <c r="U271" s="2748"/>
      <c r="V271" s="2748"/>
      <c r="W271" s="2748"/>
      <c r="X271" s="2748"/>
      <c r="Y271" s="2748"/>
      <c r="Z271" s="2748"/>
      <c r="AA271" s="2748"/>
      <c r="AB271" s="2748"/>
      <c r="AC271" s="2748"/>
      <c r="AD271" s="2748"/>
      <c r="AE271" s="2748"/>
      <c r="AF271" s="2748"/>
      <c r="AG271" s="2748"/>
      <c r="AH271" s="2748"/>
      <c r="AI271" s="2748"/>
      <c r="AK271" s="2748"/>
      <c r="AL271" s="2748"/>
      <c r="AN271" s="2748"/>
      <c r="AO271" s="2748"/>
      <c r="AP271" s="2748"/>
    </row>
    <row r="272" spans="2:42" ht="18" customHeight="1">
      <c r="B272" s="2728"/>
      <c r="C272" s="2728"/>
      <c r="D272" s="2728"/>
      <c r="E272" s="2728"/>
      <c r="G272" s="2512"/>
      <c r="I272" s="2748"/>
      <c r="J272" s="2728"/>
      <c r="L272" s="2728"/>
      <c r="M272" s="2748"/>
      <c r="N272" s="2728"/>
      <c r="O272" s="2728"/>
      <c r="P272" s="2728"/>
      <c r="Q272" s="2748"/>
      <c r="R272" s="2748"/>
      <c r="S272" s="2748"/>
      <c r="T272" s="2748"/>
      <c r="U272" s="2748"/>
      <c r="V272" s="2748"/>
      <c r="W272" s="2748"/>
      <c r="X272" s="2748"/>
      <c r="Y272" s="2748"/>
      <c r="Z272" s="2748"/>
      <c r="AA272" s="2748"/>
      <c r="AB272" s="2748"/>
      <c r="AC272" s="2748"/>
      <c r="AD272" s="2748"/>
      <c r="AE272" s="2748"/>
      <c r="AF272" s="2748"/>
      <c r="AG272" s="2748"/>
      <c r="AH272" s="2748"/>
      <c r="AI272" s="2748"/>
      <c r="AK272" s="2748"/>
      <c r="AL272" s="2748"/>
      <c r="AN272" s="2748"/>
      <c r="AO272" s="2748"/>
      <c r="AP272" s="2748"/>
    </row>
    <row r="273" spans="2:42" ht="18" customHeight="1">
      <c r="B273" s="2728"/>
      <c r="C273" s="2728"/>
      <c r="D273" s="2728"/>
      <c r="E273" s="2728"/>
      <c r="G273" s="2512"/>
      <c r="I273" s="2748"/>
      <c r="J273" s="2728"/>
      <c r="L273" s="2728"/>
      <c r="M273" s="2748"/>
      <c r="N273" s="2728"/>
      <c r="O273" s="2728"/>
      <c r="P273" s="2728"/>
      <c r="Q273" s="2748"/>
      <c r="R273" s="2748"/>
      <c r="S273" s="2748"/>
      <c r="T273" s="2748"/>
      <c r="U273" s="2748"/>
      <c r="V273" s="2748"/>
      <c r="W273" s="2748"/>
      <c r="X273" s="2748"/>
      <c r="Y273" s="2748"/>
      <c r="Z273" s="2748"/>
      <c r="AA273" s="2748"/>
      <c r="AB273" s="2748"/>
      <c r="AC273" s="2748"/>
      <c r="AD273" s="2748"/>
      <c r="AE273" s="2748"/>
      <c r="AF273" s="2748"/>
      <c r="AG273" s="2748"/>
      <c r="AH273" s="2748"/>
      <c r="AI273" s="2748"/>
      <c r="AK273" s="2748"/>
      <c r="AL273" s="2748"/>
      <c r="AN273" s="2748"/>
      <c r="AO273" s="2748"/>
      <c r="AP273" s="2748"/>
    </row>
    <row r="274" spans="2:42" ht="18" customHeight="1">
      <c r="B274" s="2728"/>
      <c r="C274" s="2728"/>
      <c r="D274" s="2728"/>
      <c r="E274" s="2728"/>
      <c r="G274" s="2512"/>
      <c r="I274" s="2748"/>
      <c r="J274" s="2728"/>
      <c r="L274" s="2728"/>
      <c r="M274" s="2748"/>
      <c r="N274" s="2728"/>
      <c r="O274" s="2728"/>
      <c r="P274" s="2728"/>
      <c r="Q274" s="2748"/>
      <c r="R274" s="2748"/>
      <c r="S274" s="2748"/>
      <c r="T274" s="2748"/>
      <c r="U274" s="2748"/>
      <c r="V274" s="2748"/>
      <c r="W274" s="2748"/>
      <c r="X274" s="2748"/>
      <c r="Y274" s="2748"/>
      <c r="Z274" s="2748"/>
      <c r="AA274" s="2748"/>
      <c r="AB274" s="2748"/>
      <c r="AC274" s="2748"/>
      <c r="AD274" s="2748"/>
      <c r="AE274" s="2748"/>
      <c r="AF274" s="2748"/>
      <c r="AG274" s="2748"/>
      <c r="AH274" s="2748"/>
      <c r="AI274" s="2748"/>
      <c r="AK274" s="2748"/>
      <c r="AL274" s="2748"/>
      <c r="AN274" s="2748"/>
      <c r="AO274" s="2748"/>
      <c r="AP274" s="2748"/>
    </row>
    <row r="275" spans="2:42" ht="18" customHeight="1">
      <c r="B275" s="2728"/>
      <c r="C275" s="2728"/>
      <c r="D275" s="2728"/>
      <c r="E275" s="2728"/>
      <c r="G275" s="2512"/>
      <c r="I275" s="2748"/>
      <c r="J275" s="2728"/>
      <c r="L275" s="2728"/>
      <c r="M275" s="2748"/>
      <c r="N275" s="2728"/>
      <c r="O275" s="2728"/>
      <c r="P275" s="2728"/>
      <c r="Q275" s="2748"/>
      <c r="R275" s="2748"/>
      <c r="S275" s="2748"/>
      <c r="T275" s="2748"/>
      <c r="U275" s="2748"/>
      <c r="V275" s="2748"/>
      <c r="W275" s="2748"/>
      <c r="X275" s="2748"/>
      <c r="Y275" s="2748"/>
      <c r="Z275" s="2748"/>
      <c r="AA275" s="2748"/>
      <c r="AB275" s="2748"/>
      <c r="AC275" s="2748"/>
      <c r="AD275" s="2748"/>
      <c r="AE275" s="2748"/>
      <c r="AF275" s="2748"/>
      <c r="AG275" s="2748"/>
      <c r="AH275" s="2748"/>
      <c r="AI275" s="2748"/>
      <c r="AK275" s="2748"/>
      <c r="AL275" s="2748"/>
      <c r="AN275" s="2748"/>
      <c r="AO275" s="2748"/>
      <c r="AP275" s="2748"/>
    </row>
    <row r="276" spans="2:42" ht="18" customHeight="1">
      <c r="B276" s="2728"/>
      <c r="C276" s="2728"/>
      <c r="D276" s="2728"/>
      <c r="E276" s="2728"/>
      <c r="G276" s="2512"/>
      <c r="I276" s="2748"/>
      <c r="J276" s="2728"/>
      <c r="L276" s="2728"/>
      <c r="M276" s="2748"/>
      <c r="N276" s="2728"/>
      <c r="O276" s="2728"/>
      <c r="P276" s="2728"/>
      <c r="Q276" s="2748"/>
      <c r="R276" s="2748"/>
      <c r="S276" s="2748"/>
      <c r="T276" s="2748"/>
      <c r="U276" s="2748"/>
      <c r="V276" s="2748"/>
      <c r="W276" s="2748"/>
      <c r="X276" s="2748"/>
      <c r="Y276" s="2748"/>
      <c r="Z276" s="2748"/>
      <c r="AA276" s="2748"/>
      <c r="AB276" s="2748"/>
      <c r="AC276" s="2748"/>
      <c r="AD276" s="2748"/>
      <c r="AE276" s="2748"/>
      <c r="AF276" s="2748"/>
      <c r="AG276" s="2748"/>
      <c r="AH276" s="2748"/>
      <c r="AI276" s="2748"/>
      <c r="AK276" s="2748"/>
      <c r="AL276" s="2748"/>
      <c r="AN276" s="2748"/>
      <c r="AO276" s="2748"/>
      <c r="AP276" s="2748"/>
    </row>
    <row r="277" spans="2:42" ht="18" customHeight="1">
      <c r="B277" s="2728"/>
      <c r="C277" s="2728"/>
      <c r="D277" s="2728"/>
      <c r="E277" s="2728"/>
      <c r="G277" s="2512"/>
      <c r="I277" s="2748"/>
      <c r="J277" s="2728"/>
      <c r="L277" s="2728"/>
      <c r="M277" s="2748"/>
      <c r="N277" s="2728"/>
      <c r="O277" s="2728"/>
      <c r="P277" s="2728"/>
      <c r="Q277" s="2748"/>
      <c r="R277" s="2748"/>
      <c r="S277" s="2748"/>
      <c r="T277" s="2748"/>
      <c r="U277" s="2748"/>
      <c r="V277" s="2748"/>
      <c r="W277" s="2748"/>
      <c r="X277" s="2748"/>
      <c r="Y277" s="2748"/>
      <c r="Z277" s="2748"/>
      <c r="AA277" s="2748"/>
      <c r="AB277" s="2748"/>
      <c r="AC277" s="2748"/>
      <c r="AD277" s="2748"/>
      <c r="AE277" s="2748"/>
      <c r="AF277" s="2748"/>
      <c r="AG277" s="2748"/>
      <c r="AH277" s="2748"/>
      <c r="AI277" s="2748"/>
      <c r="AK277" s="2748"/>
      <c r="AL277" s="2748"/>
      <c r="AN277" s="2748"/>
      <c r="AO277" s="2748"/>
      <c r="AP277" s="2748"/>
    </row>
    <row r="278" spans="2:42" ht="18" customHeight="1">
      <c r="B278" s="2728"/>
      <c r="C278" s="2728"/>
      <c r="D278" s="2728"/>
      <c r="E278" s="2728"/>
      <c r="G278" s="2512"/>
      <c r="I278" s="2748"/>
      <c r="J278" s="2728"/>
      <c r="L278" s="2728"/>
      <c r="M278" s="2748"/>
      <c r="N278" s="2728"/>
      <c r="O278" s="2728"/>
      <c r="P278" s="2728"/>
      <c r="Q278" s="2748"/>
      <c r="R278" s="2748"/>
      <c r="S278" s="2748"/>
      <c r="T278" s="2748"/>
      <c r="U278" s="2748"/>
      <c r="V278" s="2748"/>
      <c r="W278" s="2748"/>
      <c r="X278" s="2748"/>
      <c r="Y278" s="2748"/>
      <c r="Z278" s="2748"/>
      <c r="AA278" s="2748"/>
      <c r="AB278" s="2748"/>
      <c r="AC278" s="2748"/>
      <c r="AD278" s="2748"/>
      <c r="AE278" s="2748"/>
      <c r="AF278" s="2748"/>
      <c r="AG278" s="2748"/>
      <c r="AH278" s="2748"/>
      <c r="AI278" s="2748"/>
      <c r="AK278" s="2748"/>
      <c r="AL278" s="2748"/>
      <c r="AN278" s="2748"/>
      <c r="AO278" s="2748"/>
      <c r="AP278" s="2748"/>
    </row>
    <row r="279" spans="2:42" ht="18" customHeight="1">
      <c r="B279" s="2728"/>
      <c r="C279" s="2728"/>
      <c r="D279" s="2728"/>
      <c r="E279" s="2728"/>
      <c r="G279" s="2512"/>
      <c r="I279" s="2748"/>
      <c r="J279" s="2728"/>
      <c r="L279" s="2728"/>
      <c r="M279" s="2748"/>
      <c r="N279" s="2728"/>
      <c r="O279" s="2728"/>
      <c r="P279" s="2728"/>
      <c r="Q279" s="2748"/>
      <c r="R279" s="2748"/>
      <c r="S279" s="2748"/>
      <c r="T279" s="2748"/>
      <c r="U279" s="2748"/>
      <c r="V279" s="2748"/>
      <c r="W279" s="2748"/>
      <c r="X279" s="2748"/>
      <c r="Y279" s="2748"/>
      <c r="Z279" s="2748"/>
      <c r="AA279" s="2748"/>
      <c r="AB279" s="2748"/>
      <c r="AC279" s="2748"/>
      <c r="AD279" s="2748"/>
      <c r="AE279" s="2748"/>
      <c r="AF279" s="2748"/>
      <c r="AG279" s="2748"/>
      <c r="AH279" s="2748"/>
      <c r="AI279" s="2748"/>
      <c r="AK279" s="2748"/>
      <c r="AL279" s="2748"/>
      <c r="AN279" s="2748"/>
      <c r="AO279" s="2748"/>
      <c r="AP279" s="2748"/>
    </row>
    <row r="280" spans="2:42" ht="18" customHeight="1">
      <c r="B280" s="2728"/>
      <c r="C280" s="2728"/>
      <c r="D280" s="2728"/>
      <c r="E280" s="2728"/>
      <c r="G280" s="2512"/>
      <c r="I280" s="2748"/>
      <c r="J280" s="2728"/>
      <c r="L280" s="2728"/>
      <c r="M280" s="2748"/>
      <c r="N280" s="2728"/>
      <c r="O280" s="2728"/>
      <c r="P280" s="2728"/>
      <c r="Q280" s="2748"/>
      <c r="R280" s="2748"/>
      <c r="S280" s="2748"/>
      <c r="T280" s="2748"/>
      <c r="U280" s="2748"/>
      <c r="V280" s="2748"/>
      <c r="W280" s="2748"/>
      <c r="X280" s="2748"/>
      <c r="Y280" s="2748"/>
      <c r="Z280" s="2748"/>
      <c r="AA280" s="2748"/>
      <c r="AB280" s="2748"/>
      <c r="AC280" s="2748"/>
      <c r="AD280" s="2748"/>
      <c r="AE280" s="2748"/>
      <c r="AF280" s="2748"/>
      <c r="AG280" s="2748"/>
      <c r="AH280" s="2748"/>
      <c r="AI280" s="2748"/>
      <c r="AK280" s="2748"/>
      <c r="AL280" s="2748"/>
      <c r="AN280" s="2748"/>
      <c r="AO280" s="2748"/>
      <c r="AP280" s="2748"/>
    </row>
    <row r="281" spans="2:42" ht="18" customHeight="1">
      <c r="B281" s="2728"/>
      <c r="C281" s="2728"/>
      <c r="D281" s="2728"/>
      <c r="E281" s="2728"/>
      <c r="G281" s="2512"/>
      <c r="I281" s="2748"/>
      <c r="J281" s="2728"/>
      <c r="L281" s="2728"/>
      <c r="M281" s="2748"/>
      <c r="N281" s="2728"/>
      <c r="O281" s="2728"/>
      <c r="P281" s="2728"/>
      <c r="Q281" s="2748"/>
      <c r="R281" s="2748"/>
      <c r="S281" s="2748"/>
      <c r="T281" s="2748"/>
      <c r="U281" s="2748"/>
      <c r="V281" s="2748"/>
      <c r="W281" s="2748"/>
      <c r="X281" s="2748"/>
      <c r="Y281" s="2748"/>
      <c r="Z281" s="2748"/>
      <c r="AA281" s="2748"/>
      <c r="AB281" s="2748"/>
      <c r="AC281" s="2748"/>
      <c r="AD281" s="2748"/>
      <c r="AE281" s="2748"/>
      <c r="AF281" s="2748"/>
      <c r="AG281" s="2748"/>
      <c r="AH281" s="2748"/>
      <c r="AI281" s="2748"/>
      <c r="AK281" s="2748"/>
      <c r="AL281" s="2748"/>
      <c r="AN281" s="2748"/>
      <c r="AO281" s="2748"/>
      <c r="AP281" s="2748"/>
    </row>
    <row r="282" spans="2:42" ht="18" customHeight="1">
      <c r="B282" s="2728"/>
      <c r="C282" s="2728"/>
      <c r="D282" s="2728"/>
      <c r="E282" s="2728"/>
      <c r="G282" s="2512"/>
      <c r="I282" s="2748"/>
      <c r="J282" s="2728"/>
      <c r="L282" s="2728"/>
      <c r="M282" s="2748"/>
      <c r="N282" s="2728"/>
      <c r="O282" s="2728"/>
      <c r="P282" s="2728"/>
      <c r="Q282" s="2748"/>
      <c r="R282" s="2748"/>
      <c r="S282" s="2748"/>
      <c r="T282" s="2748"/>
      <c r="U282" s="2748"/>
      <c r="V282" s="2748"/>
      <c r="W282" s="2748"/>
      <c r="X282" s="2748"/>
      <c r="Y282" s="2748"/>
      <c r="Z282" s="2748"/>
      <c r="AA282" s="2748"/>
      <c r="AB282" s="2748"/>
      <c r="AC282" s="2748"/>
      <c r="AD282" s="2748"/>
      <c r="AE282" s="2748"/>
      <c r="AF282" s="2748"/>
      <c r="AG282" s="2748"/>
      <c r="AH282" s="2748"/>
      <c r="AI282" s="2748"/>
      <c r="AK282" s="2748"/>
      <c r="AL282" s="2748"/>
      <c r="AN282" s="2748"/>
      <c r="AO282" s="2748"/>
      <c r="AP282" s="2748"/>
    </row>
    <row r="283" spans="2:42" ht="18" customHeight="1">
      <c r="B283" s="2728"/>
      <c r="C283" s="2728"/>
      <c r="D283" s="2728"/>
      <c r="E283" s="2728"/>
      <c r="G283" s="2512"/>
      <c r="I283" s="2748"/>
      <c r="J283" s="2728"/>
      <c r="L283" s="2728"/>
      <c r="M283" s="2748"/>
      <c r="N283" s="2728"/>
      <c r="O283" s="2728"/>
      <c r="P283" s="2728"/>
      <c r="Q283" s="2748"/>
      <c r="R283" s="2748"/>
      <c r="S283" s="2748"/>
      <c r="T283" s="2748"/>
      <c r="U283" s="2748"/>
      <c r="V283" s="2748"/>
      <c r="W283" s="2748"/>
      <c r="X283" s="2748"/>
      <c r="Y283" s="2748"/>
      <c r="Z283" s="2748"/>
      <c r="AA283" s="2748"/>
      <c r="AB283" s="2748"/>
      <c r="AC283" s="2748"/>
      <c r="AD283" s="2748"/>
      <c r="AE283" s="2748"/>
      <c r="AF283" s="2748"/>
      <c r="AG283" s="2748"/>
      <c r="AH283" s="2748"/>
      <c r="AI283" s="2748"/>
      <c r="AK283" s="2748"/>
      <c r="AL283" s="2748"/>
      <c r="AN283" s="2748"/>
      <c r="AO283" s="2748"/>
      <c r="AP283" s="2748"/>
    </row>
    <row r="284" spans="2:42" ht="18" customHeight="1">
      <c r="B284" s="2728"/>
      <c r="C284" s="2728"/>
      <c r="D284" s="2728"/>
      <c r="E284" s="2728"/>
      <c r="G284" s="2512"/>
      <c r="I284" s="2748"/>
      <c r="J284" s="2728"/>
      <c r="L284" s="2728"/>
      <c r="M284" s="2748"/>
      <c r="N284" s="2728"/>
      <c r="O284" s="2728"/>
      <c r="P284" s="2728"/>
      <c r="Q284" s="2748"/>
      <c r="R284" s="2748"/>
      <c r="S284" s="2748"/>
      <c r="T284" s="2748"/>
      <c r="U284" s="2748"/>
      <c r="V284" s="2748"/>
      <c r="W284" s="2748"/>
      <c r="X284" s="2748"/>
      <c r="Y284" s="2748"/>
      <c r="Z284" s="2748"/>
      <c r="AA284" s="2748"/>
      <c r="AB284" s="2748"/>
      <c r="AC284" s="2748"/>
      <c r="AD284" s="2748"/>
      <c r="AE284" s="2748"/>
      <c r="AF284" s="2748"/>
      <c r="AG284" s="2748"/>
      <c r="AH284" s="2748"/>
      <c r="AI284" s="2748"/>
      <c r="AK284" s="2748"/>
      <c r="AL284" s="2748"/>
      <c r="AN284" s="2748"/>
      <c r="AO284" s="2748"/>
      <c r="AP284" s="2748"/>
    </row>
    <row r="285" spans="2:42" ht="18" customHeight="1">
      <c r="B285" s="2728"/>
      <c r="C285" s="2728"/>
      <c r="D285" s="2728"/>
      <c r="E285" s="2728"/>
      <c r="G285" s="2512"/>
      <c r="I285" s="2748"/>
      <c r="J285" s="2728"/>
      <c r="L285" s="2728"/>
      <c r="M285" s="2748"/>
      <c r="N285" s="2728"/>
      <c r="O285" s="2728"/>
      <c r="P285" s="2728"/>
      <c r="Q285" s="2748"/>
      <c r="R285" s="2748"/>
      <c r="S285" s="2748"/>
      <c r="T285" s="2748"/>
      <c r="U285" s="2748"/>
      <c r="V285" s="2748"/>
      <c r="W285" s="2748"/>
      <c r="X285" s="2748"/>
      <c r="Y285" s="2748"/>
      <c r="Z285" s="2748"/>
      <c r="AA285" s="2748"/>
      <c r="AB285" s="2748"/>
      <c r="AC285" s="2748"/>
      <c r="AD285" s="2748"/>
      <c r="AE285" s="2748"/>
      <c r="AF285" s="2748"/>
      <c r="AG285" s="2748"/>
      <c r="AH285" s="2748"/>
      <c r="AI285" s="2748"/>
      <c r="AK285" s="2748"/>
      <c r="AL285" s="2748"/>
      <c r="AN285" s="2748"/>
      <c r="AO285" s="2748"/>
      <c r="AP285" s="2748"/>
    </row>
    <row r="286" spans="2:42" ht="18" customHeight="1">
      <c r="B286" s="2728"/>
      <c r="C286" s="2728"/>
      <c r="D286" s="2728"/>
      <c r="E286" s="2728"/>
      <c r="G286" s="2512"/>
      <c r="I286" s="2748"/>
      <c r="J286" s="2728"/>
      <c r="L286" s="2728"/>
      <c r="M286" s="2748"/>
      <c r="N286" s="2728"/>
      <c r="O286" s="2728"/>
      <c r="P286" s="2728"/>
      <c r="Q286" s="2748"/>
      <c r="R286" s="2748"/>
      <c r="S286" s="2748"/>
      <c r="T286" s="2748"/>
      <c r="U286" s="2748"/>
      <c r="V286" s="2748"/>
      <c r="W286" s="2748"/>
      <c r="X286" s="2748"/>
      <c r="Y286" s="2748"/>
      <c r="Z286" s="2748"/>
      <c r="AA286" s="2748"/>
      <c r="AB286" s="2748"/>
      <c r="AC286" s="2748"/>
      <c r="AD286" s="2748"/>
      <c r="AE286" s="2748"/>
      <c r="AF286" s="2748"/>
      <c r="AG286" s="2748"/>
      <c r="AH286" s="2748"/>
      <c r="AI286" s="2748"/>
      <c r="AK286" s="2748"/>
      <c r="AL286" s="2748"/>
      <c r="AN286" s="2748"/>
      <c r="AO286" s="2748"/>
      <c r="AP286" s="2748"/>
    </row>
    <row r="287" spans="2:42" ht="18" customHeight="1">
      <c r="B287" s="2728"/>
      <c r="C287" s="2728"/>
      <c r="D287" s="2728"/>
      <c r="E287" s="2728"/>
      <c r="G287" s="2512"/>
      <c r="I287" s="2748"/>
      <c r="J287" s="2728"/>
      <c r="L287" s="2728"/>
      <c r="M287" s="2748"/>
      <c r="N287" s="2728"/>
      <c r="O287" s="2728"/>
      <c r="P287" s="2728"/>
      <c r="Q287" s="2748"/>
      <c r="R287" s="2748"/>
      <c r="S287" s="2748"/>
      <c r="T287" s="2748"/>
      <c r="U287" s="2748"/>
      <c r="V287" s="2748"/>
      <c r="W287" s="2748"/>
      <c r="X287" s="2748"/>
      <c r="Y287" s="2748"/>
      <c r="Z287" s="2748"/>
      <c r="AA287" s="2748"/>
      <c r="AB287" s="2748"/>
      <c r="AC287" s="2748"/>
      <c r="AD287" s="2748"/>
      <c r="AE287" s="2748"/>
      <c r="AF287" s="2748"/>
      <c r="AG287" s="2748"/>
      <c r="AH287" s="2748"/>
      <c r="AI287" s="2748"/>
      <c r="AK287" s="2748"/>
      <c r="AL287" s="2748"/>
      <c r="AN287" s="2748"/>
      <c r="AO287" s="2748"/>
      <c r="AP287" s="2748"/>
    </row>
    <row r="288" spans="2:42" ht="18" customHeight="1">
      <c r="B288" s="2728"/>
      <c r="C288" s="2728"/>
      <c r="D288" s="2728"/>
      <c r="E288" s="2728"/>
      <c r="G288" s="2512"/>
      <c r="I288" s="2748"/>
      <c r="J288" s="2728"/>
      <c r="L288" s="2728"/>
      <c r="M288" s="2748"/>
      <c r="N288" s="2728"/>
      <c r="O288" s="2728"/>
      <c r="P288" s="2728"/>
      <c r="Q288" s="2748"/>
      <c r="R288" s="2748"/>
      <c r="S288" s="2748"/>
      <c r="T288" s="2748"/>
      <c r="U288" s="2748"/>
      <c r="V288" s="2748"/>
      <c r="W288" s="2748"/>
      <c r="X288" s="2748"/>
      <c r="Y288" s="2748"/>
      <c r="Z288" s="2748"/>
      <c r="AA288" s="2748"/>
      <c r="AB288" s="2748"/>
      <c r="AC288" s="2748"/>
      <c r="AD288" s="2748"/>
      <c r="AE288" s="2748"/>
      <c r="AF288" s="2748"/>
      <c r="AG288" s="2748"/>
      <c r="AH288" s="2748"/>
      <c r="AI288" s="2748"/>
      <c r="AK288" s="2748"/>
      <c r="AL288" s="2748"/>
      <c r="AN288" s="2748"/>
      <c r="AO288" s="2748"/>
      <c r="AP288" s="2748"/>
    </row>
    <row r="289" spans="2:42" ht="18" customHeight="1">
      <c r="B289" s="2728"/>
      <c r="C289" s="2728"/>
      <c r="D289" s="2728"/>
      <c r="E289" s="2728"/>
      <c r="G289" s="2512"/>
      <c r="I289" s="2748"/>
      <c r="J289" s="2728"/>
      <c r="L289" s="2728"/>
      <c r="M289" s="2748"/>
      <c r="N289" s="2728"/>
      <c r="O289" s="2728"/>
      <c r="P289" s="2728"/>
      <c r="Q289" s="2748"/>
      <c r="R289" s="2748"/>
      <c r="S289" s="2748"/>
      <c r="T289" s="2748"/>
      <c r="U289" s="2748"/>
      <c r="V289" s="2748"/>
      <c r="W289" s="2748"/>
      <c r="X289" s="2748"/>
      <c r="Y289" s="2748"/>
      <c r="Z289" s="2748"/>
      <c r="AA289" s="2748"/>
      <c r="AB289" s="2748"/>
      <c r="AC289" s="2748"/>
      <c r="AD289" s="2748"/>
      <c r="AE289" s="2748"/>
      <c r="AF289" s="2748"/>
      <c r="AG289" s="2748"/>
      <c r="AH289" s="2748"/>
      <c r="AI289" s="2748"/>
      <c r="AK289" s="2748"/>
      <c r="AL289" s="2748"/>
      <c r="AN289" s="2748"/>
      <c r="AO289" s="2748"/>
      <c r="AP289" s="2748"/>
    </row>
    <row r="290" spans="2:42" ht="18" customHeight="1">
      <c r="B290" s="2728"/>
      <c r="C290" s="2728"/>
      <c r="D290" s="2728"/>
      <c r="E290" s="2728"/>
      <c r="G290" s="2512"/>
      <c r="I290" s="2748"/>
      <c r="J290" s="2728"/>
      <c r="L290" s="2728"/>
      <c r="M290" s="2748"/>
      <c r="N290" s="2728"/>
      <c r="O290" s="2728"/>
      <c r="P290" s="2728"/>
      <c r="Q290" s="2748"/>
      <c r="R290" s="2748"/>
      <c r="S290" s="2748"/>
      <c r="T290" s="2748"/>
      <c r="U290" s="2748"/>
      <c r="V290" s="2748"/>
      <c r="W290" s="2748"/>
      <c r="X290" s="2748"/>
      <c r="Y290" s="2748"/>
      <c r="Z290" s="2748"/>
      <c r="AA290" s="2748"/>
      <c r="AB290" s="2748"/>
      <c r="AC290" s="2748"/>
      <c r="AD290" s="2748"/>
      <c r="AE290" s="2748"/>
      <c r="AF290" s="2748"/>
      <c r="AG290" s="2748"/>
      <c r="AH290" s="2748"/>
      <c r="AI290" s="2748"/>
      <c r="AK290" s="2748"/>
      <c r="AL290" s="2748"/>
      <c r="AN290" s="2748"/>
      <c r="AO290" s="2748"/>
      <c r="AP290" s="2748"/>
    </row>
    <row r="291" spans="2:42" ht="18" customHeight="1">
      <c r="B291" s="2728"/>
      <c r="C291" s="2728"/>
      <c r="D291" s="2728"/>
      <c r="E291" s="2728"/>
      <c r="G291" s="2512"/>
      <c r="I291" s="2748"/>
      <c r="J291" s="2728"/>
      <c r="L291" s="2728"/>
      <c r="M291" s="2748"/>
      <c r="N291" s="2728"/>
      <c r="O291" s="2728"/>
      <c r="P291" s="2728"/>
      <c r="Q291" s="2748"/>
      <c r="R291" s="2748"/>
      <c r="S291" s="2748"/>
      <c r="T291" s="2748"/>
      <c r="U291" s="2748"/>
      <c r="V291" s="2748"/>
      <c r="W291" s="2748"/>
      <c r="X291" s="2748"/>
      <c r="Y291" s="2748"/>
      <c r="Z291" s="2748"/>
      <c r="AA291" s="2748"/>
      <c r="AB291" s="2748"/>
      <c r="AC291" s="2748"/>
      <c r="AD291" s="2748"/>
      <c r="AE291" s="2748"/>
      <c r="AF291" s="2748"/>
      <c r="AG291" s="2748"/>
      <c r="AH291" s="2748"/>
      <c r="AI291" s="2748"/>
      <c r="AK291" s="2748"/>
      <c r="AL291" s="2748"/>
      <c r="AN291" s="2748"/>
      <c r="AO291" s="2748"/>
      <c r="AP291" s="2748"/>
    </row>
    <row r="292" spans="2:42" ht="18" customHeight="1">
      <c r="B292" s="2728"/>
      <c r="C292" s="2728"/>
      <c r="D292" s="2728"/>
      <c r="E292" s="2728"/>
      <c r="G292" s="2512"/>
      <c r="I292" s="2748"/>
      <c r="J292" s="2728"/>
      <c r="L292" s="2728"/>
      <c r="M292" s="2748"/>
      <c r="N292" s="2728"/>
      <c r="O292" s="2728"/>
      <c r="P292" s="2728"/>
      <c r="Q292" s="2748"/>
      <c r="R292" s="2748"/>
      <c r="S292" s="2748"/>
      <c r="T292" s="2748"/>
      <c r="U292" s="2748"/>
      <c r="V292" s="2748"/>
      <c r="W292" s="2748"/>
      <c r="X292" s="2748"/>
      <c r="Y292" s="2748"/>
      <c r="Z292" s="2748"/>
      <c r="AA292" s="2748"/>
      <c r="AB292" s="2748"/>
      <c r="AC292" s="2748"/>
      <c r="AD292" s="2748"/>
      <c r="AE292" s="2748"/>
      <c r="AF292" s="2748"/>
      <c r="AG292" s="2748"/>
      <c r="AH292" s="2748"/>
      <c r="AI292" s="2748"/>
      <c r="AK292" s="2748"/>
      <c r="AL292" s="2748"/>
      <c r="AN292" s="2748"/>
      <c r="AO292" s="2748"/>
      <c r="AP292" s="2748"/>
    </row>
    <row r="293" spans="2:42" ht="18" customHeight="1">
      <c r="B293" s="2728"/>
      <c r="C293" s="2728"/>
      <c r="D293" s="2728"/>
      <c r="E293" s="2728"/>
      <c r="G293" s="2512"/>
      <c r="I293" s="2748"/>
      <c r="J293" s="2728"/>
      <c r="L293" s="2728"/>
      <c r="M293" s="2748"/>
      <c r="N293" s="2728"/>
      <c r="O293" s="2728"/>
      <c r="P293" s="2728"/>
      <c r="Q293" s="2748"/>
      <c r="R293" s="2748"/>
      <c r="S293" s="2748"/>
      <c r="T293" s="2748"/>
      <c r="U293" s="2748"/>
      <c r="V293" s="2748"/>
      <c r="W293" s="2748"/>
      <c r="X293" s="2748"/>
      <c r="Y293" s="2748"/>
      <c r="Z293" s="2748"/>
      <c r="AA293" s="2748"/>
      <c r="AB293" s="2748"/>
      <c r="AC293" s="2748"/>
      <c r="AD293" s="2748"/>
      <c r="AE293" s="2748"/>
      <c r="AF293" s="2748"/>
      <c r="AG293" s="2748"/>
      <c r="AH293" s="2748"/>
      <c r="AI293" s="2748"/>
      <c r="AK293" s="2748"/>
      <c r="AL293" s="2748"/>
      <c r="AN293" s="2748"/>
      <c r="AO293" s="2748"/>
      <c r="AP293" s="2748"/>
    </row>
    <row r="294" spans="2:42" ht="18" customHeight="1">
      <c r="B294" s="2728"/>
      <c r="C294" s="2728"/>
      <c r="D294" s="2728"/>
      <c r="E294" s="2728"/>
      <c r="G294" s="2512"/>
      <c r="I294" s="2748"/>
      <c r="J294" s="2728"/>
      <c r="L294" s="2728"/>
      <c r="M294" s="2748"/>
      <c r="N294" s="2728"/>
      <c r="O294" s="2728"/>
      <c r="P294" s="2728"/>
      <c r="Q294" s="2748"/>
      <c r="R294" s="2748"/>
      <c r="S294" s="2748"/>
      <c r="T294" s="2748"/>
      <c r="U294" s="2748"/>
      <c r="V294" s="2748"/>
      <c r="W294" s="2748"/>
      <c r="X294" s="2748"/>
      <c r="Y294" s="2748"/>
      <c r="Z294" s="2748"/>
      <c r="AA294" s="2748"/>
      <c r="AB294" s="2748"/>
      <c r="AC294" s="2748"/>
      <c r="AD294" s="2748"/>
      <c r="AE294" s="2748"/>
      <c r="AF294" s="2748"/>
      <c r="AG294" s="2748"/>
      <c r="AH294" s="2748"/>
      <c r="AI294" s="2748"/>
      <c r="AK294" s="2748"/>
      <c r="AL294" s="2748"/>
      <c r="AN294" s="2748"/>
      <c r="AO294" s="2748"/>
      <c r="AP294" s="2748"/>
    </row>
    <row r="295" spans="2:42" ht="18" customHeight="1">
      <c r="B295" s="2728"/>
      <c r="C295" s="2728"/>
      <c r="D295" s="2728"/>
      <c r="E295" s="2728"/>
      <c r="G295" s="2512"/>
      <c r="I295" s="2748"/>
      <c r="J295" s="2728"/>
      <c r="L295" s="2728"/>
      <c r="M295" s="2748"/>
      <c r="N295" s="2728"/>
      <c r="O295" s="2728"/>
      <c r="P295" s="2728"/>
      <c r="Q295" s="2748"/>
      <c r="R295" s="2748"/>
      <c r="S295" s="2748"/>
      <c r="T295" s="2748"/>
      <c r="U295" s="2748"/>
      <c r="V295" s="2748"/>
      <c r="W295" s="2748"/>
      <c r="X295" s="2748"/>
      <c r="Y295" s="2748"/>
      <c r="Z295" s="2748"/>
      <c r="AA295" s="2748"/>
      <c r="AB295" s="2748"/>
      <c r="AC295" s="2748"/>
      <c r="AD295" s="2748"/>
      <c r="AE295" s="2748"/>
      <c r="AF295" s="2748"/>
      <c r="AG295" s="2748"/>
      <c r="AH295" s="2748"/>
      <c r="AI295" s="2748"/>
      <c r="AK295" s="2748"/>
      <c r="AL295" s="2748"/>
      <c r="AN295" s="2748"/>
      <c r="AO295" s="2748"/>
      <c r="AP295" s="2748"/>
    </row>
    <row r="296" spans="2:42" ht="18" customHeight="1">
      <c r="B296" s="2728"/>
      <c r="C296" s="2728"/>
      <c r="D296" s="2728"/>
      <c r="E296" s="2728"/>
      <c r="G296" s="2512"/>
      <c r="I296" s="2748"/>
      <c r="J296" s="2728"/>
      <c r="L296" s="2728"/>
      <c r="M296" s="2748"/>
      <c r="N296" s="2728"/>
      <c r="O296" s="2728"/>
      <c r="P296" s="2728"/>
      <c r="Q296" s="2748"/>
      <c r="R296" s="2748"/>
      <c r="S296" s="2748"/>
      <c r="T296" s="2748"/>
      <c r="U296" s="2748"/>
      <c r="V296" s="2748"/>
      <c r="W296" s="2748"/>
      <c r="X296" s="2748"/>
      <c r="Y296" s="2748"/>
      <c r="Z296" s="2748"/>
      <c r="AA296" s="2748"/>
      <c r="AB296" s="2748"/>
      <c r="AC296" s="2748"/>
      <c r="AD296" s="2748"/>
      <c r="AE296" s="2748"/>
      <c r="AF296" s="2748"/>
      <c r="AG296" s="2748"/>
      <c r="AH296" s="2748"/>
      <c r="AI296" s="2748"/>
      <c r="AK296" s="2748"/>
      <c r="AL296" s="2748"/>
      <c r="AN296" s="2748"/>
      <c r="AO296" s="2748"/>
      <c r="AP296" s="2748"/>
    </row>
    <row r="297" spans="2:42" ht="18" customHeight="1">
      <c r="B297" s="2728"/>
      <c r="C297" s="2728"/>
      <c r="D297" s="2728"/>
      <c r="E297" s="2728"/>
      <c r="G297" s="2512"/>
      <c r="I297" s="2748"/>
      <c r="J297" s="2728"/>
      <c r="L297" s="2728"/>
      <c r="M297" s="2748"/>
      <c r="N297" s="2728"/>
      <c r="O297" s="2728"/>
      <c r="P297" s="2728"/>
      <c r="Q297" s="2748"/>
      <c r="R297" s="2748"/>
      <c r="S297" s="2748"/>
      <c r="T297" s="2748"/>
      <c r="U297" s="2748"/>
      <c r="V297" s="2748"/>
      <c r="W297" s="2748"/>
      <c r="X297" s="2748"/>
      <c r="Y297" s="2748"/>
      <c r="Z297" s="2748"/>
      <c r="AA297" s="2748"/>
      <c r="AB297" s="2748"/>
      <c r="AC297" s="2748"/>
      <c r="AD297" s="2748"/>
      <c r="AE297" s="2748"/>
      <c r="AF297" s="2748"/>
      <c r="AG297" s="2748"/>
      <c r="AH297" s="2748"/>
      <c r="AI297" s="2748"/>
      <c r="AK297" s="2748"/>
      <c r="AL297" s="2748"/>
      <c r="AN297" s="2748"/>
      <c r="AO297" s="2748"/>
      <c r="AP297" s="2748"/>
    </row>
    <row r="298" spans="2:42" ht="18" customHeight="1">
      <c r="B298" s="2728"/>
      <c r="C298" s="2728"/>
      <c r="D298" s="2728"/>
      <c r="E298" s="2728"/>
      <c r="G298" s="2512"/>
      <c r="I298" s="2748"/>
      <c r="J298" s="2728"/>
      <c r="L298" s="2728"/>
      <c r="M298" s="2748"/>
      <c r="N298" s="2728"/>
      <c r="O298" s="2728"/>
      <c r="P298" s="2728"/>
      <c r="Q298" s="2748"/>
      <c r="R298" s="2748"/>
      <c r="S298" s="2748"/>
      <c r="T298" s="2748"/>
      <c r="U298" s="2748"/>
      <c r="V298" s="2748"/>
      <c r="W298" s="2748"/>
      <c r="X298" s="2748"/>
      <c r="Y298" s="2748"/>
      <c r="Z298" s="2748"/>
      <c r="AA298" s="2748"/>
      <c r="AB298" s="2748"/>
      <c r="AC298" s="2748"/>
      <c r="AD298" s="2748"/>
      <c r="AE298" s="2748"/>
      <c r="AF298" s="2748"/>
      <c r="AG298" s="2748"/>
      <c r="AH298" s="2748"/>
      <c r="AI298" s="2748"/>
      <c r="AK298" s="2748"/>
      <c r="AL298" s="2748"/>
      <c r="AN298" s="2748"/>
      <c r="AO298" s="2748"/>
      <c r="AP298" s="2748"/>
    </row>
    <row r="299" spans="2:42" ht="18" customHeight="1">
      <c r="B299" s="2728"/>
      <c r="C299" s="2728"/>
      <c r="D299" s="2728"/>
      <c r="E299" s="2728"/>
      <c r="G299" s="2512"/>
      <c r="I299" s="2748"/>
      <c r="J299" s="2728"/>
      <c r="L299" s="2728"/>
      <c r="M299" s="2748"/>
      <c r="N299" s="2728"/>
      <c r="O299" s="2728"/>
      <c r="P299" s="2728"/>
      <c r="Q299" s="2748"/>
      <c r="R299" s="2748"/>
      <c r="S299" s="2748"/>
      <c r="T299" s="2748"/>
      <c r="U299" s="2748"/>
      <c r="V299" s="2748"/>
      <c r="W299" s="2748"/>
      <c r="X299" s="2748"/>
      <c r="Y299" s="2748"/>
      <c r="Z299" s="2748"/>
      <c r="AA299" s="2748"/>
      <c r="AB299" s="2748"/>
      <c r="AC299" s="2748"/>
      <c r="AD299" s="2748"/>
      <c r="AE299" s="2748"/>
      <c r="AF299" s="2748"/>
      <c r="AG299" s="2748"/>
      <c r="AH299" s="2748"/>
      <c r="AI299" s="2748"/>
      <c r="AK299" s="2748"/>
      <c r="AL299" s="2748"/>
      <c r="AN299" s="2748"/>
      <c r="AO299" s="2748"/>
      <c r="AP299" s="2748"/>
    </row>
    <row r="300" spans="2:42" ht="18" customHeight="1">
      <c r="B300" s="2728"/>
      <c r="C300" s="2728"/>
      <c r="D300" s="2728"/>
      <c r="E300" s="2728"/>
      <c r="G300" s="2512"/>
      <c r="I300" s="2748"/>
      <c r="J300" s="2728"/>
      <c r="L300" s="2728"/>
      <c r="M300" s="2748"/>
      <c r="N300" s="2728"/>
      <c r="O300" s="2728"/>
      <c r="P300" s="2728"/>
      <c r="Q300" s="2748"/>
      <c r="R300" s="2748"/>
      <c r="S300" s="2748"/>
      <c r="T300" s="2748"/>
      <c r="U300" s="2748"/>
      <c r="V300" s="2748"/>
      <c r="W300" s="2748"/>
      <c r="X300" s="2748"/>
      <c r="Y300" s="2748"/>
      <c r="Z300" s="2748"/>
      <c r="AA300" s="2748"/>
      <c r="AB300" s="2748"/>
      <c r="AC300" s="2748"/>
      <c r="AD300" s="2748"/>
      <c r="AE300" s="2748"/>
      <c r="AF300" s="2748"/>
      <c r="AG300" s="2748"/>
      <c r="AH300" s="2748"/>
      <c r="AI300" s="2748"/>
      <c r="AK300" s="2748"/>
      <c r="AL300" s="2748"/>
      <c r="AN300" s="2748"/>
      <c r="AO300" s="2748"/>
      <c r="AP300" s="2748"/>
    </row>
    <row r="301" spans="2:42" ht="18" customHeight="1">
      <c r="B301" s="2728"/>
      <c r="C301" s="2728"/>
      <c r="D301" s="2728"/>
      <c r="E301" s="2728"/>
      <c r="G301" s="2512"/>
      <c r="I301" s="2748"/>
      <c r="J301" s="2728"/>
      <c r="L301" s="2728"/>
      <c r="M301" s="2748"/>
      <c r="N301" s="2728"/>
      <c r="O301" s="2728"/>
      <c r="P301" s="2728"/>
      <c r="Q301" s="2748"/>
      <c r="R301" s="2748"/>
      <c r="S301" s="2748"/>
      <c r="T301" s="2748"/>
      <c r="U301" s="2748"/>
      <c r="V301" s="2748"/>
      <c r="W301" s="2748"/>
      <c r="X301" s="2748"/>
      <c r="Y301" s="2748"/>
      <c r="Z301" s="2748"/>
      <c r="AA301" s="2748"/>
      <c r="AB301" s="2748"/>
      <c r="AC301" s="2748"/>
      <c r="AD301" s="2748"/>
      <c r="AE301" s="2748"/>
      <c r="AF301" s="2748"/>
      <c r="AG301" s="2748"/>
      <c r="AH301" s="2748"/>
      <c r="AI301" s="2748"/>
      <c r="AK301" s="2748"/>
      <c r="AL301" s="2748"/>
      <c r="AN301" s="2748"/>
      <c r="AO301" s="2748"/>
      <c r="AP301" s="2748"/>
    </row>
    <row r="302" spans="2:42" ht="18" customHeight="1">
      <c r="B302" s="2728"/>
      <c r="C302" s="2728"/>
      <c r="D302" s="2728"/>
      <c r="E302" s="2728"/>
      <c r="G302" s="2512"/>
      <c r="I302" s="2748"/>
      <c r="J302" s="2728"/>
      <c r="L302" s="2728"/>
      <c r="M302" s="2748"/>
      <c r="N302" s="2728"/>
      <c r="O302" s="2728"/>
      <c r="P302" s="2728"/>
      <c r="Q302" s="2748"/>
      <c r="R302" s="2748"/>
      <c r="S302" s="2748"/>
      <c r="T302" s="2748"/>
      <c r="U302" s="2748"/>
      <c r="V302" s="2748"/>
      <c r="W302" s="2748"/>
      <c r="X302" s="2748"/>
      <c r="Y302" s="2748"/>
      <c r="Z302" s="2748"/>
      <c r="AA302" s="2748"/>
      <c r="AB302" s="2748"/>
      <c r="AC302" s="2748"/>
      <c r="AD302" s="2748"/>
      <c r="AE302" s="2748"/>
      <c r="AF302" s="2748"/>
      <c r="AG302" s="2748"/>
      <c r="AH302" s="2748"/>
      <c r="AI302" s="2748"/>
      <c r="AK302" s="2748"/>
      <c r="AL302" s="2748"/>
      <c r="AN302" s="2748"/>
      <c r="AO302" s="2748"/>
      <c r="AP302" s="2748"/>
    </row>
    <row r="303" spans="2:42" ht="18" customHeight="1">
      <c r="B303" s="2728"/>
      <c r="C303" s="2728"/>
      <c r="D303" s="2728"/>
      <c r="E303" s="2728"/>
      <c r="G303" s="2512"/>
      <c r="I303" s="2748"/>
      <c r="J303" s="2728"/>
      <c r="L303" s="2728"/>
      <c r="M303" s="2748"/>
      <c r="N303" s="2728"/>
      <c r="O303" s="2728"/>
      <c r="P303" s="2728"/>
      <c r="Q303" s="2748"/>
      <c r="R303" s="2748"/>
      <c r="S303" s="2748"/>
      <c r="T303" s="2748"/>
      <c r="U303" s="2748"/>
      <c r="V303" s="2748"/>
      <c r="W303" s="2748"/>
      <c r="X303" s="2748"/>
      <c r="Y303" s="2748"/>
      <c r="Z303" s="2748"/>
      <c r="AA303" s="2748"/>
      <c r="AB303" s="2748"/>
      <c r="AC303" s="2748"/>
      <c r="AD303" s="2748"/>
      <c r="AE303" s="2748"/>
      <c r="AF303" s="2748"/>
      <c r="AG303" s="2748"/>
      <c r="AH303" s="2748"/>
      <c r="AI303" s="2748"/>
      <c r="AK303" s="2748"/>
      <c r="AL303" s="2748"/>
      <c r="AN303" s="2748"/>
      <c r="AO303" s="2748"/>
      <c r="AP303" s="2748"/>
    </row>
    <row r="304" spans="2:42" ht="18" customHeight="1">
      <c r="B304" s="2728"/>
      <c r="C304" s="2728"/>
      <c r="D304" s="2728"/>
      <c r="E304" s="2728"/>
      <c r="G304" s="2512"/>
      <c r="I304" s="2748"/>
      <c r="J304" s="2728"/>
      <c r="L304" s="2728"/>
      <c r="M304" s="2748"/>
      <c r="N304" s="2728"/>
      <c r="O304" s="2728"/>
      <c r="P304" s="2728"/>
      <c r="Q304" s="2748"/>
      <c r="R304" s="2748"/>
      <c r="S304" s="2748"/>
      <c r="T304" s="2748"/>
      <c r="U304" s="2748"/>
      <c r="V304" s="2748"/>
      <c r="W304" s="2748"/>
      <c r="X304" s="2748"/>
      <c r="Y304" s="2748"/>
      <c r="Z304" s="2748"/>
      <c r="AA304" s="2748"/>
      <c r="AB304" s="2748"/>
      <c r="AC304" s="2748"/>
      <c r="AD304" s="2748"/>
      <c r="AE304" s="2748"/>
      <c r="AF304" s="2748"/>
      <c r="AG304" s="2748"/>
      <c r="AH304" s="2748"/>
      <c r="AI304" s="2748"/>
      <c r="AK304" s="2748"/>
      <c r="AL304" s="2748"/>
      <c r="AN304" s="2748"/>
      <c r="AO304" s="2748"/>
      <c r="AP304" s="2748"/>
    </row>
    <row r="305" spans="2:42" ht="18" customHeight="1">
      <c r="B305" s="2728"/>
      <c r="C305" s="2728"/>
      <c r="D305" s="2728"/>
      <c r="E305" s="2728"/>
      <c r="G305" s="2512"/>
      <c r="I305" s="2748"/>
      <c r="J305" s="2728"/>
      <c r="L305" s="2728"/>
      <c r="M305" s="2748"/>
      <c r="N305" s="2728"/>
      <c r="O305" s="2728"/>
      <c r="P305" s="2728"/>
      <c r="Q305" s="2748"/>
      <c r="R305" s="2748"/>
      <c r="S305" s="2748"/>
      <c r="T305" s="2748"/>
      <c r="U305" s="2748"/>
      <c r="V305" s="2748"/>
      <c r="W305" s="2748"/>
      <c r="X305" s="2748"/>
      <c r="Y305" s="2748"/>
      <c r="Z305" s="2748"/>
      <c r="AA305" s="2748"/>
      <c r="AB305" s="2748"/>
      <c r="AC305" s="2748"/>
      <c r="AD305" s="2748"/>
      <c r="AE305" s="2748"/>
      <c r="AF305" s="2748"/>
      <c r="AG305" s="2748"/>
      <c r="AH305" s="2748"/>
      <c r="AI305" s="2748"/>
      <c r="AK305" s="2748"/>
      <c r="AL305" s="2748"/>
      <c r="AN305" s="2748"/>
      <c r="AO305" s="2748"/>
      <c r="AP305" s="2748"/>
    </row>
    <row r="306" spans="2:42" ht="18" customHeight="1">
      <c r="B306" s="2728"/>
      <c r="C306" s="2728"/>
      <c r="D306" s="2728"/>
      <c r="E306" s="2728"/>
      <c r="G306" s="2512"/>
      <c r="I306" s="2748"/>
      <c r="J306" s="2728"/>
      <c r="L306" s="2728"/>
      <c r="M306" s="2748"/>
      <c r="N306" s="2728"/>
      <c r="O306" s="2728"/>
      <c r="P306" s="2728"/>
      <c r="Q306" s="2748"/>
      <c r="R306" s="2748"/>
      <c r="S306" s="2748"/>
      <c r="T306" s="2748"/>
      <c r="U306" s="2748"/>
      <c r="V306" s="2748"/>
      <c r="W306" s="2748"/>
      <c r="X306" s="2748"/>
      <c r="Y306" s="2748"/>
      <c r="Z306" s="2748"/>
      <c r="AA306" s="2748"/>
      <c r="AB306" s="2748"/>
      <c r="AC306" s="2748"/>
      <c r="AD306" s="2748"/>
      <c r="AE306" s="2748"/>
      <c r="AF306" s="2748"/>
      <c r="AG306" s="2748"/>
      <c r="AH306" s="2748"/>
      <c r="AI306" s="2748"/>
      <c r="AK306" s="2748"/>
      <c r="AL306" s="2748"/>
      <c r="AN306" s="2748"/>
      <c r="AO306" s="2748"/>
      <c r="AP306" s="2748"/>
    </row>
    <row r="307" spans="2:42" ht="18" customHeight="1">
      <c r="B307" s="2728"/>
      <c r="C307" s="2728"/>
      <c r="D307" s="2728"/>
      <c r="E307" s="2728"/>
      <c r="G307" s="2512"/>
      <c r="I307" s="2748"/>
      <c r="J307" s="2728"/>
      <c r="L307" s="2728"/>
      <c r="M307" s="2748"/>
      <c r="N307" s="2728"/>
      <c r="O307" s="2728"/>
      <c r="P307" s="2728"/>
      <c r="Q307" s="2748"/>
      <c r="R307" s="2748"/>
      <c r="S307" s="2748"/>
      <c r="T307" s="2748"/>
      <c r="U307" s="2748"/>
      <c r="V307" s="2748"/>
      <c r="W307" s="2748"/>
      <c r="X307" s="2748"/>
      <c r="Y307" s="2748"/>
      <c r="Z307" s="2748"/>
      <c r="AA307" s="2748"/>
      <c r="AB307" s="2748"/>
      <c r="AC307" s="2748"/>
      <c r="AD307" s="2748"/>
      <c r="AE307" s="2748"/>
      <c r="AF307" s="2748"/>
      <c r="AG307" s="2748"/>
      <c r="AH307" s="2748"/>
      <c r="AI307" s="2748"/>
      <c r="AK307" s="2748"/>
      <c r="AL307" s="2748"/>
      <c r="AN307" s="2748"/>
      <c r="AO307" s="2748"/>
      <c r="AP307" s="2748"/>
    </row>
    <row r="308" spans="2:42" ht="18" customHeight="1">
      <c r="B308" s="2728"/>
      <c r="C308" s="2728"/>
      <c r="D308" s="2728"/>
      <c r="E308" s="2728"/>
      <c r="G308" s="2512"/>
      <c r="I308" s="2748"/>
      <c r="J308" s="2728"/>
      <c r="L308" s="2728"/>
      <c r="M308" s="2748"/>
      <c r="N308" s="2728"/>
      <c r="O308" s="2728"/>
      <c r="P308" s="2728"/>
      <c r="Q308" s="2748"/>
      <c r="R308" s="2748"/>
      <c r="S308" s="2748"/>
      <c r="T308" s="2748"/>
      <c r="U308" s="2748"/>
      <c r="V308" s="2748"/>
      <c r="W308" s="2748"/>
      <c r="X308" s="2748"/>
      <c r="Y308" s="2748"/>
      <c r="Z308" s="2748"/>
      <c r="AA308" s="2748"/>
      <c r="AB308" s="2748"/>
      <c r="AC308" s="2748"/>
      <c r="AD308" s="2748"/>
      <c r="AE308" s="2748"/>
      <c r="AF308" s="2748"/>
      <c r="AG308" s="2748"/>
      <c r="AH308" s="2748"/>
      <c r="AI308" s="2748"/>
      <c r="AK308" s="2748"/>
      <c r="AL308" s="2748"/>
      <c r="AN308" s="2748"/>
      <c r="AO308" s="2748"/>
      <c r="AP308" s="2748"/>
    </row>
    <row r="309" spans="2:42" ht="18" customHeight="1">
      <c r="B309" s="2728"/>
      <c r="C309" s="2728"/>
      <c r="D309" s="2728"/>
      <c r="E309" s="2728"/>
      <c r="G309" s="2512"/>
      <c r="I309" s="2748"/>
      <c r="J309" s="2728"/>
      <c r="L309" s="2728"/>
      <c r="M309" s="2748"/>
      <c r="N309" s="2728"/>
      <c r="O309" s="2728"/>
      <c r="P309" s="2728"/>
      <c r="Q309" s="2748"/>
      <c r="R309" s="2748"/>
      <c r="S309" s="2748"/>
      <c r="T309" s="2748"/>
      <c r="U309" s="2748"/>
      <c r="V309" s="2748"/>
      <c r="W309" s="2748"/>
      <c r="X309" s="2748"/>
      <c r="Y309" s="2748"/>
      <c r="Z309" s="2748"/>
      <c r="AA309" s="2748"/>
      <c r="AB309" s="2748"/>
      <c r="AC309" s="2748"/>
      <c r="AD309" s="2748"/>
      <c r="AE309" s="2748"/>
      <c r="AF309" s="2748"/>
      <c r="AG309" s="2748"/>
      <c r="AH309" s="2748"/>
      <c r="AI309" s="2748"/>
      <c r="AK309" s="2748"/>
      <c r="AL309" s="2748"/>
      <c r="AN309" s="2748"/>
      <c r="AO309" s="2748"/>
      <c r="AP309" s="2748"/>
    </row>
    <row r="310" spans="2:42" ht="18" customHeight="1">
      <c r="B310" s="2728"/>
      <c r="C310" s="2728"/>
      <c r="D310" s="2728"/>
      <c r="E310" s="2728"/>
      <c r="G310" s="2512"/>
      <c r="I310" s="2748"/>
      <c r="J310" s="2728"/>
      <c r="L310" s="2728"/>
      <c r="M310" s="2748"/>
      <c r="N310" s="2728"/>
      <c r="O310" s="2728"/>
      <c r="P310" s="2728"/>
      <c r="Q310" s="2748"/>
      <c r="R310" s="2748"/>
      <c r="S310" s="2748"/>
      <c r="T310" s="2748"/>
      <c r="U310" s="2748"/>
      <c r="V310" s="2748"/>
      <c r="W310" s="2748"/>
      <c r="X310" s="2748"/>
      <c r="Y310" s="2748"/>
      <c r="Z310" s="2748"/>
      <c r="AA310" s="2748"/>
      <c r="AB310" s="2748"/>
      <c r="AC310" s="2748"/>
      <c r="AD310" s="2748"/>
      <c r="AE310" s="2748"/>
      <c r="AF310" s="2748"/>
      <c r="AG310" s="2748"/>
      <c r="AH310" s="2748"/>
      <c r="AI310" s="2748"/>
      <c r="AK310" s="2748"/>
      <c r="AL310" s="2748"/>
      <c r="AN310" s="2748"/>
      <c r="AO310" s="2748"/>
      <c r="AP310" s="2748"/>
    </row>
    <row r="311" spans="2:42" ht="18" customHeight="1">
      <c r="B311" s="2728"/>
      <c r="C311" s="2728"/>
      <c r="D311" s="2728"/>
      <c r="E311" s="2728"/>
      <c r="G311" s="2512"/>
      <c r="I311" s="2748"/>
      <c r="J311" s="2728"/>
      <c r="L311" s="2728"/>
      <c r="M311" s="2748"/>
      <c r="N311" s="2728"/>
      <c r="O311" s="2728"/>
      <c r="P311" s="2728"/>
      <c r="Q311" s="2748"/>
      <c r="R311" s="2748"/>
      <c r="S311" s="2748"/>
      <c r="T311" s="2748"/>
      <c r="U311" s="2748"/>
      <c r="V311" s="2748"/>
      <c r="W311" s="2748"/>
      <c r="X311" s="2748"/>
      <c r="Y311" s="2748"/>
      <c r="Z311" s="2748"/>
      <c r="AA311" s="2748"/>
      <c r="AB311" s="2748"/>
      <c r="AC311" s="2748"/>
      <c r="AD311" s="2748"/>
      <c r="AE311" s="2748"/>
      <c r="AF311" s="2748"/>
      <c r="AG311" s="2748"/>
      <c r="AH311" s="2748"/>
      <c r="AI311" s="2748"/>
      <c r="AK311" s="2748"/>
      <c r="AL311" s="2748"/>
      <c r="AN311" s="2748"/>
      <c r="AO311" s="2748"/>
      <c r="AP311" s="2748"/>
    </row>
    <row r="312" spans="2:42" ht="18" customHeight="1">
      <c r="B312" s="2728"/>
      <c r="C312" s="2728"/>
      <c r="D312" s="2728"/>
      <c r="E312" s="2728"/>
      <c r="G312" s="2512"/>
      <c r="I312" s="2748"/>
      <c r="J312" s="2728"/>
      <c r="L312" s="2728"/>
      <c r="M312" s="2748"/>
      <c r="N312" s="2728"/>
      <c r="O312" s="2728"/>
      <c r="P312" s="2728"/>
      <c r="Q312" s="2748"/>
      <c r="R312" s="2748"/>
      <c r="S312" s="2748"/>
      <c r="T312" s="2748"/>
      <c r="U312" s="2748"/>
      <c r="V312" s="2748"/>
      <c r="W312" s="2748"/>
      <c r="X312" s="2748"/>
      <c r="Y312" s="2748"/>
      <c r="Z312" s="2748"/>
      <c r="AA312" s="2748"/>
      <c r="AB312" s="2748"/>
      <c r="AC312" s="2748"/>
      <c r="AD312" s="2748"/>
      <c r="AE312" s="2748"/>
      <c r="AF312" s="2748"/>
      <c r="AG312" s="2748"/>
      <c r="AH312" s="2748"/>
      <c r="AI312" s="2748"/>
      <c r="AK312" s="2748"/>
      <c r="AL312" s="2748"/>
      <c r="AN312" s="2748"/>
      <c r="AO312" s="2748"/>
      <c r="AP312" s="2748"/>
    </row>
    <row r="313" spans="2:42" ht="18" customHeight="1">
      <c r="B313" s="2728"/>
      <c r="C313" s="2728"/>
      <c r="D313" s="2728"/>
      <c r="E313" s="2728"/>
      <c r="G313" s="2512"/>
      <c r="I313" s="2748"/>
      <c r="J313" s="2728"/>
      <c r="L313" s="2728"/>
      <c r="M313" s="2748"/>
      <c r="N313" s="2728"/>
      <c r="O313" s="2728"/>
      <c r="P313" s="2728"/>
      <c r="Q313" s="2748"/>
      <c r="R313" s="2748"/>
      <c r="S313" s="2748"/>
      <c r="T313" s="2748"/>
      <c r="U313" s="2748"/>
      <c r="V313" s="2748"/>
      <c r="W313" s="2748"/>
      <c r="X313" s="2748"/>
      <c r="Y313" s="2748"/>
      <c r="Z313" s="2748"/>
      <c r="AA313" s="2748"/>
      <c r="AB313" s="2748"/>
      <c r="AC313" s="2748"/>
      <c r="AD313" s="2748"/>
      <c r="AE313" s="2748"/>
      <c r="AF313" s="2748"/>
      <c r="AG313" s="2748"/>
      <c r="AH313" s="2748"/>
      <c r="AI313" s="2748"/>
      <c r="AK313" s="2748"/>
      <c r="AL313" s="2748"/>
      <c r="AN313" s="2748"/>
      <c r="AO313" s="2748"/>
      <c r="AP313" s="2748"/>
    </row>
    <row r="314" spans="2:42" ht="18" customHeight="1">
      <c r="B314" s="2728"/>
      <c r="C314" s="2728"/>
      <c r="D314" s="2728"/>
      <c r="E314" s="2728"/>
      <c r="G314" s="2512"/>
      <c r="I314" s="2748"/>
      <c r="J314" s="2728"/>
      <c r="L314" s="2728"/>
      <c r="M314" s="2748"/>
      <c r="N314" s="2728"/>
      <c r="O314" s="2728"/>
      <c r="P314" s="2728"/>
      <c r="Q314" s="2748"/>
      <c r="R314" s="2748"/>
      <c r="S314" s="2748"/>
      <c r="T314" s="2748"/>
      <c r="U314" s="2748"/>
      <c r="V314" s="2748"/>
      <c r="W314" s="2748"/>
      <c r="X314" s="2748"/>
      <c r="Y314" s="2748"/>
      <c r="Z314" s="2748"/>
      <c r="AA314" s="2748"/>
      <c r="AB314" s="2748"/>
      <c r="AC314" s="2748"/>
      <c r="AD314" s="2748"/>
      <c r="AE314" s="2748"/>
      <c r="AF314" s="2748"/>
      <c r="AG314" s="2748"/>
      <c r="AH314" s="2748"/>
      <c r="AI314" s="2748"/>
      <c r="AK314" s="2748"/>
      <c r="AL314" s="2748"/>
      <c r="AN314" s="2748"/>
      <c r="AO314" s="2748"/>
      <c r="AP314" s="2748"/>
    </row>
    <row r="315" spans="2:42" ht="18" customHeight="1">
      <c r="B315" s="2728"/>
      <c r="C315" s="2728"/>
      <c r="D315" s="2728"/>
      <c r="E315" s="2728"/>
      <c r="G315" s="2512"/>
      <c r="I315" s="2748"/>
      <c r="J315" s="2728"/>
      <c r="L315" s="2728"/>
      <c r="M315" s="2748"/>
      <c r="N315" s="2728"/>
      <c r="O315" s="2728"/>
      <c r="P315" s="2728"/>
      <c r="Q315" s="2748"/>
      <c r="R315" s="2748"/>
      <c r="S315" s="2748"/>
      <c r="T315" s="2748"/>
      <c r="U315" s="2748"/>
      <c r="V315" s="2748"/>
      <c r="W315" s="2748"/>
      <c r="X315" s="2748"/>
      <c r="Y315" s="2748"/>
      <c r="Z315" s="2748"/>
      <c r="AA315" s="2748"/>
      <c r="AB315" s="2748"/>
      <c r="AC315" s="2748"/>
      <c r="AD315" s="2748"/>
      <c r="AE315" s="2748"/>
      <c r="AF315" s="2748"/>
      <c r="AG315" s="2748"/>
      <c r="AH315" s="2748"/>
      <c r="AI315" s="2748"/>
      <c r="AK315" s="2748"/>
      <c r="AL315" s="2748"/>
      <c r="AN315" s="2748"/>
      <c r="AO315" s="2748"/>
      <c r="AP315" s="2748"/>
    </row>
    <row r="316" spans="2:42" ht="18" customHeight="1">
      <c r="B316" s="2728"/>
      <c r="C316" s="2728"/>
      <c r="D316" s="2728"/>
      <c r="E316" s="2728"/>
      <c r="G316" s="2512"/>
      <c r="I316" s="2748"/>
      <c r="J316" s="2728"/>
      <c r="L316" s="2728"/>
      <c r="M316" s="2748"/>
      <c r="N316" s="2728"/>
      <c r="O316" s="2728"/>
      <c r="P316" s="2728"/>
      <c r="Q316" s="2748"/>
      <c r="R316" s="2748"/>
      <c r="S316" s="2748"/>
      <c r="T316" s="2748"/>
      <c r="U316" s="2748"/>
      <c r="V316" s="2748"/>
      <c r="W316" s="2748"/>
      <c r="X316" s="2748"/>
      <c r="Y316" s="2748"/>
      <c r="Z316" s="2748"/>
      <c r="AA316" s="2748"/>
      <c r="AB316" s="2748"/>
      <c r="AC316" s="2748"/>
      <c r="AD316" s="2748"/>
      <c r="AE316" s="2748"/>
      <c r="AF316" s="2748"/>
      <c r="AG316" s="2748"/>
      <c r="AH316" s="2748"/>
      <c r="AI316" s="2748"/>
      <c r="AK316" s="2748"/>
      <c r="AL316" s="2748"/>
      <c r="AN316" s="2748"/>
      <c r="AO316" s="2748"/>
      <c r="AP316" s="2748"/>
    </row>
    <row r="317" spans="2:42" ht="18" customHeight="1">
      <c r="B317" s="2728"/>
      <c r="C317" s="2728"/>
      <c r="D317" s="2728"/>
      <c r="E317" s="2728"/>
      <c r="G317" s="2512"/>
      <c r="I317" s="2748"/>
      <c r="J317" s="2728"/>
      <c r="L317" s="2728"/>
      <c r="M317" s="2748"/>
      <c r="N317" s="2728"/>
      <c r="O317" s="2728"/>
      <c r="P317" s="2728"/>
      <c r="Q317" s="2748"/>
      <c r="R317" s="2748"/>
      <c r="S317" s="2748"/>
      <c r="T317" s="2748"/>
      <c r="U317" s="2748"/>
      <c r="V317" s="2748"/>
      <c r="W317" s="2748"/>
      <c r="X317" s="2748"/>
      <c r="Y317" s="2748"/>
      <c r="Z317" s="2748"/>
      <c r="AA317" s="2748"/>
      <c r="AB317" s="2748"/>
      <c r="AC317" s="2748"/>
      <c r="AD317" s="2748"/>
      <c r="AE317" s="2748"/>
      <c r="AF317" s="2748"/>
      <c r="AG317" s="2748"/>
      <c r="AH317" s="2748"/>
      <c r="AI317" s="2748"/>
      <c r="AK317" s="2748"/>
      <c r="AL317" s="2748"/>
      <c r="AN317" s="2748"/>
      <c r="AO317" s="2748"/>
      <c r="AP317" s="2748"/>
    </row>
    <row r="318" spans="2:42" ht="18" customHeight="1">
      <c r="B318" s="2728"/>
      <c r="C318" s="2728"/>
      <c r="D318" s="2728"/>
      <c r="E318" s="2728"/>
      <c r="G318" s="2512"/>
      <c r="I318" s="2748"/>
      <c r="J318" s="2728"/>
      <c r="L318" s="2728"/>
      <c r="M318" s="2748"/>
      <c r="N318" s="2728"/>
      <c r="O318" s="2728"/>
      <c r="P318" s="2728"/>
      <c r="Q318" s="2748"/>
      <c r="R318" s="2748"/>
      <c r="S318" s="2748"/>
      <c r="T318" s="2748"/>
      <c r="U318" s="2748"/>
      <c r="V318" s="2748"/>
      <c r="W318" s="2748"/>
      <c r="X318" s="2748"/>
      <c r="Y318" s="2748"/>
      <c r="Z318" s="2748"/>
      <c r="AA318" s="2748"/>
      <c r="AB318" s="2748"/>
      <c r="AC318" s="2748"/>
      <c r="AD318" s="2748"/>
      <c r="AE318" s="2748"/>
      <c r="AF318" s="2748"/>
      <c r="AG318" s="2748"/>
      <c r="AH318" s="2748"/>
      <c r="AI318" s="2748"/>
      <c r="AK318" s="2748"/>
      <c r="AL318" s="2748"/>
      <c r="AN318" s="2748"/>
      <c r="AO318" s="2748"/>
      <c r="AP318" s="2748"/>
    </row>
    <row r="319" spans="2:42" ht="18" customHeight="1">
      <c r="B319" s="2728"/>
      <c r="C319" s="2728"/>
      <c r="D319" s="2728"/>
      <c r="E319" s="2728"/>
      <c r="G319" s="2512"/>
      <c r="I319" s="2748"/>
      <c r="J319" s="2728"/>
      <c r="L319" s="2728"/>
      <c r="M319" s="2748"/>
      <c r="N319" s="2728"/>
      <c r="O319" s="2728"/>
      <c r="P319" s="2728"/>
      <c r="Q319" s="2748"/>
      <c r="R319" s="2748"/>
      <c r="S319" s="2748"/>
      <c r="T319" s="2748"/>
      <c r="U319" s="2748"/>
      <c r="V319" s="2748"/>
      <c r="W319" s="2748"/>
      <c r="X319" s="2748"/>
      <c r="Y319" s="2748"/>
      <c r="Z319" s="2748"/>
      <c r="AA319" s="2748"/>
      <c r="AB319" s="2748"/>
      <c r="AC319" s="2748"/>
      <c r="AD319" s="2748"/>
      <c r="AE319" s="2748"/>
      <c r="AF319" s="2748"/>
      <c r="AG319" s="2748"/>
      <c r="AH319" s="2748"/>
      <c r="AI319" s="2748"/>
      <c r="AK319" s="2748"/>
      <c r="AL319" s="2748"/>
      <c r="AN319" s="2748"/>
      <c r="AO319" s="2748"/>
      <c r="AP319" s="2748"/>
    </row>
    <row r="320" spans="2:42" ht="18" customHeight="1">
      <c r="B320" s="2728"/>
      <c r="C320" s="2728"/>
      <c r="D320" s="2728"/>
      <c r="E320" s="2728"/>
      <c r="G320" s="2512"/>
      <c r="I320" s="2748"/>
      <c r="J320" s="2728"/>
      <c r="L320" s="2728"/>
      <c r="M320" s="2748"/>
      <c r="N320" s="2728"/>
      <c r="O320" s="2728"/>
      <c r="P320" s="2728"/>
      <c r="Q320" s="2748"/>
      <c r="R320" s="2748"/>
      <c r="S320" s="2748"/>
      <c r="T320" s="2748"/>
      <c r="U320" s="2748"/>
      <c r="V320" s="2748"/>
      <c r="W320" s="2748"/>
      <c r="X320" s="2748"/>
      <c r="Y320" s="2748"/>
      <c r="Z320" s="2748"/>
      <c r="AA320" s="2748"/>
      <c r="AB320" s="2748"/>
      <c r="AC320" s="2748"/>
      <c r="AD320" s="2748"/>
      <c r="AE320" s="2748"/>
      <c r="AF320" s="2748"/>
      <c r="AG320" s="2748"/>
      <c r="AH320" s="2748"/>
      <c r="AI320" s="2748"/>
      <c r="AK320" s="2748"/>
      <c r="AL320" s="2748"/>
      <c r="AN320" s="2748"/>
      <c r="AO320" s="2748"/>
      <c r="AP320" s="2748"/>
    </row>
    <row r="321" spans="2:42" ht="18" customHeight="1">
      <c r="B321" s="2728"/>
      <c r="C321" s="2728"/>
      <c r="D321" s="2728"/>
      <c r="E321" s="2728"/>
      <c r="G321" s="2512"/>
      <c r="I321" s="2748"/>
      <c r="J321" s="2728"/>
      <c r="L321" s="2728"/>
      <c r="M321" s="2748"/>
      <c r="N321" s="2728"/>
      <c r="O321" s="2728"/>
      <c r="P321" s="2728"/>
      <c r="Q321" s="2748"/>
      <c r="R321" s="2748"/>
      <c r="S321" s="2748"/>
      <c r="T321" s="2748"/>
      <c r="U321" s="2748"/>
      <c r="V321" s="2748"/>
      <c r="W321" s="2748"/>
      <c r="X321" s="2748"/>
      <c r="Y321" s="2748"/>
      <c r="Z321" s="2748"/>
      <c r="AA321" s="2748"/>
      <c r="AB321" s="2748"/>
      <c r="AC321" s="2748"/>
      <c r="AD321" s="2748"/>
      <c r="AE321" s="2748"/>
      <c r="AF321" s="2748"/>
      <c r="AG321" s="2748"/>
      <c r="AH321" s="2748"/>
      <c r="AI321" s="2748"/>
      <c r="AK321" s="2748"/>
      <c r="AL321" s="2748"/>
      <c r="AN321" s="2748"/>
      <c r="AO321" s="2748"/>
      <c r="AP321" s="2748"/>
    </row>
    <row r="322" spans="2:42" ht="18" customHeight="1">
      <c r="B322" s="2728"/>
      <c r="C322" s="2728"/>
      <c r="D322" s="2728"/>
      <c r="E322" s="2728"/>
      <c r="G322" s="2512"/>
      <c r="I322" s="2748"/>
      <c r="J322" s="2728"/>
      <c r="L322" s="2728"/>
      <c r="M322" s="2748"/>
      <c r="N322" s="2728"/>
      <c r="O322" s="2728"/>
      <c r="P322" s="2728"/>
      <c r="Q322" s="2748"/>
      <c r="R322" s="2748"/>
      <c r="S322" s="2748"/>
      <c r="T322" s="2748"/>
      <c r="U322" s="2748"/>
      <c r="V322" s="2748"/>
      <c r="W322" s="2748"/>
      <c r="X322" s="2748"/>
      <c r="Y322" s="2748"/>
      <c r="Z322" s="2748"/>
      <c r="AA322" s="2748"/>
      <c r="AB322" s="2748"/>
      <c r="AC322" s="2748"/>
      <c r="AD322" s="2748"/>
      <c r="AE322" s="2748"/>
      <c r="AF322" s="2748"/>
      <c r="AG322" s="2748"/>
      <c r="AH322" s="2748"/>
      <c r="AI322" s="2748"/>
      <c r="AK322" s="2748"/>
      <c r="AL322" s="2748"/>
      <c r="AN322" s="2748"/>
      <c r="AO322" s="2748"/>
      <c r="AP322" s="2748"/>
    </row>
    <row r="323" spans="2:42" ht="18" customHeight="1">
      <c r="B323" s="2728"/>
      <c r="C323" s="2728"/>
      <c r="D323" s="2728"/>
      <c r="E323" s="2728"/>
      <c r="G323" s="2512"/>
      <c r="I323" s="2748"/>
      <c r="J323" s="2728"/>
      <c r="L323" s="2728"/>
      <c r="M323" s="2748"/>
      <c r="N323" s="2728"/>
      <c r="O323" s="2728"/>
      <c r="P323" s="2728"/>
      <c r="Q323" s="2748"/>
      <c r="R323" s="2748"/>
      <c r="S323" s="2748"/>
      <c r="T323" s="2748"/>
      <c r="U323" s="2748"/>
      <c r="V323" s="2748"/>
      <c r="W323" s="2748"/>
      <c r="X323" s="2748"/>
      <c r="Y323" s="2748"/>
      <c r="Z323" s="2748"/>
      <c r="AA323" s="2748"/>
      <c r="AB323" s="2748"/>
      <c r="AC323" s="2748"/>
      <c r="AD323" s="2748"/>
      <c r="AE323" s="2748"/>
      <c r="AF323" s="2748"/>
      <c r="AG323" s="2748"/>
      <c r="AH323" s="2748"/>
      <c r="AI323" s="2748"/>
      <c r="AK323" s="2748"/>
      <c r="AL323" s="2748"/>
      <c r="AN323" s="2748"/>
      <c r="AO323" s="2748"/>
      <c r="AP323" s="2748"/>
    </row>
    <row r="324" spans="2:42" ht="18" customHeight="1">
      <c r="B324" s="2728"/>
      <c r="C324" s="2728"/>
      <c r="D324" s="2728"/>
      <c r="E324" s="2728"/>
      <c r="G324" s="2512"/>
      <c r="I324" s="2748"/>
      <c r="J324" s="2728"/>
      <c r="L324" s="2728"/>
      <c r="M324" s="2748"/>
      <c r="N324" s="2728"/>
      <c r="O324" s="2728"/>
      <c r="P324" s="2728"/>
      <c r="Q324" s="2748"/>
      <c r="R324" s="2748"/>
      <c r="S324" s="2748"/>
      <c r="T324" s="2748"/>
      <c r="U324" s="2748"/>
      <c r="V324" s="2748"/>
      <c r="W324" s="2748"/>
      <c r="X324" s="2748"/>
      <c r="Y324" s="2748"/>
      <c r="Z324" s="2748"/>
      <c r="AA324" s="2748"/>
      <c r="AB324" s="2748"/>
      <c r="AC324" s="2748"/>
      <c r="AD324" s="2748"/>
      <c r="AE324" s="2748"/>
      <c r="AF324" s="2748"/>
      <c r="AG324" s="2748"/>
      <c r="AH324" s="2748"/>
      <c r="AI324" s="2748"/>
      <c r="AK324" s="2748"/>
      <c r="AL324" s="2748"/>
      <c r="AN324" s="2748"/>
      <c r="AO324" s="2748"/>
      <c r="AP324" s="2748"/>
    </row>
    <row r="325" spans="2:42" ht="18" customHeight="1">
      <c r="B325" s="2728"/>
      <c r="C325" s="2728"/>
      <c r="D325" s="2728"/>
      <c r="E325" s="2728"/>
      <c r="G325" s="2512"/>
      <c r="I325" s="2748"/>
      <c r="J325" s="2728"/>
      <c r="L325" s="2728"/>
      <c r="M325" s="2748"/>
      <c r="N325" s="2728"/>
      <c r="O325" s="2728"/>
      <c r="P325" s="2728"/>
      <c r="Q325" s="2748"/>
      <c r="R325" s="2748"/>
      <c r="S325" s="2748"/>
      <c r="T325" s="2748"/>
      <c r="U325" s="2748"/>
      <c r="V325" s="2748"/>
      <c r="W325" s="2748"/>
      <c r="X325" s="2748"/>
      <c r="Y325" s="2748"/>
      <c r="Z325" s="2748"/>
      <c r="AA325" s="2748"/>
      <c r="AB325" s="2748"/>
      <c r="AC325" s="2748"/>
      <c r="AD325" s="2748"/>
      <c r="AE325" s="2748"/>
      <c r="AF325" s="2748"/>
      <c r="AG325" s="2748"/>
      <c r="AH325" s="2748"/>
      <c r="AI325" s="2748"/>
      <c r="AK325" s="2748"/>
      <c r="AL325" s="2748"/>
      <c r="AN325" s="2748"/>
      <c r="AO325" s="2748"/>
      <c r="AP325" s="2748"/>
    </row>
    <row r="326" spans="2:42" ht="18" customHeight="1">
      <c r="B326" s="2728"/>
      <c r="C326" s="2728"/>
      <c r="D326" s="2728"/>
      <c r="E326" s="2728"/>
      <c r="G326" s="2512"/>
      <c r="I326" s="2748"/>
      <c r="J326" s="2728"/>
      <c r="L326" s="2728"/>
      <c r="M326" s="2748"/>
      <c r="N326" s="2728"/>
      <c r="O326" s="2728"/>
      <c r="P326" s="2728"/>
      <c r="Q326" s="2748"/>
      <c r="R326" s="2748"/>
      <c r="S326" s="2748"/>
      <c r="T326" s="2748"/>
      <c r="U326" s="2748"/>
      <c r="V326" s="2748"/>
      <c r="W326" s="2748"/>
      <c r="X326" s="2748"/>
      <c r="Y326" s="2748"/>
      <c r="Z326" s="2748"/>
      <c r="AA326" s="2748"/>
      <c r="AB326" s="2748"/>
      <c r="AC326" s="2748"/>
      <c r="AD326" s="2748"/>
      <c r="AE326" s="2748"/>
      <c r="AF326" s="2748"/>
      <c r="AG326" s="2748"/>
      <c r="AH326" s="2748"/>
      <c r="AI326" s="2748"/>
      <c r="AK326" s="2748"/>
      <c r="AL326" s="2748"/>
      <c r="AN326" s="2748"/>
      <c r="AO326" s="2748"/>
      <c r="AP326" s="2748"/>
    </row>
    <row r="327" spans="2:42" ht="18" customHeight="1">
      <c r="B327" s="2728"/>
      <c r="C327" s="2728"/>
      <c r="D327" s="2728"/>
      <c r="E327" s="2728"/>
      <c r="G327" s="2512"/>
      <c r="I327" s="2748"/>
      <c r="J327" s="2728"/>
      <c r="L327" s="2728"/>
      <c r="M327" s="2748"/>
      <c r="N327" s="2728"/>
      <c r="O327" s="2728"/>
      <c r="P327" s="2728"/>
      <c r="Q327" s="2748"/>
      <c r="R327" s="2748"/>
      <c r="S327" s="2748"/>
      <c r="T327" s="2748"/>
      <c r="U327" s="2748"/>
      <c r="V327" s="2748"/>
      <c r="W327" s="2748"/>
      <c r="X327" s="2748"/>
      <c r="Y327" s="2748"/>
      <c r="Z327" s="2748"/>
      <c r="AA327" s="2748"/>
      <c r="AB327" s="2748"/>
      <c r="AC327" s="2748"/>
      <c r="AD327" s="2748"/>
      <c r="AE327" s="2748"/>
      <c r="AF327" s="2748"/>
      <c r="AG327" s="2748"/>
      <c r="AH327" s="2748"/>
      <c r="AI327" s="2748"/>
      <c r="AK327" s="2748"/>
      <c r="AL327" s="2748"/>
      <c r="AN327" s="2748"/>
      <c r="AO327" s="2748"/>
      <c r="AP327" s="2748"/>
    </row>
    <row r="328" spans="2:42" ht="18" customHeight="1">
      <c r="B328" s="2728"/>
      <c r="C328" s="2728"/>
      <c r="D328" s="2728"/>
      <c r="E328" s="2728"/>
      <c r="G328" s="2512"/>
      <c r="I328" s="2748"/>
      <c r="J328" s="2728"/>
      <c r="L328" s="2728"/>
      <c r="M328" s="2748"/>
      <c r="N328" s="2728"/>
      <c r="O328" s="2728"/>
      <c r="P328" s="2728"/>
      <c r="Q328" s="2748"/>
      <c r="R328" s="2748"/>
      <c r="S328" s="2748"/>
      <c r="T328" s="2748"/>
      <c r="U328" s="2748"/>
      <c r="V328" s="2748"/>
      <c r="W328" s="2748"/>
      <c r="X328" s="2748"/>
      <c r="Y328" s="2748"/>
      <c r="Z328" s="2748"/>
      <c r="AA328" s="2748"/>
      <c r="AB328" s="2748"/>
      <c r="AC328" s="2748"/>
      <c r="AD328" s="2748"/>
      <c r="AE328" s="2748"/>
      <c r="AF328" s="2748"/>
      <c r="AG328" s="2748"/>
      <c r="AH328" s="2748"/>
      <c r="AI328" s="2748"/>
      <c r="AK328" s="2748"/>
      <c r="AL328" s="2748"/>
      <c r="AN328" s="2748"/>
      <c r="AO328" s="2748"/>
      <c r="AP328" s="2748"/>
    </row>
    <row r="329" spans="2:42" ht="18" customHeight="1">
      <c r="B329" s="2728"/>
      <c r="C329" s="2728"/>
      <c r="D329" s="2728"/>
      <c r="E329" s="2728"/>
      <c r="G329" s="2512"/>
      <c r="I329" s="2748"/>
      <c r="J329" s="2728"/>
      <c r="L329" s="2728"/>
      <c r="M329" s="2748"/>
      <c r="N329" s="2728"/>
      <c r="O329" s="2728"/>
      <c r="P329" s="2728"/>
      <c r="Q329" s="2748"/>
      <c r="R329" s="2748"/>
      <c r="S329" s="2748"/>
      <c r="T329" s="2748"/>
      <c r="U329" s="2748"/>
      <c r="V329" s="2748"/>
      <c r="W329" s="2748"/>
      <c r="X329" s="2748"/>
      <c r="Y329" s="2748"/>
      <c r="Z329" s="2748"/>
      <c r="AA329" s="2748"/>
      <c r="AB329" s="2748"/>
      <c r="AC329" s="2748"/>
      <c r="AD329" s="2748"/>
      <c r="AE329" s="2748"/>
      <c r="AF329" s="2748"/>
      <c r="AG329" s="2748"/>
      <c r="AH329" s="2748"/>
      <c r="AI329" s="2748"/>
      <c r="AK329" s="2748"/>
      <c r="AL329" s="2748"/>
      <c r="AN329" s="2748"/>
      <c r="AO329" s="2748"/>
      <c r="AP329" s="2748"/>
    </row>
    <row r="330" spans="2:42" ht="18" customHeight="1">
      <c r="B330" s="2728"/>
      <c r="C330" s="2728"/>
      <c r="D330" s="2728"/>
      <c r="E330" s="2728"/>
      <c r="G330" s="2512"/>
      <c r="I330" s="2748"/>
      <c r="J330" s="2728"/>
      <c r="L330" s="2728"/>
      <c r="M330" s="2748"/>
      <c r="N330" s="2728"/>
      <c r="O330" s="2728"/>
      <c r="P330" s="2728"/>
      <c r="Q330" s="2748"/>
      <c r="R330" s="2748"/>
      <c r="S330" s="2748"/>
      <c r="T330" s="2748"/>
      <c r="U330" s="2748"/>
      <c r="V330" s="2748"/>
      <c r="W330" s="2748"/>
      <c r="X330" s="2748"/>
      <c r="Y330" s="2748"/>
      <c r="Z330" s="2748"/>
      <c r="AA330" s="2748"/>
      <c r="AB330" s="2748"/>
      <c r="AC330" s="2748"/>
      <c r="AD330" s="2748"/>
      <c r="AE330" s="2748"/>
      <c r="AF330" s="2748"/>
      <c r="AG330" s="2748"/>
      <c r="AH330" s="2748"/>
      <c r="AI330" s="2748"/>
      <c r="AK330" s="2748"/>
      <c r="AL330" s="2748"/>
      <c r="AN330" s="2748"/>
      <c r="AO330" s="2748"/>
      <c r="AP330" s="2748"/>
    </row>
    <row r="331" spans="2:42" ht="18" customHeight="1">
      <c r="B331" s="2728"/>
      <c r="C331" s="2728"/>
      <c r="D331" s="2728"/>
      <c r="E331" s="2728"/>
      <c r="G331" s="2512"/>
      <c r="I331" s="2748"/>
      <c r="J331" s="2728"/>
      <c r="L331" s="2728"/>
      <c r="M331" s="2748"/>
      <c r="N331" s="2728"/>
      <c r="O331" s="2728"/>
      <c r="P331" s="2728"/>
      <c r="Q331" s="2748"/>
      <c r="R331" s="2748"/>
      <c r="S331" s="2748"/>
      <c r="T331" s="2748"/>
      <c r="U331" s="2748"/>
      <c r="V331" s="2748"/>
      <c r="W331" s="2748"/>
      <c r="X331" s="2748"/>
      <c r="Y331" s="2748"/>
      <c r="Z331" s="2748"/>
      <c r="AA331" s="2748"/>
      <c r="AB331" s="2748"/>
      <c r="AC331" s="2748"/>
      <c r="AD331" s="2748"/>
      <c r="AE331" s="2748"/>
      <c r="AF331" s="2748"/>
      <c r="AG331" s="2748"/>
      <c r="AH331" s="2748"/>
      <c r="AI331" s="2748"/>
      <c r="AK331" s="2748"/>
      <c r="AL331" s="2748"/>
      <c r="AN331" s="2748"/>
      <c r="AO331" s="2748"/>
      <c r="AP331" s="2748"/>
    </row>
    <row r="332" spans="2:42" ht="18" customHeight="1">
      <c r="B332" s="2728"/>
      <c r="C332" s="2728"/>
      <c r="D332" s="2728"/>
      <c r="E332" s="2728"/>
      <c r="G332" s="2512"/>
      <c r="I332" s="2748"/>
      <c r="J332" s="2728"/>
      <c r="L332" s="2728"/>
      <c r="M332" s="2748"/>
      <c r="N332" s="2728"/>
      <c r="O332" s="2728"/>
      <c r="P332" s="2728"/>
      <c r="Q332" s="2748"/>
      <c r="R332" s="2748"/>
      <c r="S332" s="2748"/>
      <c r="T332" s="2748"/>
      <c r="U332" s="2748"/>
      <c r="V332" s="2748"/>
      <c r="W332" s="2748"/>
      <c r="X332" s="2748"/>
      <c r="Y332" s="2748"/>
      <c r="Z332" s="2748"/>
      <c r="AA332" s="2748"/>
      <c r="AB332" s="2748"/>
      <c r="AC332" s="2748"/>
      <c r="AD332" s="2748"/>
      <c r="AE332" s="2748"/>
      <c r="AF332" s="2748"/>
      <c r="AG332" s="2748"/>
      <c r="AH332" s="2748"/>
      <c r="AI332" s="2748"/>
      <c r="AK332" s="2748"/>
      <c r="AL332" s="2748"/>
      <c r="AN332" s="2748"/>
      <c r="AO332" s="2748"/>
      <c r="AP332" s="2748"/>
    </row>
    <row r="333" spans="2:42" ht="18" customHeight="1">
      <c r="B333" s="2728"/>
      <c r="C333" s="2728"/>
      <c r="D333" s="2728"/>
      <c r="E333" s="2728"/>
      <c r="G333" s="2512"/>
      <c r="I333" s="2748"/>
      <c r="J333" s="2728"/>
      <c r="L333" s="2728"/>
      <c r="M333" s="2748"/>
      <c r="N333" s="2728"/>
      <c r="O333" s="2728"/>
      <c r="P333" s="2728"/>
      <c r="Q333" s="2748"/>
      <c r="R333" s="2748"/>
      <c r="S333" s="2748"/>
      <c r="T333" s="2748"/>
      <c r="U333" s="2748"/>
      <c r="V333" s="2748"/>
      <c r="W333" s="2748"/>
      <c r="X333" s="2748"/>
      <c r="Y333" s="2748"/>
      <c r="Z333" s="2748"/>
      <c r="AA333" s="2748"/>
      <c r="AB333" s="2748"/>
      <c r="AC333" s="2748"/>
      <c r="AD333" s="2748"/>
      <c r="AE333" s="2748"/>
      <c r="AF333" s="2748"/>
      <c r="AG333" s="2748"/>
      <c r="AH333" s="2748"/>
      <c r="AI333" s="2748"/>
      <c r="AK333" s="2748"/>
      <c r="AL333" s="2748"/>
      <c r="AN333" s="2748"/>
      <c r="AO333" s="2748"/>
      <c r="AP333" s="2748"/>
    </row>
    <row r="334" spans="2:42" ht="18" customHeight="1">
      <c r="B334" s="2728"/>
      <c r="C334" s="2728"/>
      <c r="D334" s="2728"/>
      <c r="E334" s="2728"/>
      <c r="G334" s="2512"/>
      <c r="I334" s="2748"/>
      <c r="J334" s="2728"/>
      <c r="L334" s="2728"/>
      <c r="M334" s="2748"/>
      <c r="N334" s="2728"/>
      <c r="O334" s="2728"/>
      <c r="P334" s="2728"/>
      <c r="Q334" s="2748"/>
      <c r="R334" s="2748"/>
      <c r="S334" s="2748"/>
      <c r="T334" s="2748"/>
      <c r="U334" s="2748"/>
      <c r="V334" s="2748"/>
      <c r="W334" s="2748"/>
      <c r="X334" s="2748"/>
      <c r="Y334" s="2748"/>
      <c r="Z334" s="2748"/>
      <c r="AA334" s="2748"/>
      <c r="AB334" s="2748"/>
      <c r="AC334" s="2748"/>
      <c r="AD334" s="2748"/>
      <c r="AE334" s="2748"/>
      <c r="AF334" s="2748"/>
      <c r="AG334" s="2748"/>
      <c r="AH334" s="2748"/>
      <c r="AI334" s="2748"/>
      <c r="AK334" s="2748"/>
      <c r="AL334" s="2748"/>
      <c r="AN334" s="2748"/>
      <c r="AO334" s="2748"/>
      <c r="AP334" s="2748"/>
    </row>
    <row r="335" spans="2:42" ht="18" customHeight="1">
      <c r="B335" s="2728"/>
      <c r="C335" s="2728"/>
      <c r="D335" s="2728"/>
      <c r="E335" s="2728"/>
      <c r="G335" s="2512"/>
      <c r="I335" s="2748"/>
      <c r="J335" s="2728"/>
      <c r="L335" s="2728"/>
      <c r="M335" s="2748"/>
      <c r="N335" s="2728"/>
      <c r="O335" s="2728"/>
      <c r="P335" s="2728"/>
      <c r="Q335" s="2748"/>
      <c r="R335" s="2748"/>
      <c r="S335" s="2748"/>
      <c r="T335" s="2748"/>
      <c r="U335" s="2748"/>
      <c r="V335" s="2748"/>
      <c r="W335" s="2748"/>
      <c r="X335" s="2748"/>
      <c r="Y335" s="2748"/>
      <c r="Z335" s="2748"/>
      <c r="AA335" s="2748"/>
      <c r="AB335" s="2748"/>
      <c r="AC335" s="2748"/>
      <c r="AD335" s="2748"/>
      <c r="AE335" s="2748"/>
      <c r="AF335" s="2748"/>
      <c r="AG335" s="2748"/>
      <c r="AH335" s="2748"/>
      <c r="AI335" s="2748"/>
      <c r="AK335" s="2748"/>
      <c r="AL335" s="2748"/>
      <c r="AN335" s="2748"/>
      <c r="AO335" s="2748"/>
      <c r="AP335" s="2748"/>
    </row>
    <row r="336" spans="2:42" ht="18" customHeight="1">
      <c r="B336" s="2728"/>
      <c r="C336" s="2728"/>
      <c r="D336" s="2728"/>
      <c r="E336" s="2728"/>
      <c r="G336" s="2512"/>
      <c r="I336" s="2748"/>
      <c r="J336" s="2728"/>
      <c r="L336" s="2728"/>
      <c r="M336" s="2748"/>
      <c r="N336" s="2728"/>
      <c r="O336" s="2728"/>
      <c r="P336" s="2728"/>
      <c r="Q336" s="2748"/>
      <c r="R336" s="2748"/>
      <c r="S336" s="2748"/>
      <c r="T336" s="2748"/>
      <c r="U336" s="2748"/>
      <c r="V336" s="2748"/>
      <c r="W336" s="2748"/>
      <c r="X336" s="2748"/>
      <c r="Y336" s="2748"/>
      <c r="Z336" s="2748"/>
      <c r="AA336" s="2748"/>
      <c r="AB336" s="2748"/>
      <c r="AC336" s="2748"/>
      <c r="AD336" s="2748"/>
      <c r="AE336" s="2748"/>
      <c r="AF336" s="2748"/>
      <c r="AG336" s="2748"/>
      <c r="AH336" s="2748"/>
      <c r="AI336" s="2748"/>
      <c r="AK336" s="2748"/>
      <c r="AL336" s="2748"/>
      <c r="AN336" s="2748"/>
      <c r="AO336" s="2748"/>
      <c r="AP336" s="2748"/>
    </row>
    <row r="337" spans="2:42" ht="18" customHeight="1">
      <c r="B337" s="2728"/>
      <c r="C337" s="2728"/>
      <c r="D337" s="2728"/>
      <c r="E337" s="2728"/>
      <c r="G337" s="2512"/>
      <c r="I337" s="2748"/>
      <c r="J337" s="2728"/>
      <c r="L337" s="2728"/>
      <c r="M337" s="2748"/>
      <c r="N337" s="2728"/>
      <c r="O337" s="2728"/>
      <c r="P337" s="2728"/>
      <c r="Q337" s="2748"/>
      <c r="R337" s="2748"/>
      <c r="S337" s="2748"/>
      <c r="T337" s="2748"/>
      <c r="U337" s="2748"/>
      <c r="V337" s="2748"/>
      <c r="W337" s="2748"/>
      <c r="X337" s="2748"/>
      <c r="Y337" s="2748"/>
      <c r="Z337" s="2748"/>
      <c r="AA337" s="2748"/>
      <c r="AB337" s="2748"/>
      <c r="AC337" s="2748"/>
      <c r="AD337" s="2748"/>
      <c r="AE337" s="2748"/>
      <c r="AF337" s="2748"/>
      <c r="AG337" s="2748"/>
      <c r="AH337" s="2748"/>
      <c r="AI337" s="2748"/>
      <c r="AK337" s="2748"/>
      <c r="AL337" s="2748"/>
      <c r="AN337" s="2748"/>
      <c r="AO337" s="2748"/>
      <c r="AP337" s="2748"/>
    </row>
    <row r="338" spans="2:42" ht="18" customHeight="1">
      <c r="B338" s="2728"/>
      <c r="C338" s="2728"/>
      <c r="D338" s="2728"/>
      <c r="E338" s="2728"/>
      <c r="G338" s="2512"/>
      <c r="I338" s="2748"/>
      <c r="J338" s="2728"/>
      <c r="L338" s="2728"/>
      <c r="M338" s="2748"/>
      <c r="N338" s="2728"/>
      <c r="O338" s="2728"/>
      <c r="P338" s="2728"/>
      <c r="Q338" s="2748"/>
      <c r="R338" s="2748"/>
      <c r="S338" s="2748"/>
      <c r="T338" s="2748"/>
      <c r="U338" s="2748"/>
      <c r="V338" s="2748"/>
      <c r="W338" s="2748"/>
      <c r="X338" s="2748"/>
      <c r="Y338" s="2748"/>
      <c r="Z338" s="2748"/>
      <c r="AA338" s="2748"/>
      <c r="AB338" s="2748"/>
      <c r="AC338" s="2748"/>
      <c r="AD338" s="2748"/>
      <c r="AE338" s="2748"/>
      <c r="AF338" s="2748"/>
      <c r="AG338" s="2748"/>
      <c r="AH338" s="2748"/>
      <c r="AI338" s="2748"/>
      <c r="AK338" s="2748"/>
      <c r="AL338" s="2748"/>
      <c r="AN338" s="2748"/>
      <c r="AO338" s="2748"/>
      <c r="AP338" s="2748"/>
    </row>
    <row r="339" spans="2:42" ht="18" customHeight="1">
      <c r="B339" s="2728"/>
      <c r="C339" s="2728"/>
      <c r="D339" s="2728"/>
      <c r="E339" s="2728"/>
      <c r="G339" s="2512"/>
      <c r="I339" s="2748"/>
      <c r="J339" s="2728"/>
      <c r="L339" s="2728"/>
      <c r="M339" s="2748"/>
      <c r="N339" s="2728"/>
      <c r="O339" s="2728"/>
      <c r="P339" s="2728"/>
      <c r="Q339" s="2748"/>
      <c r="R339" s="2748"/>
      <c r="S339" s="2748"/>
      <c r="T339" s="2748"/>
      <c r="U339" s="2748"/>
      <c r="V339" s="2748"/>
      <c r="W339" s="2748"/>
      <c r="X339" s="2748"/>
      <c r="Y339" s="2748"/>
      <c r="Z339" s="2748"/>
      <c r="AA339" s="2748"/>
      <c r="AB339" s="2748"/>
      <c r="AC339" s="2748"/>
      <c r="AD339" s="2748"/>
      <c r="AE339" s="2748"/>
      <c r="AF339" s="2748"/>
      <c r="AG339" s="2748"/>
      <c r="AH339" s="2748"/>
      <c r="AI339" s="2748"/>
      <c r="AK339" s="2748"/>
      <c r="AL339" s="2748"/>
      <c r="AN339" s="2748"/>
      <c r="AO339" s="2748"/>
      <c r="AP339" s="2748"/>
    </row>
    <row r="340" spans="2:42" ht="18" customHeight="1">
      <c r="B340" s="2728"/>
      <c r="C340" s="2728"/>
      <c r="D340" s="2728"/>
      <c r="E340" s="2728"/>
      <c r="G340" s="2512"/>
      <c r="I340" s="2748"/>
      <c r="J340" s="2728"/>
      <c r="L340" s="2728"/>
      <c r="M340" s="2748"/>
      <c r="N340" s="2728"/>
      <c r="O340" s="2728"/>
      <c r="P340" s="2728"/>
      <c r="Q340" s="2748"/>
      <c r="R340" s="2748"/>
      <c r="S340" s="2748"/>
      <c r="T340" s="2748"/>
      <c r="U340" s="2748"/>
      <c r="V340" s="2748"/>
      <c r="W340" s="2748"/>
      <c r="X340" s="2748"/>
      <c r="Y340" s="2748"/>
      <c r="Z340" s="2748"/>
      <c r="AA340" s="2748"/>
      <c r="AB340" s="2748"/>
      <c r="AC340" s="2748"/>
      <c r="AD340" s="2748"/>
      <c r="AE340" s="2748"/>
      <c r="AF340" s="2748"/>
      <c r="AG340" s="2748"/>
      <c r="AH340" s="2748"/>
      <c r="AI340" s="2748"/>
      <c r="AK340" s="2748"/>
      <c r="AL340" s="2748"/>
      <c r="AN340" s="2748"/>
      <c r="AO340" s="2748"/>
      <c r="AP340" s="2748"/>
    </row>
    <row r="341" spans="2:42" ht="18" customHeight="1">
      <c r="B341" s="2728"/>
      <c r="C341" s="2728"/>
      <c r="D341" s="2728"/>
      <c r="E341" s="2728"/>
      <c r="G341" s="2512"/>
      <c r="I341" s="2748"/>
      <c r="J341" s="2728"/>
      <c r="L341" s="2728"/>
      <c r="M341" s="2748"/>
      <c r="N341" s="2728"/>
      <c r="O341" s="2728"/>
      <c r="P341" s="2728"/>
      <c r="Q341" s="2748"/>
      <c r="R341" s="2748"/>
      <c r="S341" s="2748"/>
      <c r="T341" s="2748"/>
      <c r="U341" s="2748"/>
      <c r="V341" s="2748"/>
      <c r="W341" s="2748"/>
      <c r="X341" s="2748"/>
      <c r="Y341" s="2748"/>
      <c r="Z341" s="2748"/>
      <c r="AA341" s="2748"/>
      <c r="AB341" s="2748"/>
      <c r="AC341" s="2748"/>
      <c r="AD341" s="2748"/>
      <c r="AE341" s="2748"/>
      <c r="AF341" s="2748"/>
      <c r="AG341" s="2748"/>
      <c r="AH341" s="2748"/>
      <c r="AI341" s="2748"/>
      <c r="AK341" s="2748"/>
      <c r="AL341" s="2748"/>
      <c r="AN341" s="2748"/>
      <c r="AO341" s="2748"/>
      <c r="AP341" s="2748"/>
    </row>
    <row r="342" spans="2:42" ht="18" customHeight="1">
      <c r="B342" s="2728"/>
      <c r="C342" s="2728"/>
      <c r="D342" s="2728"/>
      <c r="E342" s="2728"/>
      <c r="G342" s="2512"/>
      <c r="I342" s="2748"/>
      <c r="J342" s="2728"/>
      <c r="L342" s="2728"/>
      <c r="M342" s="2748"/>
      <c r="N342" s="2728"/>
      <c r="O342" s="2728"/>
      <c r="P342" s="2728"/>
      <c r="Q342" s="2748"/>
      <c r="R342" s="2748"/>
      <c r="S342" s="2748"/>
      <c r="T342" s="2748"/>
      <c r="U342" s="2748"/>
      <c r="V342" s="2748"/>
      <c r="W342" s="2748"/>
      <c r="X342" s="2748"/>
      <c r="Y342" s="2748"/>
      <c r="Z342" s="2748"/>
      <c r="AA342" s="2748"/>
      <c r="AB342" s="2748"/>
      <c r="AC342" s="2748"/>
      <c r="AD342" s="2748"/>
      <c r="AE342" s="2748"/>
      <c r="AF342" s="2748"/>
      <c r="AG342" s="2748"/>
      <c r="AH342" s="2748"/>
      <c r="AI342" s="2748"/>
      <c r="AK342" s="2748"/>
      <c r="AL342" s="2748"/>
      <c r="AN342" s="2748"/>
      <c r="AO342" s="2748"/>
      <c r="AP342" s="2748"/>
    </row>
    <row r="343" spans="2:42" ht="18" customHeight="1">
      <c r="B343" s="2728"/>
      <c r="C343" s="2728"/>
      <c r="D343" s="2728"/>
      <c r="E343" s="2728"/>
      <c r="G343" s="2512"/>
      <c r="I343" s="2748"/>
      <c r="J343" s="2728"/>
      <c r="L343" s="2728"/>
      <c r="M343" s="2748"/>
      <c r="N343" s="2728"/>
      <c r="O343" s="2728"/>
      <c r="P343" s="2728"/>
      <c r="Q343" s="2748"/>
      <c r="R343" s="2748"/>
      <c r="S343" s="2748"/>
      <c r="T343" s="2748"/>
      <c r="U343" s="2748"/>
      <c r="V343" s="2748"/>
      <c r="W343" s="2748"/>
      <c r="X343" s="2748"/>
      <c r="Y343" s="2748"/>
      <c r="Z343" s="2748"/>
      <c r="AA343" s="2748"/>
      <c r="AB343" s="2748"/>
      <c r="AC343" s="2748"/>
      <c r="AD343" s="2748"/>
      <c r="AE343" s="2748"/>
      <c r="AF343" s="2748"/>
      <c r="AG343" s="2748"/>
      <c r="AH343" s="2748"/>
      <c r="AI343" s="2748"/>
      <c r="AK343" s="2748"/>
      <c r="AL343" s="2748"/>
      <c r="AN343" s="2748"/>
      <c r="AO343" s="2748"/>
      <c r="AP343" s="2748"/>
    </row>
    <row r="344" spans="2:42" ht="18" customHeight="1">
      <c r="B344" s="2728"/>
      <c r="C344" s="2728"/>
      <c r="D344" s="2728"/>
      <c r="E344" s="2728"/>
      <c r="G344" s="2512"/>
      <c r="I344" s="2748"/>
      <c r="J344" s="2728"/>
      <c r="L344" s="2728"/>
      <c r="M344" s="2748"/>
      <c r="N344" s="2728"/>
      <c r="O344" s="2728"/>
      <c r="P344" s="2728"/>
      <c r="Q344" s="2748"/>
      <c r="R344" s="2748"/>
      <c r="S344" s="2748"/>
      <c r="T344" s="2748"/>
      <c r="U344" s="2748"/>
      <c r="V344" s="2748"/>
      <c r="W344" s="2748"/>
      <c r="X344" s="2748"/>
      <c r="Y344" s="2748"/>
      <c r="Z344" s="2748"/>
      <c r="AA344" s="2748"/>
      <c r="AB344" s="2748"/>
      <c r="AC344" s="2748"/>
      <c r="AD344" s="2748"/>
      <c r="AE344" s="2748"/>
      <c r="AF344" s="2748"/>
      <c r="AG344" s="2748"/>
      <c r="AH344" s="2748"/>
      <c r="AI344" s="2748"/>
      <c r="AK344" s="2748"/>
      <c r="AL344" s="2748"/>
      <c r="AN344" s="2748"/>
      <c r="AO344" s="2748"/>
      <c r="AP344" s="2748"/>
    </row>
    <row r="345" spans="2:42" ht="18" customHeight="1">
      <c r="B345" s="2728"/>
      <c r="C345" s="2728"/>
      <c r="D345" s="2728"/>
      <c r="E345" s="2728"/>
      <c r="G345" s="2512"/>
      <c r="I345" s="2748"/>
      <c r="J345" s="2728"/>
      <c r="L345" s="2728"/>
      <c r="M345" s="2748"/>
      <c r="N345" s="2728"/>
      <c r="O345" s="2728"/>
      <c r="P345" s="2728"/>
      <c r="Q345" s="2748"/>
      <c r="R345" s="2748"/>
      <c r="S345" s="2748"/>
      <c r="T345" s="2748"/>
      <c r="U345" s="2748"/>
      <c r="V345" s="2748"/>
      <c r="W345" s="2748"/>
      <c r="X345" s="2748"/>
      <c r="Y345" s="2748"/>
      <c r="Z345" s="2748"/>
      <c r="AA345" s="2748"/>
      <c r="AB345" s="2748"/>
      <c r="AC345" s="2748"/>
      <c r="AD345" s="2748"/>
      <c r="AE345" s="2748"/>
      <c r="AF345" s="2748"/>
      <c r="AG345" s="2748"/>
      <c r="AH345" s="2748"/>
      <c r="AI345" s="2748"/>
      <c r="AK345" s="2748"/>
      <c r="AL345" s="2748"/>
      <c r="AN345" s="2748"/>
      <c r="AO345" s="2748"/>
      <c r="AP345" s="2748"/>
    </row>
    <row r="346" spans="2:42" ht="18" customHeight="1">
      <c r="B346" s="2728"/>
      <c r="C346" s="2728"/>
      <c r="D346" s="2728"/>
      <c r="E346" s="2728"/>
      <c r="G346" s="2512"/>
      <c r="I346" s="2748"/>
      <c r="J346" s="2728"/>
      <c r="L346" s="2728"/>
      <c r="M346" s="2748"/>
      <c r="N346" s="2728"/>
      <c r="O346" s="2728"/>
      <c r="P346" s="2728"/>
      <c r="Q346" s="2748"/>
      <c r="R346" s="2748"/>
      <c r="S346" s="2748"/>
      <c r="T346" s="2748"/>
      <c r="U346" s="2748"/>
      <c r="V346" s="2748"/>
      <c r="W346" s="2748"/>
      <c r="X346" s="2748"/>
      <c r="Y346" s="2748"/>
      <c r="Z346" s="2748"/>
      <c r="AA346" s="2748"/>
      <c r="AB346" s="2748"/>
      <c r="AC346" s="2748"/>
      <c r="AD346" s="2748"/>
      <c r="AE346" s="2748"/>
      <c r="AF346" s="2748"/>
      <c r="AG346" s="2748"/>
      <c r="AH346" s="2748"/>
      <c r="AI346" s="2748"/>
      <c r="AK346" s="2748"/>
      <c r="AL346" s="2748"/>
      <c r="AN346" s="2748"/>
      <c r="AO346" s="2748"/>
      <c r="AP346" s="2748"/>
    </row>
    <row r="347" spans="2:42" ht="18" customHeight="1">
      <c r="B347" s="2728"/>
      <c r="C347" s="2728"/>
      <c r="D347" s="2728"/>
      <c r="E347" s="2728"/>
      <c r="G347" s="2512"/>
      <c r="I347" s="2748"/>
      <c r="J347" s="2728"/>
      <c r="L347" s="2728"/>
      <c r="M347" s="2748"/>
      <c r="N347" s="2728"/>
      <c r="O347" s="2728"/>
      <c r="P347" s="2728"/>
      <c r="Q347" s="2748"/>
      <c r="R347" s="2748"/>
      <c r="S347" s="2748"/>
      <c r="T347" s="2748"/>
      <c r="U347" s="2748"/>
      <c r="V347" s="2748"/>
      <c r="W347" s="2748"/>
      <c r="X347" s="2748"/>
      <c r="Y347" s="2748"/>
      <c r="Z347" s="2748"/>
      <c r="AA347" s="2748"/>
      <c r="AB347" s="2748"/>
      <c r="AC347" s="2748"/>
      <c r="AD347" s="2748"/>
      <c r="AE347" s="2748"/>
      <c r="AF347" s="2748"/>
      <c r="AG347" s="2748"/>
      <c r="AH347" s="2748"/>
      <c r="AI347" s="2748"/>
      <c r="AK347" s="2748"/>
      <c r="AL347" s="2748"/>
      <c r="AN347" s="2748"/>
      <c r="AO347" s="2748"/>
      <c r="AP347" s="2748"/>
    </row>
    <row r="348" spans="2:42" ht="18" customHeight="1">
      <c r="B348" s="2728"/>
      <c r="C348" s="2728"/>
      <c r="D348" s="2728"/>
      <c r="E348" s="2728"/>
      <c r="G348" s="2512"/>
      <c r="I348" s="2748"/>
      <c r="J348" s="2728"/>
      <c r="L348" s="2728"/>
      <c r="M348" s="2748"/>
      <c r="N348" s="2728"/>
      <c r="O348" s="2728"/>
      <c r="P348" s="2728"/>
      <c r="Q348" s="2748"/>
      <c r="R348" s="2748"/>
      <c r="S348" s="2748"/>
      <c r="T348" s="2748"/>
      <c r="U348" s="2748"/>
      <c r="V348" s="2748"/>
      <c r="W348" s="2748"/>
      <c r="X348" s="2748"/>
      <c r="Y348" s="2748"/>
      <c r="Z348" s="2748"/>
      <c r="AA348" s="2748"/>
      <c r="AB348" s="2748"/>
      <c r="AC348" s="2748"/>
      <c r="AD348" s="2748"/>
      <c r="AE348" s="2748"/>
      <c r="AF348" s="2748"/>
      <c r="AG348" s="2748"/>
      <c r="AH348" s="2748"/>
      <c r="AI348" s="2748"/>
      <c r="AK348" s="2748"/>
      <c r="AL348" s="2748"/>
      <c r="AN348" s="2748"/>
      <c r="AO348" s="2748"/>
      <c r="AP348" s="2748"/>
    </row>
    <row r="349" spans="2:42" ht="18" customHeight="1">
      <c r="B349" s="2728"/>
      <c r="C349" s="2728"/>
      <c r="D349" s="2728"/>
      <c r="E349" s="2728"/>
      <c r="G349" s="2512"/>
      <c r="I349" s="2748"/>
      <c r="J349" s="2728"/>
      <c r="L349" s="2728"/>
      <c r="M349" s="2748"/>
      <c r="N349" s="2728"/>
      <c r="O349" s="2728"/>
      <c r="P349" s="2728"/>
      <c r="Q349" s="2748"/>
      <c r="R349" s="2748"/>
      <c r="S349" s="2748"/>
      <c r="T349" s="2748"/>
      <c r="U349" s="2748"/>
      <c r="V349" s="2748"/>
      <c r="W349" s="2748"/>
      <c r="X349" s="2748"/>
      <c r="Y349" s="2748"/>
      <c r="Z349" s="2748"/>
      <c r="AA349" s="2748"/>
      <c r="AB349" s="2748"/>
      <c r="AC349" s="2748"/>
      <c r="AD349" s="2748"/>
      <c r="AE349" s="2748"/>
      <c r="AF349" s="2748"/>
      <c r="AG349" s="2748"/>
      <c r="AH349" s="2748"/>
      <c r="AI349" s="2748"/>
      <c r="AK349" s="2748"/>
      <c r="AL349" s="2748"/>
      <c r="AN349" s="2748"/>
      <c r="AO349" s="2748"/>
      <c r="AP349" s="2748"/>
    </row>
    <row r="350" spans="2:42" ht="18" customHeight="1">
      <c r="B350" s="2728"/>
      <c r="C350" s="2728"/>
      <c r="D350" s="2728"/>
      <c r="E350" s="2728"/>
      <c r="G350" s="2512"/>
      <c r="I350" s="2748"/>
      <c r="J350" s="2728"/>
      <c r="L350" s="2728"/>
      <c r="M350" s="2748"/>
      <c r="N350" s="2728"/>
      <c r="O350" s="2728"/>
      <c r="P350" s="2728"/>
      <c r="Q350" s="2748"/>
      <c r="R350" s="2748"/>
      <c r="S350" s="2748"/>
      <c r="T350" s="2748"/>
      <c r="U350" s="2748"/>
      <c r="V350" s="2748"/>
      <c r="W350" s="2748"/>
      <c r="X350" s="2748"/>
      <c r="Y350" s="2748"/>
      <c r="Z350" s="2748"/>
      <c r="AA350" s="2748"/>
      <c r="AB350" s="2748"/>
      <c r="AC350" s="2748"/>
      <c r="AD350" s="2748"/>
      <c r="AE350" s="2748"/>
      <c r="AF350" s="2748"/>
      <c r="AG350" s="2748"/>
      <c r="AH350" s="2748"/>
      <c r="AI350" s="2748"/>
      <c r="AK350" s="2748"/>
      <c r="AL350" s="2748"/>
      <c r="AN350" s="2748"/>
      <c r="AO350" s="2748"/>
      <c r="AP350" s="2748"/>
    </row>
    <row r="351" spans="2:42" ht="18" customHeight="1">
      <c r="B351" s="2728"/>
      <c r="C351" s="2728"/>
      <c r="D351" s="2728"/>
      <c r="E351" s="2728"/>
      <c r="G351" s="2512"/>
      <c r="I351" s="2748"/>
      <c r="J351" s="2728"/>
      <c r="L351" s="2728"/>
      <c r="M351" s="2748"/>
      <c r="N351" s="2728"/>
      <c r="O351" s="2728"/>
      <c r="P351" s="2728"/>
      <c r="Q351" s="2748"/>
      <c r="R351" s="2748"/>
      <c r="S351" s="2748"/>
      <c r="T351" s="2748"/>
      <c r="U351" s="2748"/>
      <c r="V351" s="2748"/>
      <c r="W351" s="2748"/>
      <c r="X351" s="2748"/>
      <c r="Y351" s="2748"/>
      <c r="Z351" s="2748"/>
      <c r="AA351" s="2748"/>
      <c r="AB351" s="2748"/>
      <c r="AC351" s="2748"/>
      <c r="AD351" s="2748"/>
      <c r="AE351" s="2748"/>
      <c r="AF351" s="2748"/>
      <c r="AG351" s="2748"/>
      <c r="AH351" s="2748"/>
      <c r="AI351" s="2748"/>
      <c r="AK351" s="2748"/>
      <c r="AL351" s="2748"/>
      <c r="AN351" s="2748"/>
      <c r="AO351" s="2748"/>
      <c r="AP351" s="2748"/>
    </row>
    <row r="352" spans="2:42" ht="18" customHeight="1">
      <c r="B352" s="2728"/>
      <c r="C352" s="2728"/>
      <c r="D352" s="2728"/>
      <c r="E352" s="2728"/>
      <c r="G352" s="2512"/>
      <c r="I352" s="2748"/>
      <c r="J352" s="2728"/>
      <c r="L352" s="2728"/>
      <c r="M352" s="2748"/>
      <c r="N352" s="2728"/>
      <c r="O352" s="2728"/>
      <c r="P352" s="2728"/>
      <c r="Q352" s="2748"/>
      <c r="R352" s="2748"/>
      <c r="S352" s="2748"/>
      <c r="T352" s="2748"/>
      <c r="U352" s="2748"/>
      <c r="V352" s="2748"/>
      <c r="W352" s="2748"/>
      <c r="X352" s="2748"/>
      <c r="Y352" s="2748"/>
      <c r="Z352" s="2748"/>
      <c r="AA352" s="2748"/>
      <c r="AB352" s="2748"/>
      <c r="AC352" s="2748"/>
      <c r="AD352" s="2748"/>
      <c r="AE352" s="2748"/>
      <c r="AF352" s="2748"/>
      <c r="AG352" s="2748"/>
      <c r="AH352" s="2748"/>
      <c r="AI352" s="2748"/>
      <c r="AK352" s="2748"/>
      <c r="AL352" s="2748"/>
      <c r="AN352" s="2748"/>
      <c r="AO352" s="2748"/>
      <c r="AP352" s="2748"/>
    </row>
    <row r="353" spans="2:42" ht="18" customHeight="1">
      <c r="B353" s="2728"/>
      <c r="C353" s="2728"/>
      <c r="D353" s="2728"/>
      <c r="E353" s="2728"/>
      <c r="G353" s="2512"/>
      <c r="I353" s="2748"/>
      <c r="J353" s="2728"/>
      <c r="L353" s="2728"/>
      <c r="M353" s="2748"/>
      <c r="N353" s="2728"/>
      <c r="O353" s="2728"/>
      <c r="P353" s="2728"/>
      <c r="Q353" s="2748"/>
      <c r="R353" s="2748"/>
      <c r="S353" s="2748"/>
      <c r="T353" s="2748"/>
      <c r="U353" s="2748"/>
      <c r="V353" s="2748"/>
      <c r="W353" s="2748"/>
      <c r="X353" s="2748"/>
      <c r="Y353" s="2748"/>
      <c r="Z353" s="2748"/>
      <c r="AA353" s="2748"/>
      <c r="AB353" s="2748"/>
      <c r="AC353" s="2748"/>
      <c r="AD353" s="2748"/>
      <c r="AE353" s="2748"/>
      <c r="AF353" s="2748"/>
      <c r="AG353" s="2748"/>
      <c r="AH353" s="2748"/>
      <c r="AI353" s="2748"/>
      <c r="AK353" s="2748"/>
      <c r="AL353" s="2748"/>
      <c r="AN353" s="2748"/>
      <c r="AO353" s="2748"/>
      <c r="AP353" s="2748"/>
    </row>
    <row r="354" spans="2:42" ht="18" customHeight="1">
      <c r="B354" s="2728"/>
      <c r="C354" s="2728"/>
      <c r="D354" s="2728"/>
      <c r="E354" s="2728"/>
      <c r="G354" s="2512"/>
      <c r="I354" s="2748"/>
      <c r="J354" s="2728"/>
      <c r="L354" s="2728"/>
      <c r="M354" s="2748"/>
      <c r="N354" s="2728"/>
      <c r="O354" s="2728"/>
      <c r="P354" s="2728"/>
      <c r="Q354" s="2748"/>
      <c r="R354" s="2748"/>
      <c r="S354" s="2748"/>
      <c r="T354" s="2748"/>
      <c r="U354" s="2748"/>
      <c r="V354" s="2748"/>
      <c r="W354" s="2748"/>
      <c r="X354" s="2748"/>
      <c r="Y354" s="2748"/>
      <c r="Z354" s="2748"/>
      <c r="AA354" s="2748"/>
      <c r="AB354" s="2748"/>
      <c r="AC354" s="2748"/>
      <c r="AD354" s="2748"/>
      <c r="AE354" s="2748"/>
      <c r="AF354" s="2748"/>
      <c r="AG354" s="2748"/>
      <c r="AH354" s="2748"/>
      <c r="AI354" s="2748"/>
      <c r="AK354" s="2748"/>
      <c r="AL354" s="2748"/>
      <c r="AN354" s="2748"/>
      <c r="AO354" s="2748"/>
      <c r="AP354" s="2748"/>
    </row>
    <row r="355" spans="2:42" ht="18" customHeight="1">
      <c r="B355" s="2728"/>
      <c r="C355" s="2728"/>
      <c r="D355" s="2728"/>
      <c r="E355" s="2728"/>
      <c r="G355" s="2512"/>
      <c r="I355" s="2748"/>
      <c r="J355" s="2728"/>
      <c r="L355" s="2728"/>
      <c r="M355" s="2748"/>
      <c r="N355" s="2728"/>
      <c r="O355" s="2728"/>
      <c r="P355" s="2728"/>
      <c r="Q355" s="2748"/>
      <c r="R355" s="2748"/>
      <c r="S355" s="2748"/>
      <c r="T355" s="2748"/>
      <c r="U355" s="2748"/>
      <c r="V355" s="2748"/>
      <c r="W355" s="2748"/>
      <c r="X355" s="2748"/>
      <c r="Y355" s="2748"/>
      <c r="Z355" s="2748"/>
      <c r="AA355" s="2748"/>
      <c r="AB355" s="2748"/>
      <c r="AC355" s="2748"/>
      <c r="AD355" s="2748"/>
      <c r="AE355" s="2748"/>
      <c r="AF355" s="2748"/>
      <c r="AG355" s="2748"/>
      <c r="AH355" s="2748"/>
      <c r="AI355" s="2748"/>
      <c r="AK355" s="2748"/>
      <c r="AL355" s="2748"/>
      <c r="AN355" s="2748"/>
      <c r="AO355" s="2748"/>
      <c r="AP355" s="2748"/>
    </row>
    <row r="356" spans="2:42" ht="18" customHeight="1">
      <c r="B356" s="2728"/>
      <c r="C356" s="2728"/>
      <c r="D356" s="2728"/>
      <c r="E356" s="2728"/>
      <c r="G356" s="2512"/>
      <c r="I356" s="2748"/>
      <c r="J356" s="2728"/>
      <c r="L356" s="2728"/>
      <c r="M356" s="2748"/>
      <c r="N356" s="2728"/>
      <c r="O356" s="2728"/>
      <c r="P356" s="2728"/>
      <c r="Q356" s="2748"/>
      <c r="R356" s="2748"/>
      <c r="S356" s="2748"/>
      <c r="T356" s="2748"/>
      <c r="U356" s="2748"/>
      <c r="V356" s="2748"/>
      <c r="W356" s="2748"/>
      <c r="X356" s="2748"/>
      <c r="Y356" s="2748"/>
      <c r="Z356" s="2748"/>
      <c r="AA356" s="2748"/>
      <c r="AB356" s="2748"/>
      <c r="AC356" s="2748"/>
      <c r="AD356" s="2748"/>
      <c r="AE356" s="2748"/>
      <c r="AF356" s="2748"/>
      <c r="AG356" s="2748"/>
      <c r="AH356" s="2748"/>
      <c r="AI356" s="2748"/>
      <c r="AK356" s="2748"/>
      <c r="AL356" s="2748"/>
      <c r="AN356" s="2748"/>
      <c r="AO356" s="2748"/>
      <c r="AP356" s="2748"/>
    </row>
    <row r="357" spans="2:42" ht="18" customHeight="1">
      <c r="B357" s="2728"/>
      <c r="C357" s="2728"/>
      <c r="D357" s="2728"/>
      <c r="E357" s="2728"/>
      <c r="G357" s="2512"/>
      <c r="I357" s="2748"/>
      <c r="J357" s="2728"/>
      <c r="L357" s="2728"/>
      <c r="M357" s="2748"/>
      <c r="N357" s="2728"/>
      <c r="O357" s="2728"/>
      <c r="P357" s="2728"/>
      <c r="Q357" s="2748"/>
      <c r="R357" s="2748"/>
      <c r="S357" s="2748"/>
      <c r="T357" s="2748"/>
      <c r="U357" s="2748"/>
      <c r="V357" s="2748"/>
      <c r="W357" s="2748"/>
      <c r="X357" s="2748"/>
      <c r="Y357" s="2748"/>
      <c r="Z357" s="2748"/>
      <c r="AA357" s="2748"/>
      <c r="AB357" s="2748"/>
      <c r="AC357" s="2748"/>
      <c r="AD357" s="2748"/>
      <c r="AE357" s="2748"/>
      <c r="AF357" s="2748"/>
      <c r="AG357" s="2748"/>
      <c r="AH357" s="2748"/>
      <c r="AI357" s="2748"/>
      <c r="AK357" s="2748"/>
      <c r="AL357" s="2748"/>
      <c r="AN357" s="2748"/>
      <c r="AO357" s="2748"/>
      <c r="AP357" s="2748"/>
    </row>
    <row r="358" spans="2:42" ht="18" customHeight="1">
      <c r="B358" s="2728"/>
      <c r="C358" s="2728"/>
      <c r="D358" s="2728"/>
      <c r="E358" s="2728"/>
      <c r="G358" s="2512"/>
      <c r="I358" s="2748"/>
      <c r="J358" s="2728"/>
      <c r="L358" s="2728"/>
      <c r="M358" s="2748"/>
      <c r="N358" s="2728"/>
      <c r="O358" s="2728"/>
      <c r="P358" s="2728"/>
      <c r="Q358" s="2748"/>
      <c r="R358" s="2748"/>
      <c r="S358" s="2748"/>
      <c r="T358" s="2748"/>
      <c r="U358" s="2748"/>
      <c r="V358" s="2748"/>
      <c r="W358" s="2748"/>
      <c r="X358" s="2748"/>
      <c r="Y358" s="2748"/>
      <c r="Z358" s="2748"/>
      <c r="AA358" s="2748"/>
      <c r="AB358" s="2748"/>
      <c r="AC358" s="2748"/>
      <c r="AD358" s="2748"/>
      <c r="AE358" s="2748"/>
      <c r="AF358" s="2748"/>
      <c r="AG358" s="2748"/>
      <c r="AH358" s="2748"/>
      <c r="AI358" s="2748"/>
      <c r="AK358" s="2748"/>
      <c r="AL358" s="2748"/>
      <c r="AN358" s="2748"/>
      <c r="AO358" s="2748"/>
      <c r="AP358" s="2748"/>
    </row>
    <row r="359" spans="2:42" ht="18" customHeight="1">
      <c r="B359" s="2728"/>
      <c r="C359" s="2728"/>
      <c r="D359" s="2728"/>
      <c r="E359" s="2728"/>
      <c r="G359" s="2512"/>
      <c r="I359" s="2748"/>
      <c r="J359" s="2728"/>
      <c r="L359" s="2728"/>
      <c r="M359" s="2748"/>
      <c r="N359" s="2728"/>
      <c r="O359" s="2728"/>
      <c r="P359" s="2728"/>
      <c r="Q359" s="2748"/>
      <c r="R359" s="2748"/>
      <c r="S359" s="2748"/>
      <c r="T359" s="2748"/>
      <c r="U359" s="2748"/>
      <c r="V359" s="2748"/>
      <c r="W359" s="2748"/>
      <c r="X359" s="2748"/>
      <c r="Y359" s="2748"/>
      <c r="Z359" s="2748"/>
      <c r="AA359" s="2748"/>
      <c r="AB359" s="2748"/>
      <c r="AC359" s="2748"/>
      <c r="AD359" s="2748"/>
      <c r="AE359" s="2748"/>
      <c r="AF359" s="2748"/>
      <c r="AG359" s="2748"/>
      <c r="AH359" s="2748"/>
      <c r="AI359" s="2748"/>
      <c r="AK359" s="2748"/>
      <c r="AL359" s="2748"/>
      <c r="AN359" s="2748"/>
      <c r="AO359" s="2748"/>
      <c r="AP359" s="2748"/>
    </row>
    <row r="360" spans="2:42" ht="18" customHeight="1">
      <c r="B360" s="2728"/>
      <c r="C360" s="2728"/>
      <c r="D360" s="2728"/>
      <c r="E360" s="2728"/>
      <c r="G360" s="2512"/>
      <c r="I360" s="2748"/>
      <c r="J360" s="2728"/>
      <c r="L360" s="2728"/>
      <c r="M360" s="2748"/>
      <c r="N360" s="2728"/>
      <c r="O360" s="2728"/>
      <c r="P360" s="2728"/>
      <c r="Q360" s="2748"/>
      <c r="R360" s="2748"/>
      <c r="S360" s="2748"/>
      <c r="T360" s="2748"/>
      <c r="U360" s="2748"/>
      <c r="V360" s="2748"/>
      <c r="W360" s="2748"/>
      <c r="X360" s="2748"/>
      <c r="Y360" s="2748"/>
      <c r="Z360" s="2748"/>
      <c r="AA360" s="2748"/>
      <c r="AB360" s="2748"/>
      <c r="AC360" s="2748"/>
      <c r="AD360" s="2748"/>
      <c r="AE360" s="2748"/>
      <c r="AF360" s="2748"/>
      <c r="AG360" s="2748"/>
      <c r="AH360" s="2748"/>
      <c r="AI360" s="2748"/>
      <c r="AK360" s="2748"/>
      <c r="AL360" s="2748"/>
      <c r="AN360" s="2748"/>
      <c r="AO360" s="2748"/>
      <c r="AP360" s="2748"/>
    </row>
    <row r="361" spans="2:42" ht="18" customHeight="1">
      <c r="B361" s="2728"/>
      <c r="C361" s="2728"/>
      <c r="D361" s="2728"/>
      <c r="E361" s="2728"/>
      <c r="G361" s="2512"/>
      <c r="I361" s="2748"/>
      <c r="J361" s="2728"/>
      <c r="L361" s="2728"/>
      <c r="M361" s="2748"/>
      <c r="N361" s="2728"/>
      <c r="O361" s="2728"/>
      <c r="P361" s="2728"/>
      <c r="Q361" s="2748"/>
      <c r="R361" s="2748"/>
      <c r="S361" s="2748"/>
      <c r="T361" s="2748"/>
      <c r="U361" s="2748"/>
      <c r="V361" s="2748"/>
      <c r="W361" s="2748"/>
      <c r="X361" s="2748"/>
      <c r="Y361" s="2748"/>
      <c r="Z361" s="2748"/>
      <c r="AA361" s="2748"/>
      <c r="AB361" s="2748"/>
      <c r="AC361" s="2748"/>
      <c r="AD361" s="2748"/>
      <c r="AE361" s="2748"/>
      <c r="AF361" s="2748"/>
      <c r="AG361" s="2748"/>
      <c r="AH361" s="2748"/>
      <c r="AI361" s="2748"/>
      <c r="AK361" s="2748"/>
      <c r="AL361" s="2748"/>
      <c r="AN361" s="2748"/>
      <c r="AO361" s="2748"/>
      <c r="AP361" s="2748"/>
    </row>
    <row r="362" spans="2:42" ht="18" customHeight="1">
      <c r="B362" s="2728"/>
      <c r="C362" s="2728"/>
      <c r="D362" s="2728"/>
      <c r="E362" s="2728"/>
      <c r="G362" s="2512"/>
      <c r="I362" s="2748"/>
      <c r="J362" s="2728"/>
      <c r="L362" s="2728"/>
      <c r="M362" s="2748"/>
      <c r="N362" s="2728"/>
      <c r="O362" s="2728"/>
      <c r="P362" s="2728"/>
      <c r="Q362" s="2748"/>
      <c r="R362" s="2748"/>
      <c r="S362" s="2748"/>
      <c r="T362" s="2748"/>
      <c r="U362" s="2748"/>
      <c r="V362" s="2748"/>
      <c r="W362" s="2748"/>
      <c r="X362" s="2748"/>
      <c r="Y362" s="2748"/>
      <c r="Z362" s="2748"/>
      <c r="AA362" s="2748"/>
      <c r="AB362" s="2748"/>
      <c r="AC362" s="2748"/>
      <c r="AD362" s="2748"/>
      <c r="AE362" s="2748"/>
      <c r="AF362" s="2748"/>
      <c r="AG362" s="2748"/>
      <c r="AH362" s="2748"/>
      <c r="AI362" s="2748"/>
      <c r="AK362" s="2748"/>
      <c r="AL362" s="2748"/>
      <c r="AN362" s="2748"/>
      <c r="AO362" s="2748"/>
      <c r="AP362" s="2748"/>
    </row>
    <row r="363" spans="2:42" ht="18" customHeight="1">
      <c r="B363" s="2728"/>
      <c r="C363" s="2728"/>
      <c r="D363" s="2728"/>
      <c r="E363" s="2728"/>
      <c r="G363" s="2512"/>
      <c r="I363" s="2748"/>
      <c r="J363" s="2728"/>
      <c r="L363" s="2728"/>
      <c r="M363" s="2748"/>
      <c r="N363" s="2728"/>
      <c r="O363" s="2728"/>
      <c r="P363" s="2728"/>
      <c r="Q363" s="2748"/>
      <c r="R363" s="2748"/>
      <c r="S363" s="2748"/>
      <c r="T363" s="2748"/>
      <c r="U363" s="2748"/>
      <c r="V363" s="2748"/>
      <c r="W363" s="2748"/>
      <c r="X363" s="2748"/>
      <c r="Y363" s="2748"/>
      <c r="Z363" s="2748"/>
      <c r="AA363" s="2748"/>
      <c r="AB363" s="2748"/>
      <c r="AC363" s="2748"/>
      <c r="AD363" s="2748"/>
      <c r="AE363" s="2748"/>
      <c r="AF363" s="2748"/>
      <c r="AG363" s="2748"/>
      <c r="AH363" s="2748"/>
      <c r="AI363" s="2748"/>
      <c r="AK363" s="2748"/>
      <c r="AL363" s="2748"/>
      <c r="AN363" s="2748"/>
      <c r="AO363" s="2748"/>
      <c r="AP363" s="2748"/>
    </row>
    <row r="364" spans="2:42" ht="18" customHeight="1">
      <c r="B364" s="2728"/>
      <c r="C364" s="2728"/>
      <c r="D364" s="2728"/>
      <c r="E364" s="2728"/>
      <c r="G364" s="2512"/>
      <c r="I364" s="2748"/>
      <c r="J364" s="2728"/>
      <c r="L364" s="2728"/>
      <c r="M364" s="2748"/>
      <c r="N364" s="2728"/>
      <c r="O364" s="2728"/>
      <c r="P364" s="2728"/>
      <c r="Q364" s="2748"/>
      <c r="R364" s="2748"/>
      <c r="S364" s="2748"/>
      <c r="T364" s="2748"/>
      <c r="U364" s="2748"/>
      <c r="V364" s="2748"/>
      <c r="W364" s="2748"/>
      <c r="X364" s="2748"/>
      <c r="Y364" s="2748"/>
      <c r="Z364" s="2748"/>
      <c r="AA364" s="2748"/>
      <c r="AB364" s="2748"/>
      <c r="AC364" s="2748"/>
      <c r="AD364" s="2748"/>
      <c r="AE364" s="2748"/>
      <c r="AF364" s="2748"/>
      <c r="AG364" s="2748"/>
      <c r="AH364" s="2748"/>
      <c r="AI364" s="2748"/>
      <c r="AK364" s="2748"/>
      <c r="AL364" s="2748"/>
      <c r="AN364" s="2748"/>
      <c r="AO364" s="2748"/>
      <c r="AP364" s="2748"/>
    </row>
    <row r="365" spans="2:42" ht="18" customHeight="1">
      <c r="B365" s="2728"/>
      <c r="C365" s="2728"/>
      <c r="D365" s="2728"/>
      <c r="E365" s="2728"/>
      <c r="G365" s="2512"/>
      <c r="I365" s="2748"/>
      <c r="J365" s="2728"/>
      <c r="L365" s="2728"/>
      <c r="M365" s="2748"/>
      <c r="N365" s="2728"/>
      <c r="O365" s="2728"/>
      <c r="P365" s="2728"/>
      <c r="Q365" s="2748"/>
      <c r="R365" s="2748"/>
      <c r="S365" s="2748"/>
      <c r="T365" s="2748"/>
      <c r="U365" s="2748"/>
      <c r="V365" s="2748"/>
      <c r="W365" s="2748"/>
      <c r="X365" s="2748"/>
      <c r="Y365" s="2748"/>
      <c r="Z365" s="2748"/>
      <c r="AA365" s="2748"/>
      <c r="AB365" s="2748"/>
      <c r="AC365" s="2748"/>
      <c r="AD365" s="2748"/>
      <c r="AE365" s="2748"/>
      <c r="AF365" s="2748"/>
      <c r="AG365" s="2748"/>
      <c r="AH365" s="2748"/>
      <c r="AI365" s="2748"/>
      <c r="AK365" s="2748"/>
      <c r="AL365" s="2748"/>
      <c r="AN365" s="2748"/>
      <c r="AO365" s="2748"/>
      <c r="AP365" s="2748"/>
    </row>
    <row r="366" spans="2:42" ht="18" customHeight="1">
      <c r="B366" s="2728"/>
      <c r="C366" s="2728"/>
      <c r="D366" s="2728"/>
      <c r="E366" s="2728"/>
      <c r="G366" s="2512"/>
      <c r="I366" s="2748"/>
      <c r="J366" s="2728"/>
      <c r="L366" s="2728"/>
      <c r="M366" s="2748"/>
      <c r="N366" s="2728"/>
      <c r="O366" s="2728"/>
      <c r="P366" s="2728"/>
      <c r="Q366" s="2748"/>
      <c r="R366" s="2748"/>
      <c r="S366" s="2748"/>
      <c r="T366" s="2748"/>
      <c r="U366" s="2748"/>
      <c r="V366" s="2748"/>
      <c r="W366" s="2748"/>
      <c r="X366" s="2748"/>
      <c r="Y366" s="2748"/>
      <c r="Z366" s="2748"/>
      <c r="AA366" s="2748"/>
      <c r="AB366" s="2748"/>
      <c r="AC366" s="2748"/>
      <c r="AD366" s="2748"/>
      <c r="AE366" s="2748"/>
      <c r="AF366" s="2748"/>
      <c r="AG366" s="2748"/>
      <c r="AH366" s="2748"/>
      <c r="AI366" s="2748"/>
      <c r="AK366" s="2748"/>
      <c r="AL366" s="2748"/>
      <c r="AN366" s="2748"/>
      <c r="AO366" s="2748"/>
      <c r="AP366" s="2748"/>
    </row>
    <row r="367" spans="2:42" ht="18" customHeight="1">
      <c r="B367" s="2728"/>
      <c r="C367" s="2728"/>
      <c r="D367" s="2728"/>
      <c r="E367" s="2728"/>
      <c r="G367" s="2512"/>
      <c r="I367" s="2748"/>
      <c r="J367" s="2728"/>
      <c r="L367" s="2728"/>
      <c r="M367" s="2748"/>
      <c r="N367" s="2728"/>
      <c r="O367" s="2728"/>
      <c r="P367" s="2728"/>
      <c r="Q367" s="2748"/>
      <c r="R367" s="2748"/>
      <c r="S367" s="2748"/>
      <c r="T367" s="2748"/>
      <c r="U367" s="2748"/>
      <c r="V367" s="2748"/>
      <c r="W367" s="2748"/>
      <c r="X367" s="2748"/>
      <c r="Y367" s="2748"/>
      <c r="Z367" s="2748"/>
      <c r="AA367" s="2748"/>
      <c r="AB367" s="2748"/>
      <c r="AC367" s="2748"/>
      <c r="AD367" s="2748"/>
      <c r="AE367" s="2748"/>
      <c r="AF367" s="2748"/>
      <c r="AG367" s="2748"/>
      <c r="AH367" s="2748"/>
      <c r="AI367" s="2748"/>
      <c r="AK367" s="2748"/>
      <c r="AL367" s="2748"/>
      <c r="AN367" s="2748"/>
      <c r="AO367" s="2748"/>
      <c r="AP367" s="2748"/>
    </row>
    <row r="368" spans="2:42" ht="18" customHeight="1">
      <c r="B368" s="2728"/>
      <c r="C368" s="2728"/>
      <c r="D368" s="2728"/>
      <c r="E368" s="2728"/>
      <c r="G368" s="2512"/>
      <c r="I368" s="2748"/>
      <c r="J368" s="2728"/>
      <c r="L368" s="2728"/>
      <c r="M368" s="2748"/>
      <c r="N368" s="2728"/>
      <c r="O368" s="2728"/>
      <c r="P368" s="2728"/>
      <c r="Q368" s="2748"/>
      <c r="R368" s="2748"/>
      <c r="S368" s="2748"/>
      <c r="T368" s="2748"/>
      <c r="U368" s="2748"/>
      <c r="V368" s="2748"/>
      <c r="W368" s="2748"/>
      <c r="X368" s="2748"/>
      <c r="Y368" s="2748"/>
      <c r="Z368" s="2748"/>
      <c r="AA368" s="2748"/>
      <c r="AB368" s="2748"/>
      <c r="AC368" s="2748"/>
      <c r="AD368" s="2748"/>
      <c r="AE368" s="2748"/>
      <c r="AF368" s="2748"/>
      <c r="AG368" s="2748"/>
      <c r="AH368" s="2748"/>
      <c r="AI368" s="2748"/>
      <c r="AK368" s="2748"/>
      <c r="AL368" s="2748"/>
      <c r="AN368" s="2748"/>
      <c r="AO368" s="2748"/>
      <c r="AP368" s="2748"/>
    </row>
    <row r="369" spans="2:42" ht="18" customHeight="1">
      <c r="B369" s="2728"/>
      <c r="C369" s="2728"/>
      <c r="D369" s="2728"/>
      <c r="E369" s="2728"/>
      <c r="G369" s="2512"/>
      <c r="I369" s="2748"/>
      <c r="J369" s="2728"/>
      <c r="L369" s="2728"/>
      <c r="M369" s="2748"/>
      <c r="N369" s="2728"/>
      <c r="O369" s="2728"/>
      <c r="P369" s="2728"/>
      <c r="Q369" s="2748"/>
      <c r="R369" s="2748"/>
      <c r="S369" s="2748"/>
      <c r="T369" s="2748"/>
      <c r="U369" s="2748"/>
      <c r="V369" s="2748"/>
      <c r="W369" s="2748"/>
      <c r="X369" s="2748"/>
      <c r="Y369" s="2748"/>
      <c r="Z369" s="2748"/>
      <c r="AA369" s="2748"/>
      <c r="AB369" s="2748"/>
      <c r="AC369" s="2748"/>
      <c r="AD369" s="2748"/>
      <c r="AE369" s="2748"/>
      <c r="AF369" s="2748"/>
      <c r="AG369" s="2748"/>
      <c r="AH369" s="2748"/>
      <c r="AI369" s="2748"/>
      <c r="AK369" s="2748"/>
      <c r="AL369" s="2748"/>
      <c r="AN369" s="2748"/>
      <c r="AO369" s="2748"/>
      <c r="AP369" s="2748"/>
    </row>
    <row r="370" spans="2:42" ht="18" customHeight="1">
      <c r="B370" s="2728"/>
      <c r="C370" s="2728"/>
      <c r="D370" s="2728"/>
      <c r="E370" s="2728"/>
      <c r="G370" s="2512"/>
      <c r="I370" s="2748"/>
      <c r="J370" s="2728"/>
      <c r="L370" s="2728"/>
      <c r="M370" s="2748"/>
      <c r="N370" s="2728"/>
      <c r="O370" s="2728"/>
      <c r="P370" s="2728"/>
      <c r="Q370" s="2748"/>
      <c r="R370" s="2748"/>
      <c r="S370" s="2748"/>
      <c r="T370" s="2748"/>
      <c r="U370" s="2748"/>
      <c r="V370" s="2748"/>
      <c r="W370" s="2748"/>
      <c r="X370" s="2748"/>
      <c r="Y370" s="2748"/>
      <c r="Z370" s="2748"/>
      <c r="AA370" s="2748"/>
      <c r="AB370" s="2748"/>
      <c r="AC370" s="2748"/>
      <c r="AD370" s="2748"/>
      <c r="AE370" s="2748"/>
      <c r="AF370" s="2748"/>
      <c r="AG370" s="2748"/>
      <c r="AH370" s="2748"/>
      <c r="AI370" s="2748"/>
      <c r="AK370" s="2748"/>
      <c r="AL370" s="2748"/>
      <c r="AN370" s="2748"/>
      <c r="AO370" s="2748"/>
      <c r="AP370" s="2748"/>
    </row>
    <row r="371" spans="2:42" ht="18" customHeight="1">
      <c r="B371" s="2728"/>
      <c r="C371" s="2728"/>
      <c r="D371" s="2728"/>
      <c r="E371" s="2728"/>
      <c r="G371" s="2512"/>
      <c r="I371" s="2748"/>
      <c r="J371" s="2728"/>
      <c r="L371" s="2728"/>
      <c r="M371" s="2748"/>
      <c r="N371" s="2728"/>
      <c r="O371" s="2728"/>
      <c r="P371" s="2728"/>
      <c r="Q371" s="2748"/>
      <c r="R371" s="2748"/>
      <c r="S371" s="2748"/>
      <c r="T371" s="2748"/>
      <c r="U371" s="2748"/>
      <c r="V371" s="2748"/>
      <c r="W371" s="2748"/>
      <c r="X371" s="2748"/>
      <c r="Y371" s="2748"/>
      <c r="Z371" s="2748"/>
      <c r="AA371" s="2748"/>
      <c r="AB371" s="2748"/>
      <c r="AC371" s="2748"/>
      <c r="AD371" s="2748"/>
      <c r="AE371" s="2748"/>
      <c r="AF371" s="2748"/>
      <c r="AG371" s="2748"/>
      <c r="AH371" s="2748"/>
      <c r="AI371" s="2748"/>
      <c r="AK371" s="2748"/>
      <c r="AL371" s="2748"/>
      <c r="AN371" s="2748"/>
      <c r="AO371" s="2748"/>
      <c r="AP371" s="2748"/>
    </row>
    <row r="372" spans="2:42" ht="18" customHeight="1">
      <c r="B372" s="2728"/>
      <c r="C372" s="2728"/>
      <c r="D372" s="2728"/>
      <c r="E372" s="2728"/>
      <c r="G372" s="2512"/>
      <c r="I372" s="2748"/>
      <c r="J372" s="2728"/>
      <c r="L372" s="2728"/>
      <c r="M372" s="2748"/>
      <c r="N372" s="2728"/>
      <c r="O372" s="2728"/>
      <c r="P372" s="2728"/>
      <c r="Q372" s="2748"/>
      <c r="R372" s="2748"/>
      <c r="S372" s="2748"/>
      <c r="T372" s="2748"/>
      <c r="U372" s="2748"/>
      <c r="V372" s="2748"/>
      <c r="W372" s="2748"/>
      <c r="X372" s="2748"/>
      <c r="Y372" s="2748"/>
      <c r="Z372" s="2748"/>
      <c r="AA372" s="2748"/>
      <c r="AB372" s="2748"/>
      <c r="AC372" s="2748"/>
      <c r="AD372" s="2748"/>
      <c r="AE372" s="2748"/>
      <c r="AF372" s="2748"/>
      <c r="AG372" s="2748"/>
      <c r="AH372" s="2748"/>
      <c r="AI372" s="2748"/>
      <c r="AK372" s="2748"/>
      <c r="AL372" s="2748"/>
      <c r="AN372" s="2748"/>
      <c r="AO372" s="2748"/>
      <c r="AP372" s="2748"/>
    </row>
    <row r="373" spans="2:42" ht="18" customHeight="1">
      <c r="B373" s="2728"/>
      <c r="C373" s="2728"/>
      <c r="D373" s="2728"/>
      <c r="E373" s="2728"/>
      <c r="G373" s="2512"/>
      <c r="I373" s="2748"/>
      <c r="J373" s="2728"/>
      <c r="L373" s="2728"/>
      <c r="M373" s="2748"/>
      <c r="N373" s="2728"/>
      <c r="O373" s="2728"/>
      <c r="P373" s="2728"/>
      <c r="Q373" s="2748"/>
      <c r="R373" s="2748"/>
      <c r="S373" s="2748"/>
      <c r="T373" s="2748"/>
      <c r="U373" s="2748"/>
      <c r="V373" s="2748"/>
      <c r="W373" s="2748"/>
      <c r="X373" s="2748"/>
      <c r="Y373" s="2748"/>
      <c r="Z373" s="2748"/>
      <c r="AA373" s="2748"/>
      <c r="AB373" s="2748"/>
      <c r="AC373" s="2748"/>
      <c r="AD373" s="2748"/>
      <c r="AE373" s="2748"/>
      <c r="AF373" s="2748"/>
      <c r="AG373" s="2748"/>
      <c r="AH373" s="2748"/>
      <c r="AI373" s="2748"/>
      <c r="AK373" s="2748"/>
      <c r="AL373" s="2748"/>
      <c r="AN373" s="2748"/>
      <c r="AO373" s="2748"/>
      <c r="AP373" s="2748"/>
    </row>
    <row r="374" spans="2:42" ht="18" customHeight="1">
      <c r="B374" s="2728"/>
      <c r="C374" s="2728"/>
      <c r="D374" s="2728"/>
      <c r="E374" s="2728"/>
      <c r="G374" s="2512"/>
      <c r="I374" s="2748"/>
      <c r="J374" s="2728"/>
      <c r="L374" s="2728"/>
      <c r="M374" s="2748"/>
      <c r="N374" s="2728"/>
      <c r="O374" s="2728"/>
      <c r="P374" s="2728"/>
      <c r="Q374" s="2748"/>
      <c r="R374" s="2748"/>
      <c r="S374" s="2748"/>
      <c r="T374" s="2748"/>
      <c r="U374" s="2748"/>
      <c r="V374" s="2748"/>
      <c r="W374" s="2748"/>
      <c r="X374" s="2748"/>
      <c r="Y374" s="2748"/>
      <c r="Z374" s="2748"/>
      <c r="AA374" s="2748"/>
      <c r="AB374" s="2748"/>
      <c r="AC374" s="2748"/>
      <c r="AD374" s="2748"/>
      <c r="AE374" s="2748"/>
      <c r="AF374" s="2748"/>
      <c r="AG374" s="2748"/>
      <c r="AH374" s="2748"/>
      <c r="AI374" s="2748"/>
      <c r="AK374" s="2748"/>
      <c r="AL374" s="2748"/>
      <c r="AN374" s="2748"/>
      <c r="AO374" s="2748"/>
      <c r="AP374" s="2748"/>
    </row>
    <row r="375" spans="2:42" ht="18" customHeight="1">
      <c r="B375" s="2728"/>
      <c r="C375" s="2728"/>
      <c r="D375" s="2728"/>
      <c r="E375" s="2728"/>
      <c r="G375" s="2512"/>
      <c r="I375" s="2748"/>
      <c r="J375" s="2728"/>
      <c r="L375" s="2728"/>
      <c r="M375" s="2748"/>
      <c r="N375" s="2728"/>
      <c r="O375" s="2728"/>
      <c r="P375" s="2728"/>
      <c r="Q375" s="2748"/>
      <c r="R375" s="2748"/>
      <c r="S375" s="2748"/>
      <c r="T375" s="2748"/>
      <c r="U375" s="2748"/>
      <c r="V375" s="2748"/>
      <c r="W375" s="2748"/>
      <c r="X375" s="2748"/>
      <c r="Y375" s="2748"/>
      <c r="Z375" s="2748"/>
      <c r="AA375" s="2748"/>
      <c r="AB375" s="2748"/>
      <c r="AC375" s="2748"/>
      <c r="AD375" s="2748"/>
      <c r="AE375" s="2748"/>
      <c r="AF375" s="2748"/>
      <c r="AG375" s="2748"/>
      <c r="AH375" s="2748"/>
      <c r="AI375" s="2748"/>
      <c r="AK375" s="2748"/>
      <c r="AL375" s="2748"/>
      <c r="AN375" s="2748"/>
      <c r="AO375" s="2748"/>
      <c r="AP375" s="2748"/>
    </row>
    <row r="376" spans="2:42" ht="18" customHeight="1">
      <c r="B376" s="2728"/>
      <c r="C376" s="2728"/>
      <c r="D376" s="2728"/>
      <c r="E376" s="2728"/>
      <c r="G376" s="2512"/>
      <c r="I376" s="2748"/>
      <c r="J376" s="2728"/>
      <c r="L376" s="2728"/>
      <c r="M376" s="2748"/>
      <c r="N376" s="2728"/>
      <c r="O376" s="2728"/>
      <c r="P376" s="2728"/>
      <c r="Q376" s="2748"/>
      <c r="R376" s="2748"/>
      <c r="S376" s="2748"/>
      <c r="T376" s="2748"/>
      <c r="U376" s="2748"/>
      <c r="V376" s="2748"/>
      <c r="W376" s="2748"/>
      <c r="X376" s="2748"/>
      <c r="Y376" s="2748"/>
      <c r="Z376" s="2748"/>
      <c r="AA376" s="2748"/>
      <c r="AB376" s="2748"/>
      <c r="AC376" s="2748"/>
      <c r="AD376" s="2748"/>
      <c r="AE376" s="2748"/>
      <c r="AF376" s="2748"/>
      <c r="AG376" s="2748"/>
      <c r="AH376" s="2748"/>
      <c r="AI376" s="2748"/>
      <c r="AK376" s="2748"/>
      <c r="AL376" s="2748"/>
      <c r="AN376" s="2748"/>
      <c r="AO376" s="2748"/>
      <c r="AP376" s="2748"/>
    </row>
    <row r="377" spans="2:42" ht="18" customHeight="1">
      <c r="B377" s="2728"/>
      <c r="C377" s="2728"/>
      <c r="D377" s="2728"/>
      <c r="E377" s="2728"/>
      <c r="G377" s="2512"/>
      <c r="I377" s="2748"/>
      <c r="J377" s="2728"/>
      <c r="L377" s="2728"/>
      <c r="M377" s="2748"/>
      <c r="N377" s="2728"/>
      <c r="O377" s="2728"/>
      <c r="P377" s="2728"/>
      <c r="Q377" s="2748"/>
      <c r="R377" s="2748"/>
      <c r="S377" s="2748"/>
      <c r="T377" s="2748"/>
      <c r="U377" s="2748"/>
      <c r="V377" s="2748"/>
      <c r="W377" s="2748"/>
      <c r="X377" s="2748"/>
      <c r="Y377" s="2748"/>
      <c r="Z377" s="2748"/>
      <c r="AA377" s="2748"/>
      <c r="AB377" s="2748"/>
      <c r="AC377" s="2748"/>
      <c r="AD377" s="2748"/>
      <c r="AE377" s="2748"/>
      <c r="AF377" s="2748"/>
      <c r="AG377" s="2748"/>
      <c r="AH377" s="2748"/>
      <c r="AI377" s="2748"/>
      <c r="AK377" s="2748"/>
      <c r="AL377" s="2748"/>
      <c r="AN377" s="2748"/>
      <c r="AO377" s="2748"/>
      <c r="AP377" s="2748"/>
    </row>
    <row r="378" spans="2:42" ht="18" customHeight="1">
      <c r="B378" s="2728"/>
      <c r="C378" s="2728"/>
      <c r="D378" s="2728"/>
      <c r="E378" s="2728"/>
      <c r="G378" s="2512"/>
      <c r="I378" s="2748"/>
      <c r="J378" s="2728"/>
      <c r="L378" s="2728"/>
      <c r="M378" s="2748"/>
      <c r="N378" s="2728"/>
      <c r="O378" s="2728"/>
      <c r="P378" s="2728"/>
      <c r="Q378" s="2748"/>
      <c r="R378" s="2748"/>
      <c r="S378" s="2748"/>
      <c r="T378" s="2748"/>
      <c r="U378" s="2748"/>
      <c r="V378" s="2748"/>
      <c r="W378" s="2748"/>
      <c r="X378" s="2748"/>
      <c r="Y378" s="2748"/>
      <c r="Z378" s="2748"/>
      <c r="AA378" s="2748"/>
      <c r="AB378" s="2748"/>
      <c r="AC378" s="2748"/>
      <c r="AD378" s="2748"/>
      <c r="AE378" s="2748"/>
      <c r="AF378" s="2748"/>
      <c r="AG378" s="2748"/>
      <c r="AH378" s="2748"/>
      <c r="AI378" s="2748"/>
      <c r="AK378" s="2748"/>
      <c r="AL378" s="2748"/>
      <c r="AN378" s="2748"/>
      <c r="AO378" s="2748"/>
      <c r="AP378" s="2748"/>
    </row>
    <row r="379" spans="2:42" ht="18" customHeight="1">
      <c r="B379" s="2728"/>
      <c r="C379" s="2728"/>
      <c r="D379" s="2728"/>
      <c r="E379" s="2728"/>
      <c r="G379" s="2512"/>
      <c r="I379" s="2748"/>
      <c r="J379" s="2728"/>
      <c r="L379" s="2728"/>
      <c r="M379" s="2748"/>
      <c r="N379" s="2728"/>
      <c r="O379" s="2728"/>
      <c r="P379" s="2728"/>
      <c r="Q379" s="2748"/>
      <c r="R379" s="2748"/>
      <c r="S379" s="2748"/>
      <c r="T379" s="2748"/>
      <c r="U379" s="2748"/>
      <c r="V379" s="2748"/>
      <c r="W379" s="2748"/>
      <c r="X379" s="2748"/>
      <c r="Y379" s="2748"/>
      <c r="Z379" s="2748"/>
      <c r="AA379" s="2748"/>
      <c r="AB379" s="2748"/>
      <c r="AC379" s="2748"/>
      <c r="AD379" s="2748"/>
      <c r="AE379" s="2748"/>
      <c r="AF379" s="2748"/>
      <c r="AG379" s="2748"/>
      <c r="AH379" s="2748"/>
      <c r="AI379" s="2748"/>
      <c r="AK379" s="2748"/>
      <c r="AL379" s="2748"/>
      <c r="AN379" s="2748"/>
      <c r="AO379" s="2748"/>
      <c r="AP379" s="2748"/>
    </row>
    <row r="380" spans="2:42" ht="18" customHeight="1">
      <c r="B380" s="2728"/>
      <c r="C380" s="2728"/>
      <c r="D380" s="2728"/>
      <c r="E380" s="2728"/>
      <c r="G380" s="2512"/>
      <c r="I380" s="2748"/>
      <c r="J380" s="2728"/>
      <c r="L380" s="2728"/>
      <c r="M380" s="2748"/>
      <c r="N380" s="2728"/>
      <c r="O380" s="2728"/>
      <c r="P380" s="2728"/>
      <c r="Q380" s="2748"/>
      <c r="R380" s="2748"/>
      <c r="S380" s="2748"/>
      <c r="T380" s="2748"/>
      <c r="U380" s="2748"/>
      <c r="V380" s="2748"/>
      <c r="W380" s="2748"/>
      <c r="X380" s="2748"/>
      <c r="Y380" s="2748"/>
      <c r="Z380" s="2748"/>
      <c r="AA380" s="2748"/>
      <c r="AB380" s="2748"/>
      <c r="AC380" s="2748"/>
      <c r="AD380" s="2748"/>
      <c r="AE380" s="2748"/>
      <c r="AF380" s="2748"/>
      <c r="AG380" s="2748"/>
      <c r="AH380" s="2748"/>
      <c r="AI380" s="2748"/>
      <c r="AK380" s="2748"/>
      <c r="AL380" s="2748"/>
      <c r="AN380" s="2748"/>
      <c r="AO380" s="2748"/>
      <c r="AP380" s="2748"/>
    </row>
    <row r="381" spans="2:42" ht="18" customHeight="1">
      <c r="B381" s="2728"/>
      <c r="C381" s="2728"/>
      <c r="D381" s="2728"/>
      <c r="E381" s="2728"/>
      <c r="G381" s="2512"/>
      <c r="I381" s="2748"/>
      <c r="J381" s="2728"/>
      <c r="L381" s="2728"/>
      <c r="M381" s="2748"/>
      <c r="N381" s="2728"/>
      <c r="O381" s="2728"/>
      <c r="P381" s="2728"/>
      <c r="Q381" s="2748"/>
      <c r="R381" s="2748"/>
      <c r="S381" s="2748"/>
      <c r="T381" s="2748"/>
      <c r="U381" s="2748"/>
      <c r="V381" s="2748"/>
      <c r="W381" s="2748"/>
      <c r="X381" s="2748"/>
      <c r="Y381" s="2748"/>
      <c r="Z381" s="2748"/>
      <c r="AA381" s="2748"/>
      <c r="AB381" s="2748"/>
      <c r="AC381" s="2748"/>
      <c r="AD381" s="2748"/>
      <c r="AE381" s="2748"/>
      <c r="AF381" s="2748"/>
      <c r="AG381" s="2748"/>
      <c r="AH381" s="2748"/>
      <c r="AI381" s="2748"/>
      <c r="AK381" s="2748"/>
      <c r="AL381" s="2748"/>
      <c r="AN381" s="2748"/>
      <c r="AO381" s="2748"/>
      <c r="AP381" s="2748"/>
    </row>
    <row r="382" spans="2:42" ht="18" customHeight="1">
      <c r="B382" s="2728"/>
      <c r="C382" s="2728"/>
      <c r="D382" s="2728"/>
      <c r="E382" s="2728"/>
      <c r="G382" s="2512"/>
      <c r="I382" s="2748"/>
      <c r="J382" s="2728"/>
      <c r="L382" s="2728"/>
      <c r="M382" s="2748"/>
      <c r="N382" s="2728"/>
      <c r="O382" s="2728"/>
      <c r="P382" s="2728"/>
      <c r="Q382" s="2748"/>
      <c r="R382" s="2748"/>
      <c r="S382" s="2748"/>
      <c r="T382" s="2748"/>
      <c r="U382" s="2748"/>
      <c r="V382" s="2748"/>
      <c r="W382" s="2748"/>
      <c r="X382" s="2748"/>
      <c r="Y382" s="2748"/>
      <c r="Z382" s="2748"/>
      <c r="AA382" s="2748"/>
      <c r="AB382" s="2748"/>
      <c r="AC382" s="2748"/>
      <c r="AD382" s="2748"/>
      <c r="AE382" s="2748"/>
      <c r="AF382" s="2748"/>
      <c r="AG382" s="2748"/>
      <c r="AH382" s="2748"/>
      <c r="AI382" s="2748"/>
      <c r="AK382" s="2748"/>
      <c r="AL382" s="2748"/>
      <c r="AN382" s="2748"/>
      <c r="AO382" s="2748"/>
      <c r="AP382" s="2748"/>
    </row>
    <row r="383" spans="2:42" ht="18" customHeight="1">
      <c r="B383" s="2728"/>
      <c r="C383" s="2728"/>
      <c r="D383" s="2728"/>
      <c r="E383" s="2728"/>
      <c r="G383" s="2512"/>
      <c r="I383" s="2748"/>
      <c r="J383" s="2728"/>
      <c r="L383" s="2728"/>
      <c r="M383" s="2748"/>
      <c r="N383" s="2728"/>
      <c r="O383" s="2728"/>
      <c r="P383" s="2728"/>
      <c r="Q383" s="2748"/>
      <c r="R383" s="2748"/>
      <c r="S383" s="2748"/>
      <c r="T383" s="2748"/>
      <c r="U383" s="2748"/>
      <c r="V383" s="2748"/>
      <c r="W383" s="2748"/>
      <c r="X383" s="2748"/>
      <c r="Y383" s="2748"/>
      <c r="Z383" s="2748"/>
      <c r="AA383" s="2748"/>
      <c r="AB383" s="2748"/>
      <c r="AC383" s="2748"/>
      <c r="AD383" s="2748"/>
      <c r="AE383" s="2748"/>
      <c r="AF383" s="2748"/>
      <c r="AG383" s="2748"/>
      <c r="AH383" s="2748"/>
      <c r="AI383" s="2748"/>
      <c r="AK383" s="2748"/>
      <c r="AL383" s="2748"/>
      <c r="AN383" s="2748"/>
      <c r="AO383" s="2748"/>
      <c r="AP383" s="2748"/>
    </row>
    <row r="384" spans="2:42" ht="18" customHeight="1">
      <c r="B384" s="2728"/>
      <c r="C384" s="2728"/>
      <c r="D384" s="2728"/>
      <c r="E384" s="2728"/>
      <c r="G384" s="2512"/>
      <c r="I384" s="2748"/>
      <c r="J384" s="2728"/>
      <c r="L384" s="2728"/>
      <c r="M384" s="2748"/>
      <c r="N384" s="2728"/>
      <c r="O384" s="2728"/>
      <c r="P384" s="2728"/>
      <c r="Q384" s="2748"/>
      <c r="R384" s="2748"/>
      <c r="S384" s="2748"/>
      <c r="T384" s="2748"/>
      <c r="U384" s="2748"/>
      <c r="V384" s="2748"/>
      <c r="W384" s="2748"/>
      <c r="X384" s="2748"/>
      <c r="Y384" s="2748"/>
      <c r="Z384" s="2748"/>
      <c r="AA384" s="2748"/>
      <c r="AB384" s="2748"/>
      <c r="AC384" s="2748"/>
      <c r="AD384" s="2748"/>
      <c r="AE384" s="2748"/>
      <c r="AF384" s="2748"/>
      <c r="AG384" s="2748"/>
      <c r="AH384" s="2748"/>
      <c r="AI384" s="2748"/>
      <c r="AK384" s="2748"/>
      <c r="AL384" s="2748"/>
      <c r="AN384" s="2748"/>
      <c r="AO384" s="2748"/>
      <c r="AP384" s="2748"/>
    </row>
    <row r="385" spans="2:42" ht="18" customHeight="1">
      <c r="B385" s="2728"/>
      <c r="C385" s="2728"/>
      <c r="D385" s="2728"/>
      <c r="E385" s="2728"/>
      <c r="G385" s="2512"/>
      <c r="I385" s="2748"/>
      <c r="J385" s="2728"/>
      <c r="L385" s="2728"/>
      <c r="M385" s="2748"/>
      <c r="N385" s="2728"/>
      <c r="O385" s="2728"/>
      <c r="P385" s="2728"/>
      <c r="Q385" s="2748"/>
      <c r="R385" s="2748"/>
      <c r="S385" s="2748"/>
      <c r="T385" s="2748"/>
      <c r="U385" s="2748"/>
      <c r="V385" s="2748"/>
      <c r="W385" s="2748"/>
      <c r="X385" s="2748"/>
      <c r="Y385" s="2748"/>
      <c r="Z385" s="2748"/>
      <c r="AA385" s="2748"/>
      <c r="AB385" s="2748"/>
      <c r="AC385" s="2748"/>
      <c r="AD385" s="2748"/>
      <c r="AE385" s="2748"/>
      <c r="AF385" s="2748"/>
      <c r="AG385" s="2748"/>
      <c r="AH385" s="2748"/>
      <c r="AI385" s="2748"/>
      <c r="AK385" s="2748"/>
      <c r="AL385" s="2748"/>
      <c r="AN385" s="2748"/>
      <c r="AO385" s="2748"/>
      <c r="AP385" s="2748"/>
    </row>
    <row r="386" spans="2:42" ht="18" customHeight="1">
      <c r="B386" s="2728"/>
      <c r="C386" s="2728"/>
      <c r="D386" s="2728"/>
      <c r="E386" s="2728"/>
      <c r="G386" s="2512"/>
      <c r="I386" s="2748"/>
      <c r="J386" s="2728"/>
      <c r="L386" s="2728"/>
      <c r="M386" s="2748"/>
      <c r="N386" s="2728"/>
      <c r="O386" s="2728"/>
      <c r="P386" s="2728"/>
      <c r="Q386" s="2748"/>
      <c r="R386" s="2748"/>
      <c r="S386" s="2748"/>
      <c r="T386" s="2748"/>
      <c r="U386" s="2748"/>
      <c r="V386" s="2748"/>
      <c r="W386" s="2748"/>
      <c r="X386" s="2748"/>
      <c r="Y386" s="2748"/>
      <c r="Z386" s="2748"/>
      <c r="AA386" s="2748"/>
      <c r="AB386" s="2748"/>
      <c r="AC386" s="2748"/>
      <c r="AD386" s="2748"/>
      <c r="AE386" s="2748"/>
      <c r="AF386" s="2748"/>
      <c r="AG386" s="2748"/>
      <c r="AH386" s="2748"/>
      <c r="AI386" s="2748"/>
      <c r="AK386" s="2748"/>
      <c r="AL386" s="2748"/>
      <c r="AN386" s="2748"/>
      <c r="AO386" s="2748"/>
      <c r="AP386" s="2748"/>
    </row>
    <row r="387" spans="2:42" ht="18" customHeight="1">
      <c r="B387" s="2728"/>
      <c r="C387" s="2728"/>
      <c r="D387" s="2728"/>
      <c r="E387" s="2728"/>
      <c r="G387" s="2512"/>
      <c r="I387" s="2748"/>
      <c r="J387" s="2728"/>
      <c r="L387" s="2728"/>
      <c r="M387" s="2748"/>
      <c r="N387" s="2728"/>
      <c r="O387" s="2728"/>
      <c r="P387" s="2728"/>
      <c r="Q387" s="2748"/>
      <c r="R387" s="2748"/>
      <c r="S387" s="2748"/>
      <c r="T387" s="2748"/>
      <c r="U387" s="2748"/>
      <c r="V387" s="2748"/>
      <c r="W387" s="2748"/>
      <c r="X387" s="2748"/>
      <c r="Y387" s="2748"/>
      <c r="Z387" s="2748"/>
      <c r="AA387" s="2748"/>
      <c r="AB387" s="2748"/>
      <c r="AC387" s="2748"/>
      <c r="AD387" s="2748"/>
      <c r="AE387" s="2748"/>
      <c r="AF387" s="2748"/>
      <c r="AG387" s="2748"/>
      <c r="AH387" s="2748"/>
      <c r="AI387" s="2748"/>
      <c r="AK387" s="2748"/>
      <c r="AL387" s="2748"/>
      <c r="AN387" s="2748"/>
      <c r="AO387" s="2748"/>
      <c r="AP387" s="2748"/>
    </row>
    <row r="388" spans="2:42" ht="18" customHeight="1">
      <c r="B388" s="2728"/>
      <c r="C388" s="2728"/>
      <c r="D388" s="2728"/>
      <c r="E388" s="2728"/>
      <c r="G388" s="2512"/>
      <c r="I388" s="2748"/>
      <c r="J388" s="2728"/>
      <c r="L388" s="2728"/>
      <c r="M388" s="2748"/>
      <c r="N388" s="2728"/>
      <c r="O388" s="2728"/>
      <c r="P388" s="2728"/>
      <c r="Q388" s="2748"/>
      <c r="R388" s="2748"/>
      <c r="S388" s="2748"/>
      <c r="T388" s="2748"/>
      <c r="U388" s="2748"/>
      <c r="V388" s="2748"/>
      <c r="W388" s="2748"/>
      <c r="X388" s="2748"/>
      <c r="Y388" s="2748"/>
      <c r="Z388" s="2748"/>
      <c r="AA388" s="2748"/>
      <c r="AB388" s="2748"/>
      <c r="AC388" s="2748"/>
      <c r="AD388" s="2748"/>
      <c r="AE388" s="2748"/>
      <c r="AF388" s="2748"/>
      <c r="AG388" s="2748"/>
      <c r="AH388" s="2748"/>
      <c r="AI388" s="2748"/>
      <c r="AK388" s="2748"/>
      <c r="AL388" s="2748"/>
      <c r="AN388" s="2748"/>
      <c r="AO388" s="2748"/>
      <c r="AP388" s="2748"/>
    </row>
    <row r="389" spans="2:42" ht="18" customHeight="1">
      <c r="B389" s="2728"/>
      <c r="C389" s="2728"/>
      <c r="D389" s="2728"/>
      <c r="E389" s="2728"/>
      <c r="G389" s="2512"/>
      <c r="I389" s="2748"/>
      <c r="J389" s="2728"/>
      <c r="L389" s="2728"/>
      <c r="M389" s="2748"/>
      <c r="N389" s="2728"/>
      <c r="O389" s="2728"/>
      <c r="P389" s="2728"/>
      <c r="Q389" s="2748"/>
      <c r="R389" s="2748"/>
      <c r="S389" s="2748"/>
      <c r="T389" s="2748"/>
      <c r="U389" s="2748"/>
      <c r="V389" s="2748"/>
      <c r="W389" s="2748"/>
      <c r="X389" s="2748"/>
      <c r="Y389" s="2748"/>
      <c r="Z389" s="2748"/>
      <c r="AA389" s="2748"/>
      <c r="AB389" s="2748"/>
      <c r="AC389" s="2748"/>
      <c r="AD389" s="2748"/>
      <c r="AE389" s="2748"/>
      <c r="AF389" s="2748"/>
      <c r="AG389" s="2748"/>
      <c r="AH389" s="2748"/>
      <c r="AI389" s="2748"/>
      <c r="AK389" s="2748"/>
      <c r="AL389" s="2748"/>
      <c r="AN389" s="2748"/>
      <c r="AO389" s="2748"/>
      <c r="AP389" s="2748"/>
    </row>
    <row r="390" spans="2:42" ht="18" customHeight="1">
      <c r="B390" s="2728"/>
      <c r="C390" s="2728"/>
      <c r="D390" s="2728"/>
      <c r="E390" s="2728"/>
      <c r="G390" s="2512"/>
      <c r="I390" s="2748"/>
      <c r="J390" s="2728"/>
      <c r="L390" s="2728"/>
      <c r="M390" s="2748"/>
      <c r="N390" s="2728"/>
      <c r="O390" s="2728"/>
      <c r="P390" s="2728"/>
      <c r="Q390" s="2748"/>
      <c r="R390" s="2748"/>
      <c r="S390" s="2748"/>
      <c r="T390" s="2748"/>
      <c r="U390" s="2748"/>
      <c r="V390" s="2748"/>
      <c r="W390" s="2748"/>
      <c r="X390" s="2748"/>
      <c r="Y390" s="2748"/>
      <c r="Z390" s="2748"/>
      <c r="AA390" s="2748"/>
      <c r="AB390" s="2748"/>
      <c r="AC390" s="2748"/>
      <c r="AD390" s="2748"/>
      <c r="AE390" s="2748"/>
      <c r="AF390" s="2748"/>
      <c r="AG390" s="2748"/>
      <c r="AH390" s="2748"/>
      <c r="AI390" s="2748"/>
      <c r="AK390" s="2748"/>
      <c r="AL390" s="2748"/>
      <c r="AN390" s="2748"/>
      <c r="AO390" s="2748"/>
      <c r="AP390" s="2748"/>
    </row>
    <row r="391" spans="2:42" ht="18" customHeight="1">
      <c r="B391" s="2728"/>
      <c r="C391" s="2728"/>
      <c r="D391" s="2728"/>
      <c r="E391" s="2728"/>
      <c r="G391" s="2512"/>
      <c r="I391" s="2748"/>
      <c r="J391" s="2728"/>
      <c r="L391" s="2728"/>
      <c r="M391" s="2748"/>
      <c r="N391" s="2728"/>
      <c r="O391" s="2728"/>
      <c r="P391" s="2728"/>
      <c r="Q391" s="2748"/>
      <c r="R391" s="2748"/>
      <c r="S391" s="2748"/>
      <c r="T391" s="2748"/>
      <c r="U391" s="2748"/>
      <c r="V391" s="2748"/>
      <c r="W391" s="2748"/>
      <c r="X391" s="2748"/>
      <c r="Y391" s="2748"/>
      <c r="Z391" s="2748"/>
      <c r="AA391" s="2748"/>
      <c r="AB391" s="2748"/>
      <c r="AC391" s="2748"/>
      <c r="AD391" s="2748"/>
      <c r="AE391" s="2748"/>
      <c r="AF391" s="2748"/>
      <c r="AG391" s="2748"/>
      <c r="AH391" s="2748"/>
      <c r="AI391" s="2748"/>
      <c r="AK391" s="2748"/>
      <c r="AL391" s="2748"/>
      <c r="AN391" s="2748"/>
      <c r="AO391" s="2748"/>
      <c r="AP391" s="2748"/>
    </row>
    <row r="392" spans="2:42" ht="18" customHeight="1">
      <c r="B392" s="2728"/>
      <c r="C392" s="2728"/>
      <c r="D392" s="2728"/>
      <c r="E392" s="2728"/>
      <c r="G392" s="2512"/>
      <c r="I392" s="2748"/>
      <c r="J392" s="2728"/>
      <c r="L392" s="2728"/>
      <c r="M392" s="2748"/>
      <c r="N392" s="2728"/>
      <c r="O392" s="2728"/>
      <c r="P392" s="2728"/>
      <c r="Q392" s="2748"/>
      <c r="R392" s="2748"/>
      <c r="S392" s="2748"/>
      <c r="T392" s="2748"/>
      <c r="U392" s="2748"/>
      <c r="V392" s="2748"/>
      <c r="W392" s="2748"/>
      <c r="X392" s="2748"/>
      <c r="Y392" s="2748"/>
      <c r="Z392" s="2748"/>
      <c r="AA392" s="2748"/>
      <c r="AB392" s="2748"/>
      <c r="AC392" s="2748"/>
      <c r="AD392" s="2748"/>
      <c r="AE392" s="2748"/>
      <c r="AF392" s="2748"/>
      <c r="AG392" s="2748"/>
      <c r="AH392" s="2748"/>
      <c r="AI392" s="2748"/>
      <c r="AK392" s="2748"/>
      <c r="AL392" s="2748"/>
      <c r="AN392" s="2748"/>
      <c r="AO392" s="2748"/>
      <c r="AP392" s="2748"/>
    </row>
    <row r="393" spans="2:42" ht="18" customHeight="1">
      <c r="B393" s="2728"/>
      <c r="C393" s="2728"/>
      <c r="D393" s="2728"/>
      <c r="E393" s="2728"/>
      <c r="G393" s="2512"/>
      <c r="I393" s="2748"/>
      <c r="J393" s="2728"/>
      <c r="L393" s="2728"/>
      <c r="M393" s="2748"/>
      <c r="N393" s="2728"/>
      <c r="O393" s="2728"/>
      <c r="P393" s="2728"/>
      <c r="Q393" s="2748"/>
      <c r="R393" s="2748"/>
      <c r="S393" s="2748"/>
      <c r="T393" s="2748"/>
      <c r="U393" s="2748"/>
      <c r="V393" s="2748"/>
      <c r="W393" s="2748"/>
      <c r="X393" s="2748"/>
      <c r="Y393" s="2748"/>
      <c r="Z393" s="2748"/>
      <c r="AA393" s="2748"/>
      <c r="AB393" s="2748"/>
      <c r="AC393" s="2748"/>
      <c r="AD393" s="2748"/>
      <c r="AE393" s="2748"/>
      <c r="AF393" s="2748"/>
      <c r="AG393" s="2748"/>
      <c r="AH393" s="2748"/>
      <c r="AI393" s="2748"/>
      <c r="AK393" s="2748"/>
      <c r="AL393" s="2748"/>
      <c r="AN393" s="2748"/>
      <c r="AO393" s="2748"/>
      <c r="AP393" s="2748"/>
    </row>
    <row r="394" spans="2:42" ht="18" customHeight="1">
      <c r="B394" s="2728"/>
      <c r="C394" s="2728"/>
      <c r="D394" s="2728"/>
      <c r="E394" s="2728"/>
      <c r="G394" s="2512"/>
      <c r="I394" s="2748"/>
      <c r="J394" s="2728"/>
      <c r="L394" s="2728"/>
      <c r="M394" s="2748"/>
      <c r="N394" s="2728"/>
      <c r="O394" s="2728"/>
      <c r="P394" s="2728"/>
      <c r="Q394" s="2748"/>
      <c r="R394" s="2748"/>
      <c r="S394" s="2748"/>
      <c r="T394" s="2748"/>
      <c r="U394" s="2748"/>
      <c r="V394" s="2748"/>
      <c r="W394" s="2748"/>
      <c r="X394" s="2748"/>
      <c r="Y394" s="2748"/>
      <c r="Z394" s="2748"/>
      <c r="AA394" s="2748"/>
      <c r="AB394" s="2748"/>
      <c r="AC394" s="2748"/>
      <c r="AD394" s="2748"/>
      <c r="AE394" s="2748"/>
      <c r="AF394" s="2748"/>
      <c r="AG394" s="2748"/>
      <c r="AH394" s="2748"/>
      <c r="AI394" s="2748"/>
      <c r="AK394" s="2748"/>
      <c r="AL394" s="2748"/>
      <c r="AN394" s="2748"/>
      <c r="AO394" s="2748"/>
      <c r="AP394" s="2748"/>
    </row>
    <row r="395" spans="2:42" ht="18" customHeight="1">
      <c r="B395" s="2728"/>
      <c r="C395" s="2728"/>
      <c r="D395" s="2728"/>
      <c r="E395" s="2728"/>
      <c r="G395" s="2512"/>
      <c r="I395" s="2748"/>
      <c r="J395" s="2728"/>
      <c r="L395" s="2728"/>
      <c r="M395" s="2748"/>
      <c r="N395" s="2728"/>
      <c r="O395" s="2728"/>
      <c r="P395" s="2728"/>
      <c r="Q395" s="2748"/>
      <c r="R395" s="2748"/>
      <c r="S395" s="2748"/>
      <c r="T395" s="2748"/>
      <c r="U395" s="2748"/>
      <c r="V395" s="2748"/>
      <c r="W395" s="2748"/>
      <c r="X395" s="2748"/>
      <c r="Y395" s="2748"/>
      <c r="Z395" s="2748"/>
      <c r="AA395" s="2748"/>
      <c r="AB395" s="2748"/>
      <c r="AC395" s="2748"/>
      <c r="AD395" s="2748"/>
      <c r="AE395" s="2748"/>
      <c r="AF395" s="2748"/>
      <c r="AG395" s="2748"/>
      <c r="AH395" s="2748"/>
      <c r="AI395" s="2748"/>
      <c r="AK395" s="2748"/>
      <c r="AL395" s="2748"/>
      <c r="AN395" s="2748"/>
      <c r="AO395" s="2748"/>
      <c r="AP395" s="2748"/>
    </row>
    <row r="396" spans="2:42" ht="18" customHeight="1">
      <c r="B396" s="2728"/>
      <c r="C396" s="2728"/>
      <c r="D396" s="2728"/>
      <c r="E396" s="2728"/>
      <c r="G396" s="2512"/>
      <c r="I396" s="2748"/>
      <c r="J396" s="2728"/>
      <c r="L396" s="2728"/>
      <c r="M396" s="2748"/>
      <c r="N396" s="2728"/>
      <c r="O396" s="2728"/>
      <c r="P396" s="2728"/>
      <c r="Q396" s="2748"/>
      <c r="R396" s="2748"/>
      <c r="S396" s="2748"/>
      <c r="T396" s="2748"/>
      <c r="U396" s="2748"/>
      <c r="V396" s="2748"/>
      <c r="W396" s="2748"/>
      <c r="X396" s="2748"/>
      <c r="Y396" s="2748"/>
      <c r="Z396" s="2748"/>
      <c r="AA396" s="2748"/>
      <c r="AB396" s="2748"/>
      <c r="AC396" s="2748"/>
      <c r="AD396" s="2748"/>
      <c r="AE396" s="2748"/>
      <c r="AF396" s="2748"/>
      <c r="AG396" s="2748"/>
      <c r="AH396" s="2748"/>
      <c r="AI396" s="2748"/>
      <c r="AK396" s="2748"/>
      <c r="AL396" s="2748"/>
      <c r="AN396" s="2748"/>
      <c r="AO396" s="2748"/>
      <c r="AP396" s="2748"/>
    </row>
    <row r="397" spans="2:42" ht="18" customHeight="1">
      <c r="B397" s="2728"/>
      <c r="C397" s="2728"/>
      <c r="D397" s="2728"/>
      <c r="E397" s="2728"/>
      <c r="G397" s="2512"/>
      <c r="I397" s="2748"/>
      <c r="J397" s="2728"/>
      <c r="L397" s="2728"/>
      <c r="M397" s="2748"/>
      <c r="N397" s="2728"/>
      <c r="O397" s="2728"/>
      <c r="P397" s="2728"/>
      <c r="Q397" s="2748"/>
      <c r="R397" s="2748"/>
      <c r="S397" s="2748"/>
      <c r="T397" s="2748"/>
      <c r="U397" s="2748"/>
      <c r="V397" s="2748"/>
      <c r="W397" s="2748"/>
      <c r="X397" s="2748"/>
      <c r="Y397" s="2748"/>
      <c r="Z397" s="2748"/>
      <c r="AA397" s="2748"/>
      <c r="AB397" s="2748"/>
      <c r="AC397" s="2748"/>
      <c r="AD397" s="2748"/>
      <c r="AE397" s="2748"/>
      <c r="AF397" s="2748"/>
      <c r="AG397" s="2748"/>
      <c r="AH397" s="2748"/>
      <c r="AI397" s="2748"/>
      <c r="AK397" s="2748"/>
      <c r="AL397" s="2748"/>
      <c r="AN397" s="2748"/>
      <c r="AO397" s="2748"/>
      <c r="AP397" s="2748"/>
    </row>
    <row r="398" spans="2:42" ht="18" customHeight="1">
      <c r="B398" s="2728"/>
      <c r="C398" s="2728"/>
      <c r="D398" s="2728"/>
      <c r="E398" s="2728"/>
      <c r="G398" s="2512"/>
      <c r="I398" s="2748"/>
      <c r="J398" s="2728"/>
      <c r="L398" s="2728"/>
      <c r="M398" s="2748"/>
      <c r="N398" s="2728"/>
      <c r="O398" s="2728"/>
      <c r="P398" s="2728"/>
      <c r="Q398" s="2748"/>
      <c r="R398" s="2748"/>
      <c r="S398" s="2748"/>
      <c r="T398" s="2748"/>
      <c r="U398" s="2748"/>
      <c r="V398" s="2748"/>
      <c r="W398" s="2748"/>
      <c r="X398" s="2748"/>
      <c r="Y398" s="2748"/>
      <c r="Z398" s="2748"/>
      <c r="AA398" s="2748"/>
      <c r="AB398" s="2748"/>
      <c r="AC398" s="2748"/>
      <c r="AD398" s="2748"/>
      <c r="AE398" s="2748"/>
      <c r="AF398" s="2748"/>
      <c r="AG398" s="2748"/>
      <c r="AH398" s="2748"/>
      <c r="AI398" s="2748"/>
      <c r="AK398" s="2748"/>
      <c r="AL398" s="2748"/>
      <c r="AN398" s="2748"/>
      <c r="AO398" s="2748"/>
      <c r="AP398" s="2748"/>
    </row>
    <row r="399" spans="2:42" ht="18" customHeight="1">
      <c r="B399" s="2728"/>
      <c r="C399" s="2728"/>
      <c r="D399" s="2728"/>
      <c r="E399" s="2728"/>
      <c r="G399" s="2512"/>
      <c r="I399" s="2748"/>
      <c r="J399" s="2728"/>
      <c r="L399" s="2728"/>
      <c r="M399" s="2748"/>
      <c r="N399" s="2728"/>
      <c r="O399" s="2728"/>
      <c r="P399" s="2728"/>
      <c r="Q399" s="2748"/>
      <c r="R399" s="2748"/>
      <c r="S399" s="2748"/>
      <c r="T399" s="2748"/>
      <c r="U399" s="2748"/>
      <c r="V399" s="2748"/>
      <c r="W399" s="2748"/>
      <c r="X399" s="2748"/>
      <c r="Y399" s="2748"/>
      <c r="Z399" s="2748"/>
      <c r="AA399" s="2748"/>
      <c r="AB399" s="2748"/>
      <c r="AC399" s="2748"/>
      <c r="AD399" s="2748"/>
      <c r="AE399" s="2748"/>
      <c r="AF399" s="2748"/>
      <c r="AG399" s="2748"/>
      <c r="AH399" s="2748"/>
      <c r="AI399" s="2748"/>
      <c r="AK399" s="2748"/>
      <c r="AL399" s="2748"/>
      <c r="AN399" s="2748"/>
      <c r="AO399" s="2748"/>
      <c r="AP399" s="2748"/>
    </row>
    <row r="400" spans="2:42" ht="18" customHeight="1">
      <c r="B400" s="2728"/>
      <c r="C400" s="2728"/>
      <c r="D400" s="2728"/>
      <c r="E400" s="2728"/>
      <c r="G400" s="2512"/>
      <c r="I400" s="2748"/>
      <c r="J400" s="2728"/>
      <c r="L400" s="2728"/>
      <c r="M400" s="2748"/>
      <c r="N400" s="2728"/>
      <c r="O400" s="2728"/>
      <c r="P400" s="2728"/>
      <c r="Q400" s="2748"/>
      <c r="R400" s="2748"/>
      <c r="S400" s="2748"/>
      <c r="T400" s="2748"/>
      <c r="U400" s="2748"/>
      <c r="V400" s="2748"/>
      <c r="W400" s="2748"/>
      <c r="X400" s="2748"/>
      <c r="Y400" s="2748"/>
      <c r="Z400" s="2748"/>
      <c r="AA400" s="2748"/>
      <c r="AB400" s="2748"/>
      <c r="AC400" s="2748"/>
      <c r="AD400" s="2748"/>
      <c r="AE400" s="2748"/>
      <c r="AF400" s="2748"/>
      <c r="AG400" s="2748"/>
      <c r="AH400" s="2748"/>
      <c r="AI400" s="2748"/>
      <c r="AK400" s="2748"/>
      <c r="AL400" s="2748"/>
      <c r="AN400" s="2748"/>
      <c r="AO400" s="2748"/>
      <c r="AP400" s="2748"/>
    </row>
    <row r="401" spans="2:42" ht="18" customHeight="1">
      <c r="B401" s="2728"/>
      <c r="C401" s="2728"/>
      <c r="D401" s="2728"/>
      <c r="E401" s="2728"/>
      <c r="G401" s="2512"/>
      <c r="I401" s="2748"/>
      <c r="J401" s="2728"/>
      <c r="L401" s="2728"/>
      <c r="M401" s="2748"/>
      <c r="N401" s="2728"/>
      <c r="O401" s="2728"/>
      <c r="P401" s="2728"/>
      <c r="Q401" s="2748"/>
      <c r="R401" s="2748"/>
      <c r="S401" s="2748"/>
      <c r="T401" s="2748"/>
      <c r="U401" s="2748"/>
      <c r="V401" s="2748"/>
      <c r="W401" s="2748"/>
      <c r="X401" s="2748"/>
      <c r="Y401" s="2748"/>
      <c r="Z401" s="2748"/>
      <c r="AA401" s="2748"/>
      <c r="AB401" s="2748"/>
      <c r="AC401" s="2748"/>
      <c r="AD401" s="2748"/>
      <c r="AE401" s="2748"/>
      <c r="AF401" s="2748"/>
      <c r="AG401" s="2748"/>
      <c r="AH401" s="2748"/>
      <c r="AI401" s="2748"/>
      <c r="AK401" s="2748"/>
      <c r="AL401" s="2748"/>
      <c r="AN401" s="2748"/>
      <c r="AO401" s="2748"/>
      <c r="AP401" s="2748"/>
    </row>
    <row r="402" spans="2:42" ht="18" customHeight="1">
      <c r="B402" s="2728"/>
      <c r="C402" s="2728"/>
      <c r="D402" s="2728"/>
      <c r="E402" s="2728"/>
      <c r="G402" s="2512"/>
      <c r="I402" s="2748"/>
      <c r="J402" s="2728"/>
      <c r="L402" s="2728"/>
      <c r="M402" s="2748"/>
      <c r="N402" s="2728"/>
      <c r="O402" s="2728"/>
      <c r="P402" s="2728"/>
      <c r="Q402" s="2748"/>
      <c r="R402" s="2748"/>
      <c r="S402" s="2748"/>
      <c r="T402" s="2748"/>
      <c r="U402" s="2748"/>
      <c r="V402" s="2748"/>
      <c r="W402" s="2748"/>
      <c r="X402" s="2748"/>
      <c r="Y402" s="2748"/>
      <c r="Z402" s="2748"/>
      <c r="AA402" s="2748"/>
      <c r="AB402" s="2748"/>
      <c r="AC402" s="2748"/>
      <c r="AD402" s="2748"/>
      <c r="AE402" s="2748"/>
      <c r="AF402" s="2748"/>
      <c r="AG402" s="2748"/>
      <c r="AH402" s="2748"/>
      <c r="AI402" s="2748"/>
      <c r="AK402" s="2748"/>
      <c r="AL402" s="2748"/>
      <c r="AN402" s="2748"/>
      <c r="AO402" s="2748"/>
      <c r="AP402" s="2748"/>
    </row>
    <row r="403" spans="2:42" ht="18" customHeight="1">
      <c r="B403" s="2728"/>
      <c r="C403" s="2728"/>
      <c r="D403" s="2728"/>
      <c r="E403" s="2728"/>
      <c r="G403" s="2512"/>
      <c r="I403" s="2748"/>
      <c r="J403" s="2728"/>
      <c r="L403" s="2728"/>
      <c r="M403" s="2748"/>
      <c r="N403" s="2728"/>
      <c r="O403" s="2728"/>
      <c r="P403" s="2728"/>
      <c r="Q403" s="2748"/>
      <c r="R403" s="2748"/>
      <c r="S403" s="2748"/>
      <c r="T403" s="2748"/>
      <c r="U403" s="2748"/>
      <c r="V403" s="2748"/>
      <c r="W403" s="2748"/>
      <c r="X403" s="2748"/>
      <c r="Y403" s="2748"/>
      <c r="Z403" s="2748"/>
      <c r="AA403" s="2748"/>
      <c r="AB403" s="2748"/>
      <c r="AC403" s="2748"/>
      <c r="AD403" s="2748"/>
      <c r="AE403" s="2748"/>
      <c r="AF403" s="2748"/>
      <c r="AG403" s="2748"/>
      <c r="AH403" s="2748"/>
      <c r="AI403" s="2748"/>
      <c r="AK403" s="2748"/>
      <c r="AL403" s="2748"/>
      <c r="AN403" s="2748"/>
      <c r="AO403" s="2748"/>
      <c r="AP403" s="2748"/>
    </row>
    <row r="404" spans="2:42" ht="18" customHeight="1">
      <c r="B404" s="2728"/>
      <c r="C404" s="2728"/>
      <c r="D404" s="2728"/>
      <c r="E404" s="2728"/>
      <c r="G404" s="2512"/>
      <c r="I404" s="2748"/>
      <c r="J404" s="2728"/>
      <c r="L404" s="2728"/>
      <c r="M404" s="2748"/>
      <c r="N404" s="2728"/>
      <c r="O404" s="2728"/>
      <c r="P404" s="2728"/>
      <c r="Q404" s="2748"/>
      <c r="R404" s="2748"/>
      <c r="S404" s="2748"/>
      <c r="T404" s="2748"/>
      <c r="U404" s="2748"/>
      <c r="V404" s="2748"/>
      <c r="W404" s="2748"/>
      <c r="X404" s="2748"/>
      <c r="Y404" s="2748"/>
      <c r="Z404" s="2748"/>
      <c r="AA404" s="2748"/>
      <c r="AB404" s="2748"/>
      <c r="AC404" s="2748"/>
      <c r="AD404" s="2748"/>
      <c r="AE404" s="2748"/>
      <c r="AF404" s="2748"/>
      <c r="AG404" s="2748"/>
      <c r="AH404" s="2748"/>
      <c r="AI404" s="2748"/>
      <c r="AK404" s="2748"/>
      <c r="AL404" s="2748"/>
      <c r="AN404" s="2748"/>
      <c r="AO404" s="2748"/>
      <c r="AP404" s="2748"/>
    </row>
    <row r="405" spans="2:42" ht="18" customHeight="1">
      <c r="B405" s="2728"/>
      <c r="C405" s="2728"/>
      <c r="D405" s="2728"/>
      <c r="E405" s="2728"/>
      <c r="G405" s="2512"/>
      <c r="I405" s="2748"/>
      <c r="J405" s="2728"/>
      <c r="L405" s="2728"/>
      <c r="M405" s="2748"/>
      <c r="N405" s="2728"/>
      <c r="O405" s="2728"/>
      <c r="P405" s="2728"/>
      <c r="Q405" s="2748"/>
      <c r="R405" s="2748"/>
      <c r="S405" s="2748"/>
      <c r="T405" s="2748"/>
      <c r="U405" s="2748"/>
      <c r="V405" s="2748"/>
      <c r="W405" s="2748"/>
      <c r="X405" s="2748"/>
      <c r="Y405" s="2748"/>
      <c r="Z405" s="2748"/>
      <c r="AA405" s="2748"/>
      <c r="AB405" s="2748"/>
      <c r="AC405" s="2748"/>
      <c r="AD405" s="2748"/>
      <c r="AE405" s="2748"/>
      <c r="AF405" s="2748"/>
      <c r="AG405" s="2748"/>
      <c r="AH405" s="2748"/>
      <c r="AI405" s="2748"/>
      <c r="AK405" s="2748"/>
      <c r="AL405" s="2748"/>
      <c r="AN405" s="2748"/>
      <c r="AO405" s="2748"/>
      <c r="AP405" s="2748"/>
    </row>
    <row r="406" spans="2:42" ht="18" customHeight="1">
      <c r="B406" s="2728"/>
      <c r="C406" s="2728"/>
      <c r="D406" s="2728"/>
      <c r="E406" s="2728"/>
      <c r="G406" s="2512"/>
      <c r="I406" s="2748"/>
      <c r="J406" s="2728"/>
      <c r="L406" s="2728"/>
      <c r="M406" s="2748"/>
      <c r="N406" s="2728"/>
      <c r="O406" s="2728"/>
      <c r="P406" s="2728"/>
      <c r="Q406" s="2748"/>
      <c r="R406" s="2748"/>
      <c r="S406" s="2748"/>
      <c r="T406" s="2748"/>
      <c r="U406" s="2748"/>
      <c r="V406" s="2748"/>
      <c r="W406" s="2748"/>
      <c r="X406" s="2748"/>
      <c r="Y406" s="2748"/>
      <c r="Z406" s="2748"/>
      <c r="AA406" s="2748"/>
      <c r="AB406" s="2748"/>
      <c r="AC406" s="2748"/>
      <c r="AD406" s="2748"/>
      <c r="AE406" s="2748"/>
      <c r="AF406" s="2748"/>
      <c r="AG406" s="2748"/>
      <c r="AH406" s="2748"/>
      <c r="AI406" s="2748"/>
      <c r="AK406" s="2748"/>
      <c r="AL406" s="2748"/>
      <c r="AN406" s="2748"/>
      <c r="AO406" s="2748"/>
      <c r="AP406" s="2748"/>
    </row>
    <row r="407" spans="2:42" ht="18" customHeight="1">
      <c r="B407" s="2728"/>
      <c r="C407" s="2728"/>
      <c r="D407" s="2728"/>
      <c r="E407" s="2728"/>
      <c r="G407" s="2512"/>
      <c r="I407" s="2748"/>
      <c r="J407" s="2728"/>
      <c r="L407" s="2728"/>
      <c r="M407" s="2748"/>
      <c r="N407" s="2728"/>
      <c r="O407" s="2728"/>
      <c r="P407" s="2728"/>
      <c r="Q407" s="2748"/>
      <c r="R407" s="2748"/>
      <c r="S407" s="2748"/>
      <c r="T407" s="2748"/>
      <c r="U407" s="2748"/>
      <c r="V407" s="2748"/>
      <c r="W407" s="2748"/>
      <c r="X407" s="2748"/>
      <c r="Y407" s="2748"/>
      <c r="Z407" s="2748"/>
      <c r="AA407" s="2748"/>
      <c r="AB407" s="2748"/>
      <c r="AC407" s="2748"/>
      <c r="AD407" s="2748"/>
      <c r="AE407" s="2748"/>
      <c r="AF407" s="2748"/>
      <c r="AG407" s="2748"/>
      <c r="AH407" s="2748"/>
      <c r="AI407" s="2748"/>
      <c r="AK407" s="2748"/>
      <c r="AL407" s="2748"/>
      <c r="AN407" s="2748"/>
      <c r="AO407" s="2748"/>
      <c r="AP407" s="2748"/>
    </row>
    <row r="408" spans="2:42" ht="18" customHeight="1">
      <c r="B408" s="2728"/>
      <c r="C408" s="2728"/>
      <c r="D408" s="2728"/>
      <c r="E408" s="2728"/>
      <c r="G408" s="2512"/>
      <c r="I408" s="2748"/>
      <c r="J408" s="2728"/>
      <c r="L408" s="2728"/>
      <c r="M408" s="2748"/>
      <c r="N408" s="2728"/>
      <c r="O408" s="2728"/>
      <c r="P408" s="2728"/>
      <c r="Q408" s="2748"/>
      <c r="R408" s="2748"/>
      <c r="S408" s="2748"/>
      <c r="T408" s="2748"/>
      <c r="U408" s="2748"/>
      <c r="V408" s="2748"/>
      <c r="W408" s="2748"/>
      <c r="X408" s="2748"/>
      <c r="Y408" s="2748"/>
      <c r="Z408" s="2748"/>
      <c r="AA408" s="2748"/>
      <c r="AB408" s="2748"/>
      <c r="AC408" s="2748"/>
      <c r="AD408" s="2748"/>
      <c r="AE408" s="2748"/>
      <c r="AF408" s="2748"/>
      <c r="AG408" s="2748"/>
      <c r="AH408" s="2748"/>
      <c r="AI408" s="2748"/>
      <c r="AK408" s="2748"/>
      <c r="AL408" s="2748"/>
      <c r="AN408" s="2748"/>
      <c r="AO408" s="2748"/>
      <c r="AP408" s="2748"/>
    </row>
    <row r="409" spans="2:42" ht="18" customHeight="1">
      <c r="B409" s="2728"/>
      <c r="C409" s="2728"/>
      <c r="D409" s="2728"/>
      <c r="E409" s="2728"/>
      <c r="G409" s="2512"/>
      <c r="I409" s="2748"/>
      <c r="J409" s="2728"/>
      <c r="L409" s="2728"/>
      <c r="M409" s="2748"/>
      <c r="N409" s="2728"/>
      <c r="O409" s="2728"/>
      <c r="P409" s="2728"/>
      <c r="Q409" s="2748"/>
      <c r="R409" s="2748"/>
      <c r="S409" s="2748"/>
      <c r="T409" s="2748"/>
      <c r="U409" s="2748"/>
      <c r="V409" s="2748"/>
      <c r="W409" s="2748"/>
      <c r="X409" s="2748"/>
      <c r="Y409" s="2748"/>
      <c r="Z409" s="2748"/>
      <c r="AA409" s="2748"/>
      <c r="AB409" s="2748"/>
      <c r="AC409" s="2748"/>
      <c r="AD409" s="2748"/>
      <c r="AE409" s="2748"/>
      <c r="AF409" s="2748"/>
      <c r="AG409" s="2748"/>
      <c r="AH409" s="2748"/>
      <c r="AI409" s="2748"/>
      <c r="AK409" s="2748"/>
      <c r="AL409" s="2748"/>
      <c r="AN409" s="2748"/>
      <c r="AO409" s="2748"/>
      <c r="AP409" s="2748"/>
    </row>
    <row r="410" spans="2:42" ht="18" customHeight="1">
      <c r="B410" s="2728"/>
      <c r="C410" s="2728"/>
      <c r="D410" s="2728"/>
      <c r="E410" s="2728"/>
      <c r="G410" s="2512"/>
      <c r="I410" s="2748"/>
      <c r="J410" s="2728"/>
      <c r="L410" s="2728"/>
      <c r="M410" s="2748"/>
      <c r="N410" s="2728"/>
      <c r="O410" s="2728"/>
      <c r="P410" s="2728"/>
      <c r="Q410" s="2748"/>
      <c r="R410" s="2748"/>
      <c r="S410" s="2748"/>
      <c r="T410" s="2748"/>
      <c r="U410" s="2748"/>
      <c r="V410" s="2748"/>
      <c r="W410" s="2748"/>
      <c r="X410" s="2748"/>
      <c r="Y410" s="2748"/>
      <c r="Z410" s="2748"/>
      <c r="AA410" s="2748"/>
      <c r="AB410" s="2748"/>
      <c r="AC410" s="2748"/>
      <c r="AD410" s="2748"/>
      <c r="AE410" s="2748"/>
      <c r="AF410" s="2748"/>
      <c r="AG410" s="2748"/>
      <c r="AH410" s="2748"/>
      <c r="AI410" s="2748"/>
      <c r="AK410" s="2748"/>
      <c r="AL410" s="2748"/>
      <c r="AN410" s="2748"/>
      <c r="AO410" s="2748"/>
      <c r="AP410" s="2748"/>
    </row>
    <row r="411" spans="2:42" ht="18" customHeight="1">
      <c r="B411" s="2728"/>
      <c r="C411" s="2728"/>
      <c r="D411" s="2728"/>
      <c r="E411" s="2728"/>
      <c r="G411" s="2512"/>
      <c r="I411" s="2748"/>
      <c r="J411" s="2728"/>
      <c r="L411" s="2728"/>
      <c r="M411" s="2748"/>
      <c r="N411" s="2728"/>
      <c r="O411" s="2728"/>
      <c r="P411" s="2728"/>
      <c r="Q411" s="2748"/>
      <c r="R411" s="2748"/>
      <c r="S411" s="2748"/>
      <c r="T411" s="2748"/>
      <c r="U411" s="2748"/>
      <c r="V411" s="2748"/>
      <c r="W411" s="2748"/>
      <c r="X411" s="2748"/>
      <c r="Y411" s="2748"/>
      <c r="Z411" s="2748"/>
      <c r="AA411" s="2748"/>
      <c r="AB411" s="2748"/>
      <c r="AC411" s="2748"/>
      <c r="AD411" s="2748"/>
      <c r="AE411" s="2748"/>
      <c r="AF411" s="2748"/>
      <c r="AG411" s="2748"/>
      <c r="AH411" s="2748"/>
      <c r="AI411" s="2748"/>
      <c r="AK411" s="2748"/>
      <c r="AL411" s="2748"/>
      <c r="AN411" s="2748"/>
      <c r="AO411" s="2748"/>
      <c r="AP411" s="2748"/>
    </row>
    <row r="412" spans="2:42" ht="18" customHeight="1">
      <c r="B412" s="2728"/>
      <c r="C412" s="2728"/>
      <c r="D412" s="2728"/>
      <c r="E412" s="2728"/>
      <c r="G412" s="2512"/>
      <c r="I412" s="2748"/>
      <c r="J412" s="2728"/>
      <c r="L412" s="2728"/>
      <c r="M412" s="2748"/>
      <c r="N412" s="2728"/>
      <c r="O412" s="2728"/>
      <c r="P412" s="2728"/>
      <c r="Q412" s="2748"/>
      <c r="R412" s="2748"/>
      <c r="S412" s="2748"/>
      <c r="T412" s="2748"/>
      <c r="U412" s="2748"/>
      <c r="V412" s="2748"/>
      <c r="W412" s="2748"/>
      <c r="X412" s="2748"/>
      <c r="Y412" s="2748"/>
      <c r="Z412" s="2748"/>
      <c r="AA412" s="2748"/>
      <c r="AB412" s="2748"/>
      <c r="AC412" s="2748"/>
      <c r="AD412" s="2748"/>
      <c r="AE412" s="2748"/>
      <c r="AF412" s="2748"/>
      <c r="AG412" s="2748"/>
      <c r="AH412" s="2748"/>
      <c r="AI412" s="2748"/>
      <c r="AK412" s="2748"/>
      <c r="AL412" s="2748"/>
      <c r="AN412" s="2748"/>
      <c r="AO412" s="2748"/>
      <c r="AP412" s="2748"/>
    </row>
    <row r="413" spans="2:42" ht="18" customHeight="1">
      <c r="B413" s="2728"/>
      <c r="C413" s="2728"/>
      <c r="D413" s="2728"/>
      <c r="E413" s="2728"/>
      <c r="G413" s="2512"/>
      <c r="I413" s="2748"/>
      <c r="J413" s="2728"/>
      <c r="L413" s="2728"/>
      <c r="M413" s="2748"/>
      <c r="N413" s="2728"/>
      <c r="O413" s="2728"/>
      <c r="P413" s="2728"/>
      <c r="Q413" s="2748"/>
      <c r="R413" s="2748"/>
      <c r="S413" s="2748"/>
      <c r="T413" s="2748"/>
      <c r="U413" s="2748"/>
      <c r="V413" s="2748"/>
      <c r="W413" s="2748"/>
      <c r="X413" s="2748"/>
      <c r="Y413" s="2748"/>
      <c r="Z413" s="2748"/>
      <c r="AA413" s="2748"/>
      <c r="AB413" s="2748"/>
      <c r="AC413" s="2748"/>
      <c r="AD413" s="2748"/>
      <c r="AE413" s="2748"/>
      <c r="AF413" s="2748"/>
      <c r="AG413" s="2748"/>
      <c r="AH413" s="2748"/>
      <c r="AI413" s="2748"/>
      <c r="AK413" s="2748"/>
      <c r="AL413" s="2748"/>
      <c r="AN413" s="2748"/>
      <c r="AO413" s="2748"/>
      <c r="AP413" s="2748"/>
    </row>
    <row r="414" spans="2:42" ht="18" customHeight="1">
      <c r="B414" s="2728"/>
      <c r="C414" s="2728"/>
      <c r="D414" s="2728"/>
      <c r="E414" s="2728"/>
      <c r="G414" s="2512"/>
      <c r="I414" s="2748"/>
      <c r="J414" s="2728"/>
      <c r="L414" s="2728"/>
      <c r="M414" s="2748"/>
      <c r="N414" s="2728"/>
      <c r="O414" s="2728"/>
      <c r="P414" s="2728"/>
      <c r="Q414" s="2748"/>
      <c r="R414" s="2748"/>
      <c r="S414" s="2748"/>
      <c r="T414" s="2748"/>
      <c r="U414" s="2748"/>
      <c r="V414" s="2748"/>
      <c r="W414" s="2748"/>
      <c r="X414" s="2748"/>
      <c r="Y414" s="2748"/>
      <c r="Z414" s="2748"/>
      <c r="AA414" s="2748"/>
      <c r="AB414" s="2748"/>
      <c r="AC414" s="2748"/>
      <c r="AD414" s="2748"/>
      <c r="AE414" s="2748"/>
      <c r="AF414" s="2748"/>
      <c r="AG414" s="2748"/>
      <c r="AH414" s="2748"/>
      <c r="AI414" s="2748"/>
      <c r="AK414" s="2748"/>
      <c r="AL414" s="2748"/>
      <c r="AN414" s="2748"/>
      <c r="AO414" s="2748"/>
      <c r="AP414" s="2748"/>
    </row>
    <row r="415" spans="2:42" ht="18" customHeight="1">
      <c r="B415" s="2728"/>
      <c r="C415" s="2728"/>
      <c r="D415" s="2728"/>
      <c r="E415" s="2728"/>
      <c r="G415" s="2512"/>
      <c r="I415" s="2748"/>
      <c r="J415" s="2728"/>
      <c r="L415" s="2728"/>
      <c r="M415" s="2748"/>
      <c r="N415" s="2728"/>
      <c r="O415" s="2728"/>
      <c r="P415" s="2728"/>
      <c r="Q415" s="2748"/>
      <c r="R415" s="2748"/>
      <c r="S415" s="2748"/>
      <c r="T415" s="2748"/>
      <c r="U415" s="2748"/>
      <c r="V415" s="2748"/>
      <c r="W415" s="2748"/>
      <c r="X415" s="2748"/>
      <c r="Y415" s="2748"/>
      <c r="Z415" s="2748"/>
      <c r="AA415" s="2748"/>
      <c r="AB415" s="2748"/>
      <c r="AC415" s="2748"/>
      <c r="AD415" s="2748"/>
      <c r="AE415" s="2748"/>
      <c r="AF415" s="2748"/>
      <c r="AG415" s="2748"/>
      <c r="AH415" s="2748"/>
      <c r="AI415" s="2748"/>
      <c r="AK415" s="2748"/>
      <c r="AL415" s="2748"/>
      <c r="AN415" s="2748"/>
      <c r="AO415" s="2748"/>
      <c r="AP415" s="2748"/>
    </row>
    <row r="416" spans="2:42" ht="18" customHeight="1">
      <c r="B416" s="2728"/>
      <c r="C416" s="2728"/>
      <c r="D416" s="2728"/>
      <c r="E416" s="2728"/>
      <c r="G416" s="2512"/>
      <c r="I416" s="2748"/>
      <c r="J416" s="2728"/>
      <c r="L416" s="2728"/>
      <c r="M416" s="2748"/>
      <c r="N416" s="2728"/>
      <c r="O416" s="2728"/>
      <c r="P416" s="2728"/>
      <c r="Q416" s="2748"/>
      <c r="R416" s="2748"/>
      <c r="S416" s="2748"/>
      <c r="T416" s="2748"/>
      <c r="U416" s="2748"/>
      <c r="V416" s="2748"/>
      <c r="W416" s="2748"/>
      <c r="X416" s="2748"/>
      <c r="Y416" s="2748"/>
      <c r="Z416" s="2748"/>
      <c r="AA416" s="2748"/>
      <c r="AB416" s="2748"/>
      <c r="AC416" s="2748"/>
      <c r="AD416" s="2748"/>
      <c r="AE416" s="2748"/>
      <c r="AF416" s="2748"/>
      <c r="AG416" s="2748"/>
      <c r="AH416" s="2748"/>
      <c r="AI416" s="2748"/>
      <c r="AK416" s="2748"/>
      <c r="AL416" s="2748"/>
      <c r="AN416" s="2748"/>
      <c r="AO416" s="2748"/>
      <c r="AP416" s="2748"/>
    </row>
    <row r="417" spans="2:42" ht="18" customHeight="1">
      <c r="B417" s="2728"/>
      <c r="C417" s="2728"/>
      <c r="D417" s="2728"/>
      <c r="E417" s="2728"/>
      <c r="G417" s="2512"/>
      <c r="I417" s="2748"/>
      <c r="J417" s="2728"/>
      <c r="L417" s="2728"/>
      <c r="M417" s="2748"/>
      <c r="N417" s="2728"/>
      <c r="O417" s="2728"/>
      <c r="P417" s="2728"/>
      <c r="Q417" s="2748"/>
      <c r="R417" s="2748"/>
      <c r="S417" s="2748"/>
      <c r="T417" s="2748"/>
      <c r="U417" s="2748"/>
      <c r="V417" s="2748"/>
      <c r="W417" s="2748"/>
      <c r="X417" s="2748"/>
      <c r="Y417" s="2748"/>
      <c r="Z417" s="2748"/>
      <c r="AA417" s="2748"/>
      <c r="AB417" s="2748"/>
      <c r="AC417" s="2748"/>
      <c r="AD417" s="2748"/>
      <c r="AE417" s="2748"/>
      <c r="AF417" s="2748"/>
      <c r="AG417" s="2748"/>
      <c r="AH417" s="2748"/>
      <c r="AI417" s="2748"/>
      <c r="AK417" s="2748"/>
      <c r="AL417" s="2748"/>
      <c r="AN417" s="2748"/>
      <c r="AO417" s="2748"/>
      <c r="AP417" s="2748"/>
    </row>
    <row r="418" spans="2:42" ht="18" customHeight="1">
      <c r="B418" s="2728"/>
      <c r="C418" s="2728"/>
      <c r="D418" s="2728"/>
      <c r="E418" s="2728"/>
      <c r="G418" s="2512"/>
      <c r="I418" s="2748"/>
      <c r="J418" s="2728"/>
      <c r="L418" s="2728"/>
      <c r="M418" s="2748"/>
      <c r="N418" s="2728"/>
      <c r="O418" s="2728"/>
      <c r="P418" s="2728"/>
      <c r="Q418" s="2748"/>
      <c r="R418" s="2748"/>
      <c r="S418" s="2748"/>
      <c r="T418" s="2748"/>
      <c r="U418" s="2748"/>
      <c r="V418" s="2748"/>
      <c r="W418" s="2748"/>
      <c r="X418" s="2748"/>
      <c r="Y418" s="2748"/>
      <c r="Z418" s="2748"/>
      <c r="AA418" s="2748"/>
      <c r="AB418" s="2748"/>
      <c r="AC418" s="2748"/>
      <c r="AD418" s="2748"/>
      <c r="AE418" s="2748"/>
      <c r="AF418" s="2748"/>
      <c r="AG418" s="2748"/>
      <c r="AH418" s="2748"/>
      <c r="AI418" s="2748"/>
      <c r="AK418" s="2748"/>
      <c r="AL418" s="2748"/>
      <c r="AN418" s="2748"/>
      <c r="AO418" s="2748"/>
      <c r="AP418" s="2748"/>
    </row>
    <row r="419" spans="2:42" ht="18" customHeight="1">
      <c r="B419" s="2728"/>
      <c r="C419" s="2728"/>
      <c r="D419" s="2728"/>
      <c r="E419" s="2728"/>
      <c r="G419" s="2512"/>
      <c r="I419" s="2748"/>
      <c r="J419" s="2728"/>
      <c r="L419" s="2728"/>
      <c r="M419" s="2748"/>
      <c r="N419" s="2728"/>
      <c r="O419" s="2728"/>
      <c r="P419" s="2728"/>
      <c r="Q419" s="2748"/>
      <c r="R419" s="2748"/>
      <c r="S419" s="2748"/>
      <c r="T419" s="2748"/>
      <c r="U419" s="2748"/>
      <c r="V419" s="2748"/>
      <c r="W419" s="2748"/>
      <c r="X419" s="2748"/>
      <c r="Y419" s="2748"/>
      <c r="Z419" s="2748"/>
      <c r="AA419" s="2748"/>
      <c r="AB419" s="2748"/>
      <c r="AC419" s="2748"/>
      <c r="AD419" s="2748"/>
      <c r="AE419" s="2748"/>
      <c r="AF419" s="2748"/>
      <c r="AG419" s="2748"/>
      <c r="AH419" s="2748"/>
      <c r="AI419" s="2748"/>
      <c r="AK419" s="2748"/>
      <c r="AL419" s="2748"/>
      <c r="AN419" s="2748"/>
      <c r="AO419" s="2748"/>
      <c r="AP419" s="2748"/>
    </row>
    <row r="420" spans="2:42" ht="18" customHeight="1">
      <c r="B420" s="2728"/>
      <c r="C420" s="2728"/>
      <c r="D420" s="2728"/>
      <c r="E420" s="2728"/>
      <c r="G420" s="2512"/>
      <c r="I420" s="2748"/>
      <c r="J420" s="2728"/>
      <c r="L420" s="2728"/>
      <c r="M420" s="2748"/>
      <c r="N420" s="2728"/>
      <c r="O420" s="2728"/>
      <c r="P420" s="2728"/>
      <c r="Q420" s="2748"/>
      <c r="R420" s="2748"/>
      <c r="S420" s="2748"/>
      <c r="T420" s="2748"/>
      <c r="U420" s="2748"/>
      <c r="V420" s="2748"/>
      <c r="W420" s="2748"/>
      <c r="X420" s="2748"/>
      <c r="Y420" s="2748"/>
      <c r="Z420" s="2748"/>
      <c r="AA420" s="2748"/>
      <c r="AB420" s="2748"/>
      <c r="AC420" s="2748"/>
      <c r="AD420" s="2748"/>
      <c r="AE420" s="2748"/>
      <c r="AF420" s="2748"/>
      <c r="AG420" s="2748"/>
      <c r="AH420" s="2748"/>
      <c r="AI420" s="2748"/>
      <c r="AK420" s="2748"/>
      <c r="AL420" s="2748"/>
      <c r="AN420" s="2748"/>
      <c r="AO420" s="2748"/>
      <c r="AP420" s="2748"/>
    </row>
    <row r="421" spans="2:42" ht="18" customHeight="1">
      <c r="B421" s="2728"/>
      <c r="C421" s="2728"/>
      <c r="D421" s="2728"/>
      <c r="E421" s="2728"/>
      <c r="G421" s="2512"/>
      <c r="I421" s="2748"/>
      <c r="J421" s="2728"/>
      <c r="L421" s="2728"/>
      <c r="M421" s="2748"/>
      <c r="N421" s="2728"/>
      <c r="O421" s="2728"/>
      <c r="P421" s="2728"/>
      <c r="Q421" s="2748"/>
      <c r="R421" s="2748"/>
      <c r="S421" s="2748"/>
      <c r="T421" s="2748"/>
      <c r="U421" s="2748"/>
      <c r="V421" s="2748"/>
      <c r="W421" s="2748"/>
      <c r="X421" s="2748"/>
      <c r="Y421" s="2748"/>
      <c r="Z421" s="2748"/>
      <c r="AA421" s="2748"/>
      <c r="AB421" s="2748"/>
      <c r="AC421" s="2748"/>
      <c r="AD421" s="2748"/>
      <c r="AE421" s="2748"/>
      <c r="AF421" s="2748"/>
      <c r="AG421" s="2748"/>
      <c r="AH421" s="2748"/>
      <c r="AI421" s="2748"/>
      <c r="AK421" s="2748"/>
      <c r="AL421" s="2748"/>
      <c r="AN421" s="2748"/>
      <c r="AO421" s="2748"/>
      <c r="AP421" s="2748"/>
    </row>
    <row r="422" spans="2:42" ht="18" customHeight="1">
      <c r="B422" s="2728"/>
      <c r="C422" s="2728"/>
      <c r="D422" s="2728"/>
      <c r="E422" s="2728"/>
      <c r="G422" s="2512"/>
      <c r="I422" s="2748"/>
      <c r="J422" s="2728"/>
      <c r="L422" s="2728"/>
      <c r="M422" s="2748"/>
      <c r="N422" s="2728"/>
      <c r="O422" s="2728"/>
      <c r="P422" s="2728"/>
      <c r="Q422" s="2748"/>
      <c r="R422" s="2748"/>
      <c r="S422" s="2748"/>
      <c r="T422" s="2748"/>
      <c r="U422" s="2748"/>
      <c r="V422" s="2748"/>
      <c r="W422" s="2748"/>
      <c r="X422" s="2748"/>
      <c r="Y422" s="2748"/>
      <c r="Z422" s="2748"/>
      <c r="AA422" s="2748"/>
      <c r="AB422" s="2748"/>
      <c r="AC422" s="2748"/>
      <c r="AD422" s="2748"/>
      <c r="AE422" s="2748"/>
      <c r="AF422" s="2748"/>
      <c r="AG422" s="2748"/>
      <c r="AH422" s="2748"/>
      <c r="AI422" s="2748"/>
      <c r="AK422" s="2748"/>
      <c r="AL422" s="2748"/>
      <c r="AN422" s="2748"/>
      <c r="AO422" s="2748"/>
      <c r="AP422" s="2748"/>
    </row>
    <row r="423" spans="2:42" ht="18" customHeight="1">
      <c r="B423" s="2728"/>
      <c r="C423" s="2728"/>
      <c r="D423" s="2728"/>
      <c r="E423" s="2728"/>
      <c r="G423" s="2512"/>
      <c r="I423" s="2748"/>
      <c r="J423" s="2728"/>
      <c r="L423" s="2728"/>
      <c r="M423" s="2748"/>
      <c r="N423" s="2728"/>
      <c r="O423" s="2728"/>
      <c r="P423" s="2728"/>
      <c r="Q423" s="2748"/>
      <c r="R423" s="2748"/>
      <c r="S423" s="2748"/>
      <c r="T423" s="2748"/>
      <c r="U423" s="2748"/>
      <c r="V423" s="2748"/>
      <c r="W423" s="2748"/>
      <c r="X423" s="2748"/>
      <c r="Y423" s="2748"/>
      <c r="Z423" s="2748"/>
      <c r="AA423" s="2748"/>
      <c r="AB423" s="2748"/>
      <c r="AC423" s="2748"/>
      <c r="AD423" s="2748"/>
      <c r="AE423" s="2748"/>
      <c r="AF423" s="2748"/>
      <c r="AG423" s="2748"/>
      <c r="AH423" s="2748"/>
      <c r="AI423" s="2748"/>
      <c r="AK423" s="2748"/>
      <c r="AL423" s="2748"/>
      <c r="AN423" s="2748"/>
      <c r="AO423" s="2748"/>
      <c r="AP423" s="2748"/>
    </row>
    <row r="424" spans="2:42" ht="18" customHeight="1">
      <c r="B424" s="2728"/>
      <c r="C424" s="2728"/>
      <c r="D424" s="2728"/>
      <c r="E424" s="2728"/>
      <c r="G424" s="2512"/>
      <c r="I424" s="2748"/>
      <c r="J424" s="2728"/>
      <c r="L424" s="2728"/>
      <c r="M424" s="2748"/>
      <c r="N424" s="2728"/>
      <c r="O424" s="2728"/>
      <c r="P424" s="2728"/>
      <c r="Q424" s="2748"/>
      <c r="R424" s="2748"/>
      <c r="S424" s="2748"/>
      <c r="T424" s="2748"/>
      <c r="U424" s="2748"/>
      <c r="V424" s="2748"/>
      <c r="W424" s="2748"/>
      <c r="X424" s="2748"/>
      <c r="Y424" s="2748"/>
      <c r="Z424" s="2748"/>
      <c r="AA424" s="2748"/>
      <c r="AB424" s="2748"/>
      <c r="AC424" s="2748"/>
      <c r="AD424" s="2748"/>
      <c r="AE424" s="2748"/>
      <c r="AF424" s="2748"/>
      <c r="AG424" s="2748"/>
      <c r="AH424" s="2748"/>
      <c r="AI424" s="2748"/>
      <c r="AK424" s="2748"/>
      <c r="AL424" s="2748"/>
      <c r="AN424" s="2748"/>
      <c r="AO424" s="2748"/>
      <c r="AP424" s="2748"/>
    </row>
    <row r="425" spans="2:42" ht="18" customHeight="1">
      <c r="B425" s="2728"/>
      <c r="C425" s="2728"/>
      <c r="D425" s="2728"/>
      <c r="E425" s="2728"/>
      <c r="G425" s="2512"/>
      <c r="I425" s="2748"/>
      <c r="J425" s="2728"/>
      <c r="L425" s="2728"/>
      <c r="M425" s="2748"/>
      <c r="N425" s="2728"/>
      <c r="O425" s="2728"/>
      <c r="P425" s="2728"/>
      <c r="Q425" s="2748"/>
      <c r="R425" s="2748"/>
      <c r="S425" s="2748"/>
      <c r="T425" s="2748"/>
      <c r="U425" s="2748"/>
      <c r="V425" s="2748"/>
      <c r="W425" s="2748"/>
      <c r="X425" s="2748"/>
      <c r="Y425" s="2748"/>
      <c r="Z425" s="2748"/>
      <c r="AA425" s="2748"/>
      <c r="AB425" s="2748"/>
      <c r="AC425" s="2748"/>
      <c r="AD425" s="2748"/>
      <c r="AE425" s="2748"/>
      <c r="AF425" s="2748"/>
      <c r="AG425" s="2748"/>
      <c r="AH425" s="2748"/>
      <c r="AI425" s="2748"/>
      <c r="AK425" s="2748"/>
      <c r="AL425" s="2748"/>
      <c r="AN425" s="2748"/>
      <c r="AO425" s="2748"/>
      <c r="AP425" s="2748"/>
    </row>
    <row r="426" spans="2:42" ht="18" customHeight="1">
      <c r="B426" s="2728"/>
      <c r="C426" s="2728"/>
      <c r="D426" s="2728"/>
      <c r="E426" s="2728"/>
      <c r="G426" s="2512"/>
      <c r="I426" s="2748"/>
      <c r="J426" s="2728"/>
      <c r="L426" s="2728"/>
      <c r="M426" s="2748"/>
      <c r="N426" s="2728"/>
      <c r="O426" s="2728"/>
      <c r="P426" s="2728"/>
      <c r="Q426" s="2748"/>
      <c r="R426" s="2748"/>
      <c r="S426" s="2748"/>
      <c r="T426" s="2748"/>
      <c r="U426" s="2748"/>
      <c r="V426" s="2748"/>
      <c r="W426" s="2748"/>
      <c r="X426" s="2748"/>
      <c r="Y426" s="2748"/>
      <c r="Z426" s="2748"/>
      <c r="AA426" s="2748"/>
      <c r="AB426" s="2748"/>
      <c r="AC426" s="2748"/>
      <c r="AD426" s="2748"/>
      <c r="AE426" s="2748"/>
      <c r="AF426" s="2748"/>
      <c r="AG426" s="2748"/>
      <c r="AH426" s="2748"/>
      <c r="AI426" s="2748"/>
      <c r="AK426" s="2748"/>
      <c r="AL426" s="2748"/>
      <c r="AN426" s="2748"/>
      <c r="AO426" s="2748"/>
      <c r="AP426" s="2748"/>
    </row>
    <row r="427" spans="2:42" ht="18" customHeight="1">
      <c r="B427" s="2728"/>
      <c r="C427" s="2728"/>
      <c r="D427" s="2728"/>
      <c r="E427" s="2728"/>
      <c r="G427" s="2512"/>
      <c r="I427" s="2748"/>
      <c r="J427" s="2728"/>
      <c r="L427" s="2728"/>
      <c r="M427" s="2748"/>
      <c r="N427" s="2728"/>
      <c r="O427" s="2728"/>
      <c r="P427" s="2728"/>
      <c r="Q427" s="2748"/>
      <c r="R427" s="2748"/>
      <c r="S427" s="2748"/>
      <c r="T427" s="2748"/>
      <c r="U427" s="2748"/>
      <c r="V427" s="2748"/>
      <c r="W427" s="2748"/>
      <c r="X427" s="2748"/>
      <c r="Y427" s="2748"/>
      <c r="Z427" s="2748"/>
      <c r="AA427" s="2748"/>
      <c r="AB427" s="2748"/>
      <c r="AC427" s="2748"/>
      <c r="AD427" s="2748"/>
      <c r="AE427" s="2748"/>
      <c r="AF427" s="2748"/>
      <c r="AG427" s="2748"/>
      <c r="AH427" s="2748"/>
      <c r="AI427" s="2748"/>
      <c r="AK427" s="2748"/>
      <c r="AL427" s="2748"/>
      <c r="AN427" s="2748"/>
      <c r="AO427" s="2748"/>
      <c r="AP427" s="2748"/>
    </row>
    <row r="428" spans="2:42" ht="18" customHeight="1">
      <c r="B428" s="2728"/>
      <c r="C428" s="2728"/>
      <c r="D428" s="2728"/>
      <c r="E428" s="2728"/>
      <c r="G428" s="2512"/>
      <c r="I428" s="2748"/>
      <c r="J428" s="2728"/>
      <c r="L428" s="2728"/>
      <c r="M428" s="2748"/>
      <c r="N428" s="2728"/>
      <c r="O428" s="2728"/>
      <c r="P428" s="2728"/>
      <c r="Q428" s="2748"/>
      <c r="R428" s="2748"/>
      <c r="S428" s="2748"/>
      <c r="T428" s="2748"/>
      <c r="U428" s="2748"/>
      <c r="V428" s="2748"/>
      <c r="W428" s="2748"/>
      <c r="X428" s="2748"/>
      <c r="Y428" s="2748"/>
      <c r="Z428" s="2748"/>
      <c r="AA428" s="2748"/>
      <c r="AB428" s="2748"/>
      <c r="AC428" s="2748"/>
      <c r="AD428" s="2748"/>
      <c r="AE428" s="2748"/>
      <c r="AF428" s="2748"/>
      <c r="AG428" s="2748"/>
      <c r="AH428" s="2748"/>
      <c r="AI428" s="2748"/>
      <c r="AK428" s="2748"/>
      <c r="AL428" s="2748"/>
      <c r="AN428" s="2748"/>
      <c r="AO428" s="2748"/>
      <c r="AP428" s="2748"/>
    </row>
    <row r="429" spans="2:42" ht="18" customHeight="1">
      <c r="B429" s="2728"/>
      <c r="C429" s="2728"/>
      <c r="D429" s="2728"/>
      <c r="E429" s="2728"/>
      <c r="G429" s="2512"/>
      <c r="I429" s="2748"/>
      <c r="J429" s="2728"/>
      <c r="L429" s="2728"/>
      <c r="M429" s="2748"/>
      <c r="N429" s="2728"/>
      <c r="O429" s="2728"/>
      <c r="P429" s="2728"/>
      <c r="Q429" s="2748"/>
      <c r="R429" s="2748"/>
      <c r="S429" s="2748"/>
      <c r="T429" s="2748"/>
      <c r="U429" s="2748"/>
      <c r="V429" s="2748"/>
      <c r="W429" s="2748"/>
      <c r="X429" s="2748"/>
      <c r="Y429" s="2748"/>
      <c r="Z429" s="2748"/>
      <c r="AA429" s="2748"/>
      <c r="AB429" s="2748"/>
      <c r="AC429" s="2748"/>
      <c r="AD429" s="2748"/>
      <c r="AE429" s="2748"/>
      <c r="AF429" s="2748"/>
      <c r="AG429" s="2748"/>
      <c r="AH429" s="2748"/>
      <c r="AI429" s="2748"/>
      <c r="AK429" s="2748"/>
      <c r="AL429" s="2748"/>
      <c r="AN429" s="2748"/>
      <c r="AO429" s="2748"/>
      <c r="AP429" s="2748"/>
    </row>
    <row r="430" spans="2:42" ht="18" customHeight="1">
      <c r="B430" s="2728"/>
      <c r="C430" s="2728"/>
      <c r="D430" s="2728"/>
      <c r="E430" s="2728"/>
      <c r="G430" s="2512"/>
      <c r="I430" s="2748"/>
      <c r="J430" s="2728"/>
      <c r="L430" s="2728"/>
      <c r="M430" s="2748"/>
      <c r="N430" s="2728"/>
      <c r="O430" s="2728"/>
      <c r="P430" s="2728"/>
      <c r="Q430" s="2748"/>
      <c r="R430" s="2748"/>
      <c r="S430" s="2748"/>
      <c r="T430" s="2748"/>
      <c r="U430" s="2748"/>
      <c r="V430" s="2748"/>
      <c r="W430" s="2748"/>
      <c r="X430" s="2748"/>
      <c r="Y430" s="2748"/>
      <c r="Z430" s="2748"/>
      <c r="AA430" s="2748"/>
      <c r="AB430" s="2748"/>
      <c r="AC430" s="2748"/>
      <c r="AD430" s="2748"/>
      <c r="AE430" s="2748"/>
      <c r="AF430" s="2748"/>
      <c r="AG430" s="2748"/>
      <c r="AH430" s="2748"/>
      <c r="AI430" s="2748"/>
      <c r="AK430" s="2748"/>
      <c r="AL430" s="2748"/>
      <c r="AN430" s="2748"/>
      <c r="AO430" s="2748"/>
      <c r="AP430" s="2748"/>
    </row>
    <row r="431" spans="2:42" ht="18" customHeight="1">
      <c r="B431" s="2728"/>
      <c r="C431" s="2728"/>
      <c r="D431" s="2728"/>
      <c r="E431" s="2728"/>
      <c r="G431" s="2512"/>
      <c r="I431" s="2748"/>
      <c r="J431" s="2728"/>
      <c r="L431" s="2728"/>
      <c r="M431" s="2748"/>
      <c r="N431" s="2728"/>
      <c r="O431" s="2728"/>
      <c r="P431" s="2728"/>
      <c r="Q431" s="2748"/>
      <c r="R431" s="2748"/>
      <c r="S431" s="2748"/>
      <c r="T431" s="2748"/>
      <c r="U431" s="2748"/>
      <c r="V431" s="2748"/>
      <c r="W431" s="2748"/>
      <c r="X431" s="2748"/>
      <c r="Y431" s="2748"/>
      <c r="Z431" s="2748"/>
      <c r="AA431" s="2748"/>
      <c r="AB431" s="2748"/>
      <c r="AC431" s="2748"/>
      <c r="AD431" s="2748"/>
      <c r="AE431" s="2748"/>
      <c r="AF431" s="2748"/>
      <c r="AG431" s="2748"/>
      <c r="AH431" s="2748"/>
      <c r="AI431" s="2748"/>
      <c r="AK431" s="2748"/>
      <c r="AL431" s="2748"/>
      <c r="AN431" s="2748"/>
      <c r="AO431" s="2748"/>
      <c r="AP431" s="2748"/>
    </row>
    <row r="432" spans="2:42" ht="18" customHeight="1">
      <c r="B432" s="2728"/>
      <c r="C432" s="2728"/>
      <c r="D432" s="2728"/>
      <c r="E432" s="2728"/>
      <c r="G432" s="2512"/>
      <c r="I432" s="2748"/>
      <c r="J432" s="2728"/>
      <c r="L432" s="2728"/>
      <c r="M432" s="2748"/>
      <c r="N432" s="2728"/>
      <c r="O432" s="2728"/>
      <c r="P432" s="2728"/>
      <c r="Q432" s="2748"/>
      <c r="R432" s="2748"/>
      <c r="S432" s="2748"/>
      <c r="T432" s="2748"/>
      <c r="U432" s="2748"/>
      <c r="V432" s="2748"/>
      <c r="W432" s="2748"/>
      <c r="X432" s="2748"/>
      <c r="Y432" s="2748"/>
      <c r="Z432" s="2748"/>
      <c r="AA432" s="2748"/>
      <c r="AB432" s="2748"/>
      <c r="AC432" s="2748"/>
      <c r="AD432" s="2748"/>
      <c r="AE432" s="2748"/>
      <c r="AF432" s="2748"/>
      <c r="AG432" s="2748"/>
      <c r="AH432" s="2748"/>
      <c r="AI432" s="2748"/>
      <c r="AK432" s="2748"/>
      <c r="AL432" s="2748"/>
      <c r="AN432" s="2748"/>
      <c r="AO432" s="2748"/>
      <c r="AP432" s="2748"/>
    </row>
    <row r="433" spans="2:42" ht="18" customHeight="1">
      <c r="B433" s="2728"/>
      <c r="C433" s="2728"/>
      <c r="D433" s="2728"/>
      <c r="E433" s="2728"/>
      <c r="G433" s="2512"/>
      <c r="I433" s="2748"/>
      <c r="J433" s="2728"/>
      <c r="L433" s="2728"/>
      <c r="M433" s="2748"/>
      <c r="N433" s="2728"/>
      <c r="O433" s="2728"/>
      <c r="P433" s="2728"/>
      <c r="Q433" s="2748"/>
      <c r="R433" s="2748"/>
      <c r="S433" s="2748"/>
      <c r="T433" s="2748"/>
      <c r="U433" s="2748"/>
      <c r="V433" s="2748"/>
      <c r="W433" s="2748"/>
      <c r="X433" s="2748"/>
      <c r="Y433" s="2748"/>
      <c r="Z433" s="2748"/>
      <c r="AA433" s="2748"/>
      <c r="AB433" s="2748"/>
      <c r="AC433" s="2748"/>
      <c r="AD433" s="2748"/>
      <c r="AE433" s="2748"/>
      <c r="AF433" s="2748"/>
      <c r="AG433" s="2748"/>
      <c r="AH433" s="2748"/>
      <c r="AI433" s="2748"/>
      <c r="AK433" s="2748"/>
      <c r="AL433" s="2748"/>
      <c r="AN433" s="2748"/>
      <c r="AO433" s="2748"/>
      <c r="AP433" s="2748"/>
    </row>
    <row r="434" spans="2:42" ht="18" customHeight="1">
      <c r="B434" s="2728"/>
      <c r="C434" s="2728"/>
      <c r="D434" s="2728"/>
      <c r="E434" s="2728"/>
      <c r="G434" s="2512"/>
      <c r="I434" s="2748"/>
      <c r="J434" s="2728"/>
      <c r="L434" s="2728"/>
      <c r="M434" s="2748"/>
      <c r="N434" s="2728"/>
      <c r="O434" s="2728"/>
      <c r="P434" s="2728"/>
      <c r="Q434" s="2748"/>
      <c r="R434" s="2748"/>
      <c r="S434" s="2748"/>
      <c r="T434" s="2748"/>
      <c r="U434" s="2748"/>
      <c r="V434" s="2748"/>
      <c r="W434" s="2748"/>
      <c r="X434" s="2748"/>
      <c r="Y434" s="2748"/>
      <c r="Z434" s="2748"/>
      <c r="AA434" s="2748"/>
      <c r="AB434" s="2748"/>
      <c r="AC434" s="2748"/>
      <c r="AD434" s="2748"/>
      <c r="AE434" s="2748"/>
      <c r="AF434" s="2748"/>
      <c r="AG434" s="2748"/>
      <c r="AH434" s="2748"/>
      <c r="AI434" s="2748"/>
      <c r="AK434" s="2748"/>
      <c r="AL434" s="2748"/>
      <c r="AN434" s="2748"/>
      <c r="AO434" s="2748"/>
      <c r="AP434" s="2748"/>
    </row>
    <row r="435" spans="2:42" ht="18" customHeight="1">
      <c r="B435" s="2728"/>
      <c r="C435" s="2728"/>
      <c r="D435" s="2728"/>
      <c r="E435" s="2728"/>
      <c r="G435" s="2512"/>
      <c r="I435" s="2748"/>
      <c r="J435" s="2728"/>
      <c r="L435" s="2728"/>
      <c r="M435" s="2748"/>
      <c r="N435" s="2728"/>
      <c r="O435" s="2728"/>
      <c r="P435" s="2728"/>
      <c r="Q435" s="2748"/>
      <c r="R435" s="2748"/>
      <c r="S435" s="2748"/>
      <c r="T435" s="2748"/>
      <c r="U435" s="2748"/>
      <c r="V435" s="2748"/>
      <c r="W435" s="2748"/>
      <c r="X435" s="2748"/>
      <c r="Y435" s="2748"/>
      <c r="Z435" s="2748"/>
      <c r="AA435" s="2748"/>
      <c r="AB435" s="2748"/>
      <c r="AC435" s="2748"/>
      <c r="AD435" s="2748"/>
      <c r="AE435" s="2748"/>
      <c r="AF435" s="2748"/>
      <c r="AG435" s="2748"/>
      <c r="AH435" s="2748"/>
      <c r="AI435" s="2748"/>
      <c r="AK435" s="2748"/>
      <c r="AL435" s="2748"/>
      <c r="AN435" s="2748"/>
      <c r="AO435" s="2748"/>
      <c r="AP435" s="2748"/>
    </row>
    <row r="436" spans="2:42" ht="18" customHeight="1">
      <c r="B436" s="2728"/>
      <c r="C436" s="2728"/>
      <c r="D436" s="2728"/>
      <c r="E436" s="2728"/>
      <c r="G436" s="2512"/>
      <c r="I436" s="2748"/>
      <c r="J436" s="2728"/>
      <c r="L436" s="2728"/>
      <c r="M436" s="2748"/>
      <c r="N436" s="2728"/>
      <c r="O436" s="2728"/>
      <c r="P436" s="2728"/>
      <c r="Q436" s="2748"/>
      <c r="R436" s="2748"/>
      <c r="S436" s="2748"/>
      <c r="T436" s="2748"/>
      <c r="U436" s="2748"/>
      <c r="V436" s="2748"/>
      <c r="W436" s="2748"/>
      <c r="X436" s="2748"/>
      <c r="Y436" s="2748"/>
      <c r="Z436" s="2748"/>
      <c r="AA436" s="2748"/>
      <c r="AB436" s="2748"/>
      <c r="AC436" s="2748"/>
      <c r="AD436" s="2748"/>
      <c r="AE436" s="2748"/>
      <c r="AF436" s="2748"/>
      <c r="AG436" s="2748"/>
      <c r="AH436" s="2748"/>
      <c r="AI436" s="2748"/>
      <c r="AK436" s="2748"/>
      <c r="AL436" s="2748"/>
      <c r="AN436" s="2748"/>
      <c r="AO436" s="2748"/>
      <c r="AP436" s="2748"/>
    </row>
    <row r="437" spans="2:42" ht="18" customHeight="1">
      <c r="B437" s="2728"/>
      <c r="C437" s="2728"/>
      <c r="D437" s="2728"/>
      <c r="E437" s="2728"/>
      <c r="G437" s="2512"/>
      <c r="I437" s="2748"/>
      <c r="J437" s="2728"/>
      <c r="L437" s="2728"/>
      <c r="M437" s="2748"/>
      <c r="N437" s="2728"/>
      <c r="O437" s="2728"/>
      <c r="P437" s="2728"/>
      <c r="Q437" s="2748"/>
      <c r="R437" s="2748"/>
      <c r="S437" s="2748"/>
      <c r="T437" s="2748"/>
      <c r="U437" s="2748"/>
      <c r="V437" s="2748"/>
      <c r="W437" s="2748"/>
      <c r="X437" s="2748"/>
      <c r="Y437" s="2748"/>
      <c r="Z437" s="2748"/>
      <c r="AA437" s="2748"/>
      <c r="AB437" s="2748"/>
      <c r="AC437" s="2748"/>
      <c r="AD437" s="2748"/>
      <c r="AE437" s="2748"/>
      <c r="AF437" s="2748"/>
      <c r="AG437" s="2748"/>
      <c r="AH437" s="2748"/>
      <c r="AI437" s="2748"/>
      <c r="AK437" s="2748"/>
      <c r="AL437" s="2748"/>
      <c r="AN437" s="2748"/>
      <c r="AO437" s="2748"/>
      <c r="AP437" s="2748"/>
    </row>
    <row r="438" spans="2:42" ht="18" customHeight="1">
      <c r="B438" s="2728"/>
      <c r="C438" s="2728"/>
      <c r="D438" s="2728"/>
      <c r="E438" s="2728"/>
      <c r="G438" s="2512"/>
      <c r="I438" s="2748"/>
      <c r="J438" s="2728"/>
      <c r="L438" s="2728"/>
      <c r="M438" s="2748"/>
      <c r="N438" s="2728"/>
      <c r="O438" s="2728"/>
      <c r="P438" s="2728"/>
      <c r="Q438" s="2748"/>
      <c r="R438" s="2748"/>
      <c r="S438" s="2748"/>
      <c r="T438" s="2748"/>
      <c r="U438" s="2748"/>
      <c r="V438" s="2748"/>
      <c r="W438" s="2748"/>
      <c r="X438" s="2748"/>
      <c r="Y438" s="2748"/>
      <c r="Z438" s="2748"/>
      <c r="AA438" s="2748"/>
      <c r="AB438" s="2748"/>
      <c r="AC438" s="2748"/>
      <c r="AD438" s="2748"/>
      <c r="AE438" s="2748"/>
      <c r="AF438" s="2748"/>
      <c r="AG438" s="2748"/>
      <c r="AH438" s="2748"/>
      <c r="AI438" s="2748"/>
      <c r="AK438" s="2748"/>
      <c r="AL438" s="2748"/>
      <c r="AN438" s="2748"/>
      <c r="AO438" s="2748"/>
      <c r="AP438" s="2748"/>
    </row>
    <row r="439" spans="2:42" ht="18" customHeight="1">
      <c r="B439" s="2728"/>
      <c r="C439" s="2728"/>
      <c r="D439" s="2728"/>
      <c r="E439" s="2728"/>
      <c r="G439" s="2512"/>
      <c r="I439" s="2748"/>
      <c r="J439" s="2728"/>
      <c r="L439" s="2728"/>
      <c r="M439" s="2748"/>
      <c r="N439" s="2728"/>
      <c r="O439" s="2728"/>
      <c r="P439" s="2728"/>
      <c r="Q439" s="2748"/>
      <c r="R439" s="2748"/>
      <c r="S439" s="2748"/>
      <c r="T439" s="2748"/>
      <c r="U439" s="2748"/>
      <c r="V439" s="2748"/>
      <c r="W439" s="2748"/>
      <c r="X439" s="2748"/>
      <c r="Y439" s="2748"/>
      <c r="Z439" s="2748"/>
      <c r="AA439" s="2748"/>
      <c r="AB439" s="2748"/>
      <c r="AC439" s="2748"/>
      <c r="AD439" s="2748"/>
      <c r="AE439" s="2748"/>
      <c r="AF439" s="2748"/>
      <c r="AG439" s="2748"/>
      <c r="AH439" s="2748"/>
      <c r="AI439" s="2748"/>
      <c r="AK439" s="2748"/>
      <c r="AL439" s="2748"/>
      <c r="AN439" s="2748"/>
      <c r="AO439" s="2748"/>
      <c r="AP439" s="2748"/>
    </row>
    <row r="440" spans="2:42" ht="18" customHeight="1">
      <c r="B440" s="2728"/>
      <c r="C440" s="2728"/>
      <c r="D440" s="2728"/>
      <c r="E440" s="2728"/>
      <c r="G440" s="2512"/>
      <c r="I440" s="2748"/>
      <c r="J440" s="2728"/>
      <c r="L440" s="2728"/>
      <c r="M440" s="2748"/>
      <c r="N440" s="2728"/>
      <c r="O440" s="2728"/>
      <c r="P440" s="2728"/>
      <c r="Q440" s="2748"/>
      <c r="R440" s="2748"/>
      <c r="S440" s="2748"/>
      <c r="T440" s="2748"/>
      <c r="U440" s="2748"/>
      <c r="V440" s="2748"/>
      <c r="W440" s="2748"/>
      <c r="X440" s="2748"/>
      <c r="Y440" s="2748"/>
      <c r="Z440" s="2748"/>
      <c r="AA440" s="2748"/>
      <c r="AB440" s="2748"/>
      <c r="AC440" s="2748"/>
      <c r="AD440" s="2748"/>
      <c r="AE440" s="2748"/>
      <c r="AF440" s="2748"/>
      <c r="AG440" s="2748"/>
      <c r="AH440" s="2748"/>
      <c r="AI440" s="2748"/>
      <c r="AK440" s="2748"/>
      <c r="AL440" s="2748"/>
      <c r="AN440" s="2748"/>
      <c r="AO440" s="2748"/>
      <c r="AP440" s="2748"/>
    </row>
    <row r="441" spans="2:42" ht="18" customHeight="1">
      <c r="B441" s="2728"/>
      <c r="C441" s="2728"/>
      <c r="D441" s="2728"/>
      <c r="E441" s="2728"/>
      <c r="G441" s="2512"/>
      <c r="I441" s="2748"/>
      <c r="J441" s="2728"/>
      <c r="L441" s="2728"/>
      <c r="M441" s="2748"/>
      <c r="N441" s="2728"/>
      <c r="O441" s="2728"/>
      <c r="P441" s="2728"/>
      <c r="Q441" s="2748"/>
      <c r="R441" s="2748"/>
      <c r="S441" s="2748"/>
      <c r="T441" s="2748"/>
      <c r="U441" s="2748"/>
      <c r="V441" s="2748"/>
      <c r="W441" s="2748"/>
      <c r="X441" s="2748"/>
      <c r="Y441" s="2748"/>
      <c r="Z441" s="2748"/>
      <c r="AA441" s="2748"/>
      <c r="AB441" s="2748"/>
      <c r="AC441" s="2748"/>
      <c r="AD441" s="2748"/>
      <c r="AE441" s="2748"/>
      <c r="AF441" s="2748"/>
      <c r="AG441" s="2748"/>
      <c r="AH441" s="2748"/>
      <c r="AI441" s="2748"/>
      <c r="AK441" s="2748"/>
      <c r="AL441" s="2748"/>
      <c r="AN441" s="2748"/>
      <c r="AO441" s="2748"/>
      <c r="AP441" s="2748"/>
    </row>
    <row r="442" spans="2:42" ht="18" customHeight="1">
      <c r="B442" s="2728"/>
      <c r="C442" s="2728"/>
      <c r="D442" s="2728"/>
      <c r="E442" s="2728"/>
      <c r="G442" s="2512"/>
      <c r="I442" s="2748"/>
      <c r="J442" s="2728"/>
      <c r="L442" s="2728"/>
      <c r="M442" s="2748"/>
      <c r="N442" s="2728"/>
      <c r="O442" s="2728"/>
      <c r="P442" s="2728"/>
      <c r="Q442" s="2748"/>
      <c r="R442" s="2748"/>
      <c r="S442" s="2748"/>
      <c r="T442" s="2748"/>
      <c r="U442" s="2748"/>
      <c r="V442" s="2748"/>
      <c r="W442" s="2748"/>
      <c r="X442" s="2748"/>
      <c r="Y442" s="2748"/>
      <c r="Z442" s="2748"/>
      <c r="AA442" s="2748"/>
      <c r="AB442" s="2748"/>
      <c r="AC442" s="2748"/>
      <c r="AD442" s="2748"/>
      <c r="AE442" s="2748"/>
      <c r="AF442" s="2748"/>
      <c r="AG442" s="2748"/>
      <c r="AH442" s="2748"/>
      <c r="AI442" s="2748"/>
      <c r="AK442" s="2748"/>
      <c r="AL442" s="2748"/>
      <c r="AN442" s="2748"/>
      <c r="AO442" s="2748"/>
      <c r="AP442" s="2748"/>
    </row>
    <row r="443" spans="2:42" ht="18" customHeight="1">
      <c r="B443" s="2728"/>
      <c r="C443" s="2728"/>
      <c r="D443" s="2728"/>
      <c r="E443" s="2728"/>
      <c r="G443" s="2512"/>
      <c r="I443" s="2748"/>
      <c r="J443" s="2728"/>
      <c r="L443" s="2728"/>
      <c r="M443" s="2748"/>
      <c r="N443" s="2728"/>
      <c r="O443" s="2728"/>
      <c r="P443" s="2728"/>
      <c r="Q443" s="2748"/>
      <c r="R443" s="2748"/>
      <c r="S443" s="2748"/>
      <c r="T443" s="2748"/>
      <c r="U443" s="2748"/>
      <c r="V443" s="2748"/>
      <c r="W443" s="2748"/>
      <c r="X443" s="2748"/>
      <c r="Y443" s="2748"/>
      <c r="Z443" s="2748"/>
      <c r="AA443" s="2748"/>
      <c r="AB443" s="2748"/>
      <c r="AC443" s="2748"/>
      <c r="AD443" s="2748"/>
      <c r="AE443" s="2748"/>
      <c r="AF443" s="2748"/>
      <c r="AG443" s="2748"/>
      <c r="AH443" s="2748"/>
      <c r="AI443" s="2748"/>
      <c r="AK443" s="2748"/>
      <c r="AL443" s="2748"/>
      <c r="AN443" s="2748"/>
      <c r="AO443" s="2748"/>
      <c r="AP443" s="2748"/>
    </row>
    <row r="444" spans="2:42" ht="18" customHeight="1">
      <c r="B444" s="2728"/>
      <c r="C444" s="2728"/>
      <c r="D444" s="2728"/>
      <c r="E444" s="2728"/>
      <c r="G444" s="2512"/>
      <c r="I444" s="2748"/>
      <c r="J444" s="2728"/>
      <c r="L444" s="2728"/>
      <c r="M444" s="2748"/>
      <c r="N444" s="2728"/>
      <c r="O444" s="2728"/>
      <c r="P444" s="2728"/>
      <c r="Q444" s="2748"/>
      <c r="R444" s="2748"/>
      <c r="S444" s="2748"/>
      <c r="T444" s="2748"/>
      <c r="U444" s="2748"/>
      <c r="V444" s="2748"/>
      <c r="W444" s="2748"/>
      <c r="X444" s="2748"/>
      <c r="Y444" s="2748"/>
      <c r="Z444" s="2748"/>
      <c r="AA444" s="2748"/>
      <c r="AB444" s="2748"/>
      <c r="AC444" s="2748"/>
      <c r="AD444" s="2748"/>
      <c r="AE444" s="2748"/>
      <c r="AF444" s="2748"/>
      <c r="AG444" s="2748"/>
      <c r="AH444" s="2748"/>
      <c r="AI444" s="2748"/>
      <c r="AK444" s="2748"/>
      <c r="AL444" s="2748"/>
      <c r="AN444" s="2748"/>
      <c r="AO444" s="2748"/>
      <c r="AP444" s="2748"/>
    </row>
    <row r="445" spans="2:42" ht="18" customHeight="1">
      <c r="B445" s="2728"/>
      <c r="C445" s="2728"/>
      <c r="D445" s="2728"/>
      <c r="E445" s="2728"/>
      <c r="G445" s="2512"/>
      <c r="I445" s="2748"/>
      <c r="J445" s="2728"/>
      <c r="L445" s="2728"/>
      <c r="M445" s="2748"/>
      <c r="N445" s="2728"/>
      <c r="O445" s="2728"/>
      <c r="P445" s="2728"/>
      <c r="Q445" s="2748"/>
      <c r="R445" s="2748"/>
      <c r="S445" s="2748"/>
      <c r="T445" s="2748"/>
      <c r="U445" s="2748"/>
      <c r="V445" s="2748"/>
      <c r="W445" s="2748"/>
      <c r="X445" s="2748"/>
      <c r="Y445" s="2748"/>
      <c r="Z445" s="2748"/>
      <c r="AA445" s="2748"/>
      <c r="AB445" s="2748"/>
      <c r="AC445" s="2748"/>
      <c r="AD445" s="2748"/>
      <c r="AE445" s="2748"/>
      <c r="AF445" s="2748"/>
      <c r="AG445" s="2748"/>
      <c r="AH445" s="2748"/>
      <c r="AI445" s="2748"/>
      <c r="AK445" s="2748"/>
      <c r="AL445" s="2748"/>
      <c r="AN445" s="2748"/>
      <c r="AO445" s="2748"/>
      <c r="AP445" s="2748"/>
    </row>
    <row r="446" spans="2:42" ht="18" customHeight="1">
      <c r="B446" s="2728"/>
      <c r="C446" s="2728"/>
      <c r="D446" s="2728"/>
      <c r="E446" s="2728"/>
      <c r="G446" s="2512"/>
      <c r="I446" s="2748"/>
      <c r="J446" s="2728"/>
      <c r="L446" s="2728"/>
      <c r="M446" s="2748"/>
      <c r="N446" s="2728"/>
      <c r="O446" s="2728"/>
      <c r="P446" s="2728"/>
      <c r="Q446" s="2748"/>
      <c r="R446" s="2748"/>
      <c r="S446" s="2748"/>
      <c r="T446" s="2748"/>
      <c r="U446" s="2748"/>
      <c r="V446" s="2748"/>
      <c r="W446" s="2748"/>
      <c r="X446" s="2748"/>
      <c r="Y446" s="2748"/>
      <c r="Z446" s="2748"/>
      <c r="AA446" s="2748"/>
      <c r="AB446" s="2748"/>
      <c r="AC446" s="2748"/>
      <c r="AD446" s="2748"/>
      <c r="AE446" s="2748"/>
      <c r="AF446" s="2748"/>
      <c r="AG446" s="2748"/>
      <c r="AH446" s="2748"/>
      <c r="AI446" s="2748"/>
      <c r="AK446" s="2748"/>
      <c r="AL446" s="2748"/>
      <c r="AN446" s="2748"/>
      <c r="AO446" s="2748"/>
      <c r="AP446" s="2748"/>
    </row>
    <row r="447" spans="2:42" ht="18" customHeight="1">
      <c r="B447" s="2728"/>
      <c r="C447" s="2728"/>
      <c r="D447" s="2728"/>
      <c r="E447" s="2728"/>
      <c r="G447" s="2512"/>
      <c r="I447" s="2748"/>
      <c r="J447" s="2728"/>
      <c r="L447" s="2728"/>
      <c r="M447" s="2748"/>
      <c r="N447" s="2728"/>
      <c r="O447" s="2728"/>
      <c r="P447" s="2728"/>
      <c r="Q447" s="2748"/>
      <c r="R447" s="2748"/>
      <c r="S447" s="2748"/>
      <c r="T447" s="2748"/>
      <c r="U447" s="2748"/>
      <c r="V447" s="2748"/>
      <c r="W447" s="2748"/>
      <c r="X447" s="2748"/>
      <c r="Y447" s="2748"/>
      <c r="Z447" s="2748"/>
      <c r="AA447" s="2748"/>
      <c r="AB447" s="2748"/>
      <c r="AC447" s="2748"/>
      <c r="AD447" s="2748"/>
      <c r="AE447" s="2748"/>
      <c r="AF447" s="2748"/>
      <c r="AG447" s="2748"/>
      <c r="AH447" s="2748"/>
      <c r="AI447" s="2748"/>
      <c r="AK447" s="2748"/>
      <c r="AL447" s="2748"/>
      <c r="AN447" s="2748"/>
      <c r="AO447" s="2748"/>
      <c r="AP447" s="2748"/>
    </row>
    <row r="448" spans="2:42" ht="18" customHeight="1">
      <c r="B448" s="2728"/>
      <c r="C448" s="2728"/>
      <c r="D448" s="2728"/>
      <c r="E448" s="2728"/>
      <c r="G448" s="2512"/>
      <c r="I448" s="2748"/>
      <c r="J448" s="2728"/>
      <c r="L448" s="2728"/>
      <c r="M448" s="2748"/>
      <c r="N448" s="2728"/>
      <c r="O448" s="2728"/>
      <c r="P448" s="2728"/>
      <c r="Q448" s="2748"/>
      <c r="R448" s="2748"/>
      <c r="S448" s="2748"/>
      <c r="T448" s="2748"/>
      <c r="U448" s="2748"/>
      <c r="V448" s="2748"/>
      <c r="W448" s="2748"/>
      <c r="X448" s="2748"/>
      <c r="Y448" s="2748"/>
      <c r="Z448" s="2748"/>
      <c r="AA448" s="2748"/>
      <c r="AB448" s="2748"/>
      <c r="AC448" s="2748"/>
      <c r="AD448" s="2748"/>
      <c r="AE448" s="2748"/>
      <c r="AF448" s="2748"/>
      <c r="AG448" s="2748"/>
      <c r="AH448" s="2748"/>
      <c r="AI448" s="2748"/>
      <c r="AK448" s="2748"/>
      <c r="AL448" s="2748"/>
      <c r="AN448" s="2748"/>
      <c r="AO448" s="2748"/>
      <c r="AP448" s="2748"/>
    </row>
    <row r="449" spans="2:42" ht="18" customHeight="1">
      <c r="B449" s="2728"/>
      <c r="C449" s="2728"/>
      <c r="D449" s="2728"/>
      <c r="E449" s="2728"/>
      <c r="G449" s="2512"/>
      <c r="I449" s="2748"/>
      <c r="J449" s="2728"/>
      <c r="L449" s="2728"/>
      <c r="M449" s="2748"/>
      <c r="N449" s="2728"/>
      <c r="O449" s="2728"/>
      <c r="P449" s="2728"/>
      <c r="Q449" s="2748"/>
      <c r="R449" s="2748"/>
      <c r="S449" s="2748"/>
      <c r="T449" s="2748"/>
      <c r="U449" s="2748"/>
      <c r="V449" s="2748"/>
      <c r="W449" s="2748"/>
      <c r="X449" s="2748"/>
      <c r="Y449" s="2748"/>
      <c r="Z449" s="2748"/>
      <c r="AA449" s="2748"/>
      <c r="AB449" s="2748"/>
      <c r="AC449" s="2748"/>
      <c r="AD449" s="2748"/>
      <c r="AE449" s="2748"/>
      <c r="AF449" s="2748"/>
      <c r="AG449" s="2748"/>
      <c r="AH449" s="2748"/>
      <c r="AI449" s="2748"/>
      <c r="AK449" s="2748"/>
      <c r="AL449" s="2748"/>
      <c r="AN449" s="2748"/>
      <c r="AO449" s="2748"/>
      <c r="AP449" s="2748"/>
    </row>
    <row r="450" spans="2:42" ht="18" customHeight="1">
      <c r="B450" s="2728"/>
      <c r="C450" s="2728"/>
      <c r="D450" s="2728"/>
      <c r="E450" s="2728"/>
      <c r="G450" s="2512"/>
      <c r="I450" s="2748"/>
      <c r="J450" s="2728"/>
      <c r="L450" s="2728"/>
      <c r="M450" s="2748"/>
      <c r="N450" s="2728"/>
      <c r="O450" s="2728"/>
      <c r="P450" s="2728"/>
      <c r="Q450" s="2748"/>
      <c r="R450" s="2748"/>
      <c r="S450" s="2748"/>
      <c r="T450" s="2748"/>
      <c r="U450" s="2748"/>
      <c r="V450" s="2748"/>
      <c r="W450" s="2748"/>
      <c r="X450" s="2748"/>
      <c r="Y450" s="2748"/>
      <c r="Z450" s="2748"/>
      <c r="AA450" s="2748"/>
      <c r="AB450" s="2748"/>
      <c r="AC450" s="2748"/>
      <c r="AD450" s="2748"/>
      <c r="AE450" s="2748"/>
      <c r="AF450" s="2748"/>
      <c r="AG450" s="2748"/>
      <c r="AH450" s="2748"/>
      <c r="AI450" s="2748"/>
      <c r="AK450" s="2748"/>
      <c r="AL450" s="2748"/>
      <c r="AN450" s="2748"/>
      <c r="AO450" s="2748"/>
      <c r="AP450" s="2748"/>
    </row>
    <row r="451" spans="2:42" ht="18" customHeight="1">
      <c r="B451" s="2728"/>
      <c r="C451" s="2728"/>
      <c r="D451" s="2728"/>
      <c r="E451" s="2728"/>
      <c r="G451" s="2512"/>
      <c r="I451" s="2748"/>
      <c r="J451" s="2728"/>
      <c r="L451" s="2728"/>
      <c r="M451" s="2748"/>
      <c r="N451" s="2728"/>
      <c r="O451" s="2728"/>
      <c r="P451" s="2728"/>
      <c r="Q451" s="2748"/>
      <c r="R451" s="2748"/>
      <c r="S451" s="2748"/>
      <c r="T451" s="2748"/>
      <c r="U451" s="2748"/>
      <c r="V451" s="2748"/>
      <c r="W451" s="2748"/>
      <c r="X451" s="2748"/>
      <c r="Y451" s="2748"/>
      <c r="Z451" s="2748"/>
      <c r="AA451" s="2748"/>
      <c r="AB451" s="2748"/>
      <c r="AC451" s="2748"/>
      <c r="AD451" s="2748"/>
      <c r="AE451" s="2748"/>
      <c r="AF451" s="2748"/>
      <c r="AG451" s="2748"/>
      <c r="AH451" s="2748"/>
      <c r="AI451" s="2748"/>
      <c r="AK451" s="2748"/>
      <c r="AL451" s="2748"/>
      <c r="AN451" s="2748"/>
      <c r="AO451" s="2748"/>
      <c r="AP451" s="2748"/>
    </row>
    <row r="452" spans="2:42" ht="18" customHeight="1">
      <c r="B452" s="2728"/>
      <c r="C452" s="2728"/>
      <c r="D452" s="2728"/>
      <c r="E452" s="2728"/>
      <c r="G452" s="2512"/>
      <c r="I452" s="2748"/>
      <c r="J452" s="2728"/>
      <c r="L452" s="2728"/>
      <c r="M452" s="2748"/>
      <c r="N452" s="2728"/>
      <c r="O452" s="2728"/>
      <c r="P452" s="2728"/>
      <c r="Q452" s="2748"/>
      <c r="R452" s="2748"/>
      <c r="S452" s="2748"/>
      <c r="T452" s="2748"/>
      <c r="U452" s="2748"/>
      <c r="V452" s="2748"/>
      <c r="W452" s="2748"/>
      <c r="X452" s="2748"/>
      <c r="Y452" s="2748"/>
      <c r="Z452" s="2748"/>
      <c r="AA452" s="2748"/>
      <c r="AB452" s="2748"/>
      <c r="AC452" s="2748"/>
      <c r="AD452" s="2748"/>
      <c r="AE452" s="2748"/>
      <c r="AF452" s="2748"/>
      <c r="AG452" s="2748"/>
      <c r="AH452" s="2748"/>
      <c r="AI452" s="2748"/>
      <c r="AK452" s="2748"/>
      <c r="AL452" s="2748"/>
      <c r="AN452" s="2748"/>
      <c r="AO452" s="2748"/>
      <c r="AP452" s="2748"/>
    </row>
    <row r="453" spans="2:42" ht="18" customHeight="1">
      <c r="B453" s="2728"/>
      <c r="C453" s="2728"/>
      <c r="D453" s="2728"/>
      <c r="E453" s="2728"/>
      <c r="G453" s="2512"/>
      <c r="I453" s="2748"/>
      <c r="J453" s="2728"/>
      <c r="L453" s="2728"/>
      <c r="M453" s="2748"/>
      <c r="N453" s="2728"/>
      <c r="O453" s="2728"/>
      <c r="P453" s="2728"/>
      <c r="Q453" s="2748"/>
      <c r="R453" s="2748"/>
      <c r="S453" s="2748"/>
      <c r="T453" s="2748"/>
      <c r="U453" s="2748"/>
      <c r="V453" s="2748"/>
      <c r="W453" s="2748"/>
      <c r="X453" s="2748"/>
      <c r="Y453" s="2748"/>
      <c r="Z453" s="2748"/>
      <c r="AA453" s="2748"/>
      <c r="AB453" s="2748"/>
      <c r="AC453" s="2748"/>
      <c r="AD453" s="2748"/>
      <c r="AE453" s="2748"/>
      <c r="AF453" s="2748"/>
      <c r="AG453" s="2748"/>
      <c r="AH453" s="2748"/>
      <c r="AI453" s="2748"/>
      <c r="AK453" s="2748"/>
      <c r="AL453" s="2748"/>
      <c r="AN453" s="2748"/>
      <c r="AO453" s="2748"/>
      <c r="AP453" s="2748"/>
    </row>
    <row r="454" spans="2:42" ht="18" customHeight="1">
      <c r="B454" s="2728"/>
      <c r="C454" s="2728"/>
      <c r="D454" s="2728"/>
      <c r="E454" s="2728"/>
      <c r="G454" s="2512"/>
      <c r="I454" s="2748"/>
      <c r="J454" s="2728"/>
      <c r="L454" s="2728"/>
      <c r="M454" s="2748"/>
      <c r="N454" s="2728"/>
      <c r="O454" s="2728"/>
      <c r="P454" s="2728"/>
      <c r="Q454" s="2748"/>
      <c r="R454" s="2748"/>
      <c r="S454" s="2748"/>
      <c r="T454" s="2748"/>
      <c r="U454" s="2748"/>
      <c r="V454" s="2748"/>
      <c r="W454" s="2748"/>
      <c r="X454" s="2748"/>
      <c r="Y454" s="2748"/>
      <c r="Z454" s="2748"/>
      <c r="AA454" s="2748"/>
      <c r="AB454" s="2748"/>
      <c r="AC454" s="2748"/>
      <c r="AD454" s="2748"/>
      <c r="AE454" s="2748"/>
      <c r="AF454" s="2748"/>
      <c r="AG454" s="2748"/>
      <c r="AH454" s="2748"/>
      <c r="AI454" s="2748"/>
      <c r="AK454" s="2748"/>
      <c r="AL454" s="2748"/>
      <c r="AN454" s="2748"/>
      <c r="AO454" s="2748"/>
      <c r="AP454" s="2748"/>
    </row>
    <row r="455" spans="2:42" ht="18" customHeight="1">
      <c r="B455" s="2728"/>
      <c r="C455" s="2728"/>
      <c r="D455" s="2728"/>
      <c r="E455" s="2728"/>
      <c r="G455" s="2512"/>
      <c r="I455" s="2748"/>
      <c r="J455" s="2728"/>
      <c r="L455" s="2728"/>
      <c r="M455" s="2748"/>
      <c r="N455" s="2728"/>
      <c r="O455" s="2728"/>
      <c r="P455" s="2728"/>
      <c r="Q455" s="2748"/>
      <c r="R455" s="2748"/>
      <c r="S455" s="2748"/>
      <c r="T455" s="2748"/>
      <c r="U455" s="2748"/>
      <c r="V455" s="2748"/>
      <c r="W455" s="2748"/>
      <c r="X455" s="2748"/>
      <c r="Y455" s="2748"/>
      <c r="Z455" s="2748"/>
      <c r="AA455" s="2748"/>
      <c r="AB455" s="2748"/>
      <c r="AC455" s="2748"/>
      <c r="AD455" s="2748"/>
      <c r="AE455" s="2748"/>
      <c r="AF455" s="2748"/>
      <c r="AG455" s="2748"/>
      <c r="AH455" s="2748"/>
      <c r="AI455" s="2748"/>
      <c r="AK455" s="2748"/>
      <c r="AL455" s="2748"/>
      <c r="AN455" s="2748"/>
      <c r="AO455" s="2748"/>
      <c r="AP455" s="2748"/>
    </row>
    <row r="456" spans="2:42" ht="18" customHeight="1">
      <c r="B456" s="2728"/>
      <c r="C456" s="2728"/>
      <c r="D456" s="2728"/>
      <c r="E456" s="2728"/>
      <c r="G456" s="2512"/>
      <c r="I456" s="2748"/>
      <c r="J456" s="2728"/>
      <c r="L456" s="2728"/>
      <c r="M456" s="2748"/>
      <c r="N456" s="2728"/>
      <c r="O456" s="2728"/>
      <c r="P456" s="2728"/>
      <c r="Q456" s="2748"/>
      <c r="R456" s="2748"/>
      <c r="S456" s="2748"/>
      <c r="T456" s="2748"/>
      <c r="U456" s="2748"/>
      <c r="V456" s="2748"/>
      <c r="W456" s="2748"/>
      <c r="X456" s="2748"/>
      <c r="Y456" s="2748"/>
      <c r="Z456" s="2748"/>
      <c r="AA456" s="2748"/>
      <c r="AB456" s="2748"/>
      <c r="AC456" s="2748"/>
      <c r="AD456" s="2748"/>
      <c r="AE456" s="2748"/>
      <c r="AF456" s="2748"/>
      <c r="AG456" s="2748"/>
      <c r="AH456" s="2748"/>
      <c r="AI456" s="2748"/>
      <c r="AK456" s="2748"/>
      <c r="AL456" s="2748"/>
      <c r="AN456" s="2748"/>
      <c r="AO456" s="2748"/>
      <c r="AP456" s="2748"/>
    </row>
    <row r="457" spans="2:42" ht="18" customHeight="1">
      <c r="B457" s="2728"/>
      <c r="C457" s="2728"/>
      <c r="D457" s="2728"/>
      <c r="E457" s="2728"/>
      <c r="G457" s="2512"/>
      <c r="I457" s="2748"/>
      <c r="J457" s="2728"/>
      <c r="L457" s="2728"/>
      <c r="M457" s="2748"/>
      <c r="N457" s="2728"/>
      <c r="O457" s="2728"/>
      <c r="P457" s="2728"/>
      <c r="Q457" s="2748"/>
      <c r="R457" s="2748"/>
      <c r="S457" s="2748"/>
      <c r="T457" s="2748"/>
      <c r="U457" s="2748"/>
      <c r="V457" s="2748"/>
      <c r="W457" s="2748"/>
      <c r="X457" s="2748"/>
      <c r="Y457" s="2748"/>
      <c r="Z457" s="2748"/>
      <c r="AA457" s="2748"/>
      <c r="AB457" s="2748"/>
      <c r="AC457" s="2748"/>
      <c r="AD457" s="2748"/>
      <c r="AE457" s="2748"/>
      <c r="AF457" s="2748"/>
      <c r="AG457" s="2748"/>
      <c r="AH457" s="2748"/>
      <c r="AI457" s="2748"/>
      <c r="AK457" s="2748"/>
      <c r="AL457" s="2748"/>
      <c r="AN457" s="2748"/>
      <c r="AO457" s="2748"/>
      <c r="AP457" s="2748"/>
    </row>
    <row r="458" spans="2:42" ht="18" customHeight="1">
      <c r="B458" s="2728"/>
      <c r="C458" s="2728"/>
      <c r="D458" s="2728"/>
      <c r="E458" s="2728"/>
      <c r="G458" s="2512"/>
      <c r="I458" s="2748"/>
      <c r="J458" s="2728"/>
      <c r="L458" s="2728"/>
      <c r="M458" s="2748"/>
      <c r="N458" s="2728"/>
      <c r="O458" s="2728"/>
      <c r="P458" s="2728"/>
      <c r="Q458" s="2748"/>
      <c r="R458" s="2748"/>
      <c r="S458" s="2748"/>
      <c r="T458" s="2748"/>
      <c r="U458" s="2748"/>
      <c r="V458" s="2748"/>
      <c r="W458" s="2748"/>
      <c r="X458" s="2748"/>
      <c r="Y458" s="2748"/>
      <c r="Z458" s="2748"/>
      <c r="AA458" s="2748"/>
      <c r="AB458" s="2748"/>
      <c r="AC458" s="2748"/>
      <c r="AD458" s="2748"/>
      <c r="AE458" s="2748"/>
      <c r="AF458" s="2748"/>
      <c r="AG458" s="2748"/>
      <c r="AH458" s="2748"/>
      <c r="AI458" s="2748"/>
      <c r="AK458" s="2748"/>
      <c r="AL458" s="2748"/>
      <c r="AN458" s="2748"/>
      <c r="AO458" s="2748"/>
      <c r="AP458" s="2748"/>
    </row>
    <row r="459" spans="2:42" ht="18" customHeight="1">
      <c r="B459" s="2728"/>
      <c r="C459" s="2728"/>
      <c r="D459" s="2728"/>
      <c r="E459" s="2728"/>
      <c r="G459" s="2512"/>
      <c r="I459" s="2748"/>
      <c r="J459" s="2728"/>
      <c r="L459" s="2728"/>
      <c r="M459" s="2748"/>
      <c r="N459" s="2728"/>
      <c r="O459" s="2728"/>
      <c r="P459" s="2728"/>
      <c r="Q459" s="2748"/>
      <c r="R459" s="2748"/>
      <c r="S459" s="2748"/>
      <c r="T459" s="2748"/>
      <c r="U459" s="2748"/>
      <c r="V459" s="2748"/>
      <c r="W459" s="2748"/>
      <c r="X459" s="2748"/>
      <c r="Y459" s="2748"/>
      <c r="Z459" s="2748"/>
      <c r="AA459" s="2748"/>
      <c r="AB459" s="2748"/>
      <c r="AC459" s="2748"/>
      <c r="AD459" s="2748"/>
      <c r="AE459" s="2748"/>
      <c r="AF459" s="2748"/>
      <c r="AG459" s="2748"/>
      <c r="AH459" s="2748"/>
      <c r="AI459" s="2748"/>
      <c r="AK459" s="2748"/>
      <c r="AL459" s="2748"/>
      <c r="AN459" s="2748"/>
      <c r="AO459" s="2748"/>
      <c r="AP459" s="2748"/>
    </row>
    <row r="460" spans="2:42" ht="18" customHeight="1">
      <c r="B460" s="2728"/>
      <c r="C460" s="2728"/>
      <c r="D460" s="2728"/>
      <c r="E460" s="2728"/>
      <c r="G460" s="2512"/>
      <c r="I460" s="2748"/>
      <c r="J460" s="2728"/>
      <c r="L460" s="2728"/>
      <c r="M460" s="2748"/>
      <c r="N460" s="2728"/>
      <c r="O460" s="2728"/>
      <c r="P460" s="2728"/>
      <c r="Q460" s="2748"/>
      <c r="R460" s="2748"/>
      <c r="S460" s="2748"/>
      <c r="T460" s="2748"/>
      <c r="U460" s="2748"/>
      <c r="V460" s="2748"/>
      <c r="W460" s="2748"/>
      <c r="X460" s="2748"/>
      <c r="Y460" s="2748"/>
      <c r="Z460" s="2748"/>
      <c r="AA460" s="2748"/>
      <c r="AB460" s="2748"/>
      <c r="AC460" s="2748"/>
      <c r="AD460" s="2748"/>
      <c r="AE460" s="2748"/>
      <c r="AF460" s="2748"/>
      <c r="AG460" s="2748"/>
      <c r="AH460" s="2748"/>
      <c r="AI460" s="2748"/>
      <c r="AK460" s="2748"/>
      <c r="AL460" s="2748"/>
      <c r="AN460" s="2748"/>
      <c r="AO460" s="2748"/>
      <c r="AP460" s="2748"/>
    </row>
    <row r="461" spans="2:42" ht="18" customHeight="1">
      <c r="B461" s="2728"/>
      <c r="C461" s="2728"/>
      <c r="D461" s="2728"/>
      <c r="E461" s="2728"/>
      <c r="G461" s="2512"/>
      <c r="I461" s="2748"/>
      <c r="J461" s="2728"/>
      <c r="L461" s="2728"/>
      <c r="M461" s="2748"/>
      <c r="N461" s="2728"/>
      <c r="O461" s="2728"/>
      <c r="P461" s="2728"/>
      <c r="Q461" s="2748"/>
      <c r="R461" s="2748"/>
      <c r="S461" s="2748"/>
      <c r="T461" s="2748"/>
      <c r="U461" s="2748"/>
      <c r="V461" s="2748"/>
      <c r="W461" s="2748"/>
      <c r="X461" s="2748"/>
      <c r="Y461" s="2748"/>
      <c r="Z461" s="2748"/>
      <c r="AA461" s="2748"/>
      <c r="AB461" s="2748"/>
      <c r="AC461" s="2748"/>
      <c r="AD461" s="2748"/>
      <c r="AE461" s="2748"/>
      <c r="AF461" s="2748"/>
      <c r="AG461" s="2748"/>
      <c r="AH461" s="2748"/>
      <c r="AI461" s="2748"/>
      <c r="AK461" s="2748"/>
      <c r="AL461" s="2748"/>
      <c r="AN461" s="2748"/>
      <c r="AO461" s="2748"/>
      <c r="AP461" s="2748"/>
    </row>
    <row r="462" spans="2:42" ht="18" customHeight="1">
      <c r="B462" s="2728"/>
      <c r="C462" s="2728"/>
      <c r="D462" s="2728"/>
      <c r="E462" s="2728"/>
      <c r="G462" s="2512"/>
      <c r="I462" s="2748"/>
      <c r="J462" s="2728"/>
      <c r="L462" s="2728"/>
      <c r="M462" s="2748"/>
      <c r="N462" s="2728"/>
      <c r="O462" s="2728"/>
      <c r="P462" s="2728"/>
      <c r="Q462" s="2748"/>
      <c r="R462" s="2748"/>
      <c r="S462" s="2748"/>
      <c r="T462" s="2748"/>
      <c r="U462" s="2748"/>
      <c r="V462" s="2748"/>
      <c r="W462" s="2748"/>
      <c r="X462" s="2748"/>
      <c r="Y462" s="2748"/>
      <c r="Z462" s="2748"/>
      <c r="AA462" s="2748"/>
      <c r="AB462" s="2748"/>
      <c r="AC462" s="2748"/>
      <c r="AD462" s="2748"/>
      <c r="AE462" s="2748"/>
      <c r="AF462" s="2748"/>
      <c r="AG462" s="2748"/>
      <c r="AH462" s="2748"/>
      <c r="AI462" s="2748"/>
      <c r="AK462" s="2748"/>
      <c r="AL462" s="2748"/>
      <c r="AN462" s="2748"/>
      <c r="AO462" s="2748"/>
      <c r="AP462" s="2748"/>
    </row>
    <row r="463" spans="2:42" ht="18" customHeight="1">
      <c r="B463" s="2728"/>
      <c r="C463" s="2728"/>
      <c r="D463" s="2728"/>
      <c r="E463" s="2728"/>
      <c r="G463" s="2512"/>
      <c r="I463" s="2748"/>
      <c r="J463" s="2728"/>
      <c r="L463" s="2728"/>
      <c r="M463" s="2748"/>
      <c r="N463" s="2728"/>
      <c r="O463" s="2728"/>
      <c r="P463" s="2728"/>
      <c r="Q463" s="2748"/>
      <c r="R463" s="2748"/>
      <c r="S463" s="2748"/>
      <c r="T463" s="2748"/>
      <c r="U463" s="2748"/>
      <c r="V463" s="2748"/>
      <c r="W463" s="2748"/>
      <c r="X463" s="2748"/>
      <c r="Y463" s="2748"/>
      <c r="Z463" s="2748"/>
      <c r="AA463" s="2748"/>
      <c r="AB463" s="2748"/>
      <c r="AC463" s="2748"/>
      <c r="AD463" s="2748"/>
      <c r="AE463" s="2748"/>
      <c r="AF463" s="2748"/>
      <c r="AG463" s="2748"/>
      <c r="AH463" s="2748"/>
      <c r="AI463" s="2748"/>
      <c r="AK463" s="2748"/>
      <c r="AL463" s="2748"/>
      <c r="AN463" s="2748"/>
      <c r="AO463" s="2748"/>
      <c r="AP463" s="2748"/>
    </row>
    <row r="464" spans="2:42" ht="18" customHeight="1">
      <c r="B464" s="2728"/>
      <c r="C464" s="2728"/>
      <c r="D464" s="2728"/>
      <c r="E464" s="2728"/>
      <c r="G464" s="2512"/>
      <c r="I464" s="2748"/>
      <c r="J464" s="2728"/>
      <c r="L464" s="2728"/>
      <c r="M464" s="2748"/>
      <c r="N464" s="2728"/>
      <c r="O464" s="2728"/>
      <c r="P464" s="2728"/>
      <c r="Q464" s="2748"/>
      <c r="R464" s="2748"/>
      <c r="S464" s="2748"/>
      <c r="T464" s="2748"/>
      <c r="U464" s="2748"/>
      <c r="V464" s="2748"/>
      <c r="W464" s="2748"/>
      <c r="X464" s="2748"/>
      <c r="Y464" s="2748"/>
      <c r="Z464" s="2748"/>
      <c r="AA464" s="2748"/>
      <c r="AB464" s="2748"/>
      <c r="AC464" s="2748"/>
      <c r="AD464" s="2748"/>
      <c r="AE464" s="2748"/>
      <c r="AF464" s="2748"/>
      <c r="AG464" s="2748"/>
      <c r="AH464" s="2748"/>
      <c r="AI464" s="2748"/>
      <c r="AK464" s="2748"/>
      <c r="AL464" s="2748"/>
      <c r="AN464" s="2748"/>
      <c r="AO464" s="2748"/>
      <c r="AP464" s="2748"/>
    </row>
    <row r="465" spans="2:42" ht="18" customHeight="1">
      <c r="B465" s="2728"/>
      <c r="C465" s="2728"/>
      <c r="D465" s="2728"/>
      <c r="E465" s="2728"/>
      <c r="G465" s="2512"/>
      <c r="I465" s="2748"/>
      <c r="J465" s="2728"/>
      <c r="L465" s="2728"/>
      <c r="M465" s="2748"/>
      <c r="N465" s="2728"/>
      <c r="O465" s="2728"/>
      <c r="P465" s="2728"/>
      <c r="Q465" s="2748"/>
      <c r="R465" s="2748"/>
      <c r="S465" s="2748"/>
      <c r="T465" s="2748"/>
      <c r="U465" s="2748"/>
      <c r="V465" s="2748"/>
      <c r="W465" s="2748"/>
      <c r="X465" s="2748"/>
      <c r="Y465" s="2748"/>
      <c r="Z465" s="2748"/>
      <c r="AA465" s="2748"/>
      <c r="AB465" s="2748"/>
      <c r="AC465" s="2748"/>
      <c r="AD465" s="2748"/>
      <c r="AE465" s="2748"/>
      <c r="AF465" s="2748"/>
      <c r="AG465" s="2748"/>
      <c r="AH465" s="2748"/>
      <c r="AI465" s="2748"/>
      <c r="AK465" s="2748"/>
      <c r="AL465" s="2748"/>
      <c r="AN465" s="2748"/>
      <c r="AO465" s="2748"/>
      <c r="AP465" s="2748"/>
    </row>
    <row r="466" spans="2:42" ht="18" customHeight="1">
      <c r="B466" s="2728"/>
      <c r="C466" s="2728"/>
      <c r="D466" s="2728"/>
      <c r="E466" s="2728"/>
      <c r="G466" s="2512"/>
      <c r="I466" s="2748"/>
      <c r="J466" s="2728"/>
      <c r="L466" s="2728"/>
      <c r="M466" s="2748"/>
      <c r="N466" s="2728"/>
      <c r="O466" s="2728"/>
      <c r="P466" s="2728"/>
      <c r="Q466" s="2748"/>
      <c r="R466" s="2748"/>
      <c r="S466" s="2748"/>
      <c r="T466" s="2748"/>
      <c r="U466" s="2748"/>
      <c r="V466" s="2748"/>
      <c r="W466" s="2748"/>
      <c r="X466" s="2748"/>
      <c r="Y466" s="2748"/>
      <c r="Z466" s="2748"/>
      <c r="AA466" s="2748"/>
      <c r="AB466" s="2748"/>
      <c r="AC466" s="2748"/>
      <c r="AD466" s="2748"/>
      <c r="AE466" s="2748"/>
      <c r="AF466" s="2748"/>
      <c r="AG466" s="2748"/>
      <c r="AH466" s="2748"/>
      <c r="AI466" s="2748"/>
      <c r="AK466" s="2748"/>
      <c r="AL466" s="2748"/>
      <c r="AN466" s="2748"/>
      <c r="AO466" s="2748"/>
      <c r="AP466" s="2748"/>
    </row>
    <row r="467" spans="2:42" ht="18" customHeight="1">
      <c r="B467" s="2728"/>
      <c r="C467" s="2728"/>
      <c r="D467" s="2728"/>
      <c r="E467" s="2728"/>
      <c r="G467" s="2512"/>
      <c r="I467" s="2748"/>
      <c r="J467" s="2728"/>
      <c r="L467" s="2728"/>
      <c r="M467" s="2748"/>
      <c r="N467" s="2728"/>
      <c r="O467" s="2728"/>
      <c r="P467" s="2728"/>
      <c r="Q467" s="2748"/>
      <c r="R467" s="2748"/>
      <c r="S467" s="2748"/>
      <c r="T467" s="2748"/>
      <c r="U467" s="2748"/>
      <c r="V467" s="2748"/>
      <c r="W467" s="2748"/>
      <c r="X467" s="2748"/>
      <c r="Y467" s="2748"/>
      <c r="Z467" s="2748"/>
      <c r="AA467" s="2748"/>
      <c r="AB467" s="2748"/>
      <c r="AC467" s="2748"/>
      <c r="AD467" s="2748"/>
      <c r="AE467" s="2748"/>
      <c r="AF467" s="2748"/>
      <c r="AG467" s="2748"/>
      <c r="AH467" s="2748"/>
      <c r="AI467" s="2748"/>
      <c r="AK467" s="2748"/>
      <c r="AL467" s="2748"/>
      <c r="AN467" s="2748"/>
      <c r="AO467" s="2748"/>
      <c r="AP467" s="2748"/>
    </row>
    <row r="468" spans="2:42" ht="18" customHeight="1">
      <c r="B468" s="2728"/>
      <c r="C468" s="2728"/>
      <c r="D468" s="2728"/>
      <c r="E468" s="2728"/>
      <c r="G468" s="2512"/>
      <c r="I468" s="2748"/>
      <c r="J468" s="2728"/>
      <c r="L468" s="2728"/>
      <c r="M468" s="2748"/>
      <c r="N468" s="2728"/>
      <c r="O468" s="2728"/>
      <c r="P468" s="2728"/>
      <c r="Q468" s="2748"/>
      <c r="R468" s="2748"/>
      <c r="S468" s="2748"/>
      <c r="T468" s="2748"/>
      <c r="U468" s="2748"/>
      <c r="V468" s="2748"/>
      <c r="W468" s="2748"/>
      <c r="X468" s="2748"/>
      <c r="Y468" s="2748"/>
      <c r="Z468" s="2748"/>
      <c r="AA468" s="2748"/>
      <c r="AB468" s="2748"/>
      <c r="AC468" s="2748"/>
      <c r="AD468" s="2748"/>
      <c r="AE468" s="2748"/>
      <c r="AF468" s="2748"/>
      <c r="AG468" s="2748"/>
      <c r="AH468" s="2748"/>
      <c r="AI468" s="2748"/>
      <c r="AK468" s="2748"/>
      <c r="AL468" s="2748"/>
      <c r="AN468" s="2748"/>
      <c r="AO468" s="2748"/>
      <c r="AP468" s="2748"/>
    </row>
    <row r="469" spans="2:42" ht="18" customHeight="1">
      <c r="B469" s="2728"/>
      <c r="C469" s="2728"/>
      <c r="D469" s="2728"/>
      <c r="E469" s="2728"/>
      <c r="G469" s="2512"/>
      <c r="I469" s="2748"/>
      <c r="J469" s="2728"/>
      <c r="L469" s="2728"/>
      <c r="M469" s="2748"/>
      <c r="N469" s="2728"/>
      <c r="O469" s="2728"/>
      <c r="P469" s="2728"/>
      <c r="Q469" s="2748"/>
      <c r="R469" s="2748"/>
      <c r="S469" s="2748"/>
      <c r="T469" s="2748"/>
      <c r="U469" s="2748"/>
      <c r="V469" s="2748"/>
      <c r="W469" s="2748"/>
      <c r="X469" s="2748"/>
      <c r="Y469" s="2748"/>
      <c r="Z469" s="2748"/>
      <c r="AA469" s="2748"/>
      <c r="AB469" s="2748"/>
      <c r="AC469" s="2748"/>
      <c r="AD469" s="2748"/>
      <c r="AE469" s="2748"/>
      <c r="AF469" s="2748"/>
      <c r="AG469" s="2748"/>
      <c r="AH469" s="2748"/>
      <c r="AI469" s="2748"/>
      <c r="AK469" s="2748"/>
      <c r="AL469" s="2748"/>
      <c r="AN469" s="2748"/>
      <c r="AO469" s="2748"/>
      <c r="AP469" s="2748"/>
    </row>
    <row r="470" spans="2:42" ht="18" customHeight="1">
      <c r="B470" s="2728"/>
      <c r="C470" s="2728"/>
      <c r="D470" s="2728"/>
      <c r="E470" s="2728"/>
      <c r="G470" s="2512"/>
      <c r="I470" s="2748"/>
      <c r="J470" s="2728"/>
      <c r="L470" s="2728"/>
      <c r="M470" s="2748"/>
      <c r="N470" s="2728"/>
      <c r="O470" s="2728"/>
      <c r="P470" s="2728"/>
      <c r="Q470" s="2748"/>
      <c r="R470" s="2748"/>
      <c r="S470" s="2748"/>
      <c r="T470" s="2748"/>
      <c r="U470" s="2748"/>
      <c r="V470" s="2748"/>
      <c r="W470" s="2748"/>
      <c r="X470" s="2748"/>
      <c r="Y470" s="2748"/>
      <c r="Z470" s="2748"/>
      <c r="AA470" s="2748"/>
      <c r="AB470" s="2748"/>
      <c r="AC470" s="2748"/>
      <c r="AD470" s="2748"/>
      <c r="AE470" s="2748"/>
      <c r="AF470" s="2748"/>
      <c r="AG470" s="2748"/>
      <c r="AH470" s="2748"/>
      <c r="AI470" s="2748"/>
      <c r="AK470" s="2748"/>
      <c r="AL470" s="2748"/>
      <c r="AN470" s="2748"/>
      <c r="AO470" s="2748"/>
      <c r="AP470" s="2748"/>
    </row>
    <row r="471" spans="2:42" ht="18" customHeight="1">
      <c r="B471" s="2728"/>
      <c r="C471" s="2728"/>
      <c r="D471" s="2728"/>
      <c r="E471" s="2728"/>
      <c r="G471" s="2512"/>
      <c r="I471" s="2748"/>
      <c r="J471" s="2728"/>
      <c r="L471" s="2728"/>
      <c r="M471" s="2748"/>
      <c r="N471" s="2728"/>
      <c r="O471" s="2728"/>
      <c r="P471" s="2728"/>
      <c r="Q471" s="2748"/>
      <c r="R471" s="2748"/>
      <c r="S471" s="2748"/>
      <c r="T471" s="2748"/>
      <c r="U471" s="2748"/>
      <c r="V471" s="2748"/>
      <c r="W471" s="2748"/>
      <c r="X471" s="2748"/>
      <c r="Y471" s="2748"/>
      <c r="Z471" s="2748"/>
      <c r="AA471" s="2748"/>
      <c r="AB471" s="2748"/>
      <c r="AC471" s="2748"/>
      <c r="AD471" s="2748"/>
      <c r="AE471" s="2748"/>
      <c r="AF471" s="2748"/>
      <c r="AG471" s="2748"/>
      <c r="AH471" s="2748"/>
      <c r="AI471" s="2748"/>
      <c r="AK471" s="2748"/>
      <c r="AL471" s="2748"/>
      <c r="AN471" s="2748"/>
      <c r="AO471" s="2748"/>
      <c r="AP471" s="2748"/>
    </row>
    <row r="472" spans="2:42" ht="18" customHeight="1">
      <c r="B472" s="2728"/>
      <c r="C472" s="2728"/>
      <c r="D472" s="2728"/>
      <c r="E472" s="2728"/>
      <c r="G472" s="2512"/>
      <c r="I472" s="2748"/>
      <c r="J472" s="2728"/>
      <c r="L472" s="2728"/>
      <c r="M472" s="2748"/>
      <c r="N472" s="2728"/>
      <c r="O472" s="2728"/>
      <c r="P472" s="2728"/>
      <c r="Q472" s="2748"/>
      <c r="R472" s="2748"/>
      <c r="S472" s="2748"/>
      <c r="T472" s="2748"/>
      <c r="U472" s="2748"/>
      <c r="V472" s="2748"/>
      <c r="W472" s="2748"/>
      <c r="X472" s="2748"/>
      <c r="Y472" s="2748"/>
      <c r="Z472" s="2748"/>
      <c r="AA472" s="2748"/>
      <c r="AB472" s="2748"/>
      <c r="AC472" s="2748"/>
      <c r="AD472" s="2748"/>
      <c r="AE472" s="2748"/>
      <c r="AF472" s="2748"/>
      <c r="AG472" s="2748"/>
      <c r="AH472" s="2748"/>
      <c r="AI472" s="2748"/>
      <c r="AK472" s="2748"/>
      <c r="AL472" s="2748"/>
      <c r="AN472" s="2748"/>
      <c r="AO472" s="2748"/>
      <c r="AP472" s="2748"/>
    </row>
    <row r="473" spans="2:42" ht="18" customHeight="1">
      <c r="B473" s="2728"/>
      <c r="C473" s="2728"/>
      <c r="D473" s="2728"/>
      <c r="E473" s="2728"/>
      <c r="G473" s="2512"/>
      <c r="I473" s="2748"/>
      <c r="J473" s="2728"/>
      <c r="L473" s="2728"/>
      <c r="M473" s="2748"/>
      <c r="N473" s="2728"/>
      <c r="O473" s="2728"/>
      <c r="P473" s="2728"/>
      <c r="Q473" s="2748"/>
      <c r="R473" s="2748"/>
      <c r="S473" s="2748"/>
      <c r="T473" s="2748"/>
      <c r="U473" s="2748"/>
      <c r="V473" s="2748"/>
      <c r="W473" s="2748"/>
      <c r="X473" s="2748"/>
      <c r="Y473" s="2748"/>
      <c r="Z473" s="2748"/>
      <c r="AA473" s="2748"/>
      <c r="AB473" s="2748"/>
      <c r="AC473" s="2748"/>
      <c r="AD473" s="2748"/>
      <c r="AE473" s="2748"/>
      <c r="AF473" s="2748"/>
      <c r="AG473" s="2748"/>
      <c r="AH473" s="2748"/>
      <c r="AI473" s="2748"/>
      <c r="AK473" s="2748"/>
      <c r="AL473" s="2748"/>
      <c r="AN473" s="2748"/>
      <c r="AO473" s="2748"/>
      <c r="AP473" s="2748"/>
    </row>
    <row r="474" spans="2:42" ht="18" customHeight="1">
      <c r="B474" s="2728"/>
      <c r="C474" s="2728"/>
      <c r="D474" s="2728"/>
      <c r="E474" s="2728"/>
      <c r="G474" s="2512"/>
      <c r="I474" s="2748"/>
      <c r="J474" s="2728"/>
      <c r="L474" s="2728"/>
      <c r="M474" s="2748"/>
      <c r="N474" s="2728"/>
      <c r="O474" s="2728"/>
      <c r="P474" s="2728"/>
      <c r="Q474" s="2748"/>
      <c r="R474" s="2748"/>
      <c r="S474" s="2748"/>
      <c r="T474" s="2748"/>
      <c r="U474" s="2748"/>
      <c r="V474" s="2748"/>
      <c r="W474" s="2748"/>
      <c r="X474" s="2748"/>
      <c r="Y474" s="2748"/>
      <c r="Z474" s="2748"/>
      <c r="AA474" s="2748"/>
      <c r="AB474" s="2748"/>
      <c r="AC474" s="2748"/>
      <c r="AD474" s="2748"/>
      <c r="AE474" s="2748"/>
      <c r="AF474" s="2748"/>
      <c r="AG474" s="2748"/>
      <c r="AH474" s="2748"/>
      <c r="AI474" s="2748"/>
      <c r="AK474" s="2748"/>
      <c r="AL474" s="2748"/>
      <c r="AN474" s="2748"/>
      <c r="AO474" s="2748"/>
      <c r="AP474" s="2748"/>
    </row>
    <row r="475" spans="2:42" ht="18" customHeight="1">
      <c r="B475" s="2728"/>
      <c r="C475" s="2728"/>
      <c r="D475" s="2728"/>
      <c r="E475" s="2728"/>
      <c r="G475" s="2512"/>
      <c r="I475" s="2748"/>
      <c r="J475" s="2728"/>
      <c r="L475" s="2728"/>
      <c r="M475" s="2748"/>
      <c r="N475" s="2728"/>
      <c r="O475" s="2728"/>
      <c r="P475" s="2728"/>
      <c r="Q475" s="2748"/>
      <c r="R475" s="2748"/>
      <c r="S475" s="2748"/>
      <c r="T475" s="2748"/>
      <c r="U475" s="2748"/>
      <c r="V475" s="2748"/>
      <c r="W475" s="2748"/>
      <c r="X475" s="2748"/>
      <c r="Y475" s="2748"/>
      <c r="Z475" s="2748"/>
      <c r="AA475" s="2748"/>
      <c r="AB475" s="2748"/>
      <c r="AC475" s="2748"/>
      <c r="AD475" s="2748"/>
      <c r="AE475" s="2748"/>
      <c r="AF475" s="2748"/>
      <c r="AG475" s="2748"/>
      <c r="AH475" s="2748"/>
      <c r="AI475" s="2748"/>
      <c r="AK475" s="2748"/>
      <c r="AL475" s="2748"/>
      <c r="AN475" s="2748"/>
      <c r="AO475" s="2748"/>
      <c r="AP475" s="2748"/>
    </row>
    <row r="476" spans="2:42" ht="18" customHeight="1">
      <c r="B476" s="2728"/>
      <c r="C476" s="2728"/>
      <c r="D476" s="2728"/>
      <c r="E476" s="2728"/>
      <c r="G476" s="2512"/>
      <c r="I476" s="2748"/>
      <c r="J476" s="2728"/>
      <c r="L476" s="2728"/>
      <c r="M476" s="2748"/>
      <c r="N476" s="2728"/>
      <c r="O476" s="2728"/>
      <c r="P476" s="2728"/>
      <c r="Q476" s="2748"/>
      <c r="R476" s="2748"/>
      <c r="S476" s="2748"/>
      <c r="T476" s="2748"/>
      <c r="U476" s="2748"/>
      <c r="V476" s="2748"/>
      <c r="W476" s="2748"/>
      <c r="X476" s="2748"/>
      <c r="Y476" s="2748"/>
      <c r="Z476" s="2748"/>
      <c r="AA476" s="2748"/>
      <c r="AB476" s="2748"/>
      <c r="AC476" s="2748"/>
      <c r="AD476" s="2748"/>
      <c r="AE476" s="2748"/>
      <c r="AF476" s="2748"/>
      <c r="AG476" s="2748"/>
      <c r="AH476" s="2748"/>
      <c r="AI476" s="2748"/>
      <c r="AK476" s="2748"/>
      <c r="AL476" s="2748"/>
      <c r="AN476" s="2748"/>
      <c r="AO476" s="2748"/>
      <c r="AP476" s="2748"/>
    </row>
    <row r="477" spans="2:42" ht="18" customHeight="1">
      <c r="B477" s="2728"/>
      <c r="C477" s="2728"/>
      <c r="D477" s="2728"/>
      <c r="E477" s="2728"/>
      <c r="G477" s="2512"/>
      <c r="I477" s="2748"/>
      <c r="J477" s="2728"/>
      <c r="L477" s="2728"/>
      <c r="M477" s="2748"/>
      <c r="N477" s="2728"/>
      <c r="O477" s="2728"/>
      <c r="P477" s="2728"/>
      <c r="Q477" s="2748"/>
      <c r="R477" s="2748"/>
      <c r="S477" s="2748"/>
      <c r="T477" s="2748"/>
      <c r="U477" s="2748"/>
      <c r="V477" s="2748"/>
      <c r="W477" s="2748"/>
      <c r="X477" s="2748"/>
      <c r="Y477" s="2748"/>
      <c r="Z477" s="2748"/>
      <c r="AA477" s="2748"/>
      <c r="AB477" s="2748"/>
      <c r="AC477" s="2748"/>
      <c r="AD477" s="2748"/>
      <c r="AE477" s="2748"/>
      <c r="AF477" s="2748"/>
      <c r="AG477" s="2748"/>
      <c r="AH477" s="2748"/>
      <c r="AI477" s="2748"/>
      <c r="AK477" s="2748"/>
      <c r="AL477" s="2748"/>
      <c r="AN477" s="2748"/>
      <c r="AO477" s="2748"/>
      <c r="AP477" s="2748"/>
    </row>
    <row r="478" spans="2:42" ht="18" customHeight="1">
      <c r="B478" s="2728"/>
      <c r="C478" s="2728"/>
      <c r="D478" s="2728"/>
      <c r="E478" s="2728"/>
      <c r="G478" s="2512"/>
      <c r="I478" s="2748"/>
      <c r="J478" s="2728"/>
      <c r="L478" s="2728"/>
      <c r="M478" s="2748"/>
      <c r="N478" s="2728"/>
      <c r="O478" s="2728"/>
      <c r="P478" s="2728"/>
      <c r="Q478" s="2748"/>
      <c r="R478" s="2748"/>
      <c r="S478" s="2748"/>
      <c r="T478" s="2748"/>
      <c r="U478" s="2748"/>
      <c r="V478" s="2748"/>
      <c r="W478" s="2748"/>
      <c r="X478" s="2748"/>
      <c r="Y478" s="2748"/>
      <c r="Z478" s="2748"/>
      <c r="AA478" s="2748"/>
      <c r="AB478" s="2748"/>
      <c r="AC478" s="2748"/>
      <c r="AD478" s="2748"/>
      <c r="AE478" s="2748"/>
      <c r="AF478" s="2748"/>
      <c r="AG478" s="2748"/>
      <c r="AH478" s="2748"/>
      <c r="AI478" s="2748"/>
      <c r="AK478" s="2748"/>
      <c r="AL478" s="2748"/>
      <c r="AN478" s="2748"/>
      <c r="AO478" s="2748"/>
      <c r="AP478" s="2748"/>
    </row>
    <row r="479" spans="2:42" ht="18" customHeight="1">
      <c r="B479" s="2728"/>
      <c r="C479" s="2728"/>
      <c r="D479" s="2728"/>
      <c r="E479" s="2728"/>
      <c r="G479" s="2512"/>
      <c r="I479" s="2748"/>
      <c r="J479" s="2728"/>
      <c r="L479" s="2728"/>
      <c r="M479" s="2748"/>
      <c r="N479" s="2728"/>
      <c r="O479" s="2728"/>
      <c r="P479" s="2728"/>
      <c r="Q479" s="2748"/>
      <c r="R479" s="2748"/>
      <c r="S479" s="2748"/>
      <c r="T479" s="2748"/>
      <c r="U479" s="2748"/>
      <c r="V479" s="2748"/>
      <c r="W479" s="2748"/>
      <c r="X479" s="2748"/>
      <c r="Y479" s="2748"/>
      <c r="Z479" s="2748"/>
      <c r="AA479" s="2748"/>
      <c r="AB479" s="2748"/>
      <c r="AC479" s="2748"/>
      <c r="AD479" s="2748"/>
      <c r="AE479" s="2748"/>
      <c r="AF479" s="2748"/>
      <c r="AG479" s="2748"/>
      <c r="AH479" s="2748"/>
      <c r="AI479" s="2748"/>
      <c r="AK479" s="2748"/>
      <c r="AL479" s="2748"/>
      <c r="AN479" s="2748"/>
      <c r="AO479" s="2748"/>
      <c r="AP479" s="2748"/>
    </row>
    <row r="480" spans="2:42" ht="18" customHeight="1">
      <c r="B480" s="2728"/>
      <c r="C480" s="2728"/>
      <c r="D480" s="2728"/>
      <c r="E480" s="2728"/>
      <c r="G480" s="2512"/>
      <c r="I480" s="2748"/>
      <c r="J480" s="2728"/>
      <c r="L480" s="2728"/>
      <c r="M480" s="2748"/>
      <c r="N480" s="2728"/>
      <c r="O480" s="2728"/>
      <c r="P480" s="2728"/>
      <c r="Q480" s="2748"/>
      <c r="R480" s="2748"/>
      <c r="S480" s="2748"/>
      <c r="T480" s="2748"/>
      <c r="U480" s="2748"/>
      <c r="V480" s="2748"/>
      <c r="W480" s="2748"/>
      <c r="X480" s="2748"/>
      <c r="Y480" s="2748"/>
      <c r="Z480" s="2748"/>
      <c r="AA480" s="2748"/>
      <c r="AB480" s="2748"/>
      <c r="AC480" s="2748"/>
      <c r="AD480" s="2748"/>
      <c r="AE480" s="2748"/>
      <c r="AF480" s="2748"/>
      <c r="AG480" s="2748"/>
      <c r="AH480" s="2748"/>
      <c r="AI480" s="2748"/>
      <c r="AK480" s="2748"/>
      <c r="AL480" s="2748"/>
      <c r="AN480" s="2748"/>
      <c r="AO480" s="2748"/>
      <c r="AP480" s="2748"/>
    </row>
    <row r="481" spans="2:42" ht="18" customHeight="1">
      <c r="B481" s="2728"/>
      <c r="C481" s="2728"/>
      <c r="D481" s="2728"/>
      <c r="E481" s="2728"/>
      <c r="G481" s="2512"/>
      <c r="I481" s="2748"/>
      <c r="J481" s="2728"/>
      <c r="L481" s="2728"/>
      <c r="M481" s="2748"/>
      <c r="N481" s="2728"/>
      <c r="O481" s="2728"/>
      <c r="P481" s="2728"/>
      <c r="Q481" s="2748"/>
      <c r="R481" s="2748"/>
      <c r="S481" s="2748"/>
      <c r="T481" s="2748"/>
      <c r="U481" s="2748"/>
      <c r="V481" s="2748"/>
      <c r="W481" s="2748"/>
      <c r="X481" s="2748"/>
      <c r="Y481" s="2748"/>
      <c r="Z481" s="2748"/>
      <c r="AA481" s="2748"/>
      <c r="AB481" s="2748"/>
      <c r="AC481" s="2748"/>
      <c r="AD481" s="2748"/>
      <c r="AE481" s="2748"/>
      <c r="AF481" s="2748"/>
      <c r="AG481" s="2748"/>
      <c r="AH481" s="2748"/>
      <c r="AI481" s="2748"/>
      <c r="AK481" s="2748"/>
      <c r="AL481" s="2748"/>
      <c r="AN481" s="2748"/>
      <c r="AO481" s="2748"/>
      <c r="AP481" s="2748"/>
    </row>
    <row r="482" spans="2:42" ht="18" customHeight="1">
      <c r="B482" s="2728"/>
      <c r="C482" s="2728"/>
      <c r="D482" s="2728"/>
      <c r="E482" s="2728"/>
      <c r="G482" s="2512"/>
      <c r="I482" s="2748"/>
      <c r="J482" s="2728"/>
      <c r="L482" s="2728"/>
      <c r="M482" s="2748"/>
      <c r="N482" s="2728"/>
      <c r="O482" s="2728"/>
      <c r="P482" s="2728"/>
      <c r="Q482" s="2748"/>
      <c r="R482" s="2748"/>
      <c r="S482" s="2748"/>
      <c r="T482" s="2748"/>
      <c r="U482" s="2748"/>
      <c r="V482" s="2748"/>
      <c r="W482" s="2748"/>
      <c r="X482" s="2748"/>
      <c r="Y482" s="2748"/>
      <c r="Z482" s="2748"/>
      <c r="AA482" s="2748"/>
      <c r="AB482" s="2748"/>
      <c r="AC482" s="2748"/>
      <c r="AD482" s="2748"/>
      <c r="AE482" s="2748"/>
      <c r="AF482" s="2748"/>
      <c r="AG482" s="2748"/>
      <c r="AH482" s="2748"/>
      <c r="AI482" s="2748"/>
      <c r="AK482" s="2748"/>
      <c r="AL482" s="2748"/>
      <c r="AN482" s="2748"/>
      <c r="AO482" s="2748"/>
      <c r="AP482" s="2748"/>
    </row>
    <row r="483" spans="2:42" ht="18" customHeight="1">
      <c r="B483" s="2728"/>
      <c r="C483" s="2728"/>
      <c r="D483" s="2728"/>
      <c r="E483" s="2728"/>
      <c r="G483" s="2512"/>
      <c r="I483" s="2748"/>
      <c r="J483" s="2728"/>
      <c r="L483" s="2728"/>
      <c r="M483" s="2748"/>
      <c r="N483" s="2728"/>
      <c r="O483" s="2728"/>
      <c r="P483" s="2728"/>
      <c r="Q483" s="2748"/>
      <c r="R483" s="2748"/>
      <c r="S483" s="2748"/>
      <c r="T483" s="2748"/>
      <c r="U483" s="2748"/>
      <c r="V483" s="2748"/>
      <c r="W483" s="2748"/>
      <c r="X483" s="2748"/>
      <c r="Y483" s="2748"/>
      <c r="Z483" s="2748"/>
      <c r="AA483" s="2748"/>
      <c r="AB483" s="2748"/>
      <c r="AC483" s="2748"/>
      <c r="AD483" s="2748"/>
      <c r="AE483" s="2748"/>
      <c r="AF483" s="2748"/>
      <c r="AG483" s="2748"/>
      <c r="AH483" s="2748"/>
      <c r="AI483" s="2748"/>
      <c r="AK483" s="2748"/>
      <c r="AL483" s="2748"/>
      <c r="AN483" s="2748"/>
      <c r="AO483" s="2748"/>
      <c r="AP483" s="2748"/>
    </row>
    <row r="484" spans="2:42" ht="18" customHeight="1">
      <c r="B484" s="2728"/>
      <c r="C484" s="2728"/>
      <c r="D484" s="2728"/>
      <c r="E484" s="2728"/>
      <c r="G484" s="2512"/>
      <c r="I484" s="2748"/>
      <c r="J484" s="2728"/>
      <c r="L484" s="2728"/>
      <c r="M484" s="2748"/>
      <c r="N484" s="2728"/>
      <c r="O484" s="2728"/>
      <c r="P484" s="2728"/>
      <c r="Q484" s="2748"/>
      <c r="R484" s="2748"/>
      <c r="S484" s="2748"/>
      <c r="T484" s="2748"/>
      <c r="U484" s="2748"/>
      <c r="V484" s="2748"/>
      <c r="W484" s="2748"/>
      <c r="X484" s="2748"/>
      <c r="Y484" s="2748"/>
      <c r="Z484" s="2748"/>
      <c r="AA484" s="2748"/>
      <c r="AB484" s="2748"/>
      <c r="AC484" s="2748"/>
      <c r="AD484" s="2748"/>
      <c r="AE484" s="2748"/>
      <c r="AF484" s="2748"/>
      <c r="AG484" s="2748"/>
      <c r="AH484" s="2748"/>
      <c r="AI484" s="2748"/>
      <c r="AK484" s="2748"/>
      <c r="AL484" s="2748"/>
      <c r="AN484" s="2748"/>
      <c r="AO484" s="2748"/>
      <c r="AP484" s="2748"/>
    </row>
    <row r="485" spans="2:42" ht="18" customHeight="1">
      <c r="B485" s="2728"/>
      <c r="C485" s="2728"/>
      <c r="D485" s="2728"/>
      <c r="E485" s="2728"/>
      <c r="G485" s="2512"/>
      <c r="I485" s="2748"/>
      <c r="J485" s="2728"/>
      <c r="L485" s="2728"/>
      <c r="M485" s="2748"/>
      <c r="N485" s="2728"/>
      <c r="O485" s="2728"/>
      <c r="P485" s="2728"/>
      <c r="Q485" s="2748"/>
      <c r="R485" s="2748"/>
      <c r="S485" s="2748"/>
      <c r="T485" s="2748"/>
      <c r="U485" s="2748"/>
      <c r="V485" s="2748"/>
      <c r="W485" s="2748"/>
      <c r="X485" s="2748"/>
      <c r="Y485" s="2748"/>
      <c r="Z485" s="2748"/>
      <c r="AA485" s="2748"/>
      <c r="AB485" s="2748"/>
      <c r="AC485" s="2748"/>
      <c r="AD485" s="2748"/>
      <c r="AE485" s="2748"/>
      <c r="AF485" s="2748"/>
      <c r="AG485" s="2748"/>
      <c r="AH485" s="2748"/>
      <c r="AI485" s="2748"/>
      <c r="AK485" s="2748"/>
      <c r="AL485" s="2748"/>
      <c r="AN485" s="2748"/>
      <c r="AO485" s="2748"/>
      <c r="AP485" s="2748"/>
    </row>
    <row r="486" spans="2:42" ht="18" customHeight="1">
      <c r="B486" s="2728"/>
      <c r="C486" s="2728"/>
      <c r="D486" s="2728"/>
      <c r="E486" s="2728"/>
      <c r="G486" s="2512"/>
      <c r="I486" s="2748"/>
      <c r="J486" s="2728"/>
      <c r="L486" s="2728"/>
      <c r="M486" s="2748"/>
      <c r="N486" s="2728"/>
      <c r="O486" s="2728"/>
      <c r="P486" s="2728"/>
      <c r="Q486" s="2748"/>
      <c r="R486" s="2748"/>
      <c r="S486" s="2748"/>
      <c r="T486" s="2748"/>
      <c r="U486" s="2748"/>
      <c r="V486" s="2748"/>
      <c r="W486" s="2748"/>
      <c r="X486" s="2748"/>
      <c r="Y486" s="2748"/>
      <c r="Z486" s="2748"/>
      <c r="AA486" s="2748"/>
      <c r="AB486" s="2748"/>
      <c r="AC486" s="2748"/>
      <c r="AD486" s="2748"/>
      <c r="AE486" s="2748"/>
      <c r="AF486" s="2748"/>
      <c r="AG486" s="2748"/>
      <c r="AH486" s="2748"/>
      <c r="AI486" s="2748"/>
      <c r="AK486" s="2748"/>
      <c r="AL486" s="2748"/>
      <c r="AN486" s="2748"/>
      <c r="AO486" s="2748"/>
      <c r="AP486" s="2748"/>
    </row>
    <row r="487" spans="2:42" ht="18" customHeight="1">
      <c r="B487" s="2728"/>
      <c r="C487" s="2728"/>
      <c r="D487" s="2728"/>
      <c r="E487" s="2728"/>
      <c r="G487" s="2512"/>
      <c r="I487" s="2748"/>
      <c r="J487" s="2728"/>
      <c r="L487" s="2728"/>
      <c r="M487" s="2748"/>
      <c r="N487" s="2728"/>
      <c r="O487" s="2728"/>
      <c r="P487" s="2728"/>
      <c r="Q487" s="2748"/>
      <c r="R487" s="2748"/>
      <c r="S487" s="2748"/>
      <c r="T487" s="2748"/>
      <c r="U487" s="2748"/>
      <c r="V487" s="2748"/>
      <c r="W487" s="2748"/>
      <c r="X487" s="2748"/>
      <c r="Y487" s="2748"/>
      <c r="Z487" s="2748"/>
      <c r="AA487" s="2748"/>
      <c r="AB487" s="2748"/>
      <c r="AC487" s="2748"/>
      <c r="AD487" s="2748"/>
      <c r="AE487" s="2748"/>
      <c r="AF487" s="2748"/>
      <c r="AG487" s="2748"/>
      <c r="AH487" s="2748"/>
      <c r="AI487" s="2748"/>
      <c r="AK487" s="2748"/>
      <c r="AL487" s="2748"/>
      <c r="AN487" s="2748"/>
      <c r="AO487" s="2748"/>
      <c r="AP487" s="2748"/>
    </row>
    <row r="488" spans="2:42" ht="18" customHeight="1">
      <c r="B488" s="2728"/>
      <c r="C488" s="2728"/>
      <c r="D488" s="2728"/>
      <c r="E488" s="2728"/>
      <c r="G488" s="2512"/>
      <c r="I488" s="2748"/>
      <c r="J488" s="2728"/>
      <c r="L488" s="2728"/>
      <c r="M488" s="2748"/>
      <c r="N488" s="2728"/>
      <c r="O488" s="2728"/>
      <c r="P488" s="2728"/>
      <c r="Q488" s="2748"/>
      <c r="R488" s="2748"/>
      <c r="S488" s="2748"/>
      <c r="T488" s="2748"/>
      <c r="U488" s="2748"/>
      <c r="V488" s="2748"/>
      <c r="W488" s="2748"/>
      <c r="X488" s="2748"/>
      <c r="Y488" s="2748"/>
      <c r="Z488" s="2748"/>
      <c r="AA488" s="2748"/>
      <c r="AB488" s="2748"/>
      <c r="AC488" s="2748"/>
      <c r="AD488" s="2748"/>
      <c r="AE488" s="2748"/>
      <c r="AF488" s="2748"/>
      <c r="AG488" s="2748"/>
      <c r="AH488" s="2748"/>
      <c r="AI488" s="2748"/>
      <c r="AK488" s="2748"/>
      <c r="AL488" s="2748"/>
      <c r="AN488" s="2748"/>
      <c r="AO488" s="2748"/>
      <c r="AP488" s="2748"/>
    </row>
    <row r="489" spans="2:42" ht="18" customHeight="1">
      <c r="B489" s="2728"/>
      <c r="C489" s="2728"/>
      <c r="D489" s="2728"/>
      <c r="E489" s="2728"/>
      <c r="G489" s="2512"/>
      <c r="I489" s="2748"/>
      <c r="J489" s="2728"/>
      <c r="L489" s="2728"/>
      <c r="M489" s="2748"/>
      <c r="N489" s="2728"/>
      <c r="O489" s="2728"/>
      <c r="P489" s="2728"/>
      <c r="Q489" s="2748"/>
      <c r="R489" s="2748"/>
      <c r="S489" s="2748"/>
      <c r="T489" s="2748"/>
      <c r="U489" s="2748"/>
      <c r="V489" s="2748"/>
      <c r="W489" s="2748"/>
      <c r="X489" s="2748"/>
      <c r="Y489" s="2748"/>
      <c r="Z489" s="2748"/>
      <c r="AA489" s="2748"/>
      <c r="AB489" s="2748"/>
      <c r="AC489" s="2748"/>
      <c r="AD489" s="2748"/>
      <c r="AE489" s="2748"/>
      <c r="AF489" s="2748"/>
      <c r="AG489" s="2748"/>
      <c r="AH489" s="2748"/>
      <c r="AI489" s="2748"/>
      <c r="AK489" s="2748"/>
      <c r="AL489" s="2748"/>
      <c r="AN489" s="2748"/>
      <c r="AO489" s="2748"/>
      <c r="AP489" s="2748"/>
    </row>
    <row r="490" spans="2:42" ht="18" customHeight="1">
      <c r="B490" s="2728"/>
      <c r="C490" s="2728"/>
      <c r="D490" s="2728"/>
      <c r="E490" s="2728"/>
      <c r="G490" s="2512"/>
      <c r="I490" s="2748"/>
      <c r="J490" s="2728"/>
      <c r="L490" s="2728"/>
      <c r="M490" s="2748"/>
      <c r="N490" s="2728"/>
      <c r="O490" s="2728"/>
      <c r="P490" s="2728"/>
      <c r="Q490" s="2748"/>
      <c r="R490" s="2748"/>
      <c r="S490" s="2748"/>
      <c r="T490" s="2748"/>
      <c r="U490" s="2748"/>
      <c r="V490" s="2748"/>
      <c r="W490" s="2748"/>
      <c r="X490" s="2748"/>
      <c r="Y490" s="2748"/>
      <c r="Z490" s="2748"/>
      <c r="AA490" s="2748"/>
      <c r="AB490" s="2748"/>
      <c r="AC490" s="2748"/>
      <c r="AD490" s="2748"/>
      <c r="AE490" s="2748"/>
      <c r="AF490" s="2748"/>
      <c r="AG490" s="2748"/>
      <c r="AH490" s="2748"/>
      <c r="AI490" s="2748"/>
      <c r="AK490" s="2748"/>
      <c r="AL490" s="2748"/>
      <c r="AN490" s="2748"/>
      <c r="AO490" s="2748"/>
      <c r="AP490" s="2748"/>
    </row>
    <row r="491" spans="2:42" ht="18" customHeight="1">
      <c r="B491" s="2728"/>
      <c r="C491" s="2728"/>
      <c r="D491" s="2728"/>
      <c r="E491" s="2728"/>
      <c r="G491" s="2512"/>
      <c r="I491" s="2748"/>
      <c r="J491" s="2728"/>
      <c r="L491" s="2728"/>
      <c r="M491" s="2748"/>
      <c r="N491" s="2728"/>
      <c r="O491" s="2728"/>
      <c r="P491" s="2728"/>
      <c r="Q491" s="2748"/>
      <c r="R491" s="2748"/>
      <c r="S491" s="2748"/>
      <c r="T491" s="2748"/>
      <c r="U491" s="2748"/>
      <c r="V491" s="2748"/>
      <c r="W491" s="2748"/>
      <c r="X491" s="2748"/>
      <c r="Y491" s="2748"/>
      <c r="Z491" s="2748"/>
      <c r="AA491" s="2748"/>
      <c r="AB491" s="2748"/>
      <c r="AC491" s="2748"/>
      <c r="AD491" s="2748"/>
      <c r="AE491" s="2748"/>
      <c r="AF491" s="2748"/>
      <c r="AG491" s="2748"/>
      <c r="AH491" s="2748"/>
      <c r="AI491" s="2748"/>
      <c r="AK491" s="2748"/>
      <c r="AL491" s="2748"/>
      <c r="AN491" s="2748"/>
      <c r="AO491" s="2748"/>
      <c r="AP491" s="2748"/>
    </row>
    <row r="492" spans="2:42" ht="18" customHeight="1">
      <c r="B492" s="2728"/>
      <c r="C492" s="2728"/>
      <c r="D492" s="2728"/>
      <c r="E492" s="2728"/>
      <c r="G492" s="2512"/>
      <c r="I492" s="2748"/>
      <c r="J492" s="2728"/>
      <c r="L492" s="2728"/>
      <c r="M492" s="2748"/>
      <c r="N492" s="2728"/>
      <c r="O492" s="2728"/>
      <c r="P492" s="2728"/>
      <c r="Q492" s="2748"/>
      <c r="R492" s="2748"/>
      <c r="S492" s="2748"/>
      <c r="T492" s="2748"/>
      <c r="U492" s="2748"/>
      <c r="V492" s="2748"/>
      <c r="W492" s="2748"/>
      <c r="X492" s="2748"/>
      <c r="Y492" s="2748"/>
      <c r="Z492" s="2748"/>
      <c r="AA492" s="2748"/>
      <c r="AB492" s="2748"/>
      <c r="AC492" s="2748"/>
      <c r="AD492" s="2748"/>
      <c r="AE492" s="2748"/>
      <c r="AF492" s="2748"/>
      <c r="AG492" s="2748"/>
      <c r="AH492" s="2748"/>
      <c r="AI492" s="2748"/>
      <c r="AK492" s="2748"/>
      <c r="AL492" s="2748"/>
      <c r="AN492" s="2748"/>
      <c r="AO492" s="2748"/>
      <c r="AP492" s="2748"/>
    </row>
    <row r="493" spans="2:42" ht="18" customHeight="1">
      <c r="B493" s="2728"/>
      <c r="C493" s="2728"/>
      <c r="D493" s="2728"/>
      <c r="E493" s="2728"/>
      <c r="G493" s="2512"/>
      <c r="I493" s="2748"/>
      <c r="J493" s="2728"/>
      <c r="L493" s="2728"/>
      <c r="M493" s="2748"/>
      <c r="N493" s="2728"/>
      <c r="O493" s="2728"/>
      <c r="P493" s="2728"/>
      <c r="Q493" s="2748"/>
      <c r="R493" s="2748"/>
      <c r="S493" s="2748"/>
      <c r="T493" s="2748"/>
      <c r="U493" s="2748"/>
      <c r="V493" s="2748"/>
      <c r="W493" s="2748"/>
      <c r="X493" s="2748"/>
      <c r="Y493" s="2748"/>
      <c r="Z493" s="2748"/>
      <c r="AA493" s="2748"/>
      <c r="AB493" s="2748"/>
      <c r="AC493" s="2748"/>
      <c r="AD493" s="2748"/>
      <c r="AE493" s="2748"/>
      <c r="AF493" s="2748"/>
      <c r="AG493" s="2748"/>
      <c r="AH493" s="2748"/>
      <c r="AI493" s="2748"/>
      <c r="AK493" s="2748"/>
      <c r="AL493" s="2748"/>
      <c r="AN493" s="2748"/>
      <c r="AO493" s="2748"/>
      <c r="AP493" s="2748"/>
    </row>
    <row r="494" spans="2:42" ht="18" customHeight="1">
      <c r="B494" s="2728"/>
      <c r="C494" s="2728"/>
      <c r="D494" s="2728"/>
      <c r="E494" s="2728"/>
      <c r="G494" s="2512"/>
      <c r="I494" s="2748"/>
      <c r="J494" s="2728"/>
      <c r="L494" s="2728"/>
      <c r="M494" s="2748"/>
      <c r="N494" s="2728"/>
      <c r="O494" s="2728"/>
      <c r="P494" s="2728"/>
      <c r="Q494" s="2748"/>
      <c r="R494" s="2748"/>
      <c r="S494" s="2748"/>
      <c r="T494" s="2748"/>
      <c r="U494" s="2748"/>
      <c r="V494" s="2748"/>
      <c r="W494" s="2748"/>
      <c r="X494" s="2748"/>
      <c r="Y494" s="2748"/>
      <c r="Z494" s="2748"/>
      <c r="AA494" s="2748"/>
      <c r="AB494" s="2748"/>
      <c r="AC494" s="2748"/>
      <c r="AD494" s="2748"/>
      <c r="AE494" s="2748"/>
      <c r="AF494" s="2748"/>
      <c r="AG494" s="2748"/>
      <c r="AH494" s="2748"/>
      <c r="AI494" s="2748"/>
      <c r="AK494" s="2748"/>
      <c r="AL494" s="2748"/>
      <c r="AN494" s="2748"/>
      <c r="AO494" s="2748"/>
      <c r="AP494" s="2748"/>
    </row>
    <row r="495" spans="2:42" ht="18" customHeight="1">
      <c r="B495" s="2728"/>
      <c r="C495" s="2728"/>
      <c r="D495" s="2728"/>
      <c r="E495" s="2728"/>
      <c r="G495" s="2512"/>
      <c r="I495" s="2748"/>
      <c r="J495" s="2728"/>
      <c r="L495" s="2728"/>
      <c r="M495" s="2748"/>
      <c r="N495" s="2728"/>
      <c r="O495" s="2728"/>
      <c r="P495" s="2728"/>
      <c r="Q495" s="2748"/>
      <c r="R495" s="2748"/>
      <c r="S495" s="2748"/>
      <c r="T495" s="2748"/>
      <c r="U495" s="2748"/>
      <c r="V495" s="2748"/>
      <c r="W495" s="2748"/>
      <c r="X495" s="2748"/>
      <c r="Y495" s="2748"/>
      <c r="Z495" s="2748"/>
      <c r="AA495" s="2748"/>
      <c r="AB495" s="2748"/>
      <c r="AC495" s="2748"/>
      <c r="AD495" s="2748"/>
      <c r="AE495" s="2748"/>
      <c r="AF495" s="2748"/>
      <c r="AG495" s="2748"/>
      <c r="AH495" s="2748"/>
      <c r="AI495" s="2748"/>
      <c r="AK495" s="2748"/>
      <c r="AL495" s="2748"/>
      <c r="AN495" s="2748"/>
      <c r="AO495" s="2748"/>
      <c r="AP495" s="2748"/>
    </row>
    <row r="496" spans="2:42" ht="18" customHeight="1">
      <c r="B496" s="2728"/>
      <c r="C496" s="2728"/>
      <c r="D496" s="2728"/>
      <c r="E496" s="2728"/>
      <c r="G496" s="2512"/>
      <c r="I496" s="2748"/>
      <c r="J496" s="2728"/>
      <c r="L496" s="2728"/>
      <c r="M496" s="2748"/>
      <c r="N496" s="2728"/>
      <c r="O496" s="2728"/>
      <c r="P496" s="2728"/>
      <c r="Q496" s="2748"/>
      <c r="R496" s="2748"/>
      <c r="S496" s="2748"/>
      <c r="T496" s="2748"/>
      <c r="U496" s="2748"/>
      <c r="V496" s="2748"/>
      <c r="W496" s="2748"/>
      <c r="X496" s="2748"/>
      <c r="Y496" s="2748"/>
      <c r="Z496" s="2748"/>
      <c r="AA496" s="2748"/>
      <c r="AB496" s="2748"/>
      <c r="AC496" s="2748"/>
      <c r="AD496" s="2748"/>
      <c r="AE496" s="2748"/>
      <c r="AF496" s="2748"/>
      <c r="AG496" s="2748"/>
      <c r="AH496" s="2748"/>
      <c r="AI496" s="2748"/>
      <c r="AK496" s="2748"/>
      <c r="AL496" s="2748"/>
      <c r="AN496" s="2748"/>
      <c r="AO496" s="2748"/>
      <c r="AP496" s="2748"/>
    </row>
    <row r="497" spans="2:42" ht="18" customHeight="1">
      <c r="B497" s="2728"/>
      <c r="C497" s="2728"/>
      <c r="D497" s="2728"/>
      <c r="E497" s="2728"/>
      <c r="G497" s="2512"/>
      <c r="I497" s="2748"/>
      <c r="J497" s="2728"/>
      <c r="L497" s="2728"/>
      <c r="M497" s="2748"/>
      <c r="N497" s="2728"/>
      <c r="O497" s="2728"/>
      <c r="P497" s="2728"/>
      <c r="Q497" s="2748"/>
      <c r="R497" s="2748"/>
      <c r="S497" s="2748"/>
      <c r="T497" s="2748"/>
      <c r="U497" s="2748"/>
      <c r="V497" s="2748"/>
      <c r="W497" s="2748"/>
      <c r="X497" s="2748"/>
      <c r="Y497" s="2748"/>
      <c r="Z497" s="2748"/>
      <c r="AA497" s="2748"/>
      <c r="AB497" s="2748"/>
      <c r="AC497" s="2748"/>
      <c r="AD497" s="2748"/>
      <c r="AE497" s="2748"/>
      <c r="AF497" s="2748"/>
      <c r="AG497" s="2748"/>
      <c r="AH497" s="2748"/>
      <c r="AI497" s="2748"/>
      <c r="AK497" s="2748"/>
      <c r="AL497" s="2748"/>
      <c r="AN497" s="2748"/>
      <c r="AO497" s="2748"/>
      <c r="AP497" s="2748"/>
    </row>
    <row r="498" spans="2:42" ht="18" customHeight="1">
      <c r="B498" s="2728"/>
      <c r="C498" s="2728"/>
      <c r="D498" s="2728"/>
      <c r="E498" s="2728"/>
      <c r="G498" s="2512"/>
      <c r="I498" s="2748"/>
      <c r="J498" s="2728"/>
      <c r="L498" s="2728"/>
      <c r="M498" s="2748"/>
      <c r="N498" s="2728"/>
      <c r="O498" s="2728"/>
      <c r="P498" s="2728"/>
      <c r="Q498" s="2748"/>
      <c r="R498" s="2748"/>
      <c r="S498" s="2748"/>
      <c r="T498" s="2748"/>
      <c r="U498" s="2748"/>
      <c r="V498" s="2748"/>
      <c r="W498" s="2748"/>
      <c r="X498" s="2748"/>
      <c r="Y498" s="2748"/>
      <c r="Z498" s="2748"/>
      <c r="AA498" s="2748"/>
      <c r="AB498" s="2748"/>
      <c r="AC498" s="2748"/>
      <c r="AD498" s="2748"/>
      <c r="AE498" s="2748"/>
      <c r="AF498" s="2748"/>
      <c r="AG498" s="2748"/>
      <c r="AH498" s="2748"/>
      <c r="AI498" s="2748"/>
      <c r="AK498" s="2748"/>
      <c r="AL498" s="2748"/>
      <c r="AN498" s="2748"/>
      <c r="AO498" s="2748"/>
      <c r="AP498" s="2748"/>
    </row>
    <row r="499" spans="2:42" ht="18" customHeight="1">
      <c r="B499" s="2728"/>
      <c r="C499" s="2728"/>
      <c r="D499" s="2728"/>
      <c r="E499" s="2728"/>
      <c r="G499" s="2512"/>
      <c r="I499" s="2748"/>
      <c r="J499" s="2728"/>
      <c r="L499" s="2728"/>
      <c r="M499" s="2748"/>
      <c r="N499" s="2728"/>
      <c r="O499" s="2728"/>
      <c r="P499" s="2728"/>
      <c r="Q499" s="2748"/>
      <c r="R499" s="2748"/>
      <c r="S499" s="2748"/>
      <c r="T499" s="2748"/>
      <c r="U499" s="2748"/>
      <c r="V499" s="2748"/>
      <c r="W499" s="2748"/>
      <c r="X499" s="2748"/>
      <c r="Y499" s="2748"/>
      <c r="Z499" s="2748"/>
      <c r="AA499" s="2748"/>
      <c r="AB499" s="2748"/>
      <c r="AC499" s="2748"/>
      <c r="AD499" s="2748"/>
      <c r="AE499" s="2748"/>
      <c r="AF499" s="2748"/>
      <c r="AG499" s="2748"/>
      <c r="AH499" s="2748"/>
      <c r="AI499" s="2748"/>
      <c r="AK499" s="2748"/>
      <c r="AL499" s="2748"/>
      <c r="AN499" s="2748"/>
      <c r="AO499" s="2748"/>
      <c r="AP499" s="2748"/>
    </row>
    <row r="500" spans="2:42" ht="18" customHeight="1">
      <c r="B500" s="2728"/>
      <c r="C500" s="2728"/>
      <c r="D500" s="2728"/>
      <c r="E500" s="2728"/>
      <c r="G500" s="2512"/>
      <c r="I500" s="2748"/>
      <c r="J500" s="2728"/>
      <c r="L500" s="2728"/>
      <c r="M500" s="2748"/>
      <c r="N500" s="2728"/>
      <c r="O500" s="2728"/>
      <c r="P500" s="2728"/>
      <c r="Q500" s="2748"/>
      <c r="R500" s="2748"/>
      <c r="S500" s="2748"/>
      <c r="T500" s="2748"/>
      <c r="U500" s="2748"/>
      <c r="V500" s="2748"/>
      <c r="W500" s="2748"/>
      <c r="X500" s="2748"/>
      <c r="Y500" s="2748"/>
      <c r="Z500" s="2748"/>
      <c r="AA500" s="2748"/>
      <c r="AB500" s="2748"/>
      <c r="AC500" s="2748"/>
      <c r="AD500" s="2748"/>
      <c r="AE500" s="2748"/>
      <c r="AF500" s="2748"/>
      <c r="AG500" s="2748"/>
      <c r="AH500" s="2748"/>
      <c r="AI500" s="2748"/>
      <c r="AK500" s="2748"/>
      <c r="AL500" s="2748"/>
      <c r="AN500" s="2748"/>
      <c r="AO500" s="2748"/>
      <c r="AP500" s="2748"/>
    </row>
    <row r="501" spans="2:42" ht="18" customHeight="1">
      <c r="B501" s="2728"/>
      <c r="C501" s="2728"/>
      <c r="D501" s="2728"/>
      <c r="E501" s="2728"/>
      <c r="G501" s="2512"/>
      <c r="I501" s="2748"/>
      <c r="J501" s="2728"/>
      <c r="L501" s="2728"/>
      <c r="M501" s="2748"/>
      <c r="N501" s="2728"/>
      <c r="O501" s="2728"/>
      <c r="P501" s="2728"/>
      <c r="Q501" s="2748"/>
      <c r="R501" s="2748"/>
      <c r="S501" s="2748"/>
      <c r="T501" s="2748"/>
      <c r="U501" s="2748"/>
      <c r="V501" s="2748"/>
      <c r="W501" s="2748"/>
      <c r="X501" s="2748"/>
      <c r="Y501" s="2748"/>
      <c r="Z501" s="2748"/>
      <c r="AA501" s="2748"/>
      <c r="AB501" s="2748"/>
      <c r="AC501" s="2748"/>
      <c r="AD501" s="2748"/>
      <c r="AE501" s="2748"/>
      <c r="AF501" s="2748"/>
      <c r="AG501" s="2748"/>
      <c r="AH501" s="2748"/>
      <c r="AI501" s="2748"/>
      <c r="AK501" s="2748"/>
      <c r="AL501" s="2748"/>
      <c r="AN501" s="2748"/>
      <c r="AO501" s="2748"/>
      <c r="AP501" s="2748"/>
    </row>
    <row r="502" spans="2:42" ht="18" customHeight="1">
      <c r="B502" s="2728"/>
      <c r="C502" s="2728"/>
      <c r="D502" s="2728"/>
      <c r="E502" s="2728"/>
      <c r="G502" s="2512"/>
      <c r="I502" s="2748"/>
      <c r="J502" s="2728"/>
      <c r="L502" s="2728"/>
      <c r="M502" s="2748"/>
      <c r="N502" s="2728"/>
      <c r="O502" s="2728"/>
      <c r="P502" s="2728"/>
      <c r="Q502" s="2748"/>
      <c r="R502" s="2748"/>
      <c r="S502" s="2748"/>
      <c r="T502" s="2748"/>
      <c r="U502" s="2748"/>
      <c r="V502" s="2748"/>
      <c r="W502" s="2748"/>
      <c r="X502" s="2748"/>
      <c r="Y502" s="2748"/>
      <c r="Z502" s="2748"/>
      <c r="AA502" s="2748"/>
      <c r="AB502" s="2748"/>
      <c r="AC502" s="2748"/>
      <c r="AD502" s="2748"/>
      <c r="AE502" s="2748"/>
      <c r="AF502" s="2748"/>
      <c r="AG502" s="2748"/>
      <c r="AH502" s="2748"/>
      <c r="AI502" s="2748"/>
      <c r="AK502" s="2748"/>
      <c r="AL502" s="2748"/>
      <c r="AN502" s="2748"/>
      <c r="AO502" s="2748"/>
      <c r="AP502" s="2748"/>
    </row>
    <row r="503" spans="2:42" ht="18" customHeight="1">
      <c r="B503" s="2728"/>
      <c r="C503" s="2728"/>
      <c r="D503" s="2728"/>
      <c r="E503" s="2728"/>
      <c r="G503" s="2512"/>
      <c r="I503" s="2748"/>
      <c r="J503" s="2728"/>
      <c r="L503" s="2728"/>
      <c r="M503" s="2748"/>
      <c r="N503" s="2728"/>
      <c r="O503" s="2728"/>
      <c r="P503" s="2728"/>
      <c r="Q503" s="2748"/>
      <c r="R503" s="2748"/>
      <c r="S503" s="2748"/>
      <c r="T503" s="2748"/>
      <c r="U503" s="2748"/>
      <c r="V503" s="2748"/>
      <c r="W503" s="2748"/>
      <c r="X503" s="2748"/>
      <c r="Y503" s="2748"/>
      <c r="Z503" s="2748"/>
      <c r="AA503" s="2748"/>
      <c r="AB503" s="2748"/>
      <c r="AC503" s="2748"/>
      <c r="AD503" s="2748"/>
      <c r="AE503" s="2748"/>
      <c r="AF503" s="2748"/>
      <c r="AG503" s="2748"/>
      <c r="AH503" s="2748"/>
      <c r="AI503" s="2748"/>
      <c r="AK503" s="2748"/>
      <c r="AL503" s="2748"/>
      <c r="AN503" s="2748"/>
      <c r="AO503" s="2748"/>
      <c r="AP503" s="2748"/>
    </row>
    <row r="504" spans="2:42" ht="18" customHeight="1">
      <c r="B504" s="2728"/>
      <c r="C504" s="2728"/>
      <c r="D504" s="2728"/>
      <c r="E504" s="2728"/>
      <c r="G504" s="2512"/>
      <c r="I504" s="2748"/>
      <c r="J504" s="2728"/>
      <c r="L504" s="2728"/>
      <c r="M504" s="2748"/>
      <c r="N504" s="2728"/>
      <c r="O504" s="2728"/>
      <c r="P504" s="2728"/>
      <c r="Q504" s="2748"/>
      <c r="R504" s="2748"/>
      <c r="S504" s="2748"/>
      <c r="T504" s="2748"/>
      <c r="U504" s="2748"/>
      <c r="V504" s="2748"/>
      <c r="W504" s="2748"/>
      <c r="X504" s="2748"/>
      <c r="Y504" s="2748"/>
      <c r="Z504" s="2748"/>
      <c r="AA504" s="2748"/>
      <c r="AB504" s="2748"/>
      <c r="AC504" s="2748"/>
      <c r="AD504" s="2748"/>
      <c r="AE504" s="2748"/>
      <c r="AF504" s="2748"/>
      <c r="AG504" s="2748"/>
      <c r="AH504" s="2748"/>
      <c r="AI504" s="2748"/>
      <c r="AK504" s="2748"/>
      <c r="AL504" s="2748"/>
      <c r="AN504" s="2748"/>
      <c r="AO504" s="2748"/>
      <c r="AP504" s="2748"/>
    </row>
    <row r="505" spans="2:42" ht="18" customHeight="1">
      <c r="B505" s="2728"/>
      <c r="C505" s="2728"/>
      <c r="D505" s="2728"/>
      <c r="E505" s="2728"/>
      <c r="G505" s="2512"/>
      <c r="I505" s="2748"/>
      <c r="J505" s="2728"/>
      <c r="L505" s="2728"/>
      <c r="M505" s="2748"/>
      <c r="N505" s="2728"/>
      <c r="O505" s="2728"/>
      <c r="P505" s="2728"/>
      <c r="Q505" s="2748"/>
      <c r="R505" s="2748"/>
      <c r="S505" s="2748"/>
      <c r="T505" s="2748"/>
      <c r="U505" s="2748"/>
      <c r="V505" s="2748"/>
      <c r="W505" s="2748"/>
      <c r="X505" s="2748"/>
      <c r="Y505" s="2748"/>
      <c r="Z505" s="2748"/>
      <c r="AA505" s="2748"/>
      <c r="AB505" s="2748"/>
      <c r="AC505" s="2748"/>
      <c r="AD505" s="2748"/>
      <c r="AE505" s="2748"/>
      <c r="AF505" s="2748"/>
      <c r="AG505" s="2748"/>
      <c r="AH505" s="2748"/>
      <c r="AI505" s="2748"/>
      <c r="AK505" s="2748"/>
      <c r="AL505" s="2748"/>
      <c r="AN505" s="2748"/>
      <c r="AO505" s="2748"/>
      <c r="AP505" s="2748"/>
    </row>
    <row r="506" spans="2:42" ht="18" customHeight="1">
      <c r="B506" s="2728"/>
      <c r="C506" s="2728"/>
      <c r="D506" s="2728"/>
      <c r="E506" s="2728"/>
      <c r="G506" s="2512"/>
      <c r="I506" s="2748"/>
      <c r="J506" s="2728"/>
      <c r="L506" s="2728"/>
      <c r="M506" s="2748"/>
      <c r="N506" s="2728"/>
      <c r="O506" s="2728"/>
      <c r="P506" s="2728"/>
      <c r="Q506" s="2748"/>
      <c r="R506" s="2748"/>
      <c r="S506" s="2748"/>
      <c r="T506" s="2748"/>
      <c r="U506" s="2748"/>
      <c r="V506" s="2748"/>
      <c r="W506" s="2748"/>
      <c r="X506" s="2748"/>
      <c r="Y506" s="2748"/>
      <c r="Z506" s="2748"/>
      <c r="AA506" s="2748"/>
      <c r="AB506" s="2748"/>
      <c r="AC506" s="2748"/>
      <c r="AD506" s="2748"/>
      <c r="AE506" s="2748"/>
      <c r="AF506" s="2748"/>
      <c r="AG506" s="2748"/>
      <c r="AH506" s="2748"/>
      <c r="AI506" s="2748"/>
      <c r="AK506" s="2748"/>
      <c r="AL506" s="2748"/>
      <c r="AN506" s="2748"/>
      <c r="AO506" s="2748"/>
      <c r="AP506" s="2748"/>
    </row>
    <row r="507" spans="2:42" ht="18" customHeight="1">
      <c r="B507" s="2728"/>
      <c r="C507" s="2728"/>
      <c r="D507" s="2728"/>
      <c r="E507" s="2728"/>
      <c r="G507" s="2512"/>
      <c r="I507" s="2748"/>
      <c r="J507" s="2728"/>
      <c r="L507" s="2728"/>
      <c r="M507" s="2748"/>
      <c r="N507" s="2728"/>
      <c r="O507" s="2728"/>
      <c r="P507" s="2728"/>
      <c r="Q507" s="2748"/>
      <c r="R507" s="2748"/>
      <c r="S507" s="2748"/>
      <c r="T507" s="2748"/>
      <c r="U507" s="2748"/>
      <c r="V507" s="2748"/>
      <c r="W507" s="2748"/>
      <c r="X507" s="2748"/>
      <c r="Y507" s="2748"/>
      <c r="Z507" s="2748"/>
      <c r="AA507" s="2748"/>
      <c r="AB507" s="2748"/>
      <c r="AC507" s="2748"/>
      <c r="AD507" s="2748"/>
      <c r="AE507" s="2748"/>
      <c r="AF507" s="2748"/>
      <c r="AG507" s="2748"/>
      <c r="AH507" s="2748"/>
      <c r="AI507" s="2748"/>
      <c r="AK507" s="2748"/>
      <c r="AL507" s="2748"/>
      <c r="AN507" s="2748"/>
      <c r="AO507" s="2748"/>
      <c r="AP507" s="2748"/>
    </row>
    <row r="508" spans="2:42" ht="18" customHeight="1">
      <c r="B508" s="2728"/>
      <c r="C508" s="2728"/>
      <c r="D508" s="2728"/>
      <c r="E508" s="2728"/>
      <c r="G508" s="2512"/>
      <c r="I508" s="2748"/>
      <c r="J508" s="2728"/>
      <c r="L508" s="2728"/>
      <c r="M508" s="2748"/>
      <c r="N508" s="2728"/>
      <c r="O508" s="2728"/>
      <c r="P508" s="2728"/>
      <c r="Q508" s="2748"/>
      <c r="R508" s="2748"/>
      <c r="S508" s="2748"/>
      <c r="T508" s="2748"/>
      <c r="U508" s="2748"/>
      <c r="V508" s="2748"/>
      <c r="W508" s="2748"/>
      <c r="X508" s="2748"/>
      <c r="Y508" s="2748"/>
      <c r="Z508" s="2748"/>
      <c r="AA508" s="2748"/>
      <c r="AB508" s="2748"/>
      <c r="AC508" s="2748"/>
      <c r="AD508" s="2748"/>
      <c r="AE508" s="2748"/>
      <c r="AF508" s="2748"/>
      <c r="AG508" s="2748"/>
      <c r="AH508" s="2748"/>
      <c r="AI508" s="2748"/>
      <c r="AK508" s="2748"/>
      <c r="AL508" s="2748"/>
      <c r="AN508" s="2748"/>
      <c r="AO508" s="2748"/>
      <c r="AP508" s="2748"/>
    </row>
    <row r="509" spans="2:42" ht="18" customHeight="1">
      <c r="B509" s="2728"/>
      <c r="C509" s="2728"/>
      <c r="D509" s="2728"/>
      <c r="E509" s="2728"/>
      <c r="G509" s="2512"/>
      <c r="I509" s="2748"/>
      <c r="J509" s="2728"/>
      <c r="L509" s="2728"/>
      <c r="M509" s="2748"/>
      <c r="N509" s="2728"/>
      <c r="O509" s="2728"/>
      <c r="P509" s="2728"/>
      <c r="Q509" s="2748"/>
      <c r="R509" s="2748"/>
      <c r="S509" s="2748"/>
      <c r="T509" s="2748"/>
      <c r="U509" s="2748"/>
      <c r="V509" s="2748"/>
      <c r="W509" s="2748"/>
      <c r="X509" s="2748"/>
      <c r="Y509" s="2748"/>
      <c r="Z509" s="2748"/>
      <c r="AA509" s="2748"/>
      <c r="AB509" s="2748"/>
      <c r="AC509" s="2748"/>
      <c r="AD509" s="2748"/>
      <c r="AE509" s="2748"/>
      <c r="AF509" s="2748"/>
      <c r="AG509" s="2748"/>
      <c r="AH509" s="2748"/>
      <c r="AI509" s="2748"/>
      <c r="AK509" s="2748"/>
      <c r="AL509" s="2748"/>
      <c r="AN509" s="2748"/>
      <c r="AO509" s="2748"/>
      <c r="AP509" s="2748"/>
    </row>
    <row r="510" spans="2:42" ht="18" customHeight="1">
      <c r="B510" s="2728"/>
      <c r="C510" s="2728"/>
      <c r="D510" s="2728"/>
      <c r="E510" s="2728"/>
      <c r="G510" s="2512"/>
      <c r="I510" s="2748"/>
      <c r="J510" s="2728"/>
      <c r="L510" s="2728"/>
      <c r="M510" s="2748"/>
      <c r="N510" s="2728"/>
      <c r="O510" s="2728"/>
      <c r="P510" s="2728"/>
      <c r="Q510" s="2748"/>
      <c r="R510" s="2748"/>
      <c r="S510" s="2748"/>
      <c r="T510" s="2748"/>
      <c r="U510" s="2748"/>
      <c r="V510" s="2748"/>
      <c r="W510" s="2748"/>
      <c r="X510" s="2748"/>
      <c r="Y510" s="2748"/>
      <c r="Z510" s="2748"/>
      <c r="AA510" s="2748"/>
      <c r="AB510" s="2748"/>
      <c r="AC510" s="2748"/>
      <c r="AD510" s="2748"/>
      <c r="AE510" s="2748"/>
      <c r="AF510" s="2748"/>
      <c r="AG510" s="2748"/>
      <c r="AH510" s="2748"/>
      <c r="AI510" s="2748"/>
      <c r="AK510" s="2748"/>
      <c r="AL510" s="2748"/>
      <c r="AN510" s="2748"/>
      <c r="AO510" s="2748"/>
      <c r="AP510" s="2748"/>
    </row>
    <row r="511" spans="2:42" ht="18" customHeight="1">
      <c r="B511" s="2728"/>
      <c r="C511" s="2728"/>
      <c r="D511" s="2728"/>
      <c r="E511" s="2728"/>
      <c r="G511" s="2512"/>
      <c r="I511" s="2748"/>
      <c r="J511" s="2728"/>
      <c r="L511" s="2728"/>
      <c r="M511" s="2748"/>
      <c r="N511" s="2728"/>
      <c r="O511" s="2728"/>
      <c r="P511" s="2728"/>
      <c r="Q511" s="2748"/>
      <c r="R511" s="2748"/>
      <c r="S511" s="2748"/>
      <c r="T511" s="2748"/>
      <c r="U511" s="2748"/>
      <c r="V511" s="2748"/>
      <c r="W511" s="2748"/>
      <c r="X511" s="2748"/>
      <c r="Y511" s="2748"/>
      <c r="Z511" s="2748"/>
      <c r="AA511" s="2748"/>
      <c r="AB511" s="2748"/>
      <c r="AC511" s="2748"/>
      <c r="AD511" s="2748"/>
      <c r="AE511" s="2748"/>
      <c r="AF511" s="2748"/>
      <c r="AG511" s="2748"/>
      <c r="AH511" s="2748"/>
      <c r="AI511" s="2748"/>
      <c r="AK511" s="2748"/>
      <c r="AL511" s="2748"/>
      <c r="AN511" s="2748"/>
      <c r="AO511" s="2748"/>
      <c r="AP511" s="2748"/>
    </row>
    <row r="512" spans="2:42" ht="18" customHeight="1">
      <c r="B512" s="2728"/>
      <c r="C512" s="2728"/>
      <c r="D512" s="2728"/>
      <c r="E512" s="2728"/>
      <c r="G512" s="2512"/>
      <c r="I512" s="2748"/>
      <c r="J512" s="2728"/>
      <c r="L512" s="2728"/>
      <c r="M512" s="2748"/>
      <c r="N512" s="2728"/>
      <c r="O512" s="2728"/>
      <c r="P512" s="2728"/>
      <c r="Q512" s="2748"/>
      <c r="R512" s="2748"/>
      <c r="S512" s="2748"/>
      <c r="T512" s="2748"/>
      <c r="U512" s="2748"/>
      <c r="V512" s="2748"/>
      <c r="W512" s="2748"/>
      <c r="X512" s="2748"/>
      <c r="Y512" s="2748"/>
      <c r="Z512" s="2748"/>
      <c r="AA512" s="2748"/>
      <c r="AB512" s="2748"/>
      <c r="AC512" s="2748"/>
      <c r="AD512" s="2748"/>
      <c r="AE512" s="2748"/>
      <c r="AF512" s="2748"/>
      <c r="AG512" s="2748"/>
      <c r="AH512" s="2748"/>
      <c r="AI512" s="2748"/>
      <c r="AK512" s="2748"/>
      <c r="AL512" s="2748"/>
      <c r="AN512" s="2748"/>
      <c r="AO512" s="2748"/>
      <c r="AP512" s="2748"/>
    </row>
    <row r="513" spans="2:42" ht="18" customHeight="1">
      <c r="B513" s="2728"/>
      <c r="C513" s="2728"/>
      <c r="D513" s="2728"/>
      <c r="E513" s="2728"/>
      <c r="G513" s="2512"/>
      <c r="I513" s="2748"/>
      <c r="J513" s="2728"/>
      <c r="L513" s="2728"/>
      <c r="M513" s="2748"/>
      <c r="N513" s="2728"/>
      <c r="O513" s="2728"/>
      <c r="P513" s="2728"/>
      <c r="Q513" s="2748"/>
      <c r="R513" s="2748"/>
      <c r="S513" s="2748"/>
      <c r="T513" s="2748"/>
      <c r="U513" s="2748"/>
      <c r="V513" s="2748"/>
      <c r="W513" s="2748"/>
      <c r="X513" s="2748"/>
      <c r="Y513" s="2748"/>
      <c r="Z513" s="2748"/>
      <c r="AA513" s="2748"/>
      <c r="AB513" s="2748"/>
      <c r="AC513" s="2748"/>
      <c r="AD513" s="2748"/>
      <c r="AE513" s="2748"/>
      <c r="AF513" s="2748"/>
      <c r="AG513" s="2748"/>
      <c r="AH513" s="2748"/>
      <c r="AI513" s="2748"/>
      <c r="AK513" s="2748"/>
      <c r="AL513" s="2748"/>
      <c r="AN513" s="2748"/>
      <c r="AO513" s="2748"/>
      <c r="AP513" s="2748"/>
    </row>
    <row r="514" spans="2:42" ht="18" customHeight="1">
      <c r="B514" s="2728"/>
      <c r="C514" s="2728"/>
      <c r="D514" s="2728"/>
      <c r="E514" s="2728"/>
      <c r="G514" s="2512"/>
      <c r="I514" s="2748"/>
      <c r="J514" s="2728"/>
      <c r="L514" s="2728"/>
      <c r="M514" s="2748"/>
      <c r="N514" s="2728"/>
      <c r="O514" s="2728"/>
      <c r="P514" s="2728"/>
      <c r="Q514" s="2748"/>
      <c r="R514" s="2748"/>
      <c r="S514" s="2748"/>
      <c r="T514" s="2748"/>
      <c r="U514" s="2748"/>
      <c r="V514" s="2748"/>
      <c r="W514" s="2748"/>
      <c r="X514" s="2748"/>
      <c r="Y514" s="2748"/>
      <c r="Z514" s="2748"/>
      <c r="AA514" s="2748"/>
      <c r="AB514" s="2748"/>
      <c r="AC514" s="2748"/>
      <c r="AD514" s="2748"/>
      <c r="AE514" s="2748"/>
      <c r="AF514" s="2748"/>
      <c r="AG514" s="2748"/>
      <c r="AH514" s="2748"/>
      <c r="AI514" s="2748"/>
      <c r="AK514" s="2748"/>
      <c r="AL514" s="2748"/>
      <c r="AN514" s="2748"/>
      <c r="AO514" s="2748"/>
      <c r="AP514" s="2748"/>
    </row>
    <row r="515" spans="2:42" ht="18" customHeight="1">
      <c r="B515" s="2728"/>
      <c r="C515" s="2728"/>
      <c r="D515" s="2728"/>
      <c r="E515" s="2728"/>
      <c r="G515" s="2512"/>
      <c r="I515" s="2748"/>
      <c r="J515" s="2728"/>
      <c r="L515" s="2728"/>
      <c r="M515" s="2748"/>
      <c r="N515" s="2728"/>
      <c r="O515" s="2728"/>
      <c r="P515" s="2728"/>
      <c r="Q515" s="2748"/>
      <c r="R515" s="2748"/>
      <c r="S515" s="2748"/>
      <c r="T515" s="2748"/>
      <c r="U515" s="2748"/>
      <c r="V515" s="2748"/>
      <c r="W515" s="2748"/>
      <c r="X515" s="2748"/>
      <c r="Y515" s="2748"/>
      <c r="Z515" s="2748"/>
      <c r="AA515" s="2748"/>
      <c r="AB515" s="2748"/>
      <c r="AC515" s="2748"/>
      <c r="AD515" s="2748"/>
      <c r="AE515" s="2748"/>
      <c r="AF515" s="2748"/>
      <c r="AG515" s="2748"/>
      <c r="AH515" s="2748"/>
      <c r="AI515" s="2748"/>
      <c r="AK515" s="2748"/>
      <c r="AL515" s="2748"/>
      <c r="AN515" s="2748"/>
      <c r="AO515" s="2748"/>
      <c r="AP515" s="2748"/>
    </row>
    <row r="516" spans="2:42" ht="18" customHeight="1">
      <c r="B516" s="2728"/>
      <c r="C516" s="2728"/>
      <c r="D516" s="2728"/>
      <c r="E516" s="2728"/>
      <c r="G516" s="2512"/>
      <c r="I516" s="2748"/>
      <c r="J516" s="2728"/>
      <c r="L516" s="2728"/>
      <c r="M516" s="2748"/>
      <c r="N516" s="2728"/>
      <c r="O516" s="2728"/>
      <c r="P516" s="2728"/>
      <c r="Q516" s="2748"/>
      <c r="R516" s="2748"/>
      <c r="S516" s="2748"/>
      <c r="T516" s="2748"/>
      <c r="U516" s="2748"/>
      <c r="V516" s="2748"/>
      <c r="W516" s="2748"/>
      <c r="X516" s="2748"/>
      <c r="Y516" s="2748"/>
      <c r="Z516" s="2748"/>
      <c r="AA516" s="2748"/>
      <c r="AB516" s="2748"/>
      <c r="AC516" s="2748"/>
      <c r="AD516" s="2748"/>
      <c r="AE516" s="2748"/>
      <c r="AF516" s="2748"/>
      <c r="AG516" s="2748"/>
      <c r="AH516" s="2748"/>
      <c r="AI516" s="2748"/>
      <c r="AK516" s="2748"/>
      <c r="AL516" s="2748"/>
      <c r="AN516" s="2748"/>
      <c r="AO516" s="2748"/>
      <c r="AP516" s="2748"/>
    </row>
    <row r="517" spans="2:42" ht="18" customHeight="1">
      <c r="B517" s="2728"/>
      <c r="C517" s="2728"/>
      <c r="D517" s="2728"/>
      <c r="E517" s="2728"/>
      <c r="G517" s="2512"/>
      <c r="I517" s="2748"/>
      <c r="J517" s="2728"/>
      <c r="L517" s="2728"/>
      <c r="M517" s="2748"/>
      <c r="N517" s="2728"/>
      <c r="O517" s="2728"/>
      <c r="P517" s="2728"/>
      <c r="Q517" s="2748"/>
      <c r="R517" s="2748"/>
      <c r="S517" s="2748"/>
      <c r="T517" s="2748"/>
      <c r="U517" s="2748"/>
      <c r="V517" s="2748"/>
      <c r="W517" s="2748"/>
      <c r="X517" s="2748"/>
      <c r="Y517" s="2748"/>
      <c r="Z517" s="2748"/>
      <c r="AA517" s="2748"/>
      <c r="AB517" s="2748"/>
      <c r="AC517" s="2748"/>
      <c r="AD517" s="2748"/>
      <c r="AE517" s="2748"/>
      <c r="AF517" s="2748"/>
      <c r="AG517" s="2748"/>
      <c r="AH517" s="2748"/>
      <c r="AI517" s="2748"/>
      <c r="AK517" s="2748"/>
      <c r="AL517" s="2748"/>
      <c r="AN517" s="2748"/>
      <c r="AO517" s="2748"/>
      <c r="AP517" s="2748"/>
    </row>
    <row r="518" spans="2:42" ht="18" customHeight="1">
      <c r="B518" s="2728"/>
      <c r="C518" s="2728"/>
      <c r="D518" s="2728"/>
      <c r="E518" s="2728"/>
      <c r="G518" s="2512"/>
      <c r="I518" s="2748"/>
      <c r="J518" s="2728"/>
      <c r="L518" s="2728"/>
      <c r="M518" s="2748"/>
      <c r="N518" s="2728"/>
      <c r="O518" s="2728"/>
      <c r="P518" s="2728"/>
      <c r="Q518" s="2748"/>
      <c r="R518" s="2748"/>
      <c r="S518" s="2748"/>
      <c r="T518" s="2748"/>
      <c r="U518" s="2748"/>
      <c r="V518" s="2748"/>
      <c r="W518" s="2748"/>
      <c r="X518" s="2748"/>
      <c r="Y518" s="2748"/>
      <c r="Z518" s="2748"/>
      <c r="AA518" s="2748"/>
      <c r="AB518" s="2748"/>
      <c r="AC518" s="2748"/>
      <c r="AD518" s="2748"/>
      <c r="AE518" s="2748"/>
      <c r="AF518" s="2748"/>
      <c r="AG518" s="2748"/>
      <c r="AH518" s="2748"/>
      <c r="AI518" s="2748"/>
      <c r="AK518" s="2748"/>
      <c r="AL518" s="2748"/>
      <c r="AN518" s="2748"/>
      <c r="AO518" s="2748"/>
      <c r="AP518" s="2748"/>
    </row>
    <row r="519" spans="2:42" ht="18" customHeight="1">
      <c r="B519" s="2728"/>
      <c r="C519" s="2728"/>
      <c r="D519" s="2728"/>
      <c r="E519" s="2728"/>
      <c r="G519" s="2512"/>
      <c r="I519" s="2748"/>
      <c r="J519" s="2728"/>
      <c r="L519" s="2728"/>
      <c r="M519" s="2748"/>
      <c r="N519" s="2728"/>
      <c r="O519" s="2728"/>
      <c r="P519" s="2728"/>
      <c r="Q519" s="2748"/>
      <c r="R519" s="2748"/>
      <c r="S519" s="2748"/>
      <c r="T519" s="2748"/>
      <c r="U519" s="2748"/>
      <c r="V519" s="2748"/>
      <c r="W519" s="2748"/>
      <c r="X519" s="2748"/>
      <c r="Y519" s="2748"/>
      <c r="Z519" s="2748"/>
      <c r="AA519" s="2748"/>
      <c r="AB519" s="2748"/>
      <c r="AC519" s="2748"/>
      <c r="AD519" s="2748"/>
      <c r="AE519" s="2748"/>
      <c r="AF519" s="2748"/>
      <c r="AG519" s="2748"/>
      <c r="AH519" s="2748"/>
      <c r="AI519" s="2748"/>
      <c r="AK519" s="2748"/>
      <c r="AL519" s="2748"/>
      <c r="AN519" s="2748"/>
      <c r="AO519" s="2748"/>
      <c r="AP519" s="2748"/>
    </row>
    <row r="520" spans="2:42" ht="18" customHeight="1">
      <c r="B520" s="2728"/>
      <c r="C520" s="2728"/>
      <c r="D520" s="2728"/>
      <c r="E520" s="2728"/>
      <c r="G520" s="2512"/>
      <c r="I520" s="2748"/>
      <c r="J520" s="2728"/>
      <c r="L520" s="2728"/>
      <c r="M520" s="2748"/>
      <c r="N520" s="2728"/>
      <c r="O520" s="2728"/>
      <c r="P520" s="2728"/>
      <c r="Q520" s="2748"/>
      <c r="R520" s="2748"/>
      <c r="S520" s="2748"/>
      <c r="T520" s="2748"/>
      <c r="U520" s="2748"/>
      <c r="V520" s="2748"/>
      <c r="W520" s="2748"/>
      <c r="X520" s="2748"/>
      <c r="Y520" s="2748"/>
      <c r="Z520" s="2748"/>
      <c r="AA520" s="2748"/>
      <c r="AB520" s="2748"/>
      <c r="AC520" s="2748"/>
      <c r="AD520" s="2748"/>
      <c r="AE520" s="2748"/>
      <c r="AF520" s="2748"/>
      <c r="AG520" s="2748"/>
      <c r="AH520" s="2748"/>
      <c r="AI520" s="2748"/>
      <c r="AK520" s="2748"/>
      <c r="AL520" s="2748"/>
      <c r="AN520" s="2748"/>
      <c r="AO520" s="2748"/>
      <c r="AP520" s="2748"/>
    </row>
    <row r="521" spans="2:42" ht="18" customHeight="1">
      <c r="B521" s="2728"/>
      <c r="C521" s="2728"/>
      <c r="D521" s="2728"/>
      <c r="E521" s="2728"/>
      <c r="G521" s="2512"/>
      <c r="I521" s="2748"/>
      <c r="J521" s="2728"/>
      <c r="L521" s="2728"/>
      <c r="M521" s="2748"/>
      <c r="N521" s="2728"/>
      <c r="O521" s="2728"/>
      <c r="P521" s="2728"/>
      <c r="Q521" s="2748"/>
      <c r="R521" s="2748"/>
      <c r="S521" s="2748"/>
      <c r="T521" s="2748"/>
      <c r="U521" s="2748"/>
      <c r="V521" s="2748"/>
      <c r="W521" s="2748"/>
      <c r="X521" s="2748"/>
      <c r="Y521" s="2748"/>
      <c r="Z521" s="2748"/>
      <c r="AA521" s="2748"/>
      <c r="AB521" s="2748"/>
      <c r="AC521" s="2748"/>
      <c r="AD521" s="2748"/>
      <c r="AE521" s="2748"/>
      <c r="AF521" s="2748"/>
      <c r="AG521" s="2748"/>
      <c r="AH521" s="2748"/>
      <c r="AI521" s="2748"/>
      <c r="AK521" s="2748"/>
      <c r="AL521" s="2748"/>
      <c r="AN521" s="2748"/>
      <c r="AO521" s="2748"/>
      <c r="AP521" s="2748"/>
    </row>
    <row r="522" spans="2:42" ht="18" customHeight="1">
      <c r="B522" s="2728"/>
      <c r="C522" s="2728"/>
      <c r="D522" s="2728"/>
      <c r="E522" s="2728"/>
      <c r="G522" s="2512"/>
      <c r="I522" s="2748"/>
      <c r="J522" s="2728"/>
      <c r="L522" s="2728"/>
      <c r="M522" s="2748"/>
      <c r="N522" s="2728"/>
      <c r="O522" s="2728"/>
      <c r="P522" s="2728"/>
      <c r="Q522" s="2748"/>
      <c r="R522" s="2748"/>
      <c r="S522" s="2748"/>
      <c r="T522" s="2748"/>
      <c r="U522" s="2748"/>
      <c r="V522" s="2748"/>
      <c r="W522" s="2748"/>
      <c r="X522" s="2748"/>
      <c r="Y522" s="2748"/>
      <c r="Z522" s="2748"/>
      <c r="AA522" s="2748"/>
      <c r="AB522" s="2748"/>
      <c r="AC522" s="2748"/>
      <c r="AD522" s="2748"/>
      <c r="AE522" s="2748"/>
      <c r="AF522" s="2748"/>
      <c r="AG522" s="2748"/>
      <c r="AH522" s="2748"/>
      <c r="AI522" s="2748"/>
      <c r="AK522" s="2748"/>
      <c r="AL522" s="2748"/>
      <c r="AN522" s="2748"/>
      <c r="AO522" s="2748"/>
      <c r="AP522" s="2748"/>
    </row>
    <row r="523" spans="2:42" ht="18" customHeight="1">
      <c r="B523" s="2728"/>
      <c r="C523" s="2728"/>
      <c r="D523" s="2728"/>
      <c r="E523" s="2728"/>
      <c r="G523" s="2512"/>
      <c r="I523" s="2748"/>
      <c r="J523" s="2728"/>
      <c r="L523" s="2728"/>
      <c r="M523" s="2748"/>
      <c r="N523" s="2728"/>
      <c r="O523" s="2728"/>
      <c r="P523" s="2728"/>
      <c r="Q523" s="2748"/>
      <c r="R523" s="2748"/>
      <c r="S523" s="2748"/>
      <c r="T523" s="2748"/>
      <c r="U523" s="2748"/>
      <c r="V523" s="2748"/>
      <c r="W523" s="2748"/>
      <c r="X523" s="2748"/>
      <c r="Y523" s="2748"/>
      <c r="Z523" s="2748"/>
      <c r="AA523" s="2748"/>
      <c r="AB523" s="2748"/>
      <c r="AC523" s="2748"/>
      <c r="AD523" s="2748"/>
      <c r="AE523" s="2748"/>
      <c r="AF523" s="2748"/>
      <c r="AG523" s="2748"/>
      <c r="AH523" s="2748"/>
      <c r="AI523" s="2748"/>
      <c r="AK523" s="2748"/>
      <c r="AL523" s="2748"/>
      <c r="AN523" s="2748"/>
      <c r="AO523" s="2748"/>
      <c r="AP523" s="2748"/>
    </row>
    <row r="524" spans="2:42" ht="18" customHeight="1">
      <c r="B524" s="2728"/>
      <c r="C524" s="2728"/>
      <c r="D524" s="2728"/>
      <c r="E524" s="2728"/>
      <c r="G524" s="2512"/>
      <c r="I524" s="2748"/>
      <c r="J524" s="2728"/>
      <c r="L524" s="2728"/>
      <c r="M524" s="2748"/>
      <c r="N524" s="2728"/>
      <c r="O524" s="2728"/>
      <c r="P524" s="2728"/>
      <c r="Q524" s="2748"/>
      <c r="R524" s="2748"/>
      <c r="S524" s="2748"/>
      <c r="T524" s="2748"/>
      <c r="U524" s="2748"/>
      <c r="V524" s="2748"/>
      <c r="W524" s="2748"/>
      <c r="X524" s="2748"/>
      <c r="Y524" s="2748"/>
      <c r="Z524" s="2748"/>
      <c r="AA524" s="2748"/>
      <c r="AB524" s="2748"/>
      <c r="AC524" s="2748"/>
      <c r="AD524" s="2748"/>
      <c r="AE524" s="2748"/>
      <c r="AF524" s="2748"/>
      <c r="AG524" s="2748"/>
      <c r="AH524" s="2748"/>
      <c r="AI524" s="2748"/>
      <c r="AK524" s="2748"/>
      <c r="AL524" s="2748"/>
      <c r="AN524" s="2748"/>
      <c r="AO524" s="2748"/>
      <c r="AP524" s="2748"/>
    </row>
    <row r="525" spans="2:42" ht="18" customHeight="1">
      <c r="B525" s="2728"/>
      <c r="C525" s="2728"/>
      <c r="D525" s="2728"/>
      <c r="E525" s="2728"/>
      <c r="G525" s="2512"/>
      <c r="I525" s="2748"/>
      <c r="J525" s="2728"/>
      <c r="L525" s="2728"/>
      <c r="M525" s="2748"/>
      <c r="N525" s="2728"/>
      <c r="O525" s="2728"/>
      <c r="P525" s="2728"/>
      <c r="Q525" s="2748"/>
      <c r="R525" s="2748"/>
      <c r="S525" s="2748"/>
      <c r="T525" s="2748"/>
      <c r="U525" s="2748"/>
      <c r="V525" s="2748"/>
      <c r="W525" s="2748"/>
      <c r="X525" s="2748"/>
      <c r="Y525" s="2748"/>
      <c r="Z525" s="2748"/>
      <c r="AA525" s="2748"/>
      <c r="AB525" s="2748"/>
      <c r="AC525" s="2748"/>
      <c r="AD525" s="2748"/>
      <c r="AE525" s="2748"/>
      <c r="AF525" s="2748"/>
      <c r="AG525" s="2748"/>
      <c r="AH525" s="2748"/>
      <c r="AI525" s="2748"/>
      <c r="AK525" s="2748"/>
      <c r="AL525" s="2748"/>
      <c r="AN525" s="2748"/>
      <c r="AO525" s="2748"/>
      <c r="AP525" s="2748"/>
    </row>
    <row r="526" spans="2:42" ht="18" customHeight="1">
      <c r="B526" s="2728"/>
      <c r="C526" s="2728"/>
      <c r="D526" s="2728"/>
      <c r="E526" s="2728"/>
      <c r="G526" s="2512"/>
      <c r="I526" s="2748"/>
      <c r="J526" s="2728"/>
      <c r="L526" s="2728"/>
      <c r="M526" s="2748"/>
      <c r="N526" s="2728"/>
      <c r="O526" s="2728"/>
      <c r="P526" s="2728"/>
      <c r="Q526" s="2748"/>
      <c r="R526" s="2748"/>
      <c r="S526" s="2748"/>
      <c r="T526" s="2748"/>
      <c r="U526" s="2748"/>
      <c r="V526" s="2748"/>
      <c r="W526" s="2748"/>
      <c r="X526" s="2748"/>
      <c r="Y526" s="2748"/>
      <c r="Z526" s="2748"/>
      <c r="AA526" s="2748"/>
      <c r="AB526" s="2748"/>
      <c r="AC526" s="2748"/>
      <c r="AD526" s="2748"/>
      <c r="AE526" s="2748"/>
      <c r="AF526" s="2748"/>
      <c r="AG526" s="2748"/>
      <c r="AH526" s="2748"/>
      <c r="AI526" s="2748"/>
      <c r="AK526" s="2748"/>
      <c r="AL526" s="2748"/>
      <c r="AN526" s="2748"/>
      <c r="AO526" s="2748"/>
      <c r="AP526" s="2748"/>
    </row>
    <row r="527" spans="2:42" ht="18" customHeight="1">
      <c r="B527" s="2728"/>
      <c r="C527" s="2728"/>
      <c r="D527" s="2728"/>
      <c r="E527" s="2728"/>
      <c r="G527" s="2512"/>
      <c r="I527" s="2748"/>
      <c r="J527" s="2728"/>
      <c r="L527" s="2728"/>
      <c r="M527" s="2748"/>
      <c r="N527" s="2728"/>
      <c r="O527" s="2728"/>
      <c r="P527" s="2728"/>
      <c r="Q527" s="2748"/>
      <c r="R527" s="2748"/>
      <c r="S527" s="2748"/>
      <c r="T527" s="2748"/>
      <c r="U527" s="2748"/>
      <c r="V527" s="2748"/>
      <c r="W527" s="2748"/>
      <c r="X527" s="2748"/>
      <c r="Y527" s="2748"/>
      <c r="Z527" s="2748"/>
      <c r="AA527" s="2748"/>
      <c r="AB527" s="2748"/>
      <c r="AC527" s="2748"/>
      <c r="AD527" s="2748"/>
      <c r="AE527" s="2748"/>
      <c r="AF527" s="2748"/>
      <c r="AG527" s="2748"/>
      <c r="AH527" s="2748"/>
      <c r="AI527" s="2748"/>
      <c r="AK527" s="2748"/>
      <c r="AL527" s="2748"/>
      <c r="AN527" s="2748"/>
      <c r="AO527" s="2748"/>
      <c r="AP527" s="2748"/>
    </row>
    <row r="528" spans="2:42" ht="18" customHeight="1">
      <c r="B528" s="2728"/>
      <c r="C528" s="2728"/>
      <c r="D528" s="2728"/>
      <c r="E528" s="2728"/>
      <c r="G528" s="2512"/>
      <c r="I528" s="2748"/>
      <c r="J528" s="2728"/>
      <c r="L528" s="2728"/>
      <c r="M528" s="2748"/>
      <c r="N528" s="2728"/>
      <c r="O528" s="2728"/>
      <c r="P528" s="2728"/>
      <c r="Q528" s="2748"/>
      <c r="R528" s="2748"/>
      <c r="S528" s="2748"/>
      <c r="T528" s="2748"/>
      <c r="U528" s="2748"/>
      <c r="V528" s="2748"/>
      <c r="W528" s="2748"/>
      <c r="X528" s="2748"/>
      <c r="Y528" s="2748"/>
      <c r="Z528" s="2748"/>
      <c r="AA528" s="2748"/>
      <c r="AB528" s="2748"/>
      <c r="AC528" s="2748"/>
      <c r="AD528" s="2748"/>
      <c r="AE528" s="2748"/>
      <c r="AF528" s="2748"/>
      <c r="AG528" s="2748"/>
      <c r="AH528" s="2748"/>
      <c r="AI528" s="2748"/>
      <c r="AK528" s="2748"/>
      <c r="AL528" s="2748"/>
      <c r="AN528" s="2748"/>
      <c r="AO528" s="2748"/>
      <c r="AP528" s="2748"/>
    </row>
    <row r="529" spans="2:42" ht="18" customHeight="1">
      <c r="B529" s="2728"/>
      <c r="C529" s="2728"/>
      <c r="D529" s="2728"/>
      <c r="E529" s="2728"/>
      <c r="G529" s="2512"/>
      <c r="I529" s="2748"/>
      <c r="J529" s="2728"/>
      <c r="L529" s="2728"/>
      <c r="M529" s="2748"/>
      <c r="N529" s="2728"/>
      <c r="O529" s="2728"/>
      <c r="P529" s="2728"/>
      <c r="Q529" s="2748"/>
      <c r="R529" s="2748"/>
      <c r="S529" s="2748"/>
      <c r="T529" s="2748"/>
      <c r="U529" s="2748"/>
      <c r="V529" s="2748"/>
      <c r="W529" s="2748"/>
      <c r="X529" s="2748"/>
      <c r="Y529" s="2748"/>
      <c r="Z529" s="2748"/>
      <c r="AA529" s="2748"/>
      <c r="AB529" s="2748"/>
      <c r="AC529" s="2748"/>
      <c r="AD529" s="2748"/>
      <c r="AE529" s="2748"/>
      <c r="AF529" s="2748"/>
      <c r="AG529" s="2748"/>
      <c r="AH529" s="2748"/>
      <c r="AI529" s="2748"/>
      <c r="AK529" s="2748"/>
      <c r="AL529" s="2748"/>
      <c r="AN529" s="2748"/>
      <c r="AO529" s="2748"/>
      <c r="AP529" s="2748"/>
    </row>
    <row r="530" spans="2:42" ht="18" customHeight="1">
      <c r="B530" s="2728"/>
      <c r="C530" s="2728"/>
      <c r="D530" s="2728"/>
      <c r="E530" s="2728"/>
      <c r="G530" s="2512"/>
      <c r="I530" s="2748"/>
      <c r="J530" s="2728"/>
      <c r="L530" s="2728"/>
      <c r="M530" s="2748"/>
      <c r="N530" s="2728"/>
      <c r="O530" s="2728"/>
      <c r="P530" s="2728"/>
      <c r="Q530" s="2748"/>
      <c r="R530" s="2748"/>
      <c r="S530" s="2748"/>
      <c r="T530" s="2748"/>
      <c r="U530" s="2748"/>
      <c r="V530" s="2748"/>
      <c r="W530" s="2748"/>
      <c r="X530" s="2748"/>
      <c r="Y530" s="2748"/>
      <c r="Z530" s="2748"/>
      <c r="AA530" s="2748"/>
      <c r="AB530" s="2748"/>
      <c r="AC530" s="2748"/>
      <c r="AD530" s="2748"/>
      <c r="AE530" s="2748"/>
      <c r="AF530" s="2748"/>
      <c r="AG530" s="2748"/>
      <c r="AH530" s="2748"/>
      <c r="AI530" s="2748"/>
      <c r="AK530" s="2748"/>
      <c r="AL530" s="2748"/>
      <c r="AN530" s="2748"/>
      <c r="AO530" s="2748"/>
      <c r="AP530" s="2748"/>
    </row>
    <row r="531" spans="2:42" ht="18" customHeight="1">
      <c r="B531" s="2728"/>
      <c r="C531" s="2728"/>
      <c r="D531" s="2728"/>
      <c r="E531" s="2728"/>
      <c r="G531" s="2512"/>
      <c r="I531" s="2748"/>
      <c r="J531" s="2728"/>
      <c r="L531" s="2728"/>
      <c r="M531" s="2748"/>
      <c r="N531" s="2728"/>
      <c r="O531" s="2728"/>
      <c r="P531" s="2728"/>
      <c r="Q531" s="2748"/>
      <c r="R531" s="2748"/>
      <c r="S531" s="2748"/>
      <c r="T531" s="2748"/>
      <c r="U531" s="2748"/>
      <c r="V531" s="2748"/>
      <c r="W531" s="2748"/>
      <c r="X531" s="2748"/>
      <c r="Y531" s="2748"/>
      <c r="Z531" s="2748"/>
      <c r="AA531" s="2748"/>
      <c r="AB531" s="2748"/>
      <c r="AC531" s="2748"/>
      <c r="AD531" s="2748"/>
      <c r="AE531" s="2748"/>
      <c r="AF531" s="2748"/>
      <c r="AG531" s="2748"/>
      <c r="AH531" s="2748"/>
      <c r="AI531" s="2748"/>
      <c r="AK531" s="2748"/>
      <c r="AL531" s="2748"/>
      <c r="AN531" s="2748"/>
      <c r="AO531" s="2748"/>
      <c r="AP531" s="2748"/>
    </row>
    <row r="532" spans="2:42" ht="18" customHeight="1">
      <c r="B532" s="2728"/>
      <c r="C532" s="2728"/>
      <c r="D532" s="2728"/>
      <c r="E532" s="2728"/>
      <c r="G532" s="2512"/>
      <c r="I532" s="2748"/>
      <c r="J532" s="2728"/>
      <c r="L532" s="2728"/>
      <c r="M532" s="2748"/>
      <c r="N532" s="2728"/>
      <c r="O532" s="2728"/>
      <c r="P532" s="2728"/>
      <c r="Q532" s="2748"/>
      <c r="R532" s="2748"/>
      <c r="S532" s="2748"/>
      <c r="T532" s="2748"/>
      <c r="U532" s="2748"/>
      <c r="V532" s="2748"/>
      <c r="W532" s="2748"/>
      <c r="X532" s="2748"/>
      <c r="Y532" s="2748"/>
      <c r="Z532" s="2748"/>
      <c r="AA532" s="2748"/>
      <c r="AB532" s="2748"/>
      <c r="AC532" s="2748"/>
      <c r="AD532" s="2748"/>
      <c r="AE532" s="2748"/>
      <c r="AF532" s="2748"/>
      <c r="AG532" s="2748"/>
      <c r="AH532" s="2748"/>
      <c r="AI532" s="2748"/>
      <c r="AK532" s="2748"/>
      <c r="AL532" s="2748"/>
      <c r="AN532" s="2748"/>
      <c r="AO532" s="2748"/>
      <c r="AP532" s="2748"/>
    </row>
    <row r="533" spans="2:42" ht="18" customHeight="1">
      <c r="B533" s="2728"/>
      <c r="C533" s="2728"/>
      <c r="D533" s="2728"/>
      <c r="E533" s="2728"/>
      <c r="G533" s="2512"/>
      <c r="I533" s="2748"/>
      <c r="J533" s="2728"/>
      <c r="L533" s="2728"/>
      <c r="M533" s="2748"/>
      <c r="N533" s="2728"/>
      <c r="O533" s="2728"/>
      <c r="P533" s="2728"/>
      <c r="Q533" s="2748"/>
      <c r="R533" s="2748"/>
      <c r="S533" s="2748"/>
      <c r="T533" s="2748"/>
      <c r="U533" s="2748"/>
      <c r="V533" s="2748"/>
      <c r="W533" s="2748"/>
      <c r="X533" s="2748"/>
      <c r="Y533" s="2748"/>
      <c r="Z533" s="2748"/>
      <c r="AA533" s="2748"/>
      <c r="AB533" s="2748"/>
      <c r="AC533" s="2748"/>
      <c r="AD533" s="2748"/>
      <c r="AE533" s="2748"/>
      <c r="AF533" s="2748"/>
      <c r="AG533" s="2748"/>
      <c r="AH533" s="2748"/>
      <c r="AI533" s="2748"/>
      <c r="AK533" s="2748"/>
      <c r="AL533" s="2748"/>
      <c r="AN533" s="2748"/>
      <c r="AO533" s="2748"/>
      <c r="AP533" s="2748"/>
    </row>
    <row r="534" spans="2:42" ht="18" customHeight="1">
      <c r="B534" s="2728"/>
      <c r="C534" s="2728"/>
      <c r="D534" s="2728"/>
      <c r="E534" s="2728"/>
      <c r="G534" s="2512"/>
      <c r="I534" s="2748"/>
      <c r="J534" s="2728"/>
      <c r="L534" s="2728"/>
      <c r="M534" s="2748"/>
      <c r="N534" s="2728"/>
      <c r="O534" s="2728"/>
      <c r="P534" s="2728"/>
      <c r="Q534" s="2748"/>
      <c r="R534" s="2748"/>
      <c r="S534" s="2748"/>
      <c r="T534" s="2748"/>
      <c r="U534" s="2748"/>
      <c r="V534" s="2748"/>
      <c r="W534" s="2748"/>
      <c r="X534" s="2748"/>
      <c r="Y534" s="2748"/>
      <c r="Z534" s="2748"/>
      <c r="AA534" s="2748"/>
      <c r="AB534" s="2748"/>
      <c r="AC534" s="2748"/>
      <c r="AD534" s="2748"/>
      <c r="AE534" s="2748"/>
      <c r="AF534" s="2748"/>
      <c r="AG534" s="2748"/>
      <c r="AH534" s="2748"/>
      <c r="AI534" s="2748"/>
      <c r="AK534" s="2748"/>
      <c r="AL534" s="2748"/>
      <c r="AN534" s="2748"/>
      <c r="AO534" s="2748"/>
      <c r="AP534" s="2748"/>
    </row>
    <row r="535" spans="2:42" ht="18" customHeight="1">
      <c r="B535" s="2728"/>
      <c r="C535" s="2728"/>
      <c r="D535" s="2728"/>
      <c r="E535" s="2728"/>
      <c r="G535" s="2512"/>
      <c r="I535" s="2748"/>
      <c r="J535" s="2728"/>
      <c r="L535" s="2728"/>
      <c r="M535" s="2748"/>
      <c r="N535" s="2728"/>
      <c r="O535" s="2728"/>
      <c r="P535" s="2728"/>
      <c r="Q535" s="2748"/>
      <c r="R535" s="2748"/>
      <c r="S535" s="2748"/>
      <c r="T535" s="2748"/>
      <c r="U535" s="2748"/>
      <c r="V535" s="2748"/>
      <c r="W535" s="2748"/>
      <c r="X535" s="2748"/>
      <c r="Y535" s="2748"/>
      <c r="Z535" s="2748"/>
      <c r="AA535" s="2748"/>
      <c r="AB535" s="2748"/>
      <c r="AC535" s="2748"/>
      <c r="AD535" s="2748"/>
      <c r="AE535" s="2748"/>
      <c r="AF535" s="2748"/>
      <c r="AG535" s="2748"/>
      <c r="AH535" s="2748"/>
      <c r="AI535" s="2748"/>
      <c r="AK535" s="2748"/>
      <c r="AL535" s="2748"/>
      <c r="AN535" s="2748"/>
      <c r="AO535" s="2748"/>
      <c r="AP535" s="2748"/>
    </row>
    <row r="536" spans="2:42" ht="18" customHeight="1">
      <c r="B536" s="2728"/>
      <c r="C536" s="2728"/>
      <c r="D536" s="2728"/>
      <c r="E536" s="2728"/>
      <c r="G536" s="2512"/>
      <c r="I536" s="2748"/>
      <c r="J536" s="2728"/>
      <c r="L536" s="2728"/>
      <c r="M536" s="2748"/>
      <c r="N536" s="2728"/>
      <c r="O536" s="2728"/>
      <c r="P536" s="2728"/>
      <c r="Q536" s="2748"/>
      <c r="R536" s="2748"/>
      <c r="S536" s="2748"/>
      <c r="T536" s="2748"/>
      <c r="U536" s="2748"/>
      <c r="V536" s="2748"/>
      <c r="W536" s="2748"/>
      <c r="X536" s="2748"/>
      <c r="Y536" s="2748"/>
      <c r="Z536" s="2748"/>
      <c r="AA536" s="2748"/>
      <c r="AB536" s="2748"/>
      <c r="AC536" s="2748"/>
      <c r="AD536" s="2748"/>
      <c r="AE536" s="2748"/>
      <c r="AF536" s="2748"/>
      <c r="AG536" s="2748"/>
      <c r="AH536" s="2748"/>
      <c r="AI536" s="2748"/>
      <c r="AK536" s="2748"/>
      <c r="AL536" s="2748"/>
      <c r="AN536" s="2748"/>
      <c r="AO536" s="2748"/>
      <c r="AP536" s="2748"/>
    </row>
    <row r="537" spans="2:42" ht="18" customHeight="1">
      <c r="B537" s="2728"/>
      <c r="C537" s="2728"/>
      <c r="D537" s="2728"/>
      <c r="E537" s="2728"/>
      <c r="G537" s="2512"/>
      <c r="I537" s="2748"/>
      <c r="J537" s="2728"/>
      <c r="L537" s="2728"/>
      <c r="M537" s="2748"/>
      <c r="N537" s="2728"/>
      <c r="O537" s="2728"/>
      <c r="P537" s="2728"/>
      <c r="Q537" s="2748"/>
      <c r="R537" s="2748"/>
      <c r="S537" s="2748"/>
      <c r="T537" s="2748"/>
      <c r="U537" s="2748"/>
      <c r="V537" s="2748"/>
      <c r="W537" s="2748"/>
      <c r="X537" s="2748"/>
      <c r="Y537" s="2748"/>
      <c r="Z537" s="2748"/>
      <c r="AA537" s="2748"/>
      <c r="AB537" s="2748"/>
      <c r="AC537" s="2748"/>
      <c r="AD537" s="2748"/>
      <c r="AE537" s="2748"/>
      <c r="AF537" s="2748"/>
      <c r="AG537" s="2748"/>
      <c r="AH537" s="2748"/>
      <c r="AI537" s="2748"/>
      <c r="AK537" s="2748"/>
      <c r="AL537" s="2748"/>
      <c r="AN537" s="2748"/>
      <c r="AO537" s="2748"/>
      <c r="AP537" s="2748"/>
    </row>
    <row r="538" spans="2:42" ht="18" customHeight="1">
      <c r="B538" s="2728"/>
      <c r="C538" s="2728"/>
      <c r="D538" s="2728"/>
      <c r="E538" s="2728"/>
      <c r="G538" s="2512"/>
      <c r="I538" s="2748"/>
      <c r="J538" s="2728"/>
      <c r="L538" s="2728"/>
      <c r="M538" s="2748"/>
      <c r="N538" s="2728"/>
      <c r="O538" s="2728"/>
      <c r="P538" s="2728"/>
      <c r="Q538" s="2748"/>
      <c r="R538" s="2748"/>
      <c r="S538" s="2748"/>
      <c r="T538" s="2748"/>
      <c r="U538" s="2748"/>
      <c r="V538" s="2748"/>
      <c r="W538" s="2748"/>
      <c r="X538" s="2748"/>
      <c r="Y538" s="2748"/>
      <c r="Z538" s="2748"/>
      <c r="AA538" s="2748"/>
      <c r="AB538" s="2748"/>
      <c r="AC538" s="2748"/>
      <c r="AD538" s="2748"/>
      <c r="AE538" s="2748"/>
      <c r="AF538" s="2748"/>
      <c r="AG538" s="2748"/>
      <c r="AH538" s="2748"/>
      <c r="AI538" s="2748"/>
      <c r="AK538" s="2748"/>
      <c r="AL538" s="2748"/>
      <c r="AN538" s="2748"/>
      <c r="AO538" s="2748"/>
      <c r="AP538" s="2748"/>
    </row>
    <row r="539" spans="2:42" ht="18" customHeight="1">
      <c r="B539" s="2728"/>
      <c r="C539" s="2728"/>
      <c r="D539" s="2728"/>
      <c r="E539" s="2728"/>
      <c r="G539" s="2512"/>
      <c r="I539" s="2748"/>
      <c r="J539" s="2728"/>
      <c r="L539" s="2728"/>
      <c r="M539" s="2748"/>
      <c r="N539" s="2728"/>
      <c r="O539" s="2728"/>
      <c r="P539" s="2728"/>
      <c r="Q539" s="2748"/>
      <c r="R539" s="2748"/>
      <c r="S539" s="2748"/>
      <c r="T539" s="2748"/>
      <c r="U539" s="2748"/>
      <c r="V539" s="2748"/>
      <c r="W539" s="2748"/>
      <c r="X539" s="2748"/>
      <c r="Y539" s="2748"/>
      <c r="Z539" s="2748"/>
      <c r="AA539" s="2748"/>
      <c r="AB539" s="2748"/>
      <c r="AC539" s="2748"/>
      <c r="AD539" s="2748"/>
      <c r="AE539" s="2748"/>
      <c r="AF539" s="2748"/>
      <c r="AG539" s="2748"/>
      <c r="AH539" s="2748"/>
      <c r="AI539" s="2748"/>
      <c r="AK539" s="2748"/>
      <c r="AL539" s="2748"/>
      <c r="AN539" s="2748"/>
      <c r="AO539" s="2748"/>
      <c r="AP539" s="2748"/>
    </row>
    <row r="540" spans="2:42" ht="18" customHeight="1">
      <c r="B540" s="2728"/>
      <c r="C540" s="2728"/>
      <c r="D540" s="2728"/>
      <c r="E540" s="2728"/>
      <c r="G540" s="2512"/>
      <c r="I540" s="2748"/>
      <c r="J540" s="2728"/>
      <c r="L540" s="2728"/>
      <c r="M540" s="2748"/>
      <c r="N540" s="2728"/>
      <c r="O540" s="2728"/>
      <c r="P540" s="2728"/>
      <c r="Q540" s="2748"/>
      <c r="R540" s="2748"/>
      <c r="S540" s="2748"/>
      <c r="T540" s="2748"/>
      <c r="U540" s="2748"/>
      <c r="V540" s="2748"/>
      <c r="W540" s="2748"/>
      <c r="X540" s="2748"/>
      <c r="Y540" s="2748"/>
      <c r="Z540" s="2748"/>
      <c r="AA540" s="2748"/>
      <c r="AB540" s="2748"/>
      <c r="AC540" s="2748"/>
      <c r="AD540" s="2748"/>
      <c r="AE540" s="2748"/>
      <c r="AF540" s="2748"/>
      <c r="AG540" s="2748"/>
      <c r="AH540" s="2748"/>
      <c r="AI540" s="2748"/>
      <c r="AK540" s="2748"/>
      <c r="AL540" s="2748"/>
      <c r="AN540" s="2748"/>
      <c r="AO540" s="2748"/>
      <c r="AP540" s="2748"/>
    </row>
    <row r="541" spans="2:42" ht="18" customHeight="1">
      <c r="B541" s="2728"/>
      <c r="C541" s="2728"/>
      <c r="D541" s="2728"/>
      <c r="E541" s="2728"/>
      <c r="G541" s="2512"/>
      <c r="I541" s="2748"/>
      <c r="J541" s="2728"/>
      <c r="L541" s="2728"/>
      <c r="M541" s="2748"/>
      <c r="N541" s="2728"/>
      <c r="O541" s="2728"/>
      <c r="P541" s="2728"/>
      <c r="Q541" s="2748"/>
      <c r="R541" s="2748"/>
      <c r="S541" s="2748"/>
      <c r="T541" s="2748"/>
      <c r="U541" s="2748"/>
      <c r="V541" s="2748"/>
      <c r="W541" s="2748"/>
      <c r="X541" s="2748"/>
      <c r="Y541" s="2748"/>
      <c r="Z541" s="2748"/>
      <c r="AA541" s="2748"/>
      <c r="AB541" s="2748"/>
      <c r="AC541" s="2748"/>
      <c r="AD541" s="2748"/>
      <c r="AE541" s="2748"/>
      <c r="AF541" s="2748"/>
      <c r="AG541" s="2748"/>
      <c r="AH541" s="2748"/>
      <c r="AI541" s="2748"/>
      <c r="AK541" s="2748"/>
      <c r="AL541" s="2748"/>
      <c r="AN541" s="2748"/>
      <c r="AO541" s="2748"/>
      <c r="AP541" s="2748"/>
    </row>
    <row r="542" spans="2:42" ht="18" customHeight="1">
      <c r="B542" s="2728"/>
      <c r="C542" s="2728"/>
      <c r="D542" s="2728"/>
      <c r="E542" s="2728"/>
      <c r="G542" s="2512"/>
      <c r="I542" s="2748"/>
      <c r="J542" s="2728"/>
      <c r="L542" s="2728"/>
      <c r="M542" s="2748"/>
      <c r="N542" s="2728"/>
      <c r="O542" s="2728"/>
      <c r="P542" s="2728"/>
      <c r="Q542" s="2748"/>
      <c r="R542" s="2748"/>
      <c r="S542" s="2748"/>
      <c r="T542" s="2748"/>
      <c r="U542" s="2748"/>
      <c r="V542" s="2748"/>
      <c r="W542" s="2748"/>
      <c r="X542" s="2748"/>
      <c r="Y542" s="2748"/>
      <c r="Z542" s="2748"/>
      <c r="AA542" s="2748"/>
      <c r="AB542" s="2748"/>
      <c r="AC542" s="2748"/>
      <c r="AD542" s="2748"/>
      <c r="AE542" s="2748"/>
      <c r="AF542" s="2748"/>
      <c r="AG542" s="2748"/>
      <c r="AH542" s="2748"/>
      <c r="AI542" s="2748"/>
      <c r="AK542" s="2748"/>
      <c r="AL542" s="2748"/>
      <c r="AN542" s="2748"/>
      <c r="AO542" s="2748"/>
      <c r="AP542" s="2748"/>
    </row>
    <row r="543" spans="2:42" ht="18" customHeight="1">
      <c r="B543" s="2728"/>
      <c r="C543" s="2728"/>
      <c r="D543" s="2728"/>
      <c r="E543" s="2728"/>
      <c r="G543" s="2512"/>
      <c r="I543" s="2748"/>
      <c r="J543" s="2728"/>
      <c r="L543" s="2728"/>
      <c r="M543" s="2748"/>
      <c r="N543" s="2728"/>
      <c r="O543" s="2728"/>
      <c r="P543" s="2728"/>
      <c r="Q543" s="2748"/>
      <c r="R543" s="2748"/>
      <c r="S543" s="2748"/>
      <c r="T543" s="2748"/>
      <c r="U543" s="2748"/>
      <c r="V543" s="2748"/>
      <c r="W543" s="2748"/>
      <c r="X543" s="2748"/>
      <c r="Y543" s="2748"/>
      <c r="Z543" s="2748"/>
      <c r="AA543" s="2748"/>
      <c r="AB543" s="2748"/>
      <c r="AC543" s="2748"/>
      <c r="AD543" s="2748"/>
      <c r="AE543" s="2748"/>
      <c r="AF543" s="2748"/>
      <c r="AG543" s="2748"/>
      <c r="AH543" s="2748"/>
      <c r="AI543" s="2748"/>
      <c r="AK543" s="2748"/>
      <c r="AL543" s="2748"/>
      <c r="AN543" s="2748"/>
      <c r="AO543" s="2748"/>
      <c r="AP543" s="2748"/>
    </row>
    <row r="544" spans="2:42" ht="18" customHeight="1">
      <c r="B544" s="2728"/>
      <c r="C544" s="2728"/>
      <c r="D544" s="2728"/>
      <c r="E544" s="2728"/>
      <c r="G544" s="2512"/>
      <c r="I544" s="2748"/>
      <c r="J544" s="2728"/>
      <c r="L544" s="2728"/>
      <c r="M544" s="2748"/>
      <c r="N544" s="2728"/>
      <c r="O544" s="2728"/>
      <c r="P544" s="2728"/>
      <c r="Q544" s="2748"/>
      <c r="R544" s="2748"/>
      <c r="S544" s="2748"/>
      <c r="T544" s="2748"/>
      <c r="U544" s="2748"/>
      <c r="V544" s="2748"/>
      <c r="W544" s="2748"/>
      <c r="X544" s="2748"/>
      <c r="Y544" s="2748"/>
      <c r="Z544" s="2748"/>
      <c r="AA544" s="2748"/>
      <c r="AB544" s="2748"/>
      <c r="AC544" s="2748"/>
      <c r="AD544" s="2748"/>
      <c r="AE544" s="2748"/>
      <c r="AF544" s="2748"/>
      <c r="AG544" s="2748"/>
      <c r="AH544" s="2748"/>
      <c r="AI544" s="2748"/>
      <c r="AK544" s="2748"/>
      <c r="AL544" s="2748"/>
      <c r="AN544" s="2748"/>
      <c r="AO544" s="2748"/>
      <c r="AP544" s="2748"/>
    </row>
    <row r="545" spans="2:42" ht="18" customHeight="1">
      <c r="B545" s="2728"/>
      <c r="C545" s="2728"/>
      <c r="D545" s="2728"/>
      <c r="E545" s="2728"/>
      <c r="G545" s="2512"/>
      <c r="I545" s="2748"/>
      <c r="J545" s="2728"/>
      <c r="L545" s="2728"/>
      <c r="M545" s="2748"/>
      <c r="N545" s="2728"/>
      <c r="O545" s="2728"/>
      <c r="P545" s="2728"/>
      <c r="Q545" s="2748"/>
      <c r="R545" s="2748"/>
      <c r="S545" s="2748"/>
      <c r="T545" s="2748"/>
      <c r="U545" s="2748"/>
      <c r="V545" s="2748"/>
      <c r="W545" s="2748"/>
      <c r="X545" s="2748"/>
      <c r="Y545" s="2748"/>
      <c r="Z545" s="2748"/>
      <c r="AA545" s="2748"/>
      <c r="AB545" s="2748"/>
      <c r="AC545" s="2748"/>
      <c r="AD545" s="2748"/>
      <c r="AE545" s="2748"/>
      <c r="AF545" s="2748"/>
      <c r="AG545" s="2748"/>
      <c r="AH545" s="2748"/>
      <c r="AI545" s="2748"/>
      <c r="AK545" s="2748"/>
      <c r="AL545" s="2748"/>
      <c r="AN545" s="2748"/>
      <c r="AO545" s="2748"/>
      <c r="AP545" s="2748"/>
    </row>
    <row r="546" spans="2:42" ht="18" customHeight="1">
      <c r="B546" s="2728"/>
      <c r="C546" s="2728"/>
      <c r="D546" s="2728"/>
      <c r="E546" s="2728"/>
      <c r="G546" s="2512"/>
      <c r="I546" s="2748"/>
      <c r="J546" s="2728"/>
      <c r="L546" s="2728"/>
      <c r="M546" s="2748"/>
      <c r="N546" s="2728"/>
      <c r="O546" s="2728"/>
      <c r="P546" s="2728"/>
      <c r="Q546" s="2748"/>
      <c r="R546" s="2748"/>
      <c r="S546" s="2748"/>
      <c r="T546" s="2748"/>
      <c r="U546" s="2748"/>
      <c r="V546" s="2748"/>
      <c r="W546" s="2748"/>
      <c r="X546" s="2748"/>
      <c r="Y546" s="2748"/>
      <c r="Z546" s="2748"/>
      <c r="AA546" s="2748"/>
      <c r="AB546" s="2748"/>
      <c r="AC546" s="2748"/>
      <c r="AD546" s="2748"/>
      <c r="AE546" s="2748"/>
      <c r="AF546" s="2748"/>
      <c r="AG546" s="2748"/>
      <c r="AH546" s="2748"/>
      <c r="AI546" s="2748"/>
      <c r="AK546" s="2748"/>
      <c r="AL546" s="2748"/>
      <c r="AN546" s="2748"/>
      <c r="AO546" s="2748"/>
      <c r="AP546" s="2748"/>
    </row>
    <row r="547" spans="2:42" ht="18" customHeight="1">
      <c r="B547" s="2728"/>
      <c r="C547" s="2728"/>
      <c r="D547" s="2728"/>
      <c r="E547" s="2728"/>
      <c r="G547" s="2512"/>
      <c r="I547" s="2748"/>
      <c r="J547" s="2728"/>
      <c r="L547" s="2728"/>
      <c r="M547" s="2748"/>
      <c r="N547" s="2728"/>
      <c r="O547" s="2728"/>
      <c r="P547" s="2728"/>
      <c r="Q547" s="2748"/>
      <c r="R547" s="2748"/>
      <c r="S547" s="2748"/>
      <c r="T547" s="2748"/>
      <c r="U547" s="2748"/>
      <c r="V547" s="2748"/>
      <c r="W547" s="2748"/>
      <c r="X547" s="2748"/>
      <c r="Y547" s="2748"/>
      <c r="Z547" s="2748"/>
      <c r="AA547" s="2748"/>
      <c r="AB547" s="2748"/>
      <c r="AC547" s="2748"/>
      <c r="AD547" s="2748"/>
      <c r="AE547" s="2748"/>
      <c r="AF547" s="2748"/>
      <c r="AG547" s="2748"/>
      <c r="AH547" s="2748"/>
      <c r="AI547" s="2748"/>
      <c r="AK547" s="2748"/>
      <c r="AL547" s="2748"/>
      <c r="AN547" s="2748"/>
      <c r="AO547" s="2748"/>
      <c r="AP547" s="2748"/>
    </row>
    <row r="548" spans="2:42" ht="18" customHeight="1">
      <c r="B548" s="2728"/>
      <c r="C548" s="2728"/>
      <c r="D548" s="2728"/>
      <c r="E548" s="2728"/>
      <c r="G548" s="2512"/>
      <c r="I548" s="2748"/>
      <c r="J548" s="2728"/>
      <c r="L548" s="2728"/>
      <c r="M548" s="2748"/>
      <c r="N548" s="2728"/>
      <c r="O548" s="2728"/>
      <c r="P548" s="2728"/>
      <c r="Q548" s="2748"/>
      <c r="R548" s="2748"/>
      <c r="S548" s="2748"/>
      <c r="T548" s="2748"/>
      <c r="U548" s="2748"/>
      <c r="V548" s="2748"/>
      <c r="W548" s="2748"/>
      <c r="X548" s="2748"/>
      <c r="Y548" s="2748"/>
      <c r="Z548" s="2748"/>
      <c r="AA548" s="2748"/>
      <c r="AB548" s="2748"/>
      <c r="AC548" s="2748"/>
      <c r="AD548" s="2748"/>
      <c r="AE548" s="2748"/>
      <c r="AF548" s="2748"/>
      <c r="AG548" s="2748"/>
      <c r="AH548" s="2748"/>
      <c r="AI548" s="2748"/>
      <c r="AK548" s="2748"/>
      <c r="AL548" s="2748"/>
      <c r="AN548" s="2748"/>
      <c r="AO548" s="2748"/>
      <c r="AP548" s="2748"/>
    </row>
    <row r="549" spans="2:42" ht="18" customHeight="1">
      <c r="B549" s="2728"/>
      <c r="C549" s="2728"/>
      <c r="D549" s="2728"/>
      <c r="E549" s="2728"/>
      <c r="G549" s="2512"/>
      <c r="I549" s="2748"/>
      <c r="J549" s="2728"/>
      <c r="L549" s="2728"/>
      <c r="M549" s="2748"/>
      <c r="N549" s="2728"/>
      <c r="O549" s="2728"/>
      <c r="P549" s="2728"/>
      <c r="Q549" s="2748"/>
      <c r="R549" s="2748"/>
      <c r="S549" s="2748"/>
      <c r="T549" s="2748"/>
      <c r="U549" s="2748"/>
      <c r="V549" s="2748"/>
      <c r="W549" s="2748"/>
      <c r="X549" s="2748"/>
      <c r="Y549" s="2748"/>
      <c r="Z549" s="2748"/>
      <c r="AA549" s="2748"/>
      <c r="AB549" s="2748"/>
      <c r="AC549" s="2748"/>
      <c r="AD549" s="2748"/>
      <c r="AE549" s="2748"/>
      <c r="AF549" s="2748"/>
      <c r="AG549" s="2748"/>
      <c r="AH549" s="2748"/>
      <c r="AI549" s="2748"/>
      <c r="AK549" s="2748"/>
      <c r="AL549" s="2748"/>
      <c r="AN549" s="2748"/>
      <c r="AO549" s="2748"/>
      <c r="AP549" s="2748"/>
    </row>
    <row r="550" spans="2:42" ht="18" customHeight="1">
      <c r="B550" s="2728"/>
      <c r="C550" s="2728"/>
      <c r="D550" s="2728"/>
      <c r="E550" s="2728"/>
      <c r="G550" s="2512"/>
      <c r="I550" s="2748"/>
      <c r="J550" s="2728"/>
      <c r="L550" s="2728"/>
      <c r="M550" s="2748"/>
      <c r="N550" s="2728"/>
      <c r="O550" s="2728"/>
      <c r="P550" s="2728"/>
      <c r="Q550" s="2748"/>
      <c r="R550" s="2748"/>
      <c r="S550" s="2748"/>
      <c r="T550" s="2748"/>
      <c r="U550" s="2748"/>
      <c r="V550" s="2748"/>
      <c r="W550" s="2748"/>
      <c r="X550" s="2748"/>
      <c r="Y550" s="2748"/>
      <c r="Z550" s="2748"/>
      <c r="AA550" s="2748"/>
      <c r="AB550" s="2748"/>
      <c r="AC550" s="2748"/>
      <c r="AD550" s="2748"/>
      <c r="AE550" s="2748"/>
      <c r="AF550" s="2748"/>
      <c r="AG550" s="2748"/>
      <c r="AH550" s="2748"/>
      <c r="AI550" s="2748"/>
      <c r="AK550" s="2748"/>
      <c r="AL550" s="2748"/>
      <c r="AN550" s="2748"/>
      <c r="AO550" s="2748"/>
      <c r="AP550" s="2748"/>
    </row>
    <row r="551" spans="2:42" ht="18" customHeight="1">
      <c r="B551" s="2728"/>
      <c r="C551" s="2728"/>
      <c r="D551" s="2728"/>
      <c r="E551" s="2728"/>
      <c r="G551" s="2512"/>
      <c r="I551" s="2748"/>
      <c r="J551" s="2728"/>
      <c r="L551" s="2728"/>
      <c r="M551" s="2748"/>
      <c r="N551" s="2728"/>
      <c r="O551" s="2728"/>
      <c r="P551" s="2728"/>
      <c r="Q551" s="2748"/>
      <c r="R551" s="2748"/>
      <c r="S551" s="2748"/>
      <c r="T551" s="2748"/>
      <c r="U551" s="2748"/>
      <c r="V551" s="2748"/>
      <c r="W551" s="2748"/>
      <c r="X551" s="2748"/>
      <c r="Y551" s="2748"/>
      <c r="Z551" s="2748"/>
      <c r="AA551" s="2748"/>
      <c r="AB551" s="2748"/>
      <c r="AC551" s="2748"/>
      <c r="AD551" s="2748"/>
      <c r="AE551" s="2748"/>
      <c r="AF551" s="2748"/>
      <c r="AG551" s="2748"/>
      <c r="AH551" s="2748"/>
      <c r="AI551" s="2748"/>
      <c r="AK551" s="2748"/>
      <c r="AL551" s="2748"/>
      <c r="AN551" s="2748"/>
      <c r="AO551" s="2748"/>
      <c r="AP551" s="2748"/>
    </row>
    <row r="552" spans="2:42" ht="18" customHeight="1">
      <c r="B552" s="2728"/>
      <c r="C552" s="2728"/>
      <c r="D552" s="2728"/>
      <c r="E552" s="2728"/>
      <c r="G552" s="2512"/>
      <c r="I552" s="2748"/>
      <c r="J552" s="2728"/>
      <c r="L552" s="2728"/>
      <c r="M552" s="2748"/>
      <c r="N552" s="2728"/>
      <c r="O552" s="2728"/>
      <c r="P552" s="2728"/>
      <c r="Q552" s="2748"/>
      <c r="R552" s="2748"/>
      <c r="S552" s="2748"/>
      <c r="T552" s="2748"/>
      <c r="U552" s="2748"/>
      <c r="V552" s="2748"/>
      <c r="W552" s="2748"/>
      <c r="X552" s="2748"/>
      <c r="Y552" s="2748"/>
      <c r="Z552" s="2748"/>
      <c r="AA552" s="2748"/>
      <c r="AB552" s="2748"/>
      <c r="AC552" s="2748"/>
      <c r="AD552" s="2748"/>
      <c r="AE552" s="2748"/>
      <c r="AF552" s="2748"/>
      <c r="AG552" s="2748"/>
      <c r="AH552" s="2748"/>
      <c r="AI552" s="2748"/>
      <c r="AK552" s="2748"/>
      <c r="AL552" s="2748"/>
      <c r="AN552" s="2748"/>
      <c r="AO552" s="2748"/>
      <c r="AP552" s="2748"/>
    </row>
    <row r="553" spans="2:42" ht="18" customHeight="1">
      <c r="B553" s="2728"/>
      <c r="C553" s="2728"/>
      <c r="D553" s="2728"/>
      <c r="E553" s="2728"/>
      <c r="G553" s="2512"/>
      <c r="I553" s="2748"/>
      <c r="J553" s="2728"/>
      <c r="L553" s="2728"/>
      <c r="M553" s="2748"/>
      <c r="N553" s="2728"/>
      <c r="O553" s="2728"/>
      <c r="P553" s="2728"/>
      <c r="Q553" s="2748"/>
      <c r="R553" s="2748"/>
      <c r="S553" s="2748"/>
      <c r="T553" s="2748"/>
      <c r="U553" s="2748"/>
      <c r="V553" s="2748"/>
      <c r="W553" s="2748"/>
      <c r="X553" s="2748"/>
      <c r="Y553" s="2748"/>
      <c r="Z553" s="2748"/>
      <c r="AA553" s="2748"/>
      <c r="AB553" s="2748"/>
      <c r="AC553" s="2748"/>
      <c r="AD553" s="2748"/>
      <c r="AE553" s="2748"/>
      <c r="AF553" s="2748"/>
      <c r="AG553" s="2748"/>
      <c r="AH553" s="2748"/>
      <c r="AI553" s="2748"/>
      <c r="AK553" s="2748"/>
      <c r="AL553" s="2748"/>
      <c r="AN553" s="2748"/>
      <c r="AO553" s="2748"/>
      <c r="AP553" s="2748"/>
    </row>
    <row r="554" spans="2:42" ht="18" customHeight="1">
      <c r="B554" s="2728"/>
      <c r="C554" s="2728"/>
      <c r="D554" s="2728"/>
      <c r="E554" s="2728"/>
      <c r="G554" s="2512"/>
      <c r="I554" s="2748"/>
      <c r="J554" s="2728"/>
      <c r="L554" s="2728"/>
      <c r="M554" s="2748"/>
      <c r="N554" s="2728"/>
      <c r="O554" s="2728"/>
      <c r="P554" s="2728"/>
      <c r="Q554" s="2748"/>
      <c r="R554" s="2748"/>
      <c r="S554" s="2748"/>
      <c r="T554" s="2748"/>
      <c r="U554" s="2748"/>
      <c r="V554" s="2748"/>
      <c r="W554" s="2748"/>
      <c r="X554" s="2748"/>
      <c r="Y554" s="2748"/>
      <c r="Z554" s="2748"/>
      <c r="AA554" s="2748"/>
      <c r="AB554" s="2748"/>
      <c r="AC554" s="2748"/>
      <c r="AD554" s="2748"/>
      <c r="AE554" s="2748"/>
      <c r="AF554" s="2748"/>
      <c r="AG554" s="2748"/>
      <c r="AH554" s="2748"/>
      <c r="AI554" s="2748"/>
      <c r="AK554" s="2748"/>
      <c r="AL554" s="2748"/>
      <c r="AN554" s="2748"/>
      <c r="AO554" s="2748"/>
      <c r="AP554" s="2748"/>
    </row>
    <row r="555" spans="2:42" ht="18" customHeight="1">
      <c r="B555" s="2728"/>
      <c r="C555" s="2728"/>
      <c r="D555" s="2728"/>
      <c r="E555" s="2728"/>
      <c r="G555" s="2512"/>
      <c r="I555" s="2748"/>
      <c r="J555" s="2728"/>
      <c r="L555" s="2728"/>
      <c r="M555" s="2748"/>
      <c r="N555" s="2728"/>
      <c r="O555" s="2728"/>
      <c r="P555" s="2728"/>
      <c r="Q555" s="2748"/>
      <c r="R555" s="2748"/>
      <c r="S555" s="2748"/>
      <c r="T555" s="2748"/>
      <c r="U555" s="2748"/>
      <c r="V555" s="2748"/>
      <c r="W555" s="2748"/>
      <c r="X555" s="2748"/>
      <c r="Y555" s="2748"/>
      <c r="Z555" s="2748"/>
      <c r="AA555" s="2748"/>
      <c r="AB555" s="2748"/>
      <c r="AC555" s="2748"/>
      <c r="AD555" s="2748"/>
      <c r="AE555" s="2748"/>
      <c r="AF555" s="2748"/>
      <c r="AG555" s="2748"/>
      <c r="AH555" s="2748"/>
      <c r="AI555" s="2748"/>
      <c r="AK555" s="2748"/>
      <c r="AL555" s="2748"/>
      <c r="AN555" s="2748"/>
      <c r="AO555" s="2748"/>
      <c r="AP555" s="2748"/>
    </row>
    <row r="556" spans="2:42" ht="18" customHeight="1">
      <c r="B556" s="2728"/>
      <c r="C556" s="2728"/>
      <c r="D556" s="2728"/>
      <c r="E556" s="2728"/>
      <c r="G556" s="2512"/>
      <c r="I556" s="2748"/>
      <c r="J556" s="2728"/>
      <c r="L556" s="2728"/>
      <c r="M556" s="2748"/>
      <c r="N556" s="2728"/>
      <c r="O556" s="2728"/>
      <c r="P556" s="2728"/>
      <c r="Q556" s="2748"/>
      <c r="R556" s="2748"/>
      <c r="S556" s="2748"/>
      <c r="T556" s="2748"/>
      <c r="U556" s="2748"/>
      <c r="V556" s="2748"/>
      <c r="W556" s="2748"/>
      <c r="X556" s="2748"/>
      <c r="Y556" s="2748"/>
      <c r="Z556" s="2748"/>
      <c r="AA556" s="2748"/>
      <c r="AB556" s="2748"/>
      <c r="AC556" s="2748"/>
      <c r="AD556" s="2748"/>
      <c r="AE556" s="2748"/>
      <c r="AF556" s="2748"/>
      <c r="AG556" s="2748"/>
      <c r="AH556" s="2748"/>
      <c r="AI556" s="2748"/>
      <c r="AK556" s="2748"/>
      <c r="AL556" s="2748"/>
      <c r="AN556" s="2748"/>
      <c r="AO556" s="2748"/>
      <c r="AP556" s="2748"/>
    </row>
    <row r="557" spans="2:42" ht="18" customHeight="1">
      <c r="B557" s="2728"/>
      <c r="C557" s="2728"/>
      <c r="D557" s="2728"/>
      <c r="E557" s="2728"/>
      <c r="G557" s="2512"/>
      <c r="I557" s="2748"/>
      <c r="J557" s="2728"/>
      <c r="L557" s="2728"/>
      <c r="M557" s="2748"/>
      <c r="N557" s="2728"/>
      <c r="O557" s="2728"/>
      <c r="P557" s="2728"/>
      <c r="Q557" s="2748"/>
      <c r="R557" s="2748"/>
      <c r="S557" s="2748"/>
      <c r="T557" s="2748"/>
      <c r="U557" s="2748"/>
      <c r="V557" s="2748"/>
      <c r="W557" s="2748"/>
      <c r="X557" s="2748"/>
      <c r="Y557" s="2748"/>
      <c r="Z557" s="2748"/>
      <c r="AA557" s="2748"/>
      <c r="AB557" s="2748"/>
      <c r="AC557" s="2748"/>
      <c r="AD557" s="2748"/>
      <c r="AE557" s="2748"/>
      <c r="AF557" s="2748"/>
      <c r="AG557" s="2748"/>
      <c r="AH557" s="2748"/>
      <c r="AI557" s="2748"/>
      <c r="AK557" s="2748"/>
      <c r="AL557" s="2748"/>
      <c r="AN557" s="2748"/>
      <c r="AO557" s="2748"/>
      <c r="AP557" s="2748"/>
    </row>
    <row r="558" spans="2:42" ht="18" customHeight="1">
      <c r="B558" s="2728"/>
      <c r="C558" s="2728"/>
      <c r="D558" s="2728"/>
      <c r="E558" s="2728"/>
      <c r="G558" s="2512"/>
      <c r="I558" s="2748"/>
      <c r="J558" s="2728"/>
      <c r="L558" s="2728"/>
      <c r="M558" s="2748"/>
      <c r="N558" s="2728"/>
      <c r="O558" s="2728"/>
      <c r="P558" s="2728"/>
      <c r="Q558" s="2748"/>
      <c r="R558" s="2748"/>
      <c r="S558" s="2748"/>
      <c r="T558" s="2748"/>
      <c r="U558" s="2748"/>
      <c r="V558" s="2748"/>
      <c r="W558" s="2748"/>
      <c r="X558" s="2748"/>
      <c r="Y558" s="2748"/>
      <c r="Z558" s="2748"/>
      <c r="AA558" s="2748"/>
      <c r="AB558" s="2748"/>
      <c r="AC558" s="2748"/>
      <c r="AD558" s="2748"/>
      <c r="AE558" s="2748"/>
      <c r="AF558" s="2748"/>
      <c r="AG558" s="2748"/>
      <c r="AH558" s="2748"/>
      <c r="AI558" s="2748"/>
      <c r="AK558" s="2748"/>
      <c r="AL558" s="2748"/>
      <c r="AN558" s="2748"/>
      <c r="AO558" s="2748"/>
      <c r="AP558" s="2748"/>
    </row>
    <row r="559" spans="2:42" ht="18" customHeight="1">
      <c r="B559" s="2728"/>
      <c r="C559" s="2728"/>
      <c r="D559" s="2728"/>
      <c r="E559" s="2728"/>
      <c r="G559" s="2512"/>
      <c r="I559" s="2748"/>
      <c r="J559" s="2728"/>
      <c r="L559" s="2728"/>
      <c r="M559" s="2748"/>
      <c r="N559" s="2728"/>
      <c r="O559" s="2728"/>
      <c r="P559" s="2728"/>
      <c r="Q559" s="2748"/>
      <c r="R559" s="2748"/>
      <c r="S559" s="2748"/>
      <c r="T559" s="2748"/>
      <c r="U559" s="2748"/>
      <c r="V559" s="2748"/>
      <c r="W559" s="2748"/>
      <c r="X559" s="2748"/>
      <c r="Y559" s="2748"/>
      <c r="Z559" s="2748"/>
      <c r="AA559" s="2748"/>
      <c r="AB559" s="2748"/>
      <c r="AC559" s="2748"/>
      <c r="AD559" s="2748"/>
      <c r="AE559" s="2748"/>
      <c r="AF559" s="2748"/>
      <c r="AG559" s="2748"/>
      <c r="AH559" s="2748"/>
      <c r="AI559" s="2748"/>
      <c r="AK559" s="2748"/>
      <c r="AL559" s="2748"/>
      <c r="AN559" s="2748"/>
      <c r="AO559" s="2748"/>
      <c r="AP559" s="2748"/>
    </row>
    <row r="560" spans="2:42" ht="18" customHeight="1">
      <c r="B560" s="2728"/>
      <c r="C560" s="2728"/>
      <c r="D560" s="2728"/>
      <c r="E560" s="2728"/>
      <c r="G560" s="2512"/>
      <c r="I560" s="2748"/>
      <c r="J560" s="2728"/>
      <c r="L560" s="2728"/>
      <c r="M560" s="2748"/>
      <c r="N560" s="2728"/>
      <c r="O560" s="2728"/>
      <c r="P560" s="2728"/>
      <c r="Q560" s="2748"/>
      <c r="R560" s="2748"/>
      <c r="S560" s="2748"/>
      <c r="T560" s="2748"/>
      <c r="U560" s="2748"/>
      <c r="V560" s="2748"/>
      <c r="W560" s="2748"/>
      <c r="X560" s="2748"/>
      <c r="Y560" s="2748"/>
      <c r="Z560" s="2748"/>
      <c r="AA560" s="2748"/>
      <c r="AB560" s="2748"/>
      <c r="AC560" s="2748"/>
      <c r="AD560" s="2748"/>
      <c r="AE560" s="2748"/>
      <c r="AF560" s="2748"/>
      <c r="AG560" s="2748"/>
      <c r="AH560" s="2748"/>
      <c r="AI560" s="2748"/>
      <c r="AK560" s="2748"/>
      <c r="AL560" s="2748"/>
      <c r="AN560" s="2748"/>
      <c r="AO560" s="2748"/>
      <c r="AP560" s="2748"/>
    </row>
    <row r="561" spans="2:42" ht="18" customHeight="1">
      <c r="B561" s="2728"/>
      <c r="C561" s="2728"/>
      <c r="D561" s="2728"/>
      <c r="E561" s="2728"/>
      <c r="G561" s="2512"/>
      <c r="I561" s="2748"/>
      <c r="J561" s="2728"/>
      <c r="L561" s="2728"/>
      <c r="M561" s="2748"/>
      <c r="N561" s="2728"/>
      <c r="O561" s="2728"/>
      <c r="P561" s="2728"/>
      <c r="Q561" s="2748"/>
      <c r="R561" s="2748"/>
      <c r="S561" s="2748"/>
      <c r="T561" s="2748"/>
      <c r="U561" s="2748"/>
      <c r="V561" s="2748"/>
      <c r="W561" s="2748"/>
      <c r="X561" s="2748"/>
      <c r="Y561" s="2748"/>
      <c r="Z561" s="2748"/>
      <c r="AA561" s="2748"/>
      <c r="AB561" s="2748"/>
      <c r="AC561" s="2748"/>
      <c r="AD561" s="2748"/>
      <c r="AE561" s="2748"/>
      <c r="AF561" s="2748"/>
      <c r="AG561" s="2748"/>
      <c r="AH561" s="2748"/>
      <c r="AI561" s="2748"/>
      <c r="AK561" s="2748"/>
      <c r="AL561" s="2748"/>
      <c r="AN561" s="2748"/>
      <c r="AO561" s="2748"/>
      <c r="AP561" s="2748"/>
    </row>
    <row r="562" spans="2:42" ht="18" customHeight="1">
      <c r="B562" s="2728"/>
      <c r="C562" s="2728"/>
      <c r="D562" s="2728"/>
      <c r="E562" s="2728"/>
      <c r="G562" s="2512"/>
      <c r="I562" s="2748"/>
      <c r="J562" s="2728"/>
      <c r="L562" s="2728"/>
      <c r="M562" s="2748"/>
      <c r="N562" s="2728"/>
      <c r="O562" s="2728"/>
      <c r="P562" s="2728"/>
      <c r="Q562" s="2748"/>
      <c r="R562" s="2748"/>
      <c r="S562" s="2748"/>
      <c r="T562" s="2748"/>
      <c r="U562" s="2748"/>
      <c r="V562" s="2748"/>
      <c r="W562" s="2748"/>
      <c r="X562" s="2748"/>
      <c r="Y562" s="2748"/>
      <c r="Z562" s="2748"/>
      <c r="AA562" s="2748"/>
      <c r="AB562" s="2748"/>
      <c r="AC562" s="2748"/>
      <c r="AD562" s="2748"/>
      <c r="AE562" s="2748"/>
      <c r="AF562" s="2748"/>
      <c r="AG562" s="2748"/>
      <c r="AH562" s="2748"/>
      <c r="AI562" s="2748"/>
      <c r="AK562" s="2748"/>
      <c r="AL562" s="2748"/>
      <c r="AN562" s="2748"/>
      <c r="AO562" s="2748"/>
      <c r="AP562" s="2748"/>
    </row>
    <row r="563" spans="2:42" ht="18" customHeight="1">
      <c r="B563" s="2728"/>
      <c r="C563" s="2728"/>
      <c r="D563" s="2728"/>
      <c r="E563" s="2728"/>
      <c r="G563" s="2512"/>
      <c r="I563" s="2748"/>
      <c r="J563" s="2728"/>
      <c r="L563" s="2728"/>
      <c r="M563" s="2748"/>
      <c r="N563" s="2728"/>
      <c r="O563" s="2728"/>
      <c r="P563" s="2728"/>
      <c r="Q563" s="2748"/>
      <c r="R563" s="2748"/>
      <c r="S563" s="2748"/>
      <c r="T563" s="2748"/>
      <c r="U563" s="2748"/>
      <c r="V563" s="2748"/>
      <c r="W563" s="2748"/>
      <c r="X563" s="2748"/>
      <c r="Y563" s="2748"/>
      <c r="Z563" s="2748"/>
      <c r="AA563" s="2748"/>
      <c r="AB563" s="2748"/>
      <c r="AC563" s="2748"/>
      <c r="AD563" s="2748"/>
      <c r="AE563" s="2748"/>
      <c r="AF563" s="2748"/>
      <c r="AG563" s="2748"/>
      <c r="AH563" s="2748"/>
      <c r="AI563" s="2748"/>
      <c r="AK563" s="2748"/>
      <c r="AL563" s="2748"/>
      <c r="AN563" s="2748"/>
      <c r="AO563" s="2748"/>
      <c r="AP563" s="2748"/>
    </row>
    <row r="564" spans="2:42" ht="18" customHeight="1">
      <c r="B564" s="2728"/>
      <c r="C564" s="2728"/>
      <c r="D564" s="2728"/>
      <c r="E564" s="2728"/>
      <c r="G564" s="2512"/>
      <c r="I564" s="2748"/>
      <c r="J564" s="2728"/>
      <c r="L564" s="2728"/>
      <c r="M564" s="2748"/>
      <c r="N564" s="2728"/>
      <c r="O564" s="2728"/>
      <c r="P564" s="2728"/>
      <c r="Q564" s="2748"/>
      <c r="R564" s="2748"/>
      <c r="S564" s="2748"/>
      <c r="T564" s="2748"/>
      <c r="U564" s="2748"/>
      <c r="V564" s="2748"/>
      <c r="W564" s="2748"/>
      <c r="X564" s="2748"/>
      <c r="Y564" s="2748"/>
      <c r="Z564" s="2748"/>
      <c r="AA564" s="2748"/>
      <c r="AB564" s="2748"/>
      <c r="AC564" s="2748"/>
      <c r="AD564" s="2748"/>
      <c r="AE564" s="2748"/>
      <c r="AF564" s="2748"/>
      <c r="AG564" s="2748"/>
      <c r="AH564" s="2748"/>
      <c r="AI564" s="2748"/>
      <c r="AK564" s="2748"/>
      <c r="AL564" s="2748"/>
      <c r="AN564" s="2748"/>
      <c r="AO564" s="2748"/>
      <c r="AP564" s="2748"/>
    </row>
    <row r="565" spans="2:42" ht="18" customHeight="1">
      <c r="B565" s="2728"/>
      <c r="C565" s="2728"/>
      <c r="D565" s="2728"/>
      <c r="E565" s="2728"/>
      <c r="G565" s="2512"/>
      <c r="I565" s="2748"/>
      <c r="J565" s="2728"/>
      <c r="L565" s="2728"/>
      <c r="M565" s="2748"/>
      <c r="N565" s="2728"/>
      <c r="O565" s="2728"/>
      <c r="P565" s="2728"/>
      <c r="Q565" s="2748"/>
      <c r="R565" s="2748"/>
      <c r="S565" s="2748"/>
      <c r="T565" s="2748"/>
      <c r="U565" s="2748"/>
      <c r="V565" s="2748"/>
      <c r="W565" s="2748"/>
      <c r="X565" s="2748"/>
      <c r="Y565" s="2748"/>
      <c r="Z565" s="2748"/>
      <c r="AA565" s="2748"/>
      <c r="AB565" s="2748"/>
      <c r="AC565" s="2748"/>
      <c r="AD565" s="2748"/>
      <c r="AE565" s="2748"/>
      <c r="AF565" s="2748"/>
      <c r="AG565" s="2748"/>
      <c r="AH565" s="2748"/>
      <c r="AI565" s="2748"/>
      <c r="AK565" s="2748"/>
      <c r="AL565" s="2748"/>
      <c r="AN565" s="2748"/>
      <c r="AO565" s="2748"/>
      <c r="AP565" s="2748"/>
    </row>
    <row r="566" spans="2:42" ht="18" customHeight="1">
      <c r="B566" s="2728"/>
      <c r="C566" s="2728"/>
      <c r="D566" s="2728"/>
      <c r="E566" s="2728"/>
      <c r="G566" s="2512"/>
      <c r="I566" s="2748"/>
      <c r="J566" s="2728"/>
      <c r="L566" s="2728"/>
      <c r="M566" s="2748"/>
      <c r="N566" s="2728"/>
      <c r="O566" s="2728"/>
      <c r="P566" s="2728"/>
      <c r="Q566" s="2748"/>
      <c r="R566" s="2748"/>
      <c r="S566" s="2748"/>
      <c r="T566" s="2748"/>
      <c r="U566" s="2748"/>
      <c r="V566" s="2748"/>
      <c r="W566" s="2748"/>
      <c r="X566" s="2748"/>
      <c r="Y566" s="2748"/>
      <c r="Z566" s="2748"/>
      <c r="AA566" s="2748"/>
      <c r="AB566" s="2748"/>
      <c r="AC566" s="2748"/>
      <c r="AD566" s="2748"/>
      <c r="AE566" s="2748"/>
      <c r="AF566" s="2748"/>
      <c r="AG566" s="2748"/>
      <c r="AH566" s="2748"/>
      <c r="AI566" s="2748"/>
      <c r="AK566" s="2748"/>
      <c r="AL566" s="2748"/>
      <c r="AN566" s="2748"/>
      <c r="AO566" s="2748"/>
      <c r="AP566" s="2748"/>
    </row>
    <row r="567" spans="2:42" ht="18" customHeight="1">
      <c r="B567" s="2728"/>
      <c r="C567" s="2728"/>
      <c r="D567" s="2728"/>
      <c r="E567" s="2728"/>
      <c r="G567" s="2512"/>
      <c r="I567" s="2748"/>
      <c r="J567" s="2728"/>
      <c r="L567" s="2728"/>
      <c r="M567" s="2748"/>
      <c r="N567" s="2728"/>
      <c r="O567" s="2728"/>
      <c r="P567" s="2728"/>
      <c r="Q567" s="2748"/>
      <c r="R567" s="2748"/>
      <c r="S567" s="2748"/>
      <c r="T567" s="2748"/>
      <c r="U567" s="2748"/>
      <c r="V567" s="2748"/>
      <c r="W567" s="2748"/>
      <c r="X567" s="2748"/>
      <c r="Y567" s="2748"/>
      <c r="Z567" s="2748"/>
      <c r="AA567" s="2748"/>
      <c r="AB567" s="2748"/>
      <c r="AC567" s="2748"/>
      <c r="AD567" s="2748"/>
      <c r="AE567" s="2748"/>
      <c r="AF567" s="2748"/>
      <c r="AG567" s="2748"/>
      <c r="AH567" s="2748"/>
      <c r="AI567" s="2748"/>
      <c r="AK567" s="2748"/>
      <c r="AL567" s="2748"/>
      <c r="AN567" s="2748"/>
      <c r="AO567" s="2748"/>
      <c r="AP567" s="2748"/>
    </row>
    <row r="568" spans="2:42" ht="18" customHeight="1">
      <c r="B568" s="2728"/>
      <c r="C568" s="2728"/>
      <c r="D568" s="2728"/>
      <c r="E568" s="2728"/>
      <c r="G568" s="2512"/>
      <c r="I568" s="2748"/>
      <c r="J568" s="2728"/>
      <c r="L568" s="2728"/>
      <c r="M568" s="2748"/>
      <c r="N568" s="2728"/>
      <c r="O568" s="2728"/>
      <c r="P568" s="2728"/>
      <c r="Q568" s="2748"/>
      <c r="R568" s="2748"/>
      <c r="S568" s="2748"/>
      <c r="T568" s="2748"/>
      <c r="U568" s="2748"/>
      <c r="V568" s="2748"/>
      <c r="W568" s="2748"/>
      <c r="X568" s="2748"/>
      <c r="Y568" s="2748"/>
      <c r="Z568" s="2748"/>
      <c r="AA568" s="2748"/>
      <c r="AB568" s="2748"/>
      <c r="AC568" s="2748"/>
      <c r="AD568" s="2748"/>
      <c r="AE568" s="2748"/>
      <c r="AF568" s="2748"/>
      <c r="AG568" s="2748"/>
      <c r="AH568" s="2748"/>
      <c r="AI568" s="2748"/>
      <c r="AK568" s="2748"/>
      <c r="AL568" s="2748"/>
      <c r="AN568" s="2748"/>
      <c r="AO568" s="2748"/>
      <c r="AP568" s="2748"/>
    </row>
    <row r="569" spans="2:42" ht="18" customHeight="1">
      <c r="B569" s="2728"/>
      <c r="C569" s="2728"/>
      <c r="D569" s="2728"/>
      <c r="E569" s="2728"/>
      <c r="G569" s="2512"/>
      <c r="I569" s="2748"/>
      <c r="J569" s="2728"/>
      <c r="L569" s="2728"/>
      <c r="M569" s="2748"/>
      <c r="N569" s="2728"/>
      <c r="O569" s="2728"/>
      <c r="P569" s="2728"/>
      <c r="Q569" s="2748"/>
      <c r="R569" s="2748"/>
      <c r="S569" s="2748"/>
      <c r="T569" s="2748"/>
      <c r="U569" s="2748"/>
      <c r="V569" s="2748"/>
      <c r="W569" s="2748"/>
      <c r="X569" s="2748"/>
      <c r="Y569" s="2748"/>
      <c r="Z569" s="2748"/>
      <c r="AA569" s="2748"/>
      <c r="AB569" s="2748"/>
      <c r="AC569" s="2748"/>
      <c r="AD569" s="2748"/>
      <c r="AE569" s="2748"/>
      <c r="AF569" s="2748"/>
      <c r="AG569" s="2748"/>
      <c r="AH569" s="2748"/>
      <c r="AI569" s="2748"/>
      <c r="AK569" s="2748"/>
      <c r="AL569" s="2748"/>
      <c r="AN569" s="2748"/>
      <c r="AO569" s="2748"/>
      <c r="AP569" s="2748"/>
    </row>
    <row r="570" spans="2:42" ht="18" customHeight="1">
      <c r="B570" s="2728"/>
      <c r="C570" s="2728"/>
      <c r="D570" s="2728"/>
      <c r="E570" s="2728"/>
      <c r="G570" s="2512"/>
      <c r="I570" s="2748"/>
      <c r="J570" s="2728"/>
      <c r="L570" s="2728"/>
      <c r="M570" s="2748"/>
      <c r="N570" s="2728"/>
      <c r="O570" s="2728"/>
      <c r="P570" s="2728"/>
      <c r="Q570" s="2748"/>
      <c r="R570" s="2748"/>
      <c r="S570" s="2748"/>
      <c r="T570" s="2748"/>
      <c r="U570" s="2748"/>
      <c r="V570" s="2748"/>
      <c r="W570" s="2748"/>
      <c r="X570" s="2748"/>
      <c r="Y570" s="2748"/>
      <c r="Z570" s="2748"/>
      <c r="AA570" s="2748"/>
      <c r="AB570" s="2748"/>
      <c r="AC570" s="2748"/>
      <c r="AD570" s="2748"/>
      <c r="AE570" s="2748"/>
      <c r="AF570" s="2748"/>
      <c r="AG570" s="2748"/>
      <c r="AH570" s="2748"/>
      <c r="AI570" s="2748"/>
      <c r="AK570" s="2748"/>
      <c r="AL570" s="2748"/>
      <c r="AN570" s="2748"/>
      <c r="AO570" s="2748"/>
      <c r="AP570" s="2748"/>
    </row>
    <row r="571" spans="2:42" ht="18" customHeight="1">
      <c r="B571" s="2728"/>
      <c r="C571" s="2728"/>
      <c r="D571" s="2728"/>
      <c r="E571" s="2728"/>
      <c r="G571" s="2512"/>
      <c r="I571" s="2748"/>
      <c r="J571" s="2728"/>
      <c r="L571" s="2728"/>
      <c r="M571" s="2748"/>
      <c r="N571" s="2728"/>
      <c r="O571" s="2728"/>
      <c r="P571" s="2728"/>
      <c r="Q571" s="2748"/>
      <c r="R571" s="2748"/>
      <c r="S571" s="2748"/>
      <c r="T571" s="2748"/>
      <c r="U571" s="2748"/>
      <c r="V571" s="2748"/>
      <c r="W571" s="2748"/>
      <c r="X571" s="2748"/>
      <c r="Y571" s="2748"/>
      <c r="Z571" s="2748"/>
      <c r="AA571" s="2748"/>
      <c r="AB571" s="2748"/>
      <c r="AC571" s="2748"/>
      <c r="AD571" s="2748"/>
      <c r="AE571" s="2748"/>
      <c r="AF571" s="2748"/>
      <c r="AG571" s="2748"/>
      <c r="AH571" s="2748"/>
      <c r="AI571" s="2748"/>
      <c r="AK571" s="2748"/>
      <c r="AL571" s="2748"/>
      <c r="AN571" s="2748"/>
      <c r="AO571" s="2748"/>
      <c r="AP571" s="2748"/>
    </row>
    <row r="572" spans="2:42" ht="18" customHeight="1">
      <c r="B572" s="2728"/>
      <c r="C572" s="2728"/>
      <c r="D572" s="2728"/>
      <c r="E572" s="2728"/>
      <c r="G572" s="2512"/>
      <c r="I572" s="2748"/>
      <c r="J572" s="2728"/>
      <c r="L572" s="2728"/>
      <c r="M572" s="2748"/>
      <c r="N572" s="2728"/>
      <c r="O572" s="2728"/>
      <c r="P572" s="2728"/>
      <c r="Q572" s="2748"/>
      <c r="R572" s="2748"/>
      <c r="S572" s="2748"/>
      <c r="T572" s="2748"/>
      <c r="U572" s="2748"/>
      <c r="V572" s="2748"/>
      <c r="W572" s="2748"/>
      <c r="X572" s="2748"/>
      <c r="Y572" s="2748"/>
      <c r="Z572" s="2748"/>
      <c r="AA572" s="2748"/>
      <c r="AB572" s="2748"/>
      <c r="AC572" s="2748"/>
      <c r="AD572" s="2748"/>
      <c r="AE572" s="2748"/>
      <c r="AF572" s="2748"/>
      <c r="AG572" s="2748"/>
      <c r="AH572" s="2748"/>
      <c r="AI572" s="2748"/>
      <c r="AK572" s="2748"/>
      <c r="AL572" s="2748"/>
      <c r="AN572" s="2748"/>
      <c r="AO572" s="2748"/>
      <c r="AP572" s="2748"/>
    </row>
    <row r="573" spans="2:42" ht="18" customHeight="1">
      <c r="B573" s="2728"/>
      <c r="C573" s="2728"/>
      <c r="D573" s="2728"/>
      <c r="E573" s="2728"/>
      <c r="G573" s="2512"/>
      <c r="I573" s="2748"/>
      <c r="J573" s="2728"/>
      <c r="L573" s="2728"/>
      <c r="M573" s="2748"/>
      <c r="N573" s="2728"/>
      <c r="O573" s="2728"/>
      <c r="P573" s="2728"/>
      <c r="Q573" s="2748"/>
      <c r="R573" s="2748"/>
      <c r="S573" s="2748"/>
      <c r="T573" s="2748"/>
      <c r="U573" s="2748"/>
      <c r="V573" s="2748"/>
      <c r="W573" s="2748"/>
      <c r="X573" s="2748"/>
      <c r="Y573" s="2748"/>
      <c r="Z573" s="2748"/>
      <c r="AA573" s="2748"/>
      <c r="AB573" s="2748"/>
      <c r="AC573" s="2748"/>
      <c r="AD573" s="2748"/>
      <c r="AE573" s="2748"/>
      <c r="AF573" s="2748"/>
      <c r="AG573" s="2748"/>
      <c r="AH573" s="2748"/>
      <c r="AI573" s="2748"/>
      <c r="AK573" s="2748"/>
      <c r="AL573" s="2748"/>
      <c r="AN573" s="2748"/>
      <c r="AO573" s="2748"/>
      <c r="AP573" s="2748"/>
    </row>
    <row r="574" spans="2:42" ht="18" customHeight="1">
      <c r="B574" s="2728"/>
      <c r="C574" s="2728"/>
      <c r="D574" s="2728"/>
      <c r="E574" s="2728"/>
      <c r="G574" s="2512"/>
      <c r="I574" s="2748"/>
      <c r="J574" s="2728"/>
      <c r="L574" s="2728"/>
      <c r="M574" s="2748"/>
      <c r="N574" s="2728"/>
      <c r="O574" s="2728"/>
      <c r="P574" s="2728"/>
      <c r="Q574" s="2748"/>
      <c r="R574" s="2748"/>
      <c r="S574" s="2748"/>
      <c r="T574" s="2748"/>
      <c r="U574" s="2748"/>
      <c r="V574" s="2748"/>
      <c r="W574" s="2748"/>
      <c r="X574" s="2748"/>
      <c r="Y574" s="2748"/>
      <c r="Z574" s="2748"/>
      <c r="AA574" s="2748"/>
      <c r="AB574" s="2748"/>
      <c r="AC574" s="2748"/>
      <c r="AD574" s="2748"/>
      <c r="AE574" s="2748"/>
      <c r="AF574" s="2748"/>
      <c r="AG574" s="2748"/>
      <c r="AH574" s="2748"/>
      <c r="AI574" s="2748"/>
      <c r="AK574" s="2748"/>
      <c r="AL574" s="2748"/>
      <c r="AN574" s="2748"/>
      <c r="AO574" s="2748"/>
      <c r="AP574" s="2748"/>
    </row>
    <row r="575" spans="2:42" ht="18" customHeight="1">
      <c r="B575" s="2728"/>
      <c r="C575" s="2728"/>
      <c r="D575" s="2728"/>
      <c r="E575" s="2728"/>
      <c r="G575" s="2512"/>
      <c r="I575" s="2748"/>
      <c r="J575" s="2728"/>
      <c r="L575" s="2728"/>
      <c r="M575" s="2748"/>
      <c r="N575" s="2728"/>
      <c r="O575" s="2728"/>
      <c r="P575" s="2728"/>
      <c r="Q575" s="2748"/>
      <c r="R575" s="2748"/>
      <c r="S575" s="2748"/>
      <c r="T575" s="2748"/>
      <c r="U575" s="2748"/>
      <c r="V575" s="2748"/>
      <c r="W575" s="2748"/>
      <c r="X575" s="2748"/>
      <c r="Y575" s="2748"/>
      <c r="Z575" s="2748"/>
      <c r="AA575" s="2748"/>
      <c r="AB575" s="2748"/>
      <c r="AC575" s="2748"/>
      <c r="AD575" s="2748"/>
      <c r="AE575" s="2748"/>
      <c r="AF575" s="2748"/>
      <c r="AG575" s="2748"/>
      <c r="AH575" s="2748"/>
      <c r="AI575" s="2748"/>
      <c r="AK575" s="2748"/>
      <c r="AL575" s="2748"/>
      <c r="AN575" s="2748"/>
      <c r="AO575" s="2748"/>
      <c r="AP575" s="2748"/>
    </row>
    <row r="576" spans="2:42" ht="18" customHeight="1">
      <c r="B576" s="2728"/>
      <c r="C576" s="2728"/>
      <c r="D576" s="2728"/>
      <c r="E576" s="2728"/>
      <c r="G576" s="2512"/>
      <c r="I576" s="2748"/>
      <c r="J576" s="2728"/>
      <c r="L576" s="2728"/>
      <c r="M576" s="2748"/>
      <c r="N576" s="2728"/>
      <c r="O576" s="2728"/>
      <c r="P576" s="2728"/>
      <c r="Q576" s="2748"/>
      <c r="R576" s="2748"/>
      <c r="S576" s="2748"/>
      <c r="T576" s="2748"/>
      <c r="U576" s="2748"/>
      <c r="V576" s="2748"/>
      <c r="W576" s="2748"/>
      <c r="X576" s="2748"/>
      <c r="Y576" s="2748"/>
      <c r="Z576" s="2748"/>
      <c r="AA576" s="2748"/>
      <c r="AB576" s="2748"/>
      <c r="AC576" s="2748"/>
      <c r="AD576" s="2748"/>
      <c r="AE576" s="2748"/>
      <c r="AF576" s="2748"/>
      <c r="AG576" s="2748"/>
      <c r="AH576" s="2748"/>
      <c r="AI576" s="2748"/>
      <c r="AK576" s="2748"/>
      <c r="AL576" s="2748"/>
      <c r="AN576" s="2748"/>
      <c r="AO576" s="2748"/>
      <c r="AP576" s="2748"/>
    </row>
    <row r="577" spans="2:42" ht="18" customHeight="1">
      <c r="B577" s="2728"/>
      <c r="C577" s="2728"/>
      <c r="D577" s="2728"/>
      <c r="E577" s="2728"/>
      <c r="G577" s="2512"/>
      <c r="I577" s="2748"/>
      <c r="J577" s="2728"/>
      <c r="L577" s="2728"/>
      <c r="M577" s="2748"/>
      <c r="N577" s="2728"/>
      <c r="O577" s="2728"/>
      <c r="P577" s="2728"/>
      <c r="Q577" s="2748"/>
      <c r="R577" s="2748"/>
      <c r="S577" s="2748"/>
      <c r="T577" s="2748"/>
      <c r="U577" s="2748"/>
      <c r="V577" s="2748"/>
      <c r="W577" s="2748"/>
      <c r="X577" s="2748"/>
      <c r="Y577" s="2748"/>
      <c r="Z577" s="2748"/>
      <c r="AA577" s="2748"/>
      <c r="AB577" s="2748"/>
      <c r="AC577" s="2748"/>
      <c r="AD577" s="2748"/>
      <c r="AE577" s="2748"/>
      <c r="AF577" s="2748"/>
      <c r="AG577" s="2748"/>
      <c r="AH577" s="2748"/>
      <c r="AI577" s="2748"/>
      <c r="AK577" s="2748"/>
      <c r="AL577" s="2748"/>
      <c r="AN577" s="2748"/>
      <c r="AO577" s="2748"/>
      <c r="AP577" s="2748"/>
    </row>
    <row r="578" spans="2:42" ht="18" customHeight="1">
      <c r="B578" s="2728"/>
      <c r="C578" s="2728"/>
      <c r="D578" s="2728"/>
      <c r="E578" s="2728"/>
      <c r="G578" s="2512"/>
      <c r="I578" s="2748"/>
      <c r="J578" s="2728"/>
      <c r="L578" s="2728"/>
      <c r="M578" s="2748"/>
      <c r="N578" s="2728"/>
      <c r="O578" s="2728"/>
      <c r="P578" s="2728"/>
      <c r="Q578" s="2748"/>
      <c r="R578" s="2748"/>
      <c r="S578" s="2748"/>
      <c r="T578" s="2748"/>
      <c r="U578" s="2748"/>
      <c r="V578" s="2748"/>
      <c r="W578" s="2748"/>
      <c r="X578" s="2748"/>
      <c r="Y578" s="2748"/>
      <c r="Z578" s="2748"/>
      <c r="AA578" s="2748"/>
      <c r="AB578" s="2748"/>
      <c r="AC578" s="2748"/>
      <c r="AD578" s="2748"/>
      <c r="AE578" s="2748"/>
      <c r="AF578" s="2748"/>
      <c r="AG578" s="2748"/>
      <c r="AH578" s="2748"/>
      <c r="AI578" s="2748"/>
      <c r="AK578" s="2748"/>
      <c r="AL578" s="2748"/>
      <c r="AN578" s="2748"/>
      <c r="AO578" s="2748"/>
      <c r="AP578" s="2748"/>
    </row>
    <row r="579" spans="2:42" ht="18" customHeight="1">
      <c r="B579" s="2728"/>
      <c r="C579" s="2728"/>
      <c r="D579" s="2728"/>
      <c r="E579" s="2728"/>
      <c r="G579" s="2512"/>
      <c r="I579" s="2748"/>
      <c r="J579" s="2728"/>
      <c r="L579" s="2728"/>
      <c r="M579" s="2748"/>
      <c r="N579" s="2728"/>
      <c r="O579" s="2728"/>
      <c r="P579" s="2728"/>
      <c r="Q579" s="2748"/>
      <c r="R579" s="2748"/>
      <c r="S579" s="2748"/>
      <c r="T579" s="2748"/>
      <c r="U579" s="2748"/>
      <c r="V579" s="2748"/>
      <c r="W579" s="2748"/>
      <c r="X579" s="2748"/>
      <c r="Y579" s="2748"/>
      <c r="Z579" s="2748"/>
      <c r="AA579" s="2748"/>
      <c r="AB579" s="2748"/>
      <c r="AC579" s="2748"/>
      <c r="AD579" s="2748"/>
      <c r="AE579" s="2748"/>
      <c r="AF579" s="2748"/>
      <c r="AG579" s="2748"/>
      <c r="AH579" s="2748"/>
      <c r="AI579" s="2748"/>
      <c r="AK579" s="2748"/>
      <c r="AL579" s="2748"/>
      <c r="AN579" s="2748"/>
      <c r="AO579" s="2748"/>
      <c r="AP579" s="2748"/>
    </row>
    <row r="580" spans="2:42" ht="18" customHeight="1">
      <c r="B580" s="2728"/>
      <c r="C580" s="2728"/>
      <c r="D580" s="2728"/>
      <c r="E580" s="2728"/>
      <c r="G580" s="2512"/>
      <c r="I580" s="2748"/>
      <c r="J580" s="2728"/>
      <c r="L580" s="2728"/>
      <c r="M580" s="2748"/>
      <c r="N580" s="2728"/>
      <c r="O580" s="2728"/>
      <c r="P580" s="2728"/>
      <c r="Q580" s="2748"/>
      <c r="R580" s="2748"/>
      <c r="S580" s="2748"/>
      <c r="T580" s="2748"/>
      <c r="U580" s="2748"/>
      <c r="V580" s="2748"/>
      <c r="W580" s="2748"/>
      <c r="X580" s="2748"/>
      <c r="Y580" s="2748"/>
      <c r="Z580" s="2748"/>
      <c r="AA580" s="2748"/>
      <c r="AB580" s="2748"/>
      <c r="AC580" s="2748"/>
      <c r="AD580" s="2748"/>
      <c r="AE580" s="2748"/>
      <c r="AF580" s="2748"/>
      <c r="AG580" s="2748"/>
      <c r="AH580" s="2748"/>
      <c r="AI580" s="2748"/>
      <c r="AK580" s="2748"/>
      <c r="AL580" s="2748"/>
      <c r="AN580" s="2748"/>
      <c r="AO580" s="2748"/>
      <c r="AP580" s="2748"/>
    </row>
    <row r="581" spans="2:42" ht="18" customHeight="1">
      <c r="B581" s="2728"/>
      <c r="C581" s="2728"/>
      <c r="D581" s="2728"/>
      <c r="E581" s="2728"/>
      <c r="G581" s="2512"/>
      <c r="I581" s="2748"/>
      <c r="J581" s="2728"/>
      <c r="L581" s="2728"/>
      <c r="M581" s="2748"/>
      <c r="N581" s="2728"/>
      <c r="O581" s="2728"/>
      <c r="P581" s="2728"/>
      <c r="Q581" s="2748"/>
      <c r="R581" s="2748"/>
      <c r="S581" s="2748"/>
      <c r="T581" s="2748"/>
      <c r="U581" s="2748"/>
      <c r="V581" s="2748"/>
      <c r="W581" s="2748"/>
      <c r="X581" s="2748"/>
      <c r="Y581" s="2748"/>
      <c r="Z581" s="2748"/>
      <c r="AA581" s="2748"/>
      <c r="AB581" s="2748"/>
      <c r="AC581" s="2748"/>
      <c r="AD581" s="2748"/>
      <c r="AE581" s="2748"/>
      <c r="AF581" s="2748"/>
      <c r="AG581" s="2748"/>
      <c r="AH581" s="2748"/>
      <c r="AI581" s="2748"/>
      <c r="AK581" s="2748"/>
      <c r="AL581" s="2748"/>
      <c r="AN581" s="2748"/>
      <c r="AO581" s="2748"/>
      <c r="AP581" s="2748"/>
    </row>
    <row r="582" spans="2:42" ht="18" customHeight="1">
      <c r="B582" s="2728"/>
      <c r="C582" s="2728"/>
      <c r="D582" s="2728"/>
      <c r="E582" s="2728"/>
      <c r="G582" s="2512"/>
      <c r="I582" s="2748"/>
      <c r="J582" s="2728"/>
      <c r="L582" s="2728"/>
      <c r="M582" s="2748"/>
      <c r="N582" s="2728"/>
      <c r="O582" s="2728"/>
      <c r="P582" s="2728"/>
      <c r="Q582" s="2748"/>
      <c r="R582" s="2748"/>
      <c r="S582" s="2748"/>
      <c r="T582" s="2748"/>
      <c r="U582" s="2748"/>
      <c r="V582" s="2748"/>
      <c r="W582" s="2748"/>
      <c r="X582" s="2748"/>
      <c r="Y582" s="2748"/>
      <c r="Z582" s="2748"/>
      <c r="AA582" s="2748"/>
      <c r="AB582" s="2748"/>
      <c r="AC582" s="2748"/>
      <c r="AD582" s="2748"/>
      <c r="AE582" s="2748"/>
      <c r="AF582" s="2748"/>
      <c r="AG582" s="2748"/>
      <c r="AH582" s="2748"/>
      <c r="AI582" s="2748"/>
      <c r="AK582" s="2748"/>
      <c r="AL582" s="2748"/>
      <c r="AN582" s="2748"/>
      <c r="AO582" s="2748"/>
      <c r="AP582" s="2748"/>
    </row>
    <row r="583" spans="2:42" ht="18" customHeight="1">
      <c r="B583" s="2728"/>
      <c r="C583" s="2728"/>
      <c r="D583" s="2728"/>
      <c r="E583" s="2728"/>
      <c r="G583" s="2512"/>
      <c r="I583" s="2748"/>
      <c r="J583" s="2728"/>
      <c r="L583" s="2728"/>
      <c r="M583" s="2748"/>
      <c r="N583" s="2728"/>
      <c r="O583" s="2728"/>
      <c r="P583" s="2728"/>
      <c r="Q583" s="2748"/>
      <c r="R583" s="2748"/>
      <c r="S583" s="2748"/>
      <c r="T583" s="2748"/>
      <c r="U583" s="2748"/>
      <c r="V583" s="2748"/>
      <c r="W583" s="2748"/>
      <c r="X583" s="2748"/>
      <c r="Y583" s="2748"/>
      <c r="Z583" s="2748"/>
      <c r="AA583" s="2748"/>
      <c r="AB583" s="2748"/>
      <c r="AC583" s="2748"/>
      <c r="AD583" s="2748"/>
      <c r="AE583" s="2748"/>
      <c r="AF583" s="2748"/>
      <c r="AG583" s="2748"/>
      <c r="AH583" s="2748"/>
      <c r="AI583" s="2748"/>
      <c r="AK583" s="2748"/>
      <c r="AL583" s="2748"/>
      <c r="AN583" s="2748"/>
      <c r="AO583" s="2748"/>
      <c r="AP583" s="2748"/>
    </row>
    <row r="584" spans="2:42" ht="18" customHeight="1">
      <c r="B584" s="2728"/>
      <c r="C584" s="2728"/>
      <c r="D584" s="2728"/>
      <c r="E584" s="2728"/>
      <c r="G584" s="2512"/>
      <c r="I584" s="2748"/>
      <c r="J584" s="2728"/>
      <c r="L584" s="2728"/>
      <c r="M584" s="2748"/>
      <c r="N584" s="2728"/>
      <c r="O584" s="2728"/>
      <c r="P584" s="2728"/>
      <c r="Q584" s="2748"/>
      <c r="R584" s="2748"/>
      <c r="S584" s="2748"/>
      <c r="T584" s="2748"/>
      <c r="U584" s="2748"/>
      <c r="V584" s="2748"/>
      <c r="W584" s="2748"/>
      <c r="X584" s="2748"/>
      <c r="Y584" s="2748"/>
      <c r="Z584" s="2748"/>
      <c r="AA584" s="2748"/>
      <c r="AB584" s="2748"/>
      <c r="AC584" s="2748"/>
      <c r="AD584" s="2748"/>
      <c r="AE584" s="2748"/>
      <c r="AF584" s="2748"/>
      <c r="AG584" s="2748"/>
      <c r="AH584" s="2748"/>
      <c r="AI584" s="2748"/>
      <c r="AK584" s="2748"/>
      <c r="AL584" s="2748"/>
      <c r="AN584" s="2748"/>
      <c r="AO584" s="2748"/>
      <c r="AP584" s="2748"/>
    </row>
    <row r="585" spans="2:42" ht="18" customHeight="1">
      <c r="B585" s="2728"/>
      <c r="C585" s="2728"/>
      <c r="D585" s="2728"/>
      <c r="E585" s="2728"/>
      <c r="G585" s="2512"/>
      <c r="I585" s="2748"/>
      <c r="J585" s="2728"/>
      <c r="L585" s="2728"/>
      <c r="M585" s="2748"/>
      <c r="N585" s="2728"/>
      <c r="O585" s="2728"/>
      <c r="P585" s="2728"/>
      <c r="Q585" s="2748"/>
      <c r="R585" s="2748"/>
      <c r="S585" s="2748"/>
      <c r="T585" s="2748"/>
      <c r="U585" s="2748"/>
      <c r="V585" s="2748"/>
      <c r="W585" s="2748"/>
      <c r="X585" s="2748"/>
      <c r="Y585" s="2748"/>
      <c r="Z585" s="2748"/>
      <c r="AA585" s="2748"/>
      <c r="AB585" s="2748"/>
      <c r="AC585" s="2748"/>
      <c r="AD585" s="2748"/>
      <c r="AE585" s="2748"/>
      <c r="AF585" s="2748"/>
      <c r="AG585" s="2748"/>
      <c r="AH585" s="2748"/>
      <c r="AI585" s="2748"/>
      <c r="AK585" s="2748"/>
      <c r="AL585" s="2748"/>
      <c r="AN585" s="2748"/>
      <c r="AO585" s="2748"/>
      <c r="AP585" s="2748"/>
    </row>
    <row r="586" spans="2:42" ht="18" customHeight="1">
      <c r="B586" s="2728"/>
      <c r="C586" s="2728"/>
      <c r="D586" s="2728"/>
      <c r="E586" s="2728"/>
      <c r="G586" s="2512"/>
      <c r="I586" s="2748"/>
      <c r="J586" s="2728"/>
      <c r="L586" s="2728"/>
      <c r="M586" s="2748"/>
      <c r="N586" s="2728"/>
      <c r="O586" s="2728"/>
      <c r="P586" s="2728"/>
      <c r="Q586" s="2748"/>
      <c r="R586" s="2748"/>
      <c r="S586" s="2748"/>
      <c r="T586" s="2748"/>
      <c r="U586" s="2748"/>
      <c r="V586" s="2748"/>
      <c r="W586" s="2748"/>
      <c r="X586" s="2748"/>
      <c r="Y586" s="2748"/>
      <c r="Z586" s="2748"/>
      <c r="AA586" s="2748"/>
      <c r="AB586" s="2748"/>
      <c r="AC586" s="2748"/>
      <c r="AD586" s="2748"/>
      <c r="AE586" s="2748"/>
      <c r="AF586" s="2748"/>
      <c r="AG586" s="2748"/>
      <c r="AH586" s="2748"/>
      <c r="AI586" s="2748"/>
      <c r="AK586" s="2748"/>
      <c r="AL586" s="2748"/>
      <c r="AN586" s="2748"/>
      <c r="AO586" s="2748"/>
      <c r="AP586" s="2748"/>
    </row>
    <row r="587" spans="2:42" ht="18" customHeight="1">
      <c r="B587" s="2728"/>
      <c r="C587" s="2728"/>
      <c r="D587" s="2728"/>
      <c r="E587" s="2728"/>
      <c r="G587" s="2512"/>
      <c r="I587" s="2748"/>
      <c r="J587" s="2728"/>
      <c r="L587" s="2728"/>
      <c r="M587" s="2748"/>
      <c r="N587" s="2728"/>
      <c r="O587" s="2728"/>
      <c r="P587" s="2728"/>
      <c r="Q587" s="2748"/>
      <c r="R587" s="2748"/>
      <c r="S587" s="2748"/>
      <c r="T587" s="2748"/>
      <c r="U587" s="2748"/>
      <c r="V587" s="2748"/>
      <c r="W587" s="2748"/>
      <c r="X587" s="2748"/>
      <c r="Y587" s="2748"/>
      <c r="Z587" s="2748"/>
      <c r="AA587" s="2748"/>
      <c r="AB587" s="2748"/>
      <c r="AC587" s="2748"/>
      <c r="AD587" s="2748"/>
      <c r="AE587" s="2748"/>
      <c r="AF587" s="2748"/>
      <c r="AG587" s="2748"/>
      <c r="AH587" s="2748"/>
      <c r="AI587" s="2748"/>
      <c r="AK587" s="2748"/>
      <c r="AL587" s="2748"/>
      <c r="AN587" s="2748"/>
      <c r="AO587" s="2748"/>
      <c r="AP587" s="2748"/>
    </row>
    <row r="588" spans="2:42" ht="18" customHeight="1">
      <c r="B588" s="2728"/>
      <c r="C588" s="2728"/>
      <c r="D588" s="2728"/>
      <c r="E588" s="2728"/>
      <c r="G588" s="2512"/>
      <c r="I588" s="2748"/>
      <c r="J588" s="2728"/>
      <c r="L588" s="2728"/>
      <c r="M588" s="2748"/>
      <c r="N588" s="2728"/>
      <c r="O588" s="2728"/>
      <c r="P588" s="2728"/>
      <c r="Q588" s="2748"/>
      <c r="R588" s="2748"/>
      <c r="S588" s="2748"/>
      <c r="T588" s="2748"/>
      <c r="U588" s="2748"/>
      <c r="V588" s="2748"/>
      <c r="W588" s="2748"/>
      <c r="X588" s="2748"/>
      <c r="Y588" s="2748"/>
      <c r="Z588" s="2748"/>
      <c r="AA588" s="2748"/>
      <c r="AB588" s="2748"/>
      <c r="AC588" s="2748"/>
      <c r="AD588" s="2748"/>
      <c r="AE588" s="2748"/>
      <c r="AF588" s="2748"/>
      <c r="AG588" s="2748"/>
      <c r="AH588" s="2748"/>
      <c r="AI588" s="2748"/>
      <c r="AK588" s="2748"/>
      <c r="AL588" s="2748"/>
      <c r="AN588" s="2748"/>
      <c r="AO588" s="2748"/>
      <c r="AP588" s="2748"/>
    </row>
    <row r="589" spans="2:42" ht="18" customHeight="1">
      <c r="B589" s="2728"/>
      <c r="C589" s="2728"/>
      <c r="D589" s="2728"/>
      <c r="E589" s="2728"/>
      <c r="G589" s="2512"/>
      <c r="I589" s="2748"/>
      <c r="J589" s="2728"/>
      <c r="L589" s="2728"/>
      <c r="M589" s="2748"/>
      <c r="N589" s="2728"/>
      <c r="O589" s="2728"/>
      <c r="P589" s="2728"/>
      <c r="Q589" s="2748"/>
      <c r="R589" s="2748"/>
      <c r="S589" s="2748"/>
      <c r="T589" s="2748"/>
      <c r="U589" s="2748"/>
      <c r="V589" s="2748"/>
      <c r="W589" s="2748"/>
      <c r="X589" s="2748"/>
      <c r="Y589" s="2748"/>
      <c r="Z589" s="2748"/>
      <c r="AA589" s="2748"/>
      <c r="AB589" s="2748"/>
      <c r="AC589" s="2748"/>
      <c r="AD589" s="2748"/>
      <c r="AE589" s="2748"/>
      <c r="AF589" s="2748"/>
      <c r="AG589" s="2748"/>
      <c r="AH589" s="2748"/>
      <c r="AI589" s="2748"/>
      <c r="AK589" s="2748"/>
      <c r="AL589" s="2748"/>
      <c r="AN589" s="2748"/>
      <c r="AO589" s="2748"/>
      <c r="AP589" s="2748"/>
    </row>
    <row r="590" spans="2:42" ht="18" customHeight="1">
      <c r="B590" s="2728"/>
      <c r="C590" s="2728"/>
      <c r="D590" s="2728"/>
      <c r="E590" s="2728"/>
      <c r="G590" s="2512"/>
      <c r="I590" s="2748"/>
      <c r="J590" s="2728"/>
      <c r="L590" s="2728"/>
      <c r="M590" s="2748"/>
      <c r="N590" s="2728"/>
      <c r="O590" s="2728"/>
      <c r="P590" s="2728"/>
      <c r="Q590" s="2748"/>
      <c r="R590" s="2748"/>
      <c r="S590" s="2748"/>
      <c r="T590" s="2748"/>
      <c r="U590" s="2748"/>
      <c r="V590" s="2748"/>
      <c r="W590" s="2748"/>
      <c r="X590" s="2748"/>
      <c r="Y590" s="2748"/>
      <c r="Z590" s="2748"/>
      <c r="AA590" s="2748"/>
      <c r="AB590" s="2748"/>
      <c r="AC590" s="2748"/>
      <c r="AD590" s="2748"/>
      <c r="AE590" s="2748"/>
      <c r="AF590" s="2748"/>
      <c r="AG590" s="2748"/>
      <c r="AH590" s="2748"/>
      <c r="AI590" s="2748"/>
      <c r="AK590" s="2748"/>
      <c r="AL590" s="2748"/>
      <c r="AN590" s="2748"/>
      <c r="AO590" s="2748"/>
      <c r="AP590" s="2748"/>
    </row>
    <row r="591" spans="2:42" ht="18" customHeight="1">
      <c r="B591" s="2728"/>
      <c r="C591" s="2728"/>
      <c r="D591" s="2728"/>
      <c r="E591" s="2728"/>
      <c r="G591" s="2512"/>
      <c r="I591" s="2748"/>
      <c r="J591" s="2728"/>
      <c r="L591" s="2728"/>
      <c r="M591" s="2748"/>
      <c r="N591" s="2728"/>
      <c r="O591" s="2728"/>
      <c r="P591" s="2728"/>
      <c r="Q591" s="2748"/>
      <c r="R591" s="2748"/>
      <c r="S591" s="2748"/>
      <c r="T591" s="2748"/>
      <c r="U591" s="2748"/>
      <c r="V591" s="2748"/>
      <c r="W591" s="2748"/>
      <c r="X591" s="2748"/>
      <c r="Y591" s="2748"/>
      <c r="Z591" s="2748"/>
      <c r="AA591" s="2748"/>
      <c r="AB591" s="2748"/>
      <c r="AC591" s="2748"/>
      <c r="AD591" s="2748"/>
      <c r="AE591" s="2748"/>
      <c r="AF591" s="2748"/>
      <c r="AG591" s="2748"/>
      <c r="AH591" s="2748"/>
      <c r="AI591" s="2748"/>
      <c r="AK591" s="2748"/>
      <c r="AL591" s="2748"/>
      <c r="AN591" s="2748"/>
      <c r="AO591" s="2748"/>
      <c r="AP591" s="2748"/>
    </row>
    <row r="592" spans="2:42" ht="18" customHeight="1">
      <c r="B592" s="2728"/>
      <c r="C592" s="2728"/>
      <c r="D592" s="2728"/>
      <c r="E592" s="2728"/>
      <c r="G592" s="2512"/>
      <c r="I592" s="2748"/>
      <c r="J592" s="2728"/>
      <c r="L592" s="2728"/>
      <c r="M592" s="2748"/>
      <c r="N592" s="2728"/>
      <c r="O592" s="2728"/>
      <c r="P592" s="2728"/>
      <c r="Q592" s="2748"/>
      <c r="R592" s="2748"/>
      <c r="S592" s="2748"/>
      <c r="T592" s="2748"/>
      <c r="U592" s="2748"/>
      <c r="V592" s="2748"/>
      <c r="W592" s="2748"/>
      <c r="X592" s="2748"/>
      <c r="Y592" s="2748"/>
      <c r="Z592" s="2748"/>
      <c r="AA592" s="2748"/>
      <c r="AB592" s="2748"/>
      <c r="AC592" s="2748"/>
      <c r="AD592" s="2748"/>
      <c r="AE592" s="2748"/>
      <c r="AF592" s="2748"/>
      <c r="AG592" s="2748"/>
      <c r="AH592" s="2748"/>
      <c r="AI592" s="2748"/>
      <c r="AK592" s="2748"/>
      <c r="AL592" s="2748"/>
      <c r="AN592" s="2748"/>
      <c r="AO592" s="2748"/>
      <c r="AP592" s="2748"/>
    </row>
    <row r="593" spans="2:42" ht="18" customHeight="1">
      <c r="B593" s="2728"/>
      <c r="C593" s="2728"/>
      <c r="D593" s="2728"/>
      <c r="E593" s="2728"/>
      <c r="G593" s="2512"/>
      <c r="I593" s="2748"/>
      <c r="J593" s="2728"/>
      <c r="L593" s="2728"/>
      <c r="M593" s="2748"/>
      <c r="N593" s="2728"/>
      <c r="O593" s="2728"/>
      <c r="P593" s="2728"/>
      <c r="Q593" s="2748"/>
      <c r="R593" s="2748"/>
      <c r="S593" s="2748"/>
      <c r="T593" s="2748"/>
      <c r="U593" s="2748"/>
      <c r="V593" s="2748"/>
      <c r="W593" s="2748"/>
      <c r="X593" s="2748"/>
      <c r="Y593" s="2748"/>
      <c r="Z593" s="2748"/>
      <c r="AA593" s="2748"/>
      <c r="AB593" s="2748"/>
      <c r="AC593" s="2748"/>
      <c r="AD593" s="2748"/>
      <c r="AE593" s="2748"/>
      <c r="AF593" s="2748"/>
      <c r="AG593" s="2748"/>
      <c r="AH593" s="2748"/>
      <c r="AI593" s="2748"/>
      <c r="AK593" s="2748"/>
      <c r="AL593" s="2748"/>
      <c r="AN593" s="2748"/>
      <c r="AO593" s="2748"/>
      <c r="AP593" s="2748"/>
    </row>
    <row r="594" spans="2:42" ht="18" customHeight="1">
      <c r="B594" s="2728"/>
      <c r="C594" s="2728"/>
      <c r="D594" s="2728"/>
      <c r="E594" s="2728"/>
      <c r="G594" s="2512"/>
      <c r="I594" s="2748"/>
      <c r="J594" s="2728"/>
      <c r="L594" s="2728"/>
      <c r="M594" s="2748"/>
      <c r="N594" s="2728"/>
      <c r="O594" s="2728"/>
      <c r="P594" s="2728"/>
      <c r="Q594" s="2748"/>
      <c r="R594" s="2748"/>
      <c r="S594" s="2748"/>
      <c r="T594" s="2748"/>
      <c r="U594" s="2748"/>
      <c r="V594" s="2748"/>
      <c r="W594" s="2748"/>
      <c r="X594" s="2748"/>
      <c r="Y594" s="2748"/>
      <c r="Z594" s="2748"/>
      <c r="AA594" s="2748"/>
      <c r="AB594" s="2748"/>
      <c r="AC594" s="2748"/>
      <c r="AD594" s="2748"/>
      <c r="AE594" s="2748"/>
      <c r="AF594" s="2748"/>
      <c r="AG594" s="2748"/>
      <c r="AH594" s="2748"/>
      <c r="AI594" s="2748"/>
      <c r="AK594" s="2748"/>
      <c r="AL594" s="2748"/>
      <c r="AN594" s="2748"/>
      <c r="AO594" s="2748"/>
      <c r="AP594" s="2748"/>
    </row>
    <row r="595" spans="2:42" ht="18" customHeight="1">
      <c r="B595" s="2728"/>
      <c r="C595" s="2728"/>
      <c r="D595" s="2728"/>
      <c r="E595" s="2728"/>
      <c r="G595" s="2512"/>
      <c r="I595" s="2748"/>
      <c r="J595" s="2728"/>
      <c r="L595" s="2728"/>
      <c r="M595" s="2748"/>
      <c r="N595" s="2728"/>
      <c r="O595" s="2728"/>
      <c r="P595" s="2728"/>
      <c r="Q595" s="2748"/>
      <c r="R595" s="2748"/>
      <c r="S595" s="2748"/>
      <c r="T595" s="2748"/>
      <c r="U595" s="2748"/>
      <c r="V595" s="2748"/>
      <c r="W595" s="2748"/>
      <c r="X595" s="2748"/>
      <c r="Y595" s="2748"/>
      <c r="Z595" s="2748"/>
      <c r="AA595" s="2748"/>
      <c r="AB595" s="2748"/>
      <c r="AC595" s="2748"/>
      <c r="AD595" s="2748"/>
      <c r="AE595" s="2748"/>
      <c r="AF595" s="2748"/>
      <c r="AG595" s="2748"/>
      <c r="AH595" s="2748"/>
      <c r="AI595" s="2748"/>
      <c r="AK595" s="2748"/>
      <c r="AL595" s="2748"/>
      <c r="AN595" s="2748"/>
      <c r="AO595" s="2748"/>
      <c r="AP595" s="2748"/>
    </row>
    <row r="596" spans="2:42" ht="18" customHeight="1">
      <c r="B596" s="2728"/>
      <c r="C596" s="2728"/>
      <c r="D596" s="2728"/>
      <c r="E596" s="2728"/>
      <c r="G596" s="2512"/>
      <c r="I596" s="2748"/>
      <c r="J596" s="2728"/>
      <c r="L596" s="2728"/>
      <c r="M596" s="2748"/>
      <c r="N596" s="2728"/>
      <c r="O596" s="2728"/>
      <c r="P596" s="2728"/>
      <c r="Q596" s="2748"/>
      <c r="R596" s="2748"/>
      <c r="S596" s="2748"/>
      <c r="T596" s="2748"/>
      <c r="U596" s="2748"/>
      <c r="V596" s="2748"/>
      <c r="W596" s="2748"/>
      <c r="X596" s="2748"/>
      <c r="Y596" s="2748"/>
      <c r="Z596" s="2748"/>
      <c r="AA596" s="2748"/>
      <c r="AB596" s="2748"/>
      <c r="AC596" s="2748"/>
      <c r="AD596" s="2748"/>
      <c r="AE596" s="2748"/>
      <c r="AF596" s="2748"/>
      <c r="AG596" s="2748"/>
      <c r="AH596" s="2748"/>
      <c r="AI596" s="2748"/>
      <c r="AK596" s="2748"/>
      <c r="AL596" s="2748"/>
      <c r="AN596" s="2748"/>
      <c r="AO596" s="2748"/>
      <c r="AP596" s="2748"/>
    </row>
    <row r="597" spans="2:42" ht="18" customHeight="1">
      <c r="B597" s="2728"/>
      <c r="C597" s="2728"/>
      <c r="D597" s="2728"/>
      <c r="E597" s="2728"/>
      <c r="G597" s="2512"/>
      <c r="I597" s="2748"/>
      <c r="J597" s="2728"/>
      <c r="L597" s="2728"/>
      <c r="M597" s="2748"/>
      <c r="N597" s="2728"/>
      <c r="O597" s="2728"/>
      <c r="P597" s="2728"/>
      <c r="Q597" s="2748"/>
      <c r="R597" s="2748"/>
      <c r="S597" s="2748"/>
      <c r="T597" s="2748"/>
      <c r="U597" s="2748"/>
      <c r="V597" s="2748"/>
      <c r="W597" s="2748"/>
      <c r="X597" s="2748"/>
      <c r="Y597" s="2748"/>
      <c r="Z597" s="2748"/>
      <c r="AA597" s="2748"/>
      <c r="AB597" s="2748"/>
      <c r="AC597" s="2748"/>
      <c r="AD597" s="2748"/>
      <c r="AE597" s="2748"/>
      <c r="AF597" s="2748"/>
      <c r="AG597" s="2748"/>
      <c r="AH597" s="2748"/>
      <c r="AI597" s="2748"/>
      <c r="AK597" s="2748"/>
      <c r="AL597" s="2748"/>
      <c r="AN597" s="2748"/>
      <c r="AO597" s="2748"/>
      <c r="AP597" s="2748"/>
    </row>
    <row r="598" spans="2:42" ht="18" customHeight="1">
      <c r="B598" s="2728"/>
      <c r="C598" s="2728"/>
      <c r="D598" s="2728"/>
      <c r="E598" s="2728"/>
      <c r="G598" s="2512"/>
      <c r="I598" s="2748"/>
      <c r="J598" s="2728"/>
      <c r="L598" s="2728"/>
      <c r="M598" s="2748"/>
      <c r="N598" s="2728"/>
      <c r="O598" s="2728"/>
      <c r="P598" s="2728"/>
      <c r="Q598" s="2748"/>
      <c r="R598" s="2748"/>
      <c r="S598" s="2748"/>
      <c r="T598" s="2748"/>
      <c r="U598" s="2748"/>
      <c r="V598" s="2748"/>
      <c r="W598" s="2748"/>
      <c r="X598" s="2748"/>
      <c r="Y598" s="2748"/>
      <c r="Z598" s="2748"/>
      <c r="AA598" s="2748"/>
      <c r="AB598" s="2748"/>
      <c r="AC598" s="2748"/>
      <c r="AD598" s="2748"/>
      <c r="AE598" s="2748"/>
      <c r="AF598" s="2748"/>
      <c r="AG598" s="2748"/>
      <c r="AH598" s="2748"/>
      <c r="AI598" s="2748"/>
      <c r="AK598" s="2748"/>
      <c r="AL598" s="2748"/>
      <c r="AN598" s="2748"/>
      <c r="AO598" s="2748"/>
      <c r="AP598" s="2748"/>
    </row>
    <row r="599" spans="2:42" ht="18" customHeight="1">
      <c r="B599" s="2728"/>
      <c r="C599" s="2728"/>
      <c r="D599" s="2728"/>
      <c r="E599" s="2728"/>
      <c r="G599" s="2512"/>
      <c r="I599" s="2748"/>
      <c r="J599" s="2728"/>
      <c r="L599" s="2728"/>
      <c r="M599" s="2748"/>
      <c r="N599" s="2728"/>
      <c r="O599" s="2728"/>
      <c r="P599" s="2728"/>
      <c r="Q599" s="2748"/>
      <c r="R599" s="2748"/>
      <c r="S599" s="2748"/>
      <c r="T599" s="2748"/>
      <c r="U599" s="2748"/>
      <c r="V599" s="2748"/>
      <c r="W599" s="2748"/>
      <c r="X599" s="2748"/>
      <c r="Y599" s="2748"/>
      <c r="Z599" s="2748"/>
      <c r="AA599" s="2748"/>
      <c r="AB599" s="2748"/>
      <c r="AC599" s="2748"/>
      <c r="AD599" s="2748"/>
      <c r="AE599" s="2748"/>
      <c r="AF599" s="2748"/>
      <c r="AG599" s="2748"/>
      <c r="AH599" s="2748"/>
      <c r="AI599" s="2748"/>
      <c r="AK599" s="2748"/>
      <c r="AL599" s="2748"/>
      <c r="AN599" s="2748"/>
      <c r="AO599" s="2748"/>
      <c r="AP599" s="2748"/>
    </row>
    <row r="600" spans="2:42" ht="18" customHeight="1">
      <c r="B600" s="2728"/>
      <c r="C600" s="2728"/>
      <c r="D600" s="2728"/>
      <c r="E600" s="2728"/>
      <c r="G600" s="2512"/>
      <c r="I600" s="2748"/>
      <c r="J600" s="2728"/>
      <c r="L600" s="2728"/>
      <c r="M600" s="2748"/>
      <c r="N600" s="2728"/>
      <c r="O600" s="2728"/>
      <c r="P600" s="2728"/>
      <c r="Q600" s="2748"/>
      <c r="R600" s="2748"/>
      <c r="S600" s="2748"/>
      <c r="T600" s="2748"/>
      <c r="U600" s="2748"/>
      <c r="V600" s="2748"/>
      <c r="W600" s="2748"/>
      <c r="X600" s="2748"/>
      <c r="Y600" s="2748"/>
      <c r="Z600" s="2748"/>
      <c r="AA600" s="2748"/>
      <c r="AB600" s="2748"/>
      <c r="AC600" s="2748"/>
      <c r="AD600" s="2748"/>
      <c r="AE600" s="2748"/>
      <c r="AF600" s="2748"/>
      <c r="AG600" s="2748"/>
      <c r="AH600" s="2748"/>
      <c r="AI600" s="2748"/>
      <c r="AK600" s="2748"/>
      <c r="AL600" s="2748"/>
      <c r="AN600" s="2748"/>
      <c r="AO600" s="2748"/>
      <c r="AP600" s="2748"/>
    </row>
    <row r="601" spans="2:42" ht="18" customHeight="1">
      <c r="B601" s="2728"/>
      <c r="C601" s="2728"/>
      <c r="D601" s="2728"/>
      <c r="E601" s="2728"/>
      <c r="G601" s="2512"/>
      <c r="I601" s="2748"/>
      <c r="J601" s="2728"/>
      <c r="L601" s="2728"/>
      <c r="M601" s="2748"/>
      <c r="N601" s="2728"/>
      <c r="O601" s="2728"/>
      <c r="P601" s="2728"/>
      <c r="Q601" s="2748"/>
      <c r="R601" s="2748"/>
      <c r="S601" s="2748"/>
      <c r="T601" s="2748"/>
      <c r="U601" s="2748"/>
      <c r="V601" s="2748"/>
      <c r="W601" s="2748"/>
      <c r="X601" s="2748"/>
      <c r="Y601" s="2748"/>
      <c r="Z601" s="2748"/>
      <c r="AA601" s="2748"/>
      <c r="AB601" s="2748"/>
      <c r="AC601" s="2748"/>
      <c r="AD601" s="2748"/>
      <c r="AE601" s="2748"/>
      <c r="AF601" s="2748"/>
      <c r="AG601" s="2748"/>
      <c r="AH601" s="2748"/>
      <c r="AI601" s="2748"/>
      <c r="AK601" s="2748"/>
      <c r="AL601" s="2748"/>
      <c r="AN601" s="2748"/>
      <c r="AO601" s="2748"/>
      <c r="AP601" s="2748"/>
    </row>
    <row r="602" spans="2:42" ht="18" customHeight="1">
      <c r="B602" s="2728"/>
      <c r="C602" s="2728"/>
      <c r="D602" s="2728"/>
      <c r="E602" s="2728"/>
      <c r="G602" s="2512"/>
      <c r="I602" s="2748"/>
      <c r="J602" s="2728"/>
      <c r="L602" s="2728"/>
      <c r="M602" s="2748"/>
      <c r="N602" s="2728"/>
      <c r="O602" s="2728"/>
      <c r="P602" s="2728"/>
      <c r="Q602" s="2748"/>
      <c r="R602" s="2748"/>
      <c r="S602" s="2748"/>
      <c r="T602" s="2748"/>
      <c r="U602" s="2748"/>
      <c r="V602" s="2748"/>
      <c r="W602" s="2748"/>
      <c r="X602" s="2748"/>
      <c r="Y602" s="2748"/>
      <c r="Z602" s="2748"/>
      <c r="AA602" s="2748"/>
      <c r="AB602" s="2748"/>
      <c r="AC602" s="2748"/>
      <c r="AD602" s="2748"/>
      <c r="AE602" s="2748"/>
      <c r="AF602" s="2748"/>
      <c r="AG602" s="2748"/>
      <c r="AH602" s="2748"/>
      <c r="AI602" s="2748"/>
      <c r="AK602" s="2748"/>
      <c r="AL602" s="2748"/>
      <c r="AN602" s="2748"/>
      <c r="AO602" s="2748"/>
      <c r="AP602" s="2748"/>
    </row>
    <row r="603" spans="2:42" ht="18" customHeight="1">
      <c r="B603" s="2728"/>
      <c r="C603" s="2728"/>
      <c r="D603" s="2728"/>
      <c r="E603" s="2728"/>
      <c r="G603" s="2512"/>
      <c r="I603" s="2748"/>
      <c r="J603" s="2728"/>
      <c r="L603" s="2728"/>
      <c r="M603" s="2748"/>
      <c r="N603" s="2728"/>
      <c r="O603" s="2728"/>
      <c r="P603" s="2728"/>
      <c r="Q603" s="2748"/>
      <c r="R603" s="2748"/>
      <c r="S603" s="2748"/>
      <c r="T603" s="2748"/>
      <c r="U603" s="2748"/>
      <c r="V603" s="2748"/>
      <c r="W603" s="2748"/>
      <c r="X603" s="2748"/>
      <c r="Y603" s="2748"/>
      <c r="Z603" s="2748"/>
      <c r="AA603" s="2748"/>
      <c r="AB603" s="2748"/>
      <c r="AC603" s="2748"/>
      <c r="AD603" s="2748"/>
      <c r="AE603" s="2748"/>
      <c r="AF603" s="2748"/>
      <c r="AG603" s="2748"/>
      <c r="AH603" s="2748"/>
      <c r="AI603" s="2748"/>
      <c r="AK603" s="2748"/>
      <c r="AL603" s="2748"/>
      <c r="AN603" s="2748"/>
      <c r="AO603" s="2748"/>
      <c r="AP603" s="2748"/>
    </row>
    <row r="604" spans="2:42" ht="18" customHeight="1">
      <c r="B604" s="2728"/>
      <c r="C604" s="2728"/>
      <c r="D604" s="2728"/>
      <c r="E604" s="2728"/>
      <c r="G604" s="2512"/>
      <c r="I604" s="2748"/>
      <c r="J604" s="2728"/>
      <c r="L604" s="2728"/>
      <c r="M604" s="2748"/>
      <c r="N604" s="2728"/>
      <c r="O604" s="2728"/>
      <c r="P604" s="2728"/>
      <c r="Q604" s="2748"/>
      <c r="R604" s="2748"/>
      <c r="S604" s="2748"/>
      <c r="T604" s="2748"/>
      <c r="U604" s="2748"/>
      <c r="V604" s="2748"/>
      <c r="W604" s="2748"/>
      <c r="X604" s="2748"/>
      <c r="Y604" s="2748"/>
      <c r="Z604" s="2748"/>
      <c r="AA604" s="2748"/>
      <c r="AB604" s="2748"/>
      <c r="AC604" s="2748"/>
      <c r="AD604" s="2748"/>
      <c r="AE604" s="2748"/>
      <c r="AF604" s="2748"/>
      <c r="AG604" s="2748"/>
      <c r="AH604" s="2748"/>
      <c r="AI604" s="2748"/>
      <c r="AK604" s="2748"/>
      <c r="AL604" s="2748"/>
      <c r="AN604" s="2748"/>
      <c r="AO604" s="2748"/>
      <c r="AP604" s="2748"/>
    </row>
    <row r="605" spans="2:42" ht="18" customHeight="1">
      <c r="B605" s="2728"/>
      <c r="C605" s="2728"/>
      <c r="D605" s="2728"/>
      <c r="E605" s="2728"/>
      <c r="G605" s="2512"/>
      <c r="I605" s="2748"/>
      <c r="J605" s="2728"/>
      <c r="L605" s="2728"/>
      <c r="M605" s="2748"/>
      <c r="N605" s="2728"/>
      <c r="O605" s="2728"/>
      <c r="P605" s="2728"/>
      <c r="Q605" s="2748"/>
      <c r="R605" s="2748"/>
      <c r="S605" s="2748"/>
      <c r="T605" s="2748"/>
      <c r="U605" s="2748"/>
      <c r="V605" s="2748"/>
      <c r="W605" s="2748"/>
      <c r="X605" s="2748"/>
      <c r="Y605" s="2748"/>
      <c r="Z605" s="2748"/>
      <c r="AA605" s="2748"/>
      <c r="AB605" s="2748"/>
      <c r="AC605" s="2748"/>
      <c r="AD605" s="2748"/>
      <c r="AE605" s="2748"/>
      <c r="AF605" s="2748"/>
      <c r="AG605" s="2748"/>
      <c r="AH605" s="2748"/>
      <c r="AI605" s="2748"/>
      <c r="AK605" s="2748"/>
      <c r="AL605" s="2748"/>
      <c r="AN605" s="2748"/>
      <c r="AO605" s="2748"/>
      <c r="AP605" s="2748"/>
    </row>
    <row r="606" spans="2:42" ht="18" customHeight="1">
      <c r="B606" s="2728"/>
      <c r="C606" s="2728"/>
      <c r="D606" s="2728"/>
      <c r="E606" s="2728"/>
      <c r="G606" s="2512"/>
      <c r="I606" s="2748"/>
      <c r="J606" s="2728"/>
      <c r="L606" s="2728"/>
      <c r="M606" s="2748"/>
      <c r="N606" s="2728"/>
      <c r="O606" s="2728"/>
      <c r="P606" s="2728"/>
      <c r="Q606" s="2748"/>
      <c r="R606" s="2748"/>
      <c r="S606" s="2748"/>
      <c r="T606" s="2748"/>
      <c r="U606" s="2748"/>
      <c r="V606" s="2748"/>
      <c r="W606" s="2748"/>
      <c r="X606" s="2748"/>
      <c r="Y606" s="2748"/>
      <c r="Z606" s="2748"/>
      <c r="AA606" s="2748"/>
      <c r="AB606" s="2748"/>
      <c r="AC606" s="2748"/>
      <c r="AD606" s="2748"/>
      <c r="AE606" s="2748"/>
      <c r="AF606" s="2748"/>
      <c r="AG606" s="2748"/>
      <c r="AH606" s="2748"/>
      <c r="AI606" s="2748"/>
      <c r="AK606" s="2748"/>
      <c r="AL606" s="2748"/>
      <c r="AN606" s="2748"/>
      <c r="AO606" s="2748"/>
      <c r="AP606" s="2748"/>
    </row>
    <row r="607" spans="2:42" ht="18" customHeight="1">
      <c r="B607" s="2728"/>
      <c r="C607" s="2728"/>
      <c r="D607" s="2728"/>
      <c r="E607" s="2728"/>
      <c r="G607" s="2512"/>
      <c r="I607" s="2748"/>
      <c r="J607" s="2728"/>
      <c r="L607" s="2728"/>
      <c r="M607" s="2748"/>
      <c r="N607" s="2728"/>
      <c r="O607" s="2728"/>
      <c r="P607" s="2728"/>
      <c r="Q607" s="2748"/>
      <c r="R607" s="2748"/>
      <c r="S607" s="2748"/>
      <c r="T607" s="2748"/>
      <c r="U607" s="2748"/>
      <c r="V607" s="2748"/>
      <c r="W607" s="2748"/>
      <c r="X607" s="2748"/>
      <c r="Y607" s="2748"/>
      <c r="Z607" s="2748"/>
      <c r="AA607" s="2748"/>
      <c r="AB607" s="2748"/>
      <c r="AC607" s="2748"/>
      <c r="AD607" s="2748"/>
      <c r="AE607" s="2748"/>
      <c r="AF607" s="2748"/>
      <c r="AG607" s="2748"/>
      <c r="AH607" s="2748"/>
      <c r="AI607" s="2748"/>
      <c r="AK607" s="2748"/>
      <c r="AL607" s="2748"/>
      <c r="AN607" s="2748"/>
      <c r="AO607" s="2748"/>
      <c r="AP607" s="2748"/>
    </row>
    <row r="608" spans="2:42" ht="18" customHeight="1">
      <c r="B608" s="2728"/>
      <c r="C608" s="2728"/>
      <c r="D608" s="2728"/>
      <c r="E608" s="2728"/>
      <c r="G608" s="2512"/>
      <c r="I608" s="2748"/>
      <c r="J608" s="2728"/>
      <c r="L608" s="2728"/>
      <c r="M608" s="2748"/>
      <c r="N608" s="2728"/>
      <c r="O608" s="2728"/>
      <c r="P608" s="2728"/>
      <c r="Q608" s="2748"/>
      <c r="R608" s="2748"/>
      <c r="S608" s="2748"/>
      <c r="T608" s="2748"/>
      <c r="U608" s="2748"/>
      <c r="V608" s="2748"/>
      <c r="W608" s="2748"/>
      <c r="X608" s="2748"/>
      <c r="Y608" s="2748"/>
      <c r="Z608" s="2748"/>
      <c r="AA608" s="2748"/>
      <c r="AB608" s="2748"/>
      <c r="AC608" s="2748"/>
      <c r="AD608" s="2748"/>
      <c r="AE608" s="2748"/>
      <c r="AF608" s="2748"/>
      <c r="AG608" s="2748"/>
      <c r="AH608" s="2748"/>
      <c r="AI608" s="2748"/>
      <c r="AK608" s="2748"/>
      <c r="AL608" s="2748"/>
      <c r="AN608" s="2748"/>
      <c r="AO608" s="2748"/>
      <c r="AP608" s="2748"/>
    </row>
    <row r="609" spans="2:42" ht="18" customHeight="1">
      <c r="B609" s="2728"/>
      <c r="C609" s="2728"/>
      <c r="D609" s="2728"/>
      <c r="E609" s="2728"/>
      <c r="G609" s="2512"/>
      <c r="I609" s="2748"/>
      <c r="J609" s="2728"/>
      <c r="L609" s="2728"/>
      <c r="M609" s="2748"/>
      <c r="N609" s="2728"/>
      <c r="O609" s="2728"/>
      <c r="P609" s="2728"/>
      <c r="Q609" s="2748"/>
      <c r="R609" s="2748"/>
      <c r="S609" s="2748"/>
      <c r="T609" s="2748"/>
      <c r="U609" s="2748"/>
      <c r="V609" s="2748"/>
      <c r="W609" s="2748"/>
      <c r="X609" s="2748"/>
      <c r="Y609" s="2748"/>
      <c r="Z609" s="2748"/>
      <c r="AA609" s="2748"/>
      <c r="AB609" s="2748"/>
      <c r="AC609" s="2748"/>
      <c r="AD609" s="2748"/>
      <c r="AE609" s="2748"/>
      <c r="AF609" s="2748"/>
      <c r="AG609" s="2748"/>
      <c r="AH609" s="2748"/>
      <c r="AI609" s="2748"/>
      <c r="AK609" s="2748"/>
      <c r="AL609" s="2748"/>
      <c r="AN609" s="2748"/>
      <c r="AO609" s="2748"/>
      <c r="AP609" s="2748"/>
    </row>
    <row r="610" spans="2:42" ht="18" customHeight="1">
      <c r="B610" s="2728"/>
      <c r="C610" s="2728"/>
      <c r="D610" s="2728"/>
      <c r="E610" s="2728"/>
      <c r="G610" s="2512"/>
      <c r="I610" s="2748"/>
      <c r="J610" s="2728"/>
      <c r="L610" s="2728"/>
      <c r="M610" s="2748"/>
      <c r="N610" s="2728"/>
      <c r="O610" s="2728"/>
      <c r="P610" s="2728"/>
      <c r="Q610" s="2748"/>
      <c r="R610" s="2748"/>
      <c r="S610" s="2748"/>
      <c r="T610" s="2748"/>
      <c r="U610" s="2748"/>
      <c r="V610" s="2748"/>
      <c r="W610" s="2748"/>
      <c r="X610" s="2748"/>
      <c r="Y610" s="2748"/>
      <c r="Z610" s="2748"/>
      <c r="AA610" s="2748"/>
      <c r="AB610" s="2748"/>
      <c r="AC610" s="2748"/>
      <c r="AD610" s="2748"/>
      <c r="AE610" s="2748"/>
      <c r="AF610" s="2748"/>
      <c r="AG610" s="2748"/>
      <c r="AH610" s="2748"/>
      <c r="AI610" s="2748"/>
      <c r="AK610" s="2748"/>
      <c r="AL610" s="2748"/>
      <c r="AN610" s="2748"/>
      <c r="AO610" s="2748"/>
      <c r="AP610" s="2748"/>
    </row>
    <row r="611" spans="2:42" ht="18" customHeight="1">
      <c r="B611" s="2728"/>
      <c r="C611" s="2728"/>
      <c r="D611" s="2728"/>
      <c r="E611" s="2728"/>
      <c r="G611" s="2512"/>
      <c r="I611" s="2748"/>
      <c r="J611" s="2728"/>
      <c r="L611" s="2728"/>
      <c r="M611" s="2748"/>
      <c r="N611" s="2728"/>
      <c r="O611" s="2728"/>
      <c r="P611" s="2728"/>
      <c r="Q611" s="2748"/>
      <c r="R611" s="2748"/>
      <c r="S611" s="2748"/>
      <c r="T611" s="2748"/>
      <c r="U611" s="2748"/>
      <c r="V611" s="2748"/>
      <c r="W611" s="2748"/>
      <c r="X611" s="2748"/>
      <c r="Y611" s="2748"/>
      <c r="Z611" s="2748"/>
      <c r="AA611" s="2748"/>
      <c r="AB611" s="2748"/>
      <c r="AC611" s="2748"/>
      <c r="AD611" s="2748"/>
      <c r="AE611" s="2748"/>
      <c r="AF611" s="2748"/>
      <c r="AG611" s="2748"/>
      <c r="AH611" s="2748"/>
      <c r="AI611" s="2748"/>
      <c r="AK611" s="2748"/>
      <c r="AL611" s="2748"/>
      <c r="AN611" s="2748"/>
      <c r="AO611" s="2748"/>
      <c r="AP611" s="2748"/>
    </row>
    <row r="612" spans="2:42" ht="18" customHeight="1">
      <c r="B612" s="2728"/>
      <c r="C612" s="2728"/>
      <c r="D612" s="2728"/>
      <c r="E612" s="2728"/>
      <c r="G612" s="2512"/>
      <c r="I612" s="2748"/>
      <c r="J612" s="2728"/>
      <c r="L612" s="2728"/>
      <c r="M612" s="2748"/>
      <c r="N612" s="2728"/>
      <c r="O612" s="2728"/>
      <c r="P612" s="2728"/>
      <c r="Q612" s="2748"/>
      <c r="R612" s="2748"/>
      <c r="S612" s="2748"/>
      <c r="T612" s="2748"/>
      <c r="U612" s="2748"/>
      <c r="V612" s="2748"/>
      <c r="W612" s="2748"/>
      <c r="X612" s="2748"/>
      <c r="Y612" s="2748"/>
      <c r="Z612" s="2748"/>
      <c r="AA612" s="2748"/>
      <c r="AB612" s="2748"/>
      <c r="AC612" s="2748"/>
      <c r="AD612" s="2748"/>
      <c r="AE612" s="2748"/>
      <c r="AF612" s="2748"/>
      <c r="AG612" s="2748"/>
      <c r="AH612" s="2748"/>
      <c r="AI612" s="2748"/>
      <c r="AK612" s="2748"/>
      <c r="AL612" s="2748"/>
      <c r="AN612" s="2748"/>
      <c r="AO612" s="2748"/>
      <c r="AP612" s="2748"/>
    </row>
    <row r="613" spans="2:42" ht="18" customHeight="1">
      <c r="B613" s="2728"/>
      <c r="C613" s="2728"/>
      <c r="D613" s="2728"/>
      <c r="E613" s="2728"/>
      <c r="G613" s="2512"/>
      <c r="I613" s="2748"/>
      <c r="J613" s="2728"/>
      <c r="L613" s="2728"/>
      <c r="M613" s="2748"/>
      <c r="N613" s="2728"/>
      <c r="O613" s="2728"/>
      <c r="P613" s="2728"/>
      <c r="Q613" s="2748"/>
      <c r="R613" s="2748"/>
      <c r="S613" s="2748"/>
      <c r="T613" s="2748"/>
      <c r="U613" s="2748"/>
      <c r="V613" s="2748"/>
      <c r="W613" s="2748"/>
      <c r="X613" s="2748"/>
      <c r="Y613" s="2748"/>
      <c r="Z613" s="2748"/>
      <c r="AA613" s="2748"/>
      <c r="AB613" s="2748"/>
      <c r="AC613" s="2748"/>
      <c r="AD613" s="2748"/>
      <c r="AE613" s="2748"/>
      <c r="AF613" s="2748"/>
      <c r="AG613" s="2748"/>
      <c r="AH613" s="2748"/>
      <c r="AI613" s="2748"/>
      <c r="AK613" s="2748"/>
      <c r="AL613" s="2748"/>
      <c r="AN613" s="2748"/>
      <c r="AO613" s="2748"/>
      <c r="AP613" s="2748"/>
    </row>
    <row r="614" spans="2:42" ht="18" customHeight="1">
      <c r="B614" s="2728"/>
      <c r="C614" s="2728"/>
      <c r="D614" s="2728"/>
      <c r="E614" s="2728"/>
      <c r="G614" s="2512"/>
      <c r="I614" s="2748"/>
      <c r="J614" s="2728"/>
      <c r="L614" s="2728"/>
      <c r="M614" s="2748"/>
      <c r="N614" s="2728"/>
      <c r="O614" s="2728"/>
      <c r="P614" s="2728"/>
      <c r="Q614" s="2748"/>
      <c r="R614" s="2748"/>
      <c r="S614" s="2748"/>
      <c r="T614" s="2748"/>
      <c r="U614" s="2748"/>
      <c r="V614" s="2748"/>
      <c r="W614" s="2748"/>
      <c r="X614" s="2748"/>
      <c r="Y614" s="2748"/>
      <c r="Z614" s="2748"/>
      <c r="AA614" s="2748"/>
      <c r="AB614" s="2748"/>
      <c r="AC614" s="2748"/>
      <c r="AD614" s="2748"/>
      <c r="AE614" s="2748"/>
      <c r="AF614" s="2748"/>
      <c r="AG614" s="2748"/>
      <c r="AH614" s="2748"/>
      <c r="AI614" s="2748"/>
      <c r="AK614" s="2748"/>
      <c r="AL614" s="2748"/>
      <c r="AN614" s="2748"/>
      <c r="AO614" s="2748"/>
      <c r="AP614" s="2748"/>
    </row>
    <row r="615" spans="2:42" ht="18" customHeight="1">
      <c r="B615" s="2728"/>
      <c r="C615" s="2728"/>
      <c r="D615" s="2728"/>
      <c r="E615" s="2728"/>
      <c r="G615" s="2512"/>
      <c r="I615" s="2748"/>
      <c r="J615" s="2728"/>
      <c r="L615" s="2728"/>
      <c r="M615" s="2748"/>
      <c r="N615" s="2728"/>
      <c r="O615" s="2728"/>
      <c r="P615" s="2728"/>
      <c r="Q615" s="2748"/>
      <c r="R615" s="2748"/>
      <c r="S615" s="2748"/>
      <c r="T615" s="2748"/>
      <c r="U615" s="2748"/>
      <c r="V615" s="2748"/>
      <c r="W615" s="2748"/>
      <c r="X615" s="2748"/>
      <c r="Y615" s="2748"/>
      <c r="Z615" s="2748"/>
      <c r="AA615" s="2748"/>
      <c r="AB615" s="2748"/>
      <c r="AC615" s="2748"/>
      <c r="AD615" s="2748"/>
      <c r="AE615" s="2748"/>
      <c r="AF615" s="2748"/>
      <c r="AG615" s="2748"/>
      <c r="AH615" s="2748"/>
      <c r="AI615" s="2748"/>
      <c r="AK615" s="2748"/>
      <c r="AL615" s="2748"/>
      <c r="AN615" s="2748"/>
      <c r="AO615" s="2748"/>
      <c r="AP615" s="2748"/>
    </row>
    <row r="616" spans="2:42" ht="18" customHeight="1">
      <c r="B616" s="2728"/>
      <c r="C616" s="2728"/>
      <c r="D616" s="2728"/>
      <c r="E616" s="2728"/>
      <c r="G616" s="2512"/>
      <c r="I616" s="2748"/>
      <c r="J616" s="2728"/>
      <c r="L616" s="2728"/>
      <c r="M616" s="2748"/>
      <c r="N616" s="2728"/>
      <c r="O616" s="2728"/>
      <c r="P616" s="2728"/>
      <c r="Q616" s="2748"/>
      <c r="R616" s="2748"/>
      <c r="S616" s="2748"/>
      <c r="T616" s="2748"/>
      <c r="U616" s="2748"/>
      <c r="V616" s="2748"/>
      <c r="W616" s="2748"/>
      <c r="X616" s="2748"/>
      <c r="Y616" s="2748"/>
      <c r="Z616" s="2748"/>
      <c r="AA616" s="2748"/>
      <c r="AB616" s="2748"/>
      <c r="AC616" s="2748"/>
      <c r="AD616" s="2748"/>
      <c r="AE616" s="2748"/>
      <c r="AF616" s="2748"/>
      <c r="AG616" s="2748"/>
      <c r="AH616" s="2748"/>
      <c r="AI616" s="2748"/>
      <c r="AK616" s="2748"/>
      <c r="AL616" s="2748"/>
      <c r="AN616" s="2748"/>
      <c r="AO616" s="2748"/>
      <c r="AP616" s="2748"/>
    </row>
    <row r="617" spans="2:42" ht="18" customHeight="1">
      <c r="B617" s="2728"/>
      <c r="C617" s="2728"/>
      <c r="D617" s="2728"/>
      <c r="E617" s="2728"/>
      <c r="G617" s="2512"/>
      <c r="I617" s="2748"/>
      <c r="J617" s="2728"/>
      <c r="L617" s="2728"/>
      <c r="M617" s="2748"/>
      <c r="N617" s="2728"/>
      <c r="O617" s="2728"/>
      <c r="P617" s="2728"/>
      <c r="Q617" s="2748"/>
      <c r="R617" s="2748"/>
      <c r="S617" s="2748"/>
      <c r="T617" s="2748"/>
      <c r="U617" s="2748"/>
      <c r="V617" s="2748"/>
      <c r="W617" s="2748"/>
      <c r="X617" s="2748"/>
      <c r="Y617" s="2748"/>
      <c r="Z617" s="2748"/>
      <c r="AA617" s="2748"/>
      <c r="AB617" s="2748"/>
      <c r="AC617" s="2748"/>
      <c r="AD617" s="2748"/>
      <c r="AE617" s="2748"/>
      <c r="AF617" s="2748"/>
      <c r="AG617" s="2748"/>
      <c r="AH617" s="2748"/>
      <c r="AI617" s="2748"/>
      <c r="AK617" s="2748"/>
      <c r="AL617" s="2748"/>
      <c r="AN617" s="2748"/>
      <c r="AO617" s="2748"/>
      <c r="AP617" s="2748"/>
    </row>
    <row r="618" spans="2:42" ht="18" customHeight="1">
      <c r="B618" s="2728"/>
      <c r="C618" s="2728"/>
      <c r="D618" s="2728"/>
      <c r="E618" s="2728"/>
      <c r="G618" s="2512"/>
      <c r="I618" s="2748"/>
      <c r="J618" s="2728"/>
      <c r="L618" s="2728"/>
      <c r="M618" s="2748"/>
      <c r="N618" s="2728"/>
      <c r="O618" s="2728"/>
      <c r="P618" s="2728"/>
      <c r="Q618" s="2748"/>
      <c r="R618" s="2748"/>
      <c r="S618" s="2748"/>
      <c r="T618" s="2748"/>
      <c r="U618" s="2748"/>
      <c r="V618" s="2748"/>
      <c r="W618" s="2748"/>
      <c r="X618" s="2748"/>
      <c r="Y618" s="2748"/>
      <c r="Z618" s="2748"/>
      <c r="AA618" s="2748"/>
      <c r="AB618" s="2748"/>
      <c r="AC618" s="2748"/>
      <c r="AD618" s="2748"/>
      <c r="AE618" s="2748"/>
      <c r="AF618" s="2748"/>
      <c r="AG618" s="2748"/>
      <c r="AH618" s="2748"/>
      <c r="AI618" s="2748"/>
      <c r="AK618" s="2748"/>
      <c r="AL618" s="2748"/>
      <c r="AN618" s="2748"/>
      <c r="AO618" s="2748"/>
      <c r="AP618" s="2748"/>
    </row>
    <row r="619" spans="2:42" ht="18" customHeight="1">
      <c r="B619" s="2728"/>
      <c r="C619" s="2728"/>
      <c r="D619" s="2728"/>
      <c r="E619" s="2728"/>
      <c r="G619" s="2512"/>
      <c r="I619" s="2748"/>
      <c r="J619" s="2728"/>
      <c r="L619" s="2728"/>
      <c r="M619" s="2748"/>
      <c r="N619" s="2728"/>
      <c r="O619" s="2728"/>
      <c r="P619" s="2728"/>
      <c r="Q619" s="2748"/>
      <c r="R619" s="2748"/>
      <c r="S619" s="2748"/>
      <c r="T619" s="2748"/>
      <c r="U619" s="2748"/>
      <c r="V619" s="2748"/>
      <c r="W619" s="2748"/>
      <c r="X619" s="2748"/>
      <c r="Y619" s="2748"/>
      <c r="Z619" s="2748"/>
      <c r="AA619" s="2748"/>
      <c r="AB619" s="2748"/>
      <c r="AC619" s="2748"/>
      <c r="AD619" s="2748"/>
      <c r="AE619" s="2748"/>
      <c r="AF619" s="2748"/>
      <c r="AG619" s="2748"/>
      <c r="AH619" s="2748"/>
      <c r="AI619" s="2748"/>
      <c r="AK619" s="2748"/>
      <c r="AL619" s="2748"/>
      <c r="AN619" s="2748"/>
      <c r="AO619" s="2748"/>
      <c r="AP619" s="2748"/>
    </row>
    <row r="620" spans="2:42" ht="18" customHeight="1">
      <c r="B620" s="2728"/>
      <c r="C620" s="2728"/>
      <c r="D620" s="2728"/>
      <c r="E620" s="2728"/>
      <c r="G620" s="2512"/>
      <c r="I620" s="2748"/>
      <c r="J620" s="2728"/>
      <c r="L620" s="2728"/>
      <c r="M620" s="2748"/>
      <c r="N620" s="2728"/>
      <c r="O620" s="2728"/>
      <c r="P620" s="2728"/>
      <c r="Q620" s="2748"/>
      <c r="R620" s="2748"/>
      <c r="S620" s="2748"/>
      <c r="T620" s="2748"/>
      <c r="U620" s="2748"/>
      <c r="V620" s="2748"/>
      <c r="W620" s="2748"/>
      <c r="X620" s="2748"/>
      <c r="Y620" s="2748"/>
      <c r="Z620" s="2748"/>
      <c r="AA620" s="2748"/>
      <c r="AB620" s="2748"/>
      <c r="AC620" s="2748"/>
      <c r="AD620" s="2748"/>
      <c r="AE620" s="2748"/>
      <c r="AF620" s="2748"/>
      <c r="AG620" s="2748"/>
      <c r="AH620" s="2748"/>
      <c r="AI620" s="2748"/>
      <c r="AK620" s="2748"/>
      <c r="AL620" s="2748"/>
      <c r="AN620" s="2748"/>
      <c r="AO620" s="2748"/>
      <c r="AP620" s="2748"/>
    </row>
    <row r="621" spans="2:42" ht="18" customHeight="1">
      <c r="B621" s="2728"/>
      <c r="C621" s="2728"/>
      <c r="D621" s="2728"/>
      <c r="E621" s="2728"/>
      <c r="G621" s="2512"/>
      <c r="I621" s="2748"/>
      <c r="J621" s="2728"/>
      <c r="L621" s="2728"/>
      <c r="M621" s="2748"/>
      <c r="N621" s="2728"/>
      <c r="O621" s="2728"/>
      <c r="P621" s="2728"/>
      <c r="Q621" s="2748"/>
      <c r="R621" s="2748"/>
      <c r="S621" s="2748"/>
      <c r="T621" s="2748"/>
      <c r="U621" s="2748"/>
      <c r="V621" s="2748"/>
      <c r="W621" s="2748"/>
      <c r="X621" s="2748"/>
      <c r="Y621" s="2748"/>
      <c r="Z621" s="2748"/>
      <c r="AA621" s="2748"/>
      <c r="AB621" s="2748"/>
      <c r="AC621" s="2748"/>
      <c r="AD621" s="2748"/>
      <c r="AE621" s="2748"/>
      <c r="AF621" s="2748"/>
      <c r="AG621" s="2748"/>
      <c r="AH621" s="2748"/>
      <c r="AI621" s="2748"/>
      <c r="AK621" s="2748"/>
      <c r="AL621" s="2748"/>
      <c r="AN621" s="2748"/>
      <c r="AO621" s="2748"/>
      <c r="AP621" s="2748"/>
    </row>
    <row r="622" spans="2:42" ht="18" customHeight="1">
      <c r="B622" s="2728"/>
      <c r="C622" s="2728"/>
      <c r="D622" s="2728"/>
      <c r="E622" s="2728"/>
      <c r="G622" s="2512"/>
      <c r="I622" s="2748"/>
      <c r="J622" s="2728"/>
      <c r="L622" s="2728"/>
      <c r="M622" s="2748"/>
      <c r="N622" s="2728"/>
      <c r="O622" s="2728"/>
      <c r="P622" s="2728"/>
      <c r="Q622" s="2748"/>
      <c r="R622" s="2748"/>
      <c r="S622" s="2748"/>
      <c r="T622" s="2748"/>
      <c r="U622" s="2748"/>
      <c r="V622" s="2748"/>
      <c r="W622" s="2748"/>
      <c r="X622" s="2748"/>
      <c r="Y622" s="2748"/>
      <c r="Z622" s="2748"/>
      <c r="AA622" s="2748"/>
      <c r="AB622" s="2748"/>
      <c r="AC622" s="2748"/>
      <c r="AD622" s="2748"/>
      <c r="AE622" s="2748"/>
      <c r="AF622" s="2748"/>
      <c r="AG622" s="2748"/>
      <c r="AH622" s="2748"/>
      <c r="AI622" s="2748"/>
      <c r="AK622" s="2748"/>
      <c r="AL622" s="2748"/>
      <c r="AN622" s="2748"/>
      <c r="AO622" s="2748"/>
      <c r="AP622" s="2748"/>
    </row>
    <row r="623" spans="2:42" ht="18" customHeight="1">
      <c r="B623" s="2728"/>
      <c r="C623" s="2728"/>
      <c r="D623" s="2728"/>
      <c r="E623" s="2728"/>
      <c r="G623" s="2512"/>
      <c r="I623" s="2748"/>
      <c r="J623" s="2728"/>
      <c r="L623" s="2728"/>
      <c r="M623" s="2748"/>
      <c r="N623" s="2728"/>
      <c r="O623" s="2728"/>
      <c r="P623" s="2728"/>
      <c r="Q623" s="2748"/>
      <c r="R623" s="2748"/>
      <c r="S623" s="2748"/>
      <c r="T623" s="2748"/>
      <c r="U623" s="2748"/>
      <c r="V623" s="2748"/>
      <c r="W623" s="2748"/>
      <c r="X623" s="2748"/>
      <c r="Y623" s="2748"/>
      <c r="Z623" s="2748"/>
      <c r="AA623" s="2748"/>
      <c r="AB623" s="2748"/>
      <c r="AC623" s="2748"/>
      <c r="AD623" s="2748"/>
      <c r="AE623" s="2748"/>
      <c r="AF623" s="2748"/>
      <c r="AG623" s="2748"/>
      <c r="AH623" s="2748"/>
      <c r="AI623" s="2748"/>
      <c r="AK623" s="2748"/>
      <c r="AL623" s="2748"/>
      <c r="AN623" s="2748"/>
      <c r="AO623" s="2748"/>
      <c r="AP623" s="2748"/>
    </row>
    <row r="624" spans="2:42" ht="18" customHeight="1">
      <c r="B624" s="2728"/>
      <c r="C624" s="2728"/>
      <c r="D624" s="2728"/>
      <c r="E624" s="2728"/>
      <c r="G624" s="2512"/>
      <c r="I624" s="2748"/>
      <c r="J624" s="2728"/>
      <c r="L624" s="2728"/>
      <c r="M624" s="2748"/>
      <c r="N624" s="2728"/>
      <c r="O624" s="2728"/>
      <c r="P624" s="2728"/>
      <c r="Q624" s="2748"/>
      <c r="R624" s="2748"/>
      <c r="S624" s="2748"/>
      <c r="T624" s="2748"/>
      <c r="U624" s="2748"/>
      <c r="V624" s="2748"/>
      <c r="W624" s="2748"/>
      <c r="X624" s="2748"/>
      <c r="Y624" s="2748"/>
      <c r="Z624" s="2748"/>
      <c r="AA624" s="2748"/>
      <c r="AB624" s="2748"/>
      <c r="AC624" s="2748"/>
      <c r="AD624" s="2748"/>
      <c r="AE624" s="2748"/>
      <c r="AF624" s="2748"/>
      <c r="AG624" s="2748"/>
      <c r="AH624" s="2748"/>
      <c r="AI624" s="2748"/>
      <c r="AK624" s="2748"/>
      <c r="AL624" s="2748"/>
      <c r="AN624" s="2748"/>
      <c r="AO624" s="2748"/>
      <c r="AP624" s="2748"/>
    </row>
    <row r="625" spans="2:42" ht="18" customHeight="1">
      <c r="B625" s="2728"/>
      <c r="C625" s="2728"/>
      <c r="D625" s="2728"/>
      <c r="E625" s="2728"/>
      <c r="G625" s="2512"/>
      <c r="I625" s="2748"/>
      <c r="J625" s="2728"/>
      <c r="L625" s="2728"/>
      <c r="M625" s="2748"/>
      <c r="N625" s="2728"/>
      <c r="O625" s="2728"/>
      <c r="P625" s="2728"/>
      <c r="Q625" s="2748"/>
      <c r="R625" s="2748"/>
      <c r="S625" s="2748"/>
      <c r="T625" s="2748"/>
      <c r="U625" s="2748"/>
      <c r="V625" s="2748"/>
      <c r="W625" s="2748"/>
      <c r="X625" s="2748"/>
      <c r="Y625" s="2748"/>
      <c r="Z625" s="2748"/>
      <c r="AA625" s="2748"/>
      <c r="AB625" s="2748"/>
      <c r="AC625" s="2748"/>
      <c r="AD625" s="2748"/>
      <c r="AE625" s="2748"/>
      <c r="AF625" s="2748"/>
      <c r="AG625" s="2748"/>
      <c r="AH625" s="2748"/>
      <c r="AI625" s="2748"/>
      <c r="AK625" s="2748"/>
      <c r="AL625" s="2748"/>
      <c r="AN625" s="2748"/>
      <c r="AO625" s="2748"/>
      <c r="AP625" s="2748"/>
    </row>
    <row r="626" spans="2:42" ht="18" customHeight="1">
      <c r="B626" s="2728"/>
      <c r="C626" s="2728"/>
      <c r="D626" s="2728"/>
      <c r="E626" s="2728"/>
      <c r="G626" s="2512"/>
      <c r="I626" s="2748"/>
      <c r="J626" s="2728"/>
      <c r="L626" s="2728"/>
      <c r="M626" s="2748"/>
      <c r="N626" s="2728"/>
      <c r="O626" s="2728"/>
      <c r="P626" s="2728"/>
      <c r="Q626" s="2748"/>
      <c r="R626" s="2748"/>
      <c r="S626" s="2748"/>
      <c r="T626" s="2748"/>
      <c r="U626" s="2748"/>
      <c r="V626" s="2748"/>
      <c r="W626" s="2748"/>
      <c r="X626" s="2748"/>
      <c r="Y626" s="2748"/>
      <c r="Z626" s="2748"/>
      <c r="AA626" s="2748"/>
      <c r="AB626" s="2748"/>
      <c r="AC626" s="2748"/>
      <c r="AD626" s="2748"/>
      <c r="AE626" s="2748"/>
      <c r="AF626" s="2748"/>
      <c r="AG626" s="2748"/>
      <c r="AH626" s="2748"/>
      <c r="AI626" s="2748"/>
      <c r="AK626" s="2748"/>
      <c r="AL626" s="2748"/>
      <c r="AN626" s="2748"/>
      <c r="AO626" s="2748"/>
      <c r="AP626" s="2748"/>
    </row>
    <row r="627" spans="2:42" ht="18" customHeight="1">
      <c r="B627" s="2728"/>
      <c r="C627" s="2728"/>
      <c r="D627" s="2728"/>
      <c r="E627" s="2728"/>
      <c r="G627" s="2512"/>
      <c r="I627" s="2748"/>
      <c r="J627" s="2728"/>
      <c r="L627" s="2728"/>
      <c r="M627" s="2748"/>
      <c r="N627" s="2728"/>
      <c r="O627" s="2728"/>
      <c r="P627" s="2728"/>
      <c r="Q627" s="2748"/>
      <c r="R627" s="2748"/>
      <c r="S627" s="2748"/>
      <c r="T627" s="2748"/>
      <c r="U627" s="2748"/>
      <c r="V627" s="2748"/>
      <c r="W627" s="2748"/>
      <c r="X627" s="2748"/>
      <c r="Y627" s="2748"/>
      <c r="Z627" s="2748"/>
      <c r="AA627" s="2748"/>
      <c r="AB627" s="2748"/>
      <c r="AC627" s="2748"/>
      <c r="AD627" s="2748"/>
      <c r="AE627" s="2748"/>
      <c r="AF627" s="2748"/>
      <c r="AG627" s="2748"/>
      <c r="AH627" s="2748"/>
      <c r="AI627" s="2748"/>
      <c r="AK627" s="2748"/>
      <c r="AL627" s="2748"/>
      <c r="AN627" s="2748"/>
      <c r="AO627" s="2748"/>
      <c r="AP627" s="2748"/>
    </row>
    <row r="628" spans="2:42" ht="18" customHeight="1">
      <c r="B628" s="2728"/>
      <c r="C628" s="2728"/>
      <c r="D628" s="2728"/>
      <c r="E628" s="2728"/>
      <c r="G628" s="2512"/>
      <c r="I628" s="2748"/>
      <c r="J628" s="2728"/>
      <c r="L628" s="2728"/>
      <c r="M628" s="2748"/>
      <c r="N628" s="2728"/>
      <c r="O628" s="2728"/>
      <c r="P628" s="2728"/>
      <c r="Q628" s="2748"/>
      <c r="R628" s="2748"/>
      <c r="S628" s="2748"/>
      <c r="T628" s="2748"/>
      <c r="U628" s="2748"/>
      <c r="V628" s="2748"/>
      <c r="W628" s="2748"/>
      <c r="X628" s="2748"/>
      <c r="Y628" s="2748"/>
      <c r="Z628" s="2748"/>
      <c r="AA628" s="2748"/>
      <c r="AB628" s="2748"/>
      <c r="AC628" s="2748"/>
      <c r="AD628" s="2748"/>
      <c r="AE628" s="2748"/>
      <c r="AF628" s="2748"/>
      <c r="AG628" s="2748"/>
      <c r="AH628" s="2748"/>
      <c r="AI628" s="2748"/>
      <c r="AK628" s="2748"/>
      <c r="AL628" s="2748"/>
      <c r="AN628" s="2748"/>
      <c r="AO628" s="2748"/>
      <c r="AP628" s="2748"/>
    </row>
    <row r="629" spans="2:42" ht="18" customHeight="1">
      <c r="B629" s="2728"/>
      <c r="C629" s="2728"/>
      <c r="D629" s="2728"/>
      <c r="E629" s="2728"/>
      <c r="G629" s="2512"/>
      <c r="I629" s="2748"/>
      <c r="J629" s="2728"/>
      <c r="L629" s="2728"/>
      <c r="M629" s="2748"/>
      <c r="N629" s="2728"/>
      <c r="O629" s="2728"/>
      <c r="P629" s="2728"/>
      <c r="Q629" s="2748"/>
      <c r="R629" s="2748"/>
      <c r="S629" s="2748"/>
      <c r="T629" s="2748"/>
      <c r="U629" s="2748"/>
      <c r="V629" s="2748"/>
      <c r="W629" s="2748"/>
      <c r="X629" s="2748"/>
      <c r="Y629" s="2748"/>
      <c r="Z629" s="2748"/>
      <c r="AA629" s="2748"/>
      <c r="AB629" s="2748"/>
      <c r="AC629" s="2748"/>
      <c r="AD629" s="2748"/>
      <c r="AE629" s="2748"/>
      <c r="AF629" s="2748"/>
      <c r="AG629" s="2748"/>
      <c r="AH629" s="2748"/>
      <c r="AI629" s="2748"/>
      <c r="AK629" s="2748"/>
      <c r="AL629" s="2748"/>
      <c r="AN629" s="2748"/>
      <c r="AO629" s="2748"/>
      <c r="AP629" s="2748"/>
    </row>
    <row r="630" spans="2:42" ht="18" customHeight="1">
      <c r="B630" s="2728"/>
      <c r="C630" s="2728"/>
      <c r="D630" s="2728"/>
      <c r="E630" s="2728"/>
      <c r="G630" s="2512"/>
      <c r="I630" s="2748"/>
      <c r="J630" s="2728"/>
      <c r="L630" s="2728"/>
      <c r="M630" s="2748"/>
      <c r="N630" s="2728"/>
      <c r="O630" s="2728"/>
      <c r="P630" s="2728"/>
      <c r="Q630" s="2748"/>
      <c r="R630" s="2748"/>
      <c r="S630" s="2748"/>
      <c r="T630" s="2748"/>
      <c r="U630" s="2748"/>
      <c r="V630" s="2748"/>
      <c r="W630" s="2748"/>
      <c r="X630" s="2748"/>
      <c r="Y630" s="2748"/>
      <c r="Z630" s="2748"/>
      <c r="AA630" s="2748"/>
      <c r="AB630" s="2748"/>
      <c r="AC630" s="2748"/>
      <c r="AD630" s="2748"/>
      <c r="AE630" s="2748"/>
      <c r="AF630" s="2748"/>
      <c r="AG630" s="2748"/>
      <c r="AH630" s="2748"/>
      <c r="AI630" s="2748"/>
      <c r="AK630" s="2748"/>
      <c r="AL630" s="2748"/>
      <c r="AN630" s="2748"/>
      <c r="AO630" s="2748"/>
      <c r="AP630" s="2748"/>
    </row>
    <row r="631" spans="2:42" ht="18" customHeight="1">
      <c r="B631" s="2728"/>
      <c r="C631" s="2728"/>
      <c r="D631" s="2728"/>
      <c r="E631" s="2728"/>
      <c r="G631" s="2512"/>
      <c r="I631" s="2748"/>
      <c r="J631" s="2728"/>
      <c r="L631" s="2728"/>
      <c r="M631" s="2748"/>
      <c r="N631" s="2728"/>
      <c r="O631" s="2728"/>
      <c r="P631" s="2728"/>
      <c r="Q631" s="2748"/>
      <c r="R631" s="2748"/>
      <c r="S631" s="2748"/>
      <c r="T631" s="2748"/>
      <c r="U631" s="2748"/>
      <c r="V631" s="2748"/>
      <c r="W631" s="2748"/>
      <c r="X631" s="2748"/>
      <c r="Y631" s="2748"/>
      <c r="Z631" s="2748"/>
      <c r="AA631" s="2748"/>
      <c r="AB631" s="2748"/>
      <c r="AC631" s="2748"/>
      <c r="AD631" s="2748"/>
      <c r="AE631" s="2748"/>
      <c r="AF631" s="2748"/>
      <c r="AG631" s="2748"/>
      <c r="AH631" s="2748"/>
      <c r="AI631" s="2748"/>
      <c r="AK631" s="2748"/>
      <c r="AL631" s="2748"/>
      <c r="AN631" s="2748"/>
      <c r="AO631" s="2748"/>
      <c r="AP631" s="2748"/>
    </row>
    <row r="632" spans="2:42" ht="18" customHeight="1">
      <c r="B632" s="2728"/>
      <c r="C632" s="2728"/>
      <c r="D632" s="2728"/>
      <c r="E632" s="2728"/>
      <c r="G632" s="2512"/>
      <c r="I632" s="2748"/>
      <c r="J632" s="2728"/>
      <c r="L632" s="2728"/>
      <c r="M632" s="2748"/>
      <c r="N632" s="2728"/>
      <c r="O632" s="2728"/>
      <c r="P632" s="2728"/>
      <c r="Q632" s="2748"/>
      <c r="R632" s="2748"/>
      <c r="S632" s="2748"/>
      <c r="T632" s="2748"/>
      <c r="U632" s="2748"/>
      <c r="V632" s="2748"/>
      <c r="W632" s="2748"/>
      <c r="X632" s="2748"/>
      <c r="Y632" s="2748"/>
      <c r="Z632" s="2748"/>
      <c r="AA632" s="2748"/>
      <c r="AB632" s="2748"/>
      <c r="AC632" s="2748"/>
      <c r="AD632" s="2748"/>
      <c r="AE632" s="2748"/>
      <c r="AF632" s="2748"/>
      <c r="AG632" s="2748"/>
      <c r="AH632" s="2748"/>
      <c r="AI632" s="2748"/>
      <c r="AK632" s="2748"/>
      <c r="AL632" s="2748"/>
      <c r="AN632" s="2748"/>
      <c r="AO632" s="2748"/>
      <c r="AP632" s="2748"/>
    </row>
    <row r="633" spans="2:42" ht="18" customHeight="1">
      <c r="B633" s="2728"/>
      <c r="C633" s="2728"/>
      <c r="D633" s="2728"/>
      <c r="E633" s="2728"/>
      <c r="G633" s="2512"/>
      <c r="I633" s="2748"/>
      <c r="J633" s="2728"/>
      <c r="L633" s="2728"/>
      <c r="M633" s="2748"/>
      <c r="N633" s="2728"/>
      <c r="O633" s="2728"/>
      <c r="P633" s="2728"/>
      <c r="Q633" s="2748"/>
      <c r="R633" s="2748"/>
      <c r="S633" s="2748"/>
      <c r="T633" s="2748"/>
      <c r="U633" s="2748"/>
      <c r="V633" s="2748"/>
      <c r="W633" s="2748"/>
      <c r="X633" s="2748"/>
      <c r="Y633" s="2748"/>
      <c r="Z633" s="2748"/>
      <c r="AA633" s="2748"/>
      <c r="AB633" s="2748"/>
      <c r="AC633" s="2748"/>
      <c r="AD633" s="2748"/>
      <c r="AE633" s="2748"/>
      <c r="AF633" s="2748"/>
      <c r="AG633" s="2748"/>
      <c r="AH633" s="2748"/>
      <c r="AI633" s="2748"/>
      <c r="AK633" s="2748"/>
      <c r="AL633" s="2748"/>
      <c r="AN633" s="2748"/>
      <c r="AO633" s="2748"/>
      <c r="AP633" s="2748"/>
    </row>
    <row r="634" spans="2:42" ht="18" customHeight="1">
      <c r="B634" s="2728"/>
      <c r="C634" s="2728"/>
      <c r="D634" s="2728"/>
      <c r="E634" s="2728"/>
      <c r="G634" s="2512"/>
      <c r="I634" s="2748"/>
      <c r="J634" s="2728"/>
      <c r="L634" s="2728"/>
      <c r="M634" s="2748"/>
      <c r="N634" s="2728"/>
      <c r="O634" s="2728"/>
      <c r="P634" s="2728"/>
      <c r="Q634" s="2748"/>
      <c r="R634" s="2748"/>
      <c r="S634" s="2748"/>
      <c r="T634" s="2748"/>
      <c r="U634" s="2748"/>
      <c r="V634" s="2748"/>
      <c r="W634" s="2748"/>
      <c r="X634" s="2748"/>
      <c r="Y634" s="2748"/>
      <c r="Z634" s="2748"/>
      <c r="AA634" s="2748"/>
      <c r="AB634" s="2748"/>
      <c r="AC634" s="2748"/>
      <c r="AD634" s="2748"/>
      <c r="AE634" s="2748"/>
      <c r="AF634" s="2748"/>
      <c r="AG634" s="2748"/>
      <c r="AH634" s="2748"/>
      <c r="AI634" s="2748"/>
      <c r="AK634" s="2748"/>
      <c r="AL634" s="2748"/>
      <c r="AN634" s="2748"/>
      <c r="AO634" s="2748"/>
      <c r="AP634" s="2748"/>
    </row>
    <row r="635" spans="2:42" ht="18" customHeight="1">
      <c r="B635" s="2728"/>
      <c r="C635" s="2728"/>
      <c r="D635" s="2728"/>
      <c r="E635" s="2728"/>
      <c r="G635" s="2512"/>
      <c r="I635" s="2748"/>
      <c r="J635" s="2728"/>
      <c r="L635" s="2728"/>
      <c r="M635" s="2748"/>
      <c r="N635" s="2728"/>
      <c r="O635" s="2728"/>
      <c r="P635" s="2728"/>
      <c r="Q635" s="2748"/>
      <c r="R635" s="2748"/>
      <c r="S635" s="2748"/>
      <c r="T635" s="2748"/>
      <c r="U635" s="2748"/>
      <c r="V635" s="2748"/>
      <c r="W635" s="2748"/>
      <c r="X635" s="2748"/>
      <c r="Y635" s="2748"/>
      <c r="Z635" s="2748"/>
      <c r="AA635" s="2748"/>
      <c r="AB635" s="2748"/>
      <c r="AC635" s="2748"/>
      <c r="AD635" s="2748"/>
      <c r="AE635" s="2748"/>
      <c r="AF635" s="2748"/>
      <c r="AG635" s="2748"/>
      <c r="AH635" s="2748"/>
      <c r="AI635" s="2748"/>
      <c r="AK635" s="2748"/>
      <c r="AL635" s="2748"/>
      <c r="AN635" s="2748"/>
      <c r="AO635" s="2748"/>
      <c r="AP635" s="2748"/>
    </row>
    <row r="636" spans="2:42" ht="18" customHeight="1">
      <c r="B636" s="2728"/>
      <c r="C636" s="2728"/>
      <c r="D636" s="2728"/>
      <c r="E636" s="2728"/>
      <c r="G636" s="2512"/>
      <c r="I636" s="2748"/>
      <c r="J636" s="2728"/>
      <c r="L636" s="2728"/>
      <c r="M636" s="2748"/>
      <c r="N636" s="2728"/>
      <c r="O636" s="2728"/>
      <c r="P636" s="2728"/>
      <c r="Q636" s="2748"/>
      <c r="R636" s="2748"/>
      <c r="S636" s="2748"/>
      <c r="T636" s="2748"/>
      <c r="U636" s="2748"/>
      <c r="V636" s="2748"/>
      <c r="W636" s="2748"/>
      <c r="X636" s="2748"/>
      <c r="Y636" s="2748"/>
      <c r="Z636" s="2748"/>
      <c r="AA636" s="2748"/>
      <c r="AB636" s="2748"/>
      <c r="AC636" s="2748"/>
      <c r="AD636" s="2748"/>
      <c r="AE636" s="2748"/>
      <c r="AF636" s="2748"/>
      <c r="AG636" s="2748"/>
      <c r="AH636" s="2748"/>
      <c r="AI636" s="2748"/>
      <c r="AK636" s="2748"/>
      <c r="AL636" s="2748"/>
      <c r="AN636" s="2748"/>
      <c r="AO636" s="2748"/>
      <c r="AP636" s="2748"/>
    </row>
    <row r="637" spans="2:42" ht="18" customHeight="1">
      <c r="B637" s="2728"/>
      <c r="C637" s="2728"/>
      <c r="D637" s="2728"/>
      <c r="E637" s="2728"/>
      <c r="G637" s="2512"/>
      <c r="I637" s="2748"/>
      <c r="J637" s="2728"/>
      <c r="L637" s="2728"/>
      <c r="M637" s="2748"/>
      <c r="N637" s="2728"/>
      <c r="O637" s="2728"/>
      <c r="P637" s="2728"/>
      <c r="Q637" s="2748"/>
      <c r="R637" s="2748"/>
      <c r="S637" s="2748"/>
      <c r="T637" s="2748"/>
      <c r="U637" s="2748"/>
      <c r="V637" s="2748"/>
      <c r="W637" s="2748"/>
      <c r="X637" s="2748"/>
      <c r="Y637" s="2748"/>
      <c r="Z637" s="2748"/>
      <c r="AA637" s="2748"/>
      <c r="AB637" s="2748"/>
      <c r="AC637" s="2748"/>
      <c r="AD637" s="2748"/>
      <c r="AE637" s="2748"/>
      <c r="AF637" s="2748"/>
      <c r="AG637" s="2748"/>
      <c r="AH637" s="2748"/>
      <c r="AI637" s="2748"/>
      <c r="AK637" s="2748"/>
      <c r="AL637" s="2748"/>
      <c r="AN637" s="2748"/>
      <c r="AO637" s="2748"/>
      <c r="AP637" s="2748"/>
    </row>
    <row r="638" spans="2:42" ht="18" customHeight="1">
      <c r="B638" s="2728"/>
      <c r="C638" s="2728"/>
      <c r="D638" s="2728"/>
      <c r="E638" s="2728"/>
      <c r="G638" s="2512"/>
      <c r="I638" s="2748"/>
      <c r="J638" s="2728"/>
      <c r="L638" s="2728"/>
      <c r="M638" s="2748"/>
      <c r="N638" s="2728"/>
      <c r="O638" s="2728"/>
      <c r="P638" s="2728"/>
      <c r="Q638" s="2748"/>
      <c r="R638" s="2748"/>
      <c r="S638" s="2748"/>
      <c r="T638" s="2748"/>
      <c r="U638" s="2748"/>
      <c r="V638" s="2748"/>
      <c r="W638" s="2748"/>
      <c r="X638" s="2748"/>
      <c r="Y638" s="2748"/>
      <c r="Z638" s="2748"/>
      <c r="AA638" s="2748"/>
      <c r="AB638" s="2748"/>
      <c r="AC638" s="2748"/>
      <c r="AD638" s="2748"/>
      <c r="AE638" s="2748"/>
      <c r="AF638" s="2748"/>
      <c r="AG638" s="2748"/>
      <c r="AH638" s="2748"/>
      <c r="AI638" s="2748"/>
      <c r="AK638" s="2748"/>
      <c r="AL638" s="2748"/>
      <c r="AN638" s="2748"/>
      <c r="AO638" s="2748"/>
      <c r="AP638" s="2748"/>
    </row>
    <row r="639" spans="2:42" ht="18" customHeight="1">
      <c r="B639" s="2728"/>
      <c r="C639" s="2728"/>
      <c r="D639" s="2728"/>
      <c r="E639" s="2728"/>
      <c r="G639" s="2512"/>
      <c r="I639" s="2748"/>
      <c r="J639" s="2728"/>
      <c r="L639" s="2728"/>
      <c r="M639" s="2748"/>
      <c r="N639" s="2728"/>
      <c r="O639" s="2728"/>
      <c r="P639" s="2728"/>
      <c r="Q639" s="2748"/>
      <c r="R639" s="2748"/>
      <c r="S639" s="2748"/>
      <c r="T639" s="2748"/>
      <c r="U639" s="2748"/>
      <c r="V639" s="2748"/>
      <c r="W639" s="2748"/>
      <c r="X639" s="2748"/>
      <c r="Y639" s="2748"/>
      <c r="Z639" s="2748"/>
      <c r="AA639" s="2748"/>
      <c r="AB639" s="2748"/>
      <c r="AC639" s="2748"/>
      <c r="AD639" s="2748"/>
      <c r="AE639" s="2748"/>
      <c r="AF639" s="2748"/>
      <c r="AG639" s="2748"/>
      <c r="AH639" s="2748"/>
      <c r="AI639" s="2748"/>
      <c r="AK639" s="2748"/>
      <c r="AL639" s="2748"/>
      <c r="AN639" s="2748"/>
      <c r="AO639" s="2748"/>
      <c r="AP639" s="2748"/>
    </row>
    <row r="640" spans="2:42" ht="18" customHeight="1">
      <c r="B640" s="2728"/>
      <c r="C640" s="2728"/>
      <c r="D640" s="2728"/>
      <c r="E640" s="2728"/>
      <c r="G640" s="2512"/>
      <c r="I640" s="2748"/>
      <c r="J640" s="2728"/>
      <c r="L640" s="2728"/>
      <c r="M640" s="2748"/>
      <c r="N640" s="2728"/>
      <c r="O640" s="2728"/>
      <c r="P640" s="2728"/>
      <c r="Q640" s="2748"/>
      <c r="R640" s="2748"/>
      <c r="S640" s="2748"/>
      <c r="T640" s="2748"/>
      <c r="U640" s="2748"/>
      <c r="V640" s="2748"/>
      <c r="W640" s="2748"/>
      <c r="X640" s="2748"/>
      <c r="Y640" s="2748"/>
      <c r="Z640" s="2748"/>
      <c r="AA640" s="2748"/>
      <c r="AB640" s="2748"/>
      <c r="AC640" s="2748"/>
      <c r="AD640" s="2748"/>
      <c r="AE640" s="2748"/>
      <c r="AF640" s="2748"/>
      <c r="AG640" s="2748"/>
      <c r="AH640" s="2748"/>
      <c r="AI640" s="2748"/>
      <c r="AK640" s="2748"/>
      <c r="AL640" s="2748"/>
      <c r="AN640" s="2748"/>
      <c r="AO640" s="2748"/>
      <c r="AP640" s="2748"/>
    </row>
    <row r="641" spans="2:42" ht="18" customHeight="1">
      <c r="B641" s="2728"/>
      <c r="C641" s="2728"/>
      <c r="D641" s="2728"/>
      <c r="E641" s="2728"/>
      <c r="G641" s="2512"/>
      <c r="I641" s="2748"/>
      <c r="J641" s="2728"/>
      <c r="L641" s="2728"/>
      <c r="M641" s="2748"/>
      <c r="N641" s="2728"/>
      <c r="O641" s="2728"/>
      <c r="P641" s="2728"/>
      <c r="Q641" s="2748"/>
      <c r="R641" s="2748"/>
      <c r="S641" s="2748"/>
      <c r="T641" s="2748"/>
      <c r="U641" s="2748"/>
      <c r="V641" s="2748"/>
      <c r="W641" s="2748"/>
      <c r="X641" s="2748"/>
      <c r="Y641" s="2748"/>
      <c r="Z641" s="2748"/>
      <c r="AA641" s="2748"/>
      <c r="AB641" s="2748"/>
      <c r="AC641" s="2748"/>
      <c r="AD641" s="2748"/>
      <c r="AE641" s="2748"/>
      <c r="AF641" s="2748"/>
      <c r="AG641" s="2748"/>
      <c r="AH641" s="2748"/>
      <c r="AI641" s="2748"/>
      <c r="AK641" s="2748"/>
      <c r="AL641" s="2748"/>
      <c r="AN641" s="2748"/>
      <c r="AO641" s="2748"/>
      <c r="AP641" s="2748"/>
    </row>
    <row r="642" spans="2:42" ht="18" customHeight="1">
      <c r="B642" s="2728"/>
      <c r="C642" s="2728"/>
      <c r="D642" s="2728"/>
      <c r="E642" s="2728"/>
      <c r="G642" s="2512"/>
      <c r="I642" s="2748"/>
      <c r="J642" s="2728"/>
      <c r="L642" s="2728"/>
      <c r="M642" s="2748"/>
      <c r="N642" s="2728"/>
      <c r="O642" s="2728"/>
      <c r="P642" s="2728"/>
      <c r="Q642" s="2748"/>
      <c r="R642" s="2748"/>
      <c r="S642" s="2748"/>
      <c r="T642" s="2748"/>
      <c r="U642" s="2748"/>
      <c r="V642" s="2748"/>
      <c r="W642" s="2748"/>
      <c r="X642" s="2748"/>
      <c r="Y642" s="2748"/>
      <c r="Z642" s="2748"/>
      <c r="AA642" s="2748"/>
      <c r="AB642" s="2748"/>
      <c r="AC642" s="2748"/>
      <c r="AD642" s="2748"/>
      <c r="AE642" s="2748"/>
      <c r="AF642" s="2748"/>
      <c r="AG642" s="2748"/>
      <c r="AH642" s="2748"/>
      <c r="AI642" s="2748"/>
      <c r="AK642" s="2748"/>
      <c r="AL642" s="2748"/>
      <c r="AN642" s="2748"/>
      <c r="AO642" s="2748"/>
      <c r="AP642" s="2748"/>
    </row>
    <row r="643" spans="2:42" ht="18" customHeight="1">
      <c r="B643" s="2728"/>
      <c r="C643" s="2728"/>
      <c r="D643" s="2728"/>
      <c r="E643" s="2728"/>
      <c r="G643" s="2512"/>
      <c r="I643" s="2748"/>
      <c r="J643" s="2728"/>
      <c r="L643" s="2728"/>
      <c r="M643" s="2748"/>
      <c r="N643" s="2728"/>
      <c r="O643" s="2728"/>
      <c r="P643" s="2728"/>
      <c r="Q643" s="2748"/>
      <c r="R643" s="2748"/>
      <c r="S643" s="2748"/>
      <c r="T643" s="2748"/>
      <c r="U643" s="2748"/>
      <c r="V643" s="2748"/>
      <c r="W643" s="2748"/>
      <c r="X643" s="2748"/>
      <c r="Y643" s="2748"/>
      <c r="Z643" s="2748"/>
      <c r="AA643" s="2748"/>
      <c r="AB643" s="2748"/>
      <c r="AC643" s="2748"/>
      <c r="AD643" s="2748"/>
      <c r="AE643" s="2748"/>
      <c r="AF643" s="2748"/>
      <c r="AG643" s="2748"/>
      <c r="AH643" s="2748"/>
      <c r="AI643" s="2748"/>
      <c r="AK643" s="2748"/>
      <c r="AL643" s="2748"/>
      <c r="AN643" s="2748"/>
      <c r="AO643" s="2748"/>
      <c r="AP643" s="2748"/>
    </row>
    <row r="644" spans="2:42" ht="18" customHeight="1">
      <c r="B644" s="2728"/>
      <c r="C644" s="2728"/>
      <c r="D644" s="2728"/>
      <c r="E644" s="2728"/>
      <c r="G644" s="2512"/>
      <c r="I644" s="2748"/>
      <c r="J644" s="2728"/>
      <c r="L644" s="2728"/>
      <c r="M644" s="2748"/>
      <c r="N644" s="2728"/>
      <c r="O644" s="2728"/>
      <c r="P644" s="2728"/>
      <c r="Q644" s="2748"/>
      <c r="R644" s="2748"/>
      <c r="S644" s="2748"/>
      <c r="T644" s="2748"/>
      <c r="U644" s="2748"/>
      <c r="V644" s="2748"/>
      <c r="W644" s="2748"/>
      <c r="X644" s="2748"/>
      <c r="Y644" s="2748"/>
      <c r="Z644" s="2748"/>
      <c r="AA644" s="2748"/>
      <c r="AB644" s="2748"/>
      <c r="AC644" s="2748"/>
      <c r="AD644" s="2748"/>
      <c r="AE644" s="2748"/>
      <c r="AF644" s="2748"/>
      <c r="AG644" s="2748"/>
      <c r="AH644" s="2748"/>
      <c r="AI644" s="2748"/>
      <c r="AK644" s="2748"/>
      <c r="AL644" s="2748"/>
      <c r="AN644" s="2748"/>
      <c r="AO644" s="2748"/>
      <c r="AP644" s="2748"/>
    </row>
    <row r="645" spans="2:42" ht="18" customHeight="1">
      <c r="B645" s="2728"/>
      <c r="C645" s="2728"/>
      <c r="D645" s="2728"/>
      <c r="E645" s="2728"/>
      <c r="G645" s="2512"/>
      <c r="I645" s="2748"/>
      <c r="J645" s="2728"/>
      <c r="L645" s="2728"/>
      <c r="M645" s="2748"/>
      <c r="N645" s="2728"/>
      <c r="O645" s="2728"/>
      <c r="P645" s="2728"/>
      <c r="Q645" s="2748"/>
      <c r="R645" s="2748"/>
      <c r="S645" s="2748"/>
      <c r="T645" s="2748"/>
      <c r="U645" s="2748"/>
      <c r="V645" s="2748"/>
      <c r="W645" s="2748"/>
      <c r="X645" s="2748"/>
      <c r="Y645" s="2748"/>
      <c r="Z645" s="2748"/>
      <c r="AA645" s="2748"/>
      <c r="AB645" s="2748"/>
      <c r="AC645" s="2748"/>
      <c r="AD645" s="2748"/>
      <c r="AE645" s="2748"/>
      <c r="AF645" s="2748"/>
      <c r="AG645" s="2748"/>
      <c r="AH645" s="2748"/>
      <c r="AI645" s="2748"/>
      <c r="AK645" s="2748"/>
      <c r="AL645" s="2748"/>
      <c r="AN645" s="2748"/>
      <c r="AO645" s="2748"/>
      <c r="AP645" s="2748"/>
    </row>
    <row r="646" spans="2:42" ht="18" customHeight="1">
      <c r="B646" s="2728"/>
      <c r="C646" s="2728"/>
      <c r="D646" s="2728"/>
      <c r="E646" s="2728"/>
      <c r="G646" s="2512"/>
      <c r="I646" s="2748"/>
      <c r="J646" s="2728"/>
      <c r="L646" s="2728"/>
      <c r="M646" s="2748"/>
      <c r="N646" s="2728"/>
      <c r="O646" s="2728"/>
      <c r="P646" s="2728"/>
      <c r="Q646" s="2748"/>
      <c r="R646" s="2748"/>
      <c r="S646" s="2748"/>
      <c r="T646" s="2748"/>
      <c r="U646" s="2748"/>
      <c r="V646" s="2748"/>
      <c r="W646" s="2748"/>
      <c r="X646" s="2748"/>
      <c r="Y646" s="2748"/>
      <c r="Z646" s="2748"/>
      <c r="AA646" s="2748"/>
      <c r="AB646" s="2748"/>
      <c r="AC646" s="2748"/>
      <c r="AD646" s="2748"/>
      <c r="AE646" s="2748"/>
      <c r="AF646" s="2748"/>
      <c r="AG646" s="2748"/>
      <c r="AH646" s="2748"/>
      <c r="AI646" s="2748"/>
      <c r="AK646" s="2748"/>
      <c r="AL646" s="2748"/>
      <c r="AN646" s="2748"/>
      <c r="AO646" s="2748"/>
      <c r="AP646" s="2748"/>
    </row>
    <row r="647" spans="2:42" ht="18" customHeight="1">
      <c r="B647" s="2728"/>
      <c r="C647" s="2728"/>
      <c r="D647" s="2728"/>
      <c r="E647" s="2728"/>
      <c r="G647" s="2512"/>
      <c r="I647" s="2748"/>
      <c r="J647" s="2728"/>
      <c r="L647" s="2728"/>
      <c r="M647" s="2748"/>
      <c r="N647" s="2728"/>
      <c r="O647" s="2728"/>
      <c r="P647" s="2728"/>
      <c r="Q647" s="2748"/>
      <c r="R647" s="2748"/>
      <c r="S647" s="2748"/>
      <c r="T647" s="2748"/>
      <c r="U647" s="2748"/>
      <c r="V647" s="2748"/>
      <c r="W647" s="2748"/>
      <c r="X647" s="2748"/>
      <c r="Y647" s="2748"/>
      <c r="Z647" s="2748"/>
      <c r="AA647" s="2748"/>
      <c r="AB647" s="2748"/>
      <c r="AC647" s="2748"/>
      <c r="AD647" s="2748"/>
      <c r="AE647" s="2748"/>
      <c r="AF647" s="2748"/>
      <c r="AG647" s="2748"/>
      <c r="AH647" s="2748"/>
      <c r="AI647" s="2748"/>
      <c r="AK647" s="2748"/>
      <c r="AL647" s="2748"/>
      <c r="AN647" s="2748"/>
      <c r="AO647" s="2748"/>
      <c r="AP647" s="2748"/>
    </row>
    <row r="648" spans="2:42" ht="18" customHeight="1">
      <c r="B648" s="2728"/>
      <c r="C648" s="2728"/>
      <c r="D648" s="2728"/>
      <c r="E648" s="2728"/>
      <c r="G648" s="2512"/>
      <c r="I648" s="2748"/>
      <c r="J648" s="2728"/>
      <c r="L648" s="2728"/>
      <c r="M648" s="2748"/>
      <c r="N648" s="2728"/>
      <c r="O648" s="2728"/>
      <c r="P648" s="2728"/>
      <c r="Q648" s="2748"/>
      <c r="R648" s="2748"/>
      <c r="S648" s="2748"/>
      <c r="T648" s="2748"/>
      <c r="U648" s="2748"/>
      <c r="V648" s="2748"/>
      <c r="W648" s="2748"/>
      <c r="X648" s="2748"/>
      <c r="Y648" s="2748"/>
      <c r="Z648" s="2748"/>
      <c r="AA648" s="2748"/>
      <c r="AB648" s="2748"/>
      <c r="AC648" s="2748"/>
      <c r="AD648" s="2748"/>
      <c r="AE648" s="2748"/>
      <c r="AF648" s="2748"/>
      <c r="AG648" s="2748"/>
      <c r="AH648" s="2748"/>
      <c r="AI648" s="2748"/>
      <c r="AK648" s="2748"/>
      <c r="AL648" s="2748"/>
      <c r="AN648" s="2748"/>
      <c r="AO648" s="2748"/>
      <c r="AP648" s="2748"/>
    </row>
    <row r="649" spans="2:42" ht="18" customHeight="1">
      <c r="B649" s="2728"/>
      <c r="C649" s="2728"/>
      <c r="D649" s="2728"/>
      <c r="E649" s="2728"/>
      <c r="G649" s="2512"/>
      <c r="I649" s="2748"/>
      <c r="J649" s="2728"/>
      <c r="L649" s="2728"/>
      <c r="M649" s="2748"/>
      <c r="N649" s="2728"/>
      <c r="O649" s="2728"/>
      <c r="P649" s="2728"/>
      <c r="Q649" s="2748"/>
      <c r="R649" s="2748"/>
      <c r="S649" s="2748"/>
      <c r="T649" s="2748"/>
      <c r="U649" s="2748"/>
      <c r="V649" s="2748"/>
      <c r="W649" s="2748"/>
      <c r="X649" s="2748"/>
      <c r="Y649" s="2748"/>
      <c r="Z649" s="2748"/>
      <c r="AA649" s="2748"/>
      <c r="AB649" s="2748"/>
      <c r="AC649" s="2748"/>
      <c r="AD649" s="2748"/>
      <c r="AE649" s="2748"/>
      <c r="AF649" s="2748"/>
      <c r="AG649" s="2748"/>
      <c r="AH649" s="2748"/>
      <c r="AI649" s="2748"/>
      <c r="AK649" s="2748"/>
      <c r="AL649" s="2748"/>
      <c r="AN649" s="2748"/>
      <c r="AO649" s="2748"/>
      <c r="AP649" s="2748"/>
    </row>
    <row r="650" spans="2:42" ht="18" customHeight="1">
      <c r="B650" s="2728"/>
      <c r="C650" s="2728"/>
      <c r="D650" s="2728"/>
      <c r="E650" s="2728"/>
      <c r="G650" s="2512"/>
      <c r="I650" s="2748"/>
      <c r="J650" s="2728"/>
      <c r="L650" s="2728"/>
      <c r="M650" s="2748"/>
      <c r="N650" s="2728"/>
      <c r="O650" s="2728"/>
      <c r="P650" s="2728"/>
      <c r="Q650" s="2748"/>
      <c r="R650" s="2748"/>
      <c r="S650" s="2748"/>
      <c r="T650" s="2748"/>
      <c r="U650" s="2748"/>
      <c r="V650" s="2748"/>
      <c r="W650" s="2748"/>
      <c r="X650" s="2748"/>
      <c r="Y650" s="2748"/>
      <c r="Z650" s="2748"/>
      <c r="AA650" s="2748"/>
      <c r="AB650" s="2748"/>
      <c r="AC650" s="2748"/>
      <c r="AD650" s="2748"/>
      <c r="AE650" s="2748"/>
      <c r="AF650" s="2748"/>
      <c r="AG650" s="2748"/>
      <c r="AH650" s="2748"/>
      <c r="AI650" s="2748"/>
      <c r="AK650" s="2748"/>
      <c r="AL650" s="2748"/>
      <c r="AN650" s="2748"/>
      <c r="AO650" s="2748"/>
      <c r="AP650" s="2748"/>
    </row>
    <row r="651" spans="2:42" ht="18" customHeight="1">
      <c r="B651" s="2728"/>
      <c r="C651" s="2728"/>
      <c r="D651" s="2728"/>
      <c r="E651" s="2728"/>
      <c r="G651" s="2512"/>
      <c r="I651" s="2748"/>
      <c r="J651" s="2728"/>
      <c r="L651" s="2728"/>
      <c r="M651" s="2748"/>
      <c r="N651" s="2728"/>
      <c r="O651" s="2728"/>
      <c r="P651" s="2728"/>
      <c r="Q651" s="2748"/>
      <c r="R651" s="2748"/>
      <c r="S651" s="2748"/>
      <c r="T651" s="2748"/>
      <c r="U651" s="2748"/>
      <c r="V651" s="2748"/>
      <c r="W651" s="2748"/>
      <c r="X651" s="2748"/>
      <c r="Y651" s="2748"/>
      <c r="Z651" s="2748"/>
      <c r="AA651" s="2748"/>
      <c r="AB651" s="2748"/>
      <c r="AC651" s="2748"/>
      <c r="AD651" s="2748"/>
      <c r="AE651" s="2748"/>
      <c r="AF651" s="2748"/>
      <c r="AG651" s="2748"/>
      <c r="AH651" s="2748"/>
      <c r="AI651" s="2748"/>
      <c r="AK651" s="2748"/>
      <c r="AL651" s="2748"/>
      <c r="AN651" s="2748"/>
      <c r="AO651" s="2748"/>
      <c r="AP651" s="2748"/>
    </row>
    <row r="652" spans="2:42" ht="18" customHeight="1">
      <c r="B652" s="2728"/>
      <c r="C652" s="2728"/>
      <c r="D652" s="2728"/>
      <c r="E652" s="2728"/>
      <c r="G652" s="2512"/>
      <c r="I652" s="2748"/>
      <c r="J652" s="2728"/>
      <c r="L652" s="2728"/>
      <c r="M652" s="2748"/>
      <c r="N652" s="2728"/>
      <c r="O652" s="2728"/>
      <c r="P652" s="2728"/>
      <c r="Q652" s="2748"/>
      <c r="R652" s="2748"/>
      <c r="S652" s="2748"/>
      <c r="T652" s="2748"/>
      <c r="U652" s="2748"/>
      <c r="V652" s="2748"/>
      <c r="W652" s="2748"/>
      <c r="X652" s="2748"/>
      <c r="Y652" s="2748"/>
      <c r="Z652" s="2748"/>
      <c r="AA652" s="2748"/>
      <c r="AB652" s="2748"/>
      <c r="AC652" s="2748"/>
      <c r="AD652" s="2748"/>
      <c r="AE652" s="2748"/>
      <c r="AF652" s="2748"/>
      <c r="AG652" s="2748"/>
      <c r="AH652" s="2748"/>
      <c r="AI652" s="2748"/>
      <c r="AK652" s="2748"/>
      <c r="AL652" s="2748"/>
      <c r="AN652" s="2748"/>
      <c r="AO652" s="2748"/>
      <c r="AP652" s="2748"/>
    </row>
    <row r="653" spans="2:42" ht="18" customHeight="1">
      <c r="B653" s="2728"/>
      <c r="C653" s="2728"/>
      <c r="D653" s="2728"/>
      <c r="E653" s="2728"/>
      <c r="G653" s="2512"/>
      <c r="I653" s="2748"/>
      <c r="J653" s="2728"/>
      <c r="L653" s="2728"/>
      <c r="M653" s="2748"/>
      <c r="N653" s="2728"/>
      <c r="O653" s="2728"/>
      <c r="P653" s="2728"/>
      <c r="Q653" s="2748"/>
      <c r="R653" s="2748"/>
      <c r="S653" s="2748"/>
      <c r="T653" s="2748"/>
      <c r="U653" s="2748"/>
      <c r="V653" s="2748"/>
      <c r="W653" s="2748"/>
      <c r="X653" s="2748"/>
      <c r="Y653" s="2748"/>
      <c r="Z653" s="2748"/>
      <c r="AA653" s="2748"/>
      <c r="AB653" s="2748"/>
      <c r="AC653" s="2748"/>
      <c r="AD653" s="2748"/>
      <c r="AE653" s="2748"/>
      <c r="AF653" s="2748"/>
      <c r="AG653" s="2748"/>
      <c r="AH653" s="2748"/>
      <c r="AI653" s="2748"/>
      <c r="AK653" s="2748"/>
      <c r="AL653" s="2748"/>
      <c r="AN653" s="2748"/>
      <c r="AO653" s="2748"/>
      <c r="AP653" s="2748"/>
    </row>
    <row r="654" spans="2:42" ht="18" customHeight="1">
      <c r="B654" s="2728"/>
      <c r="C654" s="2728"/>
      <c r="D654" s="2728"/>
      <c r="E654" s="2728"/>
      <c r="G654" s="2512"/>
      <c r="I654" s="2748"/>
      <c r="J654" s="2728"/>
      <c r="L654" s="2728"/>
      <c r="M654" s="2748"/>
      <c r="N654" s="2728"/>
      <c r="O654" s="2728"/>
      <c r="P654" s="2728"/>
      <c r="Q654" s="2748"/>
      <c r="R654" s="2748"/>
      <c r="S654" s="2748"/>
      <c r="T654" s="2748"/>
      <c r="U654" s="2748"/>
      <c r="V654" s="2748"/>
      <c r="W654" s="2748"/>
      <c r="X654" s="2748"/>
      <c r="Y654" s="2748"/>
      <c r="Z654" s="2748"/>
      <c r="AA654" s="2748"/>
      <c r="AB654" s="2748"/>
      <c r="AC654" s="2748"/>
      <c r="AD654" s="2748"/>
      <c r="AE654" s="2748"/>
      <c r="AF654" s="2748"/>
      <c r="AG654" s="2748"/>
      <c r="AH654" s="2748"/>
      <c r="AI654" s="2748"/>
      <c r="AK654" s="2748"/>
      <c r="AL654" s="2748"/>
      <c r="AN654" s="2748"/>
      <c r="AO654" s="2748"/>
      <c r="AP654" s="2748"/>
    </row>
    <row r="655" spans="2:42" ht="18" customHeight="1">
      <c r="B655" s="2728"/>
      <c r="C655" s="2728"/>
      <c r="D655" s="2728"/>
      <c r="E655" s="2728"/>
      <c r="G655" s="2512"/>
      <c r="I655" s="2748"/>
      <c r="J655" s="2728"/>
      <c r="L655" s="2728"/>
      <c r="M655" s="2748"/>
      <c r="N655" s="2728"/>
      <c r="O655" s="2728"/>
      <c r="P655" s="2728"/>
      <c r="Q655" s="2748"/>
      <c r="R655" s="2748"/>
      <c r="S655" s="2748"/>
      <c r="T655" s="2748"/>
      <c r="U655" s="2748"/>
      <c r="V655" s="2748"/>
      <c r="W655" s="2748"/>
      <c r="X655" s="2748"/>
      <c r="Y655" s="2748"/>
      <c r="Z655" s="2748"/>
      <c r="AA655" s="2748"/>
      <c r="AB655" s="2748"/>
      <c r="AC655" s="2748"/>
      <c r="AD655" s="2748"/>
      <c r="AE655" s="2748"/>
      <c r="AF655" s="2748"/>
      <c r="AG655" s="2748"/>
      <c r="AH655" s="2748"/>
      <c r="AI655" s="2748"/>
      <c r="AK655" s="2748"/>
      <c r="AL655" s="2748"/>
      <c r="AN655" s="2748"/>
      <c r="AO655" s="2748"/>
      <c r="AP655" s="2748"/>
    </row>
    <row r="656" spans="2:42" ht="18" customHeight="1">
      <c r="B656" s="2728"/>
      <c r="C656" s="2728"/>
      <c r="D656" s="2728"/>
      <c r="E656" s="2728"/>
      <c r="G656" s="2512"/>
      <c r="I656" s="2748"/>
      <c r="J656" s="2728"/>
      <c r="L656" s="2728"/>
      <c r="M656" s="2748"/>
      <c r="N656" s="2728"/>
      <c r="O656" s="2728"/>
      <c r="P656" s="2728"/>
      <c r="Q656" s="2748"/>
      <c r="R656" s="2748"/>
      <c r="S656" s="2748"/>
      <c r="T656" s="2748"/>
      <c r="U656" s="2748"/>
      <c r="V656" s="2748"/>
      <c r="W656" s="2748"/>
      <c r="X656" s="2748"/>
      <c r="Y656" s="2748"/>
      <c r="Z656" s="2748"/>
      <c r="AA656" s="2748"/>
      <c r="AB656" s="2748"/>
      <c r="AC656" s="2748"/>
      <c r="AD656" s="2748"/>
      <c r="AE656" s="2748"/>
      <c r="AF656" s="2748"/>
      <c r="AG656" s="2748"/>
      <c r="AH656" s="2748"/>
      <c r="AI656" s="2748"/>
      <c r="AK656" s="2748"/>
      <c r="AL656" s="2748"/>
      <c r="AN656" s="2748"/>
      <c r="AO656" s="2748"/>
      <c r="AP656" s="2748"/>
    </row>
    <row r="657" spans="2:42" ht="18" customHeight="1">
      <c r="B657" s="2728"/>
      <c r="C657" s="2728"/>
      <c r="D657" s="2728"/>
      <c r="E657" s="2728"/>
      <c r="G657" s="2512"/>
      <c r="I657" s="2748"/>
      <c r="J657" s="2728"/>
      <c r="L657" s="2728"/>
      <c r="M657" s="2748"/>
      <c r="N657" s="2728"/>
      <c r="O657" s="2728"/>
      <c r="P657" s="2728"/>
      <c r="Q657" s="2748"/>
      <c r="R657" s="2748"/>
      <c r="S657" s="2748"/>
      <c r="T657" s="2748"/>
      <c r="U657" s="2748"/>
      <c r="V657" s="2748"/>
      <c r="W657" s="2748"/>
      <c r="X657" s="2748"/>
      <c r="Y657" s="2748"/>
      <c r="Z657" s="2748"/>
      <c r="AA657" s="2748"/>
      <c r="AB657" s="2748"/>
      <c r="AC657" s="2748"/>
      <c r="AD657" s="2748"/>
      <c r="AE657" s="2748"/>
      <c r="AF657" s="2748"/>
      <c r="AG657" s="2748"/>
      <c r="AH657" s="2748"/>
      <c r="AI657" s="2748"/>
      <c r="AK657" s="2748"/>
      <c r="AL657" s="2748"/>
      <c r="AN657" s="2748"/>
      <c r="AO657" s="2748"/>
      <c r="AP657" s="2748"/>
    </row>
    <row r="658" spans="2:42" ht="18" customHeight="1">
      <c r="B658" s="2728"/>
      <c r="C658" s="2728"/>
      <c r="D658" s="2728"/>
      <c r="E658" s="2728"/>
      <c r="G658" s="2512"/>
      <c r="I658" s="2748"/>
      <c r="J658" s="2728"/>
      <c r="L658" s="2728"/>
      <c r="M658" s="2748"/>
      <c r="N658" s="2728"/>
      <c r="O658" s="2728"/>
      <c r="P658" s="2728"/>
      <c r="Q658" s="2748"/>
      <c r="R658" s="2748"/>
      <c r="S658" s="2748"/>
      <c r="T658" s="2748"/>
      <c r="U658" s="2748"/>
      <c r="V658" s="2748"/>
      <c r="W658" s="2748"/>
      <c r="X658" s="2748"/>
      <c r="Y658" s="2748"/>
      <c r="Z658" s="2748"/>
      <c r="AA658" s="2748"/>
      <c r="AB658" s="2748"/>
      <c r="AC658" s="2748"/>
      <c r="AD658" s="2748"/>
      <c r="AE658" s="2748"/>
      <c r="AF658" s="2748"/>
      <c r="AG658" s="2748"/>
      <c r="AH658" s="2748"/>
      <c r="AI658" s="2748"/>
      <c r="AK658" s="2748"/>
      <c r="AL658" s="2748"/>
      <c r="AN658" s="2748"/>
      <c r="AO658" s="2748"/>
      <c r="AP658" s="2748"/>
    </row>
    <row r="659" spans="2:42" ht="18" customHeight="1">
      <c r="B659" s="2728"/>
      <c r="C659" s="2728"/>
      <c r="D659" s="2728"/>
      <c r="E659" s="2728"/>
      <c r="G659" s="2512"/>
      <c r="I659" s="2748"/>
      <c r="J659" s="2728"/>
      <c r="L659" s="2728"/>
      <c r="M659" s="2748"/>
      <c r="N659" s="2728"/>
      <c r="O659" s="2728"/>
      <c r="P659" s="2728"/>
      <c r="Q659" s="2748"/>
      <c r="R659" s="2748"/>
      <c r="S659" s="2748"/>
      <c r="T659" s="2748"/>
      <c r="U659" s="2748"/>
      <c r="V659" s="2748"/>
      <c r="W659" s="2748"/>
      <c r="X659" s="2748"/>
      <c r="Y659" s="2748"/>
      <c r="Z659" s="2748"/>
      <c r="AA659" s="2748"/>
      <c r="AB659" s="2748"/>
      <c r="AC659" s="2748"/>
      <c r="AD659" s="2748"/>
      <c r="AE659" s="2748"/>
      <c r="AF659" s="2748"/>
      <c r="AG659" s="2748"/>
      <c r="AH659" s="2748"/>
      <c r="AI659" s="2748"/>
      <c r="AK659" s="2748"/>
      <c r="AL659" s="2748"/>
      <c r="AN659" s="2748"/>
      <c r="AO659" s="2748"/>
      <c r="AP659" s="2748"/>
    </row>
    <row r="660" spans="2:42" ht="18" customHeight="1">
      <c r="B660" s="2728"/>
      <c r="C660" s="2728"/>
      <c r="D660" s="2728"/>
      <c r="E660" s="2728"/>
      <c r="G660" s="2512"/>
      <c r="I660" s="2748"/>
      <c r="J660" s="2728"/>
      <c r="L660" s="2728"/>
      <c r="M660" s="2748"/>
      <c r="N660" s="2728"/>
      <c r="O660" s="2728"/>
      <c r="P660" s="2728"/>
      <c r="Q660" s="2748"/>
      <c r="R660" s="2748"/>
      <c r="S660" s="2748"/>
      <c r="T660" s="2748"/>
      <c r="U660" s="2748"/>
      <c r="V660" s="2748"/>
      <c r="W660" s="2748"/>
      <c r="X660" s="2748"/>
      <c r="Y660" s="2748"/>
      <c r="Z660" s="2748"/>
      <c r="AA660" s="2748"/>
      <c r="AB660" s="2748"/>
      <c r="AC660" s="2748"/>
      <c r="AD660" s="2748"/>
      <c r="AE660" s="2748"/>
      <c r="AF660" s="2748"/>
      <c r="AG660" s="2748"/>
      <c r="AH660" s="2748"/>
      <c r="AI660" s="2748"/>
      <c r="AK660" s="2748"/>
      <c r="AL660" s="2748"/>
      <c r="AN660" s="2748"/>
      <c r="AO660" s="2748"/>
      <c r="AP660" s="2748"/>
    </row>
    <row r="661" spans="2:42" ht="18" customHeight="1">
      <c r="B661" s="2728"/>
      <c r="C661" s="2728"/>
      <c r="D661" s="2728"/>
      <c r="E661" s="2728"/>
      <c r="G661" s="2512"/>
      <c r="I661" s="2748"/>
      <c r="J661" s="2728"/>
      <c r="L661" s="2728"/>
      <c r="M661" s="2748"/>
      <c r="N661" s="2728"/>
      <c r="O661" s="2728"/>
      <c r="P661" s="2728"/>
      <c r="Q661" s="2748"/>
      <c r="R661" s="2748"/>
      <c r="S661" s="2748"/>
      <c r="T661" s="2748"/>
      <c r="U661" s="2748"/>
      <c r="V661" s="2748"/>
      <c r="W661" s="2748"/>
      <c r="X661" s="2748"/>
      <c r="Y661" s="2748"/>
      <c r="Z661" s="2748"/>
      <c r="AA661" s="2748"/>
      <c r="AB661" s="2748"/>
      <c r="AC661" s="2748"/>
      <c r="AD661" s="2748"/>
      <c r="AE661" s="2748"/>
      <c r="AF661" s="2748"/>
      <c r="AG661" s="2748"/>
      <c r="AH661" s="2748"/>
      <c r="AI661" s="2748"/>
      <c r="AK661" s="2748"/>
      <c r="AL661" s="2748"/>
      <c r="AN661" s="2748"/>
      <c r="AO661" s="2748"/>
      <c r="AP661" s="2748"/>
    </row>
    <row r="662" spans="2:42" ht="18" customHeight="1">
      <c r="B662" s="2728"/>
      <c r="C662" s="2728"/>
      <c r="D662" s="2728"/>
      <c r="E662" s="2728"/>
      <c r="G662" s="2512"/>
      <c r="I662" s="2748"/>
      <c r="J662" s="2728"/>
      <c r="L662" s="2728"/>
      <c r="M662" s="2748"/>
      <c r="N662" s="2728"/>
      <c r="O662" s="2728"/>
      <c r="P662" s="2728"/>
      <c r="Q662" s="2748"/>
      <c r="R662" s="2748"/>
      <c r="S662" s="2748"/>
      <c r="T662" s="2748"/>
      <c r="U662" s="2748"/>
      <c r="V662" s="2748"/>
      <c r="W662" s="2748"/>
      <c r="X662" s="2748"/>
      <c r="Y662" s="2748"/>
      <c r="Z662" s="2748"/>
      <c r="AA662" s="2748"/>
      <c r="AB662" s="2748"/>
      <c r="AC662" s="2748"/>
      <c r="AD662" s="2748"/>
      <c r="AE662" s="2748"/>
      <c r="AF662" s="2748"/>
      <c r="AG662" s="2748"/>
      <c r="AH662" s="2748"/>
      <c r="AI662" s="2748"/>
      <c r="AK662" s="2748"/>
      <c r="AL662" s="2748"/>
      <c r="AN662" s="2748"/>
      <c r="AO662" s="2748"/>
      <c r="AP662" s="2748"/>
    </row>
    <row r="663" spans="2:42" ht="18" customHeight="1">
      <c r="B663" s="2728"/>
      <c r="C663" s="2728"/>
      <c r="D663" s="2728"/>
      <c r="E663" s="2728"/>
      <c r="G663" s="2512"/>
      <c r="I663" s="2748"/>
      <c r="J663" s="2728"/>
      <c r="L663" s="2728"/>
      <c r="M663" s="2748"/>
      <c r="N663" s="2728"/>
      <c r="O663" s="2728"/>
      <c r="P663" s="2728"/>
      <c r="Q663" s="2748"/>
      <c r="R663" s="2748"/>
      <c r="S663" s="2748"/>
      <c r="T663" s="2748"/>
      <c r="U663" s="2748"/>
      <c r="V663" s="2748"/>
      <c r="W663" s="2748"/>
      <c r="X663" s="2748"/>
      <c r="Y663" s="2748"/>
      <c r="Z663" s="2748"/>
      <c r="AA663" s="2748"/>
      <c r="AB663" s="2748"/>
      <c r="AC663" s="2748"/>
      <c r="AD663" s="2748"/>
      <c r="AE663" s="2748"/>
      <c r="AF663" s="2748"/>
      <c r="AG663" s="2748"/>
      <c r="AH663" s="2748"/>
      <c r="AI663" s="2748"/>
      <c r="AK663" s="2748"/>
      <c r="AL663" s="2748"/>
      <c r="AN663" s="2748"/>
      <c r="AO663" s="2748"/>
      <c r="AP663" s="2748"/>
    </row>
    <row r="664" spans="2:42" ht="18" customHeight="1">
      <c r="B664" s="2728"/>
      <c r="C664" s="2728"/>
      <c r="D664" s="2728"/>
      <c r="E664" s="2728"/>
      <c r="G664" s="2512"/>
      <c r="I664" s="2748"/>
      <c r="J664" s="2728"/>
      <c r="L664" s="2728"/>
      <c r="M664" s="2748"/>
      <c r="N664" s="2728"/>
      <c r="O664" s="2728"/>
      <c r="P664" s="2728"/>
      <c r="Q664" s="2748"/>
      <c r="R664" s="2748"/>
      <c r="S664" s="2748"/>
      <c r="T664" s="2748"/>
      <c r="U664" s="2748"/>
      <c r="V664" s="2748"/>
      <c r="W664" s="2748"/>
      <c r="X664" s="2748"/>
      <c r="Y664" s="2748"/>
      <c r="Z664" s="2748"/>
      <c r="AA664" s="2748"/>
      <c r="AB664" s="2748"/>
      <c r="AC664" s="2748"/>
      <c r="AD664" s="2748"/>
      <c r="AE664" s="2748"/>
      <c r="AF664" s="2748"/>
      <c r="AG664" s="2748"/>
      <c r="AH664" s="2748"/>
      <c r="AI664" s="2748"/>
      <c r="AK664" s="2748"/>
      <c r="AL664" s="2748"/>
      <c r="AN664" s="2748"/>
      <c r="AO664" s="2748"/>
      <c r="AP664" s="2748"/>
    </row>
    <row r="665" spans="2:42" ht="18" customHeight="1">
      <c r="B665" s="2728"/>
      <c r="C665" s="2728"/>
      <c r="D665" s="2728"/>
      <c r="E665" s="2728"/>
      <c r="G665" s="2512"/>
      <c r="I665" s="2748"/>
      <c r="J665" s="2728"/>
      <c r="L665" s="2728"/>
      <c r="M665" s="2748"/>
      <c r="N665" s="2728"/>
      <c r="O665" s="2728"/>
      <c r="P665" s="2728"/>
      <c r="Q665" s="2748"/>
      <c r="R665" s="2748"/>
      <c r="S665" s="2748"/>
      <c r="T665" s="2748"/>
      <c r="U665" s="2748"/>
      <c r="V665" s="2748"/>
      <c r="W665" s="2748"/>
      <c r="X665" s="2748"/>
      <c r="Y665" s="2748"/>
      <c r="Z665" s="2748"/>
      <c r="AA665" s="2748"/>
      <c r="AB665" s="2748"/>
      <c r="AC665" s="2748"/>
      <c r="AD665" s="2748"/>
      <c r="AE665" s="2748"/>
      <c r="AF665" s="2748"/>
      <c r="AG665" s="2748"/>
      <c r="AH665" s="2748"/>
      <c r="AI665" s="2748"/>
      <c r="AK665" s="2748"/>
      <c r="AL665" s="2748"/>
      <c r="AN665" s="2748"/>
      <c r="AO665" s="2748"/>
      <c r="AP665" s="2748"/>
    </row>
    <row r="666" spans="2:42" ht="18" customHeight="1">
      <c r="B666" s="2728"/>
      <c r="C666" s="2728"/>
      <c r="D666" s="2728"/>
      <c r="E666" s="2728"/>
      <c r="G666" s="2512"/>
      <c r="I666" s="2748"/>
      <c r="J666" s="2728"/>
      <c r="L666" s="2728"/>
      <c r="M666" s="2748"/>
      <c r="N666" s="2728"/>
      <c r="O666" s="2728"/>
      <c r="P666" s="2728"/>
      <c r="Q666" s="2748"/>
      <c r="R666" s="2748"/>
      <c r="S666" s="2748"/>
      <c r="T666" s="2748"/>
      <c r="U666" s="2748"/>
      <c r="V666" s="2748"/>
      <c r="W666" s="2748"/>
      <c r="X666" s="2748"/>
      <c r="Y666" s="2748"/>
      <c r="Z666" s="2748"/>
      <c r="AA666" s="2748"/>
      <c r="AB666" s="2748"/>
      <c r="AC666" s="2748"/>
      <c r="AD666" s="2748"/>
      <c r="AE666" s="2748"/>
      <c r="AF666" s="2748"/>
      <c r="AG666" s="2748"/>
      <c r="AH666" s="2748"/>
      <c r="AI666" s="2748"/>
      <c r="AK666" s="2748"/>
      <c r="AL666" s="2748"/>
      <c r="AN666" s="2748"/>
      <c r="AO666" s="2748"/>
      <c r="AP666" s="2748"/>
    </row>
    <row r="667" spans="2:42" ht="18" customHeight="1">
      <c r="B667" s="2728"/>
      <c r="C667" s="2728"/>
      <c r="D667" s="2728"/>
      <c r="E667" s="2728"/>
      <c r="G667" s="2512"/>
      <c r="I667" s="2748"/>
      <c r="J667" s="2728"/>
      <c r="L667" s="2728"/>
      <c r="M667" s="2748"/>
      <c r="N667" s="2728"/>
      <c r="O667" s="2728"/>
      <c r="P667" s="2728"/>
      <c r="Q667" s="2748"/>
      <c r="R667" s="2748"/>
      <c r="S667" s="2748"/>
      <c r="T667" s="2748"/>
      <c r="U667" s="2748"/>
      <c r="V667" s="2748"/>
      <c r="W667" s="2748"/>
      <c r="X667" s="2748"/>
      <c r="Y667" s="2748"/>
      <c r="Z667" s="2748"/>
      <c r="AA667" s="2748"/>
      <c r="AB667" s="2748"/>
      <c r="AC667" s="2748"/>
      <c r="AD667" s="2748"/>
      <c r="AE667" s="2748"/>
      <c r="AF667" s="2748"/>
      <c r="AG667" s="2748"/>
      <c r="AH667" s="2748"/>
      <c r="AI667" s="2748"/>
      <c r="AK667" s="2748"/>
      <c r="AL667" s="2748"/>
      <c r="AN667" s="2748"/>
      <c r="AO667" s="2748"/>
      <c r="AP667" s="2748"/>
    </row>
    <row r="668" spans="2:42" ht="18" customHeight="1">
      <c r="B668" s="2728"/>
      <c r="C668" s="2728"/>
      <c r="D668" s="2728"/>
      <c r="E668" s="2728"/>
      <c r="G668" s="2512"/>
      <c r="I668" s="2748"/>
      <c r="J668" s="2728"/>
      <c r="L668" s="2728"/>
      <c r="M668" s="2748"/>
      <c r="N668" s="2728"/>
      <c r="O668" s="2728"/>
      <c r="P668" s="2728"/>
      <c r="Q668" s="2748"/>
      <c r="R668" s="2748"/>
      <c r="S668" s="2748"/>
      <c r="T668" s="2748"/>
      <c r="U668" s="2748"/>
      <c r="V668" s="2748"/>
      <c r="W668" s="2748"/>
      <c r="X668" s="2748"/>
      <c r="Y668" s="2748"/>
      <c r="Z668" s="2748"/>
      <c r="AA668" s="2748"/>
      <c r="AB668" s="2748"/>
      <c r="AC668" s="2748"/>
      <c r="AD668" s="2748"/>
      <c r="AE668" s="2748"/>
      <c r="AF668" s="2748"/>
      <c r="AG668" s="2748"/>
      <c r="AH668" s="2748"/>
      <c r="AI668" s="2748"/>
      <c r="AK668" s="2748"/>
      <c r="AL668" s="2748"/>
      <c r="AN668" s="2748"/>
      <c r="AO668" s="2748"/>
      <c r="AP668" s="2748"/>
    </row>
    <row r="669" spans="2:42" ht="18" customHeight="1">
      <c r="B669" s="2728"/>
      <c r="C669" s="2728"/>
      <c r="D669" s="2728"/>
      <c r="E669" s="2728"/>
      <c r="G669" s="2512"/>
      <c r="I669" s="2748"/>
      <c r="J669" s="2728"/>
      <c r="L669" s="2728"/>
      <c r="M669" s="2748"/>
      <c r="N669" s="2728"/>
      <c r="O669" s="2728"/>
      <c r="P669" s="2728"/>
      <c r="Q669" s="2748"/>
      <c r="R669" s="2748"/>
      <c r="S669" s="2748"/>
      <c r="T669" s="2748"/>
      <c r="U669" s="2748"/>
      <c r="V669" s="2748"/>
      <c r="W669" s="2748"/>
      <c r="X669" s="2748"/>
      <c r="Y669" s="2748"/>
      <c r="Z669" s="2748"/>
      <c r="AA669" s="2748"/>
      <c r="AB669" s="2748"/>
      <c r="AC669" s="2748"/>
      <c r="AD669" s="2748"/>
      <c r="AE669" s="2748"/>
      <c r="AF669" s="2748"/>
      <c r="AG669" s="2748"/>
      <c r="AH669" s="2748"/>
      <c r="AI669" s="2748"/>
      <c r="AK669" s="2748"/>
      <c r="AL669" s="2748"/>
      <c r="AN669" s="2748"/>
      <c r="AO669" s="2748"/>
      <c r="AP669" s="2748"/>
    </row>
    <row r="670" spans="2:42" ht="18" customHeight="1">
      <c r="B670" s="2728"/>
      <c r="C670" s="2728"/>
      <c r="D670" s="2728"/>
      <c r="E670" s="2728"/>
      <c r="G670" s="2512"/>
      <c r="I670" s="2748"/>
      <c r="J670" s="2728"/>
      <c r="L670" s="2728"/>
      <c r="M670" s="2748"/>
      <c r="N670" s="2728"/>
      <c r="O670" s="2728"/>
      <c r="P670" s="2728"/>
      <c r="Q670" s="2748"/>
      <c r="R670" s="2748"/>
      <c r="S670" s="2748"/>
      <c r="T670" s="2748"/>
      <c r="U670" s="2748"/>
      <c r="V670" s="2748"/>
      <c r="W670" s="2748"/>
      <c r="X670" s="2748"/>
      <c r="Y670" s="2748"/>
      <c r="Z670" s="2748"/>
      <c r="AA670" s="2748"/>
      <c r="AB670" s="2748"/>
      <c r="AC670" s="2748"/>
      <c r="AD670" s="2748"/>
      <c r="AE670" s="2748"/>
      <c r="AF670" s="2748"/>
      <c r="AG670" s="2748"/>
      <c r="AH670" s="2748"/>
      <c r="AI670" s="2748"/>
      <c r="AK670" s="2748"/>
      <c r="AL670" s="2748"/>
      <c r="AN670" s="2748"/>
      <c r="AO670" s="2748"/>
      <c r="AP670" s="2748"/>
    </row>
    <row r="671" spans="2:42" ht="18" customHeight="1">
      <c r="B671" s="2728"/>
      <c r="C671" s="2728"/>
      <c r="D671" s="2728"/>
      <c r="E671" s="2728"/>
      <c r="G671" s="2512"/>
      <c r="I671" s="2748"/>
      <c r="J671" s="2728"/>
      <c r="L671" s="2728"/>
      <c r="M671" s="2748"/>
      <c r="N671" s="2728"/>
      <c r="O671" s="2728"/>
      <c r="P671" s="2728"/>
      <c r="Q671" s="2748"/>
      <c r="R671" s="2748"/>
      <c r="S671" s="2748"/>
      <c r="T671" s="2748"/>
      <c r="U671" s="2748"/>
      <c r="V671" s="2748"/>
      <c r="W671" s="2748"/>
      <c r="X671" s="2748"/>
      <c r="Y671" s="2748"/>
      <c r="Z671" s="2748"/>
      <c r="AA671" s="2748"/>
      <c r="AB671" s="2748"/>
      <c r="AC671" s="2748"/>
      <c r="AD671" s="2748"/>
      <c r="AE671" s="2748"/>
      <c r="AF671" s="2748"/>
      <c r="AG671" s="2748"/>
      <c r="AH671" s="2748"/>
      <c r="AI671" s="2748"/>
      <c r="AK671" s="2748"/>
      <c r="AL671" s="2748"/>
      <c r="AN671" s="2748"/>
      <c r="AO671" s="2748"/>
      <c r="AP671" s="2748"/>
    </row>
    <row r="672" spans="2:42" ht="18" customHeight="1">
      <c r="B672" s="2728"/>
      <c r="C672" s="2728"/>
      <c r="D672" s="2728"/>
      <c r="E672" s="2728"/>
      <c r="G672" s="2512"/>
      <c r="I672" s="2748"/>
      <c r="J672" s="2728"/>
      <c r="L672" s="2728"/>
      <c r="M672" s="2748"/>
      <c r="N672" s="2728"/>
      <c r="O672" s="2728"/>
      <c r="P672" s="2728"/>
      <c r="Q672" s="2748"/>
      <c r="R672" s="2748"/>
      <c r="S672" s="2748"/>
      <c r="T672" s="2748"/>
      <c r="U672" s="2748"/>
      <c r="V672" s="2748"/>
      <c r="W672" s="2748"/>
      <c r="X672" s="2748"/>
      <c r="Y672" s="2748"/>
      <c r="Z672" s="2748"/>
      <c r="AA672" s="2748"/>
      <c r="AB672" s="2748"/>
      <c r="AC672" s="2748"/>
      <c r="AD672" s="2748"/>
      <c r="AE672" s="2748"/>
      <c r="AF672" s="2748"/>
      <c r="AG672" s="2748"/>
      <c r="AH672" s="2748"/>
      <c r="AI672" s="2748"/>
      <c r="AK672" s="2748"/>
      <c r="AL672" s="2748"/>
      <c r="AN672" s="2748"/>
      <c r="AO672" s="2748"/>
      <c r="AP672" s="2748"/>
    </row>
    <row r="673" spans="2:42" ht="18" customHeight="1">
      <c r="B673" s="2728"/>
      <c r="C673" s="2728"/>
      <c r="D673" s="2728"/>
      <c r="E673" s="2728"/>
      <c r="G673" s="2512"/>
      <c r="I673" s="2748"/>
      <c r="J673" s="2728"/>
      <c r="L673" s="2728"/>
      <c r="M673" s="2748"/>
      <c r="N673" s="2728"/>
      <c r="O673" s="2728"/>
      <c r="P673" s="2728"/>
      <c r="Q673" s="2748"/>
      <c r="R673" s="2748"/>
      <c r="S673" s="2748"/>
      <c r="T673" s="2748"/>
      <c r="U673" s="2748"/>
      <c r="V673" s="2748"/>
      <c r="W673" s="2748"/>
      <c r="X673" s="2748"/>
      <c r="Y673" s="2748"/>
      <c r="Z673" s="2748"/>
      <c r="AA673" s="2748"/>
      <c r="AB673" s="2748"/>
      <c r="AC673" s="2748"/>
      <c r="AD673" s="2748"/>
      <c r="AE673" s="2748"/>
      <c r="AF673" s="2748"/>
      <c r="AG673" s="2748"/>
      <c r="AH673" s="2748"/>
      <c r="AI673" s="2748"/>
      <c r="AK673" s="2748"/>
      <c r="AL673" s="2748"/>
      <c r="AN673" s="2748"/>
      <c r="AO673" s="2748"/>
      <c r="AP673" s="2748"/>
    </row>
    <row r="674" spans="2:42" ht="18" customHeight="1">
      <c r="B674" s="2728"/>
      <c r="C674" s="2728"/>
      <c r="D674" s="2728"/>
      <c r="E674" s="2728"/>
      <c r="G674" s="2512"/>
      <c r="I674" s="2748"/>
      <c r="J674" s="2728"/>
      <c r="L674" s="2728"/>
      <c r="M674" s="2748"/>
      <c r="N674" s="2728"/>
      <c r="O674" s="2728"/>
      <c r="P674" s="2728"/>
      <c r="Q674" s="2748"/>
      <c r="R674" s="2748"/>
      <c r="S674" s="2748"/>
      <c r="T674" s="2748"/>
      <c r="U674" s="2748"/>
      <c r="V674" s="2748"/>
      <c r="W674" s="2748"/>
      <c r="X674" s="2748"/>
      <c r="Y674" s="2748"/>
      <c r="Z674" s="2748"/>
      <c r="AA674" s="2748"/>
      <c r="AB674" s="2748"/>
      <c r="AC674" s="2748"/>
      <c r="AD674" s="2748"/>
      <c r="AE674" s="2748"/>
      <c r="AF674" s="2748"/>
      <c r="AG674" s="2748"/>
      <c r="AH674" s="2748"/>
      <c r="AI674" s="2748"/>
      <c r="AK674" s="2748"/>
      <c r="AL674" s="2748"/>
      <c r="AN674" s="2748"/>
      <c r="AO674" s="2748"/>
      <c r="AP674" s="2748"/>
    </row>
    <row r="675" spans="2:42" ht="18" customHeight="1">
      <c r="B675" s="2728"/>
      <c r="C675" s="2728"/>
      <c r="D675" s="2728"/>
      <c r="E675" s="2728"/>
      <c r="G675" s="2512"/>
      <c r="I675" s="2748"/>
      <c r="J675" s="2728"/>
      <c r="L675" s="2728"/>
      <c r="M675" s="2748"/>
      <c r="N675" s="2728"/>
      <c r="O675" s="2728"/>
      <c r="P675" s="2728"/>
      <c r="Q675" s="2748"/>
      <c r="R675" s="2748"/>
      <c r="S675" s="2748"/>
      <c r="T675" s="2748"/>
      <c r="U675" s="2748"/>
      <c r="V675" s="2748"/>
      <c r="W675" s="2748"/>
      <c r="X675" s="2748"/>
      <c r="Y675" s="2748"/>
      <c r="Z675" s="2748"/>
      <c r="AA675" s="2748"/>
      <c r="AB675" s="2748"/>
      <c r="AC675" s="2748"/>
      <c r="AD675" s="2748"/>
      <c r="AE675" s="2748"/>
      <c r="AF675" s="2748"/>
      <c r="AG675" s="2748"/>
      <c r="AH675" s="2748"/>
      <c r="AI675" s="2748"/>
      <c r="AK675" s="2748"/>
      <c r="AL675" s="2748"/>
      <c r="AN675" s="2748"/>
      <c r="AO675" s="2748"/>
      <c r="AP675" s="2748"/>
    </row>
    <row r="676" spans="2:42" ht="18" customHeight="1">
      <c r="B676" s="2728"/>
      <c r="C676" s="2728"/>
      <c r="D676" s="2728"/>
      <c r="E676" s="2728"/>
      <c r="G676" s="2512"/>
      <c r="I676" s="2748"/>
      <c r="J676" s="2728"/>
      <c r="L676" s="2728"/>
      <c r="M676" s="2748"/>
      <c r="N676" s="2728"/>
      <c r="O676" s="2728"/>
      <c r="P676" s="2728"/>
      <c r="Q676" s="2748"/>
      <c r="R676" s="2748"/>
      <c r="S676" s="2748"/>
      <c r="T676" s="2748"/>
      <c r="U676" s="2748"/>
      <c r="V676" s="2748"/>
      <c r="W676" s="2748"/>
      <c r="X676" s="2748"/>
      <c r="Y676" s="2748"/>
      <c r="Z676" s="2748"/>
      <c r="AA676" s="2748"/>
      <c r="AB676" s="2748"/>
      <c r="AC676" s="2748"/>
      <c r="AD676" s="2748"/>
      <c r="AE676" s="2748"/>
      <c r="AF676" s="2748"/>
      <c r="AG676" s="2748"/>
      <c r="AH676" s="2748"/>
      <c r="AI676" s="2748"/>
      <c r="AK676" s="2748"/>
      <c r="AL676" s="2748"/>
      <c r="AN676" s="2748"/>
      <c r="AO676" s="2748"/>
      <c r="AP676" s="2748"/>
    </row>
    <row r="677" spans="2:42" ht="18" customHeight="1">
      <c r="B677" s="2728"/>
      <c r="C677" s="2728"/>
      <c r="D677" s="2728"/>
      <c r="E677" s="2728"/>
      <c r="G677" s="2512"/>
      <c r="I677" s="2748"/>
      <c r="J677" s="2728"/>
      <c r="L677" s="2728"/>
      <c r="M677" s="2748"/>
      <c r="N677" s="2728"/>
      <c r="O677" s="2728"/>
      <c r="P677" s="2728"/>
      <c r="Q677" s="2748"/>
      <c r="R677" s="2748"/>
      <c r="S677" s="2748"/>
      <c r="T677" s="2748"/>
      <c r="U677" s="2748"/>
      <c r="V677" s="2748"/>
      <c r="W677" s="2748"/>
      <c r="X677" s="2748"/>
      <c r="Y677" s="2748"/>
      <c r="Z677" s="2748"/>
      <c r="AA677" s="2748"/>
      <c r="AB677" s="2748"/>
      <c r="AC677" s="2748"/>
      <c r="AD677" s="2748"/>
      <c r="AE677" s="2748"/>
      <c r="AF677" s="2748"/>
      <c r="AG677" s="2748"/>
      <c r="AH677" s="2748"/>
      <c r="AI677" s="2748"/>
      <c r="AK677" s="2748"/>
      <c r="AL677" s="2748"/>
      <c r="AN677" s="2748"/>
      <c r="AO677" s="2748"/>
      <c r="AP677" s="2748"/>
    </row>
    <row r="678" spans="2:42" ht="18" customHeight="1">
      <c r="B678" s="2728"/>
      <c r="C678" s="2728"/>
      <c r="D678" s="2728"/>
      <c r="E678" s="2728"/>
      <c r="G678" s="2512"/>
      <c r="I678" s="2748"/>
      <c r="J678" s="2728"/>
      <c r="L678" s="2728"/>
      <c r="M678" s="2748"/>
      <c r="N678" s="2728"/>
      <c r="O678" s="2728"/>
      <c r="P678" s="2728"/>
      <c r="Q678" s="2748"/>
      <c r="R678" s="2748"/>
      <c r="S678" s="2748"/>
      <c r="T678" s="2748"/>
      <c r="U678" s="2748"/>
      <c r="V678" s="2748"/>
      <c r="W678" s="2748"/>
      <c r="X678" s="2748"/>
      <c r="Y678" s="2748"/>
      <c r="Z678" s="2748"/>
      <c r="AA678" s="2748"/>
      <c r="AB678" s="2748"/>
      <c r="AC678" s="2748"/>
      <c r="AD678" s="2748"/>
      <c r="AE678" s="2748"/>
      <c r="AF678" s="2748"/>
      <c r="AG678" s="2748"/>
      <c r="AH678" s="2748"/>
      <c r="AI678" s="2748"/>
      <c r="AK678" s="2748"/>
      <c r="AL678" s="2748"/>
      <c r="AN678" s="2748"/>
      <c r="AO678" s="2748"/>
      <c r="AP678" s="2748"/>
    </row>
    <row r="679" spans="2:42" ht="18" customHeight="1">
      <c r="B679" s="2728"/>
      <c r="C679" s="2728"/>
      <c r="D679" s="2728"/>
      <c r="E679" s="2728"/>
      <c r="G679" s="2512"/>
      <c r="I679" s="2748"/>
      <c r="J679" s="2728"/>
      <c r="L679" s="2728"/>
      <c r="M679" s="2748"/>
      <c r="N679" s="2728"/>
      <c r="O679" s="2728"/>
      <c r="P679" s="2728"/>
      <c r="Q679" s="2748"/>
      <c r="R679" s="2748"/>
      <c r="S679" s="2748"/>
      <c r="T679" s="2748"/>
      <c r="U679" s="2748"/>
      <c r="V679" s="2748"/>
      <c r="W679" s="2748"/>
      <c r="X679" s="2748"/>
      <c r="Y679" s="2748"/>
      <c r="Z679" s="2748"/>
      <c r="AA679" s="2748"/>
      <c r="AB679" s="2748"/>
      <c r="AC679" s="2748"/>
      <c r="AD679" s="2748"/>
      <c r="AE679" s="2748"/>
      <c r="AF679" s="2748"/>
      <c r="AG679" s="2748"/>
      <c r="AH679" s="2748"/>
      <c r="AI679" s="2748"/>
      <c r="AK679" s="2748"/>
      <c r="AL679" s="2748"/>
      <c r="AN679" s="2748"/>
      <c r="AO679" s="2748"/>
      <c r="AP679" s="2748"/>
    </row>
    <row r="680" spans="2:42" ht="18" customHeight="1">
      <c r="B680" s="2728"/>
      <c r="C680" s="2728"/>
      <c r="D680" s="2728"/>
      <c r="E680" s="2728"/>
      <c r="G680" s="2512"/>
      <c r="I680" s="2748"/>
      <c r="J680" s="2728"/>
      <c r="L680" s="2728"/>
      <c r="M680" s="2748"/>
      <c r="N680" s="2728"/>
      <c r="O680" s="2728"/>
      <c r="P680" s="2728"/>
      <c r="Q680" s="2748"/>
      <c r="R680" s="2748"/>
      <c r="S680" s="2748"/>
      <c r="T680" s="2748"/>
      <c r="U680" s="2748"/>
      <c r="V680" s="2748"/>
      <c r="W680" s="2748"/>
      <c r="X680" s="2748"/>
      <c r="Y680" s="2748"/>
      <c r="Z680" s="2748"/>
      <c r="AA680" s="2748"/>
      <c r="AB680" s="2748"/>
      <c r="AC680" s="2748"/>
      <c r="AD680" s="2748"/>
      <c r="AE680" s="2748"/>
      <c r="AF680" s="2748"/>
      <c r="AG680" s="2748"/>
      <c r="AH680" s="2748"/>
      <c r="AI680" s="2748"/>
      <c r="AK680" s="2748"/>
      <c r="AL680" s="2748"/>
      <c r="AN680" s="2748"/>
      <c r="AO680" s="2748"/>
      <c r="AP680" s="2748"/>
    </row>
    <row r="681" spans="2:42" ht="18" customHeight="1">
      <c r="B681" s="2728"/>
      <c r="C681" s="2728"/>
      <c r="D681" s="2728"/>
      <c r="E681" s="2728"/>
      <c r="G681" s="2512"/>
      <c r="I681" s="2748"/>
      <c r="J681" s="2728"/>
      <c r="L681" s="2728"/>
      <c r="M681" s="2748"/>
      <c r="N681" s="2728"/>
      <c r="O681" s="2728"/>
      <c r="P681" s="2728"/>
      <c r="Q681" s="2748"/>
      <c r="R681" s="2748"/>
      <c r="S681" s="2748"/>
      <c r="T681" s="2748"/>
      <c r="U681" s="2748"/>
      <c r="V681" s="2748"/>
      <c r="W681" s="2748"/>
      <c r="X681" s="2748"/>
      <c r="Y681" s="2748"/>
      <c r="Z681" s="2748"/>
      <c r="AA681" s="2748"/>
      <c r="AB681" s="2748"/>
      <c r="AC681" s="2748"/>
      <c r="AD681" s="2748"/>
      <c r="AE681" s="2748"/>
      <c r="AF681" s="2748"/>
      <c r="AG681" s="2748"/>
      <c r="AH681" s="2748"/>
      <c r="AI681" s="2748"/>
      <c r="AK681" s="2748"/>
      <c r="AL681" s="2748"/>
      <c r="AN681" s="2748"/>
      <c r="AO681" s="2748"/>
      <c r="AP681" s="2748"/>
    </row>
    <row r="682" spans="2:42" ht="18" customHeight="1">
      <c r="B682" s="2728"/>
      <c r="C682" s="2728"/>
      <c r="D682" s="2728"/>
      <c r="E682" s="2728"/>
      <c r="G682" s="2512"/>
      <c r="I682" s="2748"/>
      <c r="J682" s="2728"/>
      <c r="L682" s="2728"/>
      <c r="M682" s="2748"/>
      <c r="N682" s="2728"/>
      <c r="O682" s="2728"/>
      <c r="P682" s="2728"/>
      <c r="Q682" s="2748"/>
      <c r="R682" s="2748"/>
      <c r="S682" s="2748"/>
      <c r="T682" s="2748"/>
      <c r="U682" s="2748"/>
      <c r="V682" s="2748"/>
      <c r="W682" s="2748"/>
      <c r="X682" s="2748"/>
      <c r="Y682" s="2748"/>
      <c r="Z682" s="2748"/>
      <c r="AA682" s="2748"/>
      <c r="AB682" s="2748"/>
      <c r="AC682" s="2748"/>
      <c r="AD682" s="2748"/>
      <c r="AE682" s="2748"/>
      <c r="AF682" s="2748"/>
      <c r="AG682" s="2748"/>
      <c r="AH682" s="2748"/>
      <c r="AI682" s="2748"/>
      <c r="AK682" s="2748"/>
      <c r="AL682" s="2748"/>
      <c r="AN682" s="2748"/>
      <c r="AO682" s="2748"/>
      <c r="AP682" s="2748"/>
    </row>
    <row r="683" spans="2:42" ht="18" customHeight="1">
      <c r="B683" s="2728"/>
      <c r="C683" s="2728"/>
      <c r="D683" s="2728"/>
      <c r="E683" s="2728"/>
      <c r="G683" s="2512"/>
      <c r="I683" s="2748"/>
      <c r="J683" s="2728"/>
      <c r="L683" s="2728"/>
      <c r="M683" s="2748"/>
      <c r="N683" s="2728"/>
      <c r="O683" s="2728"/>
      <c r="P683" s="2728"/>
      <c r="Q683" s="2748"/>
      <c r="R683" s="2748"/>
      <c r="S683" s="2748"/>
      <c r="T683" s="2748"/>
      <c r="U683" s="2748"/>
      <c r="V683" s="2748"/>
      <c r="W683" s="2748"/>
      <c r="X683" s="2748"/>
      <c r="Y683" s="2748"/>
      <c r="Z683" s="2748"/>
      <c r="AA683" s="2748"/>
      <c r="AB683" s="2748"/>
      <c r="AC683" s="2748"/>
      <c r="AD683" s="2748"/>
      <c r="AE683" s="2748"/>
      <c r="AF683" s="2748"/>
      <c r="AG683" s="2748"/>
      <c r="AH683" s="2748"/>
      <c r="AI683" s="2748"/>
      <c r="AK683" s="2748"/>
      <c r="AL683" s="2748"/>
      <c r="AN683" s="2748"/>
      <c r="AO683" s="2748"/>
      <c r="AP683" s="2748"/>
    </row>
    <row r="684" spans="2:42" ht="18" customHeight="1">
      <c r="B684" s="2728"/>
      <c r="C684" s="2728"/>
      <c r="D684" s="2728"/>
      <c r="E684" s="2728"/>
      <c r="G684" s="2512"/>
      <c r="I684" s="2748"/>
      <c r="J684" s="2728"/>
      <c r="L684" s="2728"/>
      <c r="M684" s="2748"/>
      <c r="N684" s="2728"/>
      <c r="O684" s="2728"/>
      <c r="P684" s="2728"/>
      <c r="Q684" s="2748"/>
      <c r="R684" s="2748"/>
      <c r="S684" s="2748"/>
      <c r="T684" s="2748"/>
      <c r="U684" s="2748"/>
      <c r="V684" s="2748"/>
      <c r="W684" s="2748"/>
      <c r="X684" s="2748"/>
      <c r="Y684" s="2748"/>
      <c r="Z684" s="2748"/>
      <c r="AA684" s="2748"/>
      <c r="AB684" s="2748"/>
      <c r="AC684" s="2748"/>
      <c r="AD684" s="2748"/>
      <c r="AE684" s="2748"/>
      <c r="AF684" s="2748"/>
      <c r="AG684" s="2748"/>
      <c r="AH684" s="2748"/>
      <c r="AI684" s="2748"/>
      <c r="AK684" s="2748"/>
      <c r="AL684" s="2748"/>
      <c r="AN684" s="2748"/>
      <c r="AO684" s="2748"/>
      <c r="AP684" s="2748"/>
    </row>
    <row r="685" spans="2:42" ht="18" customHeight="1">
      <c r="B685" s="2728"/>
      <c r="C685" s="2728"/>
      <c r="D685" s="2728"/>
      <c r="E685" s="2728"/>
      <c r="G685" s="2512"/>
      <c r="I685" s="2748"/>
      <c r="J685" s="2728"/>
      <c r="L685" s="2728"/>
      <c r="M685" s="2748"/>
      <c r="N685" s="2728"/>
      <c r="O685" s="2728"/>
      <c r="P685" s="2728"/>
      <c r="Q685" s="2748"/>
      <c r="R685" s="2748"/>
      <c r="S685" s="2748"/>
      <c r="T685" s="2748"/>
      <c r="U685" s="2748"/>
      <c r="V685" s="2748"/>
      <c r="W685" s="2748"/>
      <c r="X685" s="2748"/>
      <c r="Y685" s="2748"/>
      <c r="Z685" s="2748"/>
      <c r="AA685" s="2748"/>
      <c r="AB685" s="2748"/>
      <c r="AC685" s="2748"/>
      <c r="AD685" s="2748"/>
      <c r="AE685" s="2748"/>
      <c r="AF685" s="2748"/>
      <c r="AG685" s="2748"/>
      <c r="AH685" s="2748"/>
      <c r="AI685" s="2748"/>
      <c r="AK685" s="2748"/>
      <c r="AL685" s="2748"/>
      <c r="AN685" s="2748"/>
      <c r="AO685" s="2748"/>
      <c r="AP685" s="2748"/>
    </row>
    <row r="686" spans="2:42" ht="18" customHeight="1">
      <c r="B686" s="2728"/>
      <c r="C686" s="2728"/>
      <c r="D686" s="2728"/>
      <c r="E686" s="2728"/>
      <c r="G686" s="2512"/>
      <c r="I686" s="2748"/>
      <c r="J686" s="2728"/>
      <c r="L686" s="2728"/>
      <c r="M686" s="2748"/>
      <c r="N686" s="2728"/>
      <c r="O686" s="2728"/>
      <c r="P686" s="2728"/>
      <c r="Q686" s="2748"/>
      <c r="R686" s="2748"/>
      <c r="S686" s="2748"/>
      <c r="T686" s="2748"/>
      <c r="U686" s="2748"/>
      <c r="V686" s="2748"/>
      <c r="W686" s="2748"/>
      <c r="X686" s="2748"/>
      <c r="Y686" s="2748"/>
      <c r="Z686" s="2748"/>
      <c r="AA686" s="2748"/>
      <c r="AB686" s="2748"/>
      <c r="AC686" s="2748"/>
      <c r="AD686" s="2748"/>
      <c r="AE686" s="2748"/>
      <c r="AF686" s="2748"/>
      <c r="AG686" s="2748"/>
      <c r="AH686" s="2748"/>
      <c r="AI686" s="2748"/>
      <c r="AK686" s="2748"/>
      <c r="AL686" s="2748"/>
      <c r="AN686" s="2748"/>
      <c r="AO686" s="2748"/>
      <c r="AP686" s="2748"/>
    </row>
    <row r="687" spans="2:42" ht="18" customHeight="1">
      <c r="B687" s="2728"/>
      <c r="C687" s="2728"/>
      <c r="D687" s="2728"/>
      <c r="E687" s="2728"/>
      <c r="G687" s="2512"/>
      <c r="I687" s="2748"/>
      <c r="J687" s="2728"/>
      <c r="L687" s="2728"/>
      <c r="M687" s="2748"/>
      <c r="N687" s="2728"/>
      <c r="O687" s="2728"/>
      <c r="P687" s="2728"/>
      <c r="Q687" s="2748"/>
      <c r="R687" s="2748"/>
      <c r="S687" s="2748"/>
      <c r="T687" s="2748"/>
      <c r="U687" s="2748"/>
      <c r="V687" s="2748"/>
      <c r="W687" s="2748"/>
      <c r="X687" s="2748"/>
      <c r="Y687" s="2748"/>
      <c r="Z687" s="2748"/>
      <c r="AA687" s="2748"/>
      <c r="AB687" s="2748"/>
      <c r="AC687" s="2748"/>
      <c r="AD687" s="2748"/>
      <c r="AE687" s="2748"/>
      <c r="AF687" s="2748"/>
      <c r="AG687" s="2748"/>
      <c r="AH687" s="2748"/>
      <c r="AI687" s="2748"/>
      <c r="AK687" s="2748"/>
      <c r="AL687" s="2748"/>
      <c r="AN687" s="2748"/>
      <c r="AO687" s="2748"/>
      <c r="AP687" s="2748"/>
    </row>
    <row r="688" spans="2:42" ht="18" customHeight="1">
      <c r="B688" s="2728"/>
      <c r="C688" s="2728"/>
      <c r="D688" s="2728"/>
      <c r="E688" s="2728"/>
      <c r="G688" s="2512"/>
      <c r="I688" s="2748"/>
      <c r="J688" s="2728"/>
      <c r="L688" s="2728"/>
      <c r="M688" s="2748"/>
      <c r="N688" s="2728"/>
      <c r="O688" s="2728"/>
      <c r="P688" s="2728"/>
      <c r="Q688" s="2748"/>
      <c r="R688" s="2748"/>
      <c r="S688" s="2748"/>
      <c r="T688" s="2748"/>
      <c r="U688" s="2748"/>
      <c r="V688" s="2748"/>
      <c r="W688" s="2748"/>
      <c r="X688" s="2748"/>
      <c r="Y688" s="2748"/>
      <c r="Z688" s="2748"/>
      <c r="AA688" s="2748"/>
      <c r="AB688" s="2748"/>
      <c r="AC688" s="2748"/>
      <c r="AD688" s="2748"/>
      <c r="AE688" s="2748"/>
      <c r="AF688" s="2748"/>
      <c r="AG688" s="2748"/>
      <c r="AH688" s="2748"/>
      <c r="AI688" s="2748"/>
      <c r="AK688" s="2748"/>
      <c r="AL688" s="2748"/>
      <c r="AN688" s="2748"/>
      <c r="AO688" s="2748"/>
      <c r="AP688" s="2748"/>
    </row>
    <row r="689" spans="2:42" ht="18" customHeight="1">
      <c r="B689" s="2728"/>
      <c r="C689" s="2728"/>
      <c r="D689" s="2728"/>
      <c r="E689" s="2728"/>
      <c r="G689" s="2512"/>
      <c r="I689" s="2748"/>
      <c r="J689" s="2728"/>
      <c r="L689" s="2728"/>
      <c r="M689" s="2748"/>
      <c r="N689" s="2728"/>
      <c r="O689" s="2728"/>
      <c r="P689" s="2728"/>
      <c r="Q689" s="2748"/>
      <c r="R689" s="2748"/>
      <c r="S689" s="2748"/>
      <c r="T689" s="2748"/>
      <c r="U689" s="2748"/>
      <c r="V689" s="2748"/>
      <c r="W689" s="2748"/>
      <c r="X689" s="2748"/>
      <c r="Y689" s="2748"/>
      <c r="Z689" s="2748"/>
      <c r="AA689" s="2748"/>
      <c r="AB689" s="2748"/>
      <c r="AC689" s="2748"/>
      <c r="AD689" s="2748"/>
      <c r="AE689" s="2748"/>
      <c r="AF689" s="2748"/>
      <c r="AG689" s="2748"/>
      <c r="AH689" s="2748"/>
      <c r="AI689" s="2748"/>
      <c r="AK689" s="2748"/>
      <c r="AL689" s="2748"/>
      <c r="AN689" s="2748"/>
      <c r="AO689" s="2748"/>
      <c r="AP689" s="2748"/>
    </row>
    <row r="690" spans="2:42" ht="18" customHeight="1">
      <c r="B690" s="2728"/>
      <c r="C690" s="2728"/>
      <c r="D690" s="2728"/>
      <c r="E690" s="2728"/>
      <c r="G690" s="2512"/>
      <c r="I690" s="2748"/>
      <c r="J690" s="2728"/>
      <c r="L690" s="2728"/>
      <c r="M690" s="2748"/>
      <c r="N690" s="2728"/>
      <c r="O690" s="2728"/>
      <c r="P690" s="2728"/>
      <c r="Q690" s="2748"/>
      <c r="R690" s="2748"/>
      <c r="S690" s="2748"/>
      <c r="T690" s="2748"/>
      <c r="U690" s="2748"/>
      <c r="V690" s="2748"/>
      <c r="W690" s="2748"/>
      <c r="X690" s="2748"/>
      <c r="Y690" s="2748"/>
      <c r="Z690" s="2748"/>
      <c r="AA690" s="2748"/>
      <c r="AB690" s="2748"/>
      <c r="AC690" s="2748"/>
      <c r="AD690" s="2748"/>
      <c r="AE690" s="2748"/>
      <c r="AF690" s="2748"/>
      <c r="AG690" s="2748"/>
      <c r="AH690" s="2748"/>
      <c r="AI690" s="2748"/>
      <c r="AK690" s="2748"/>
      <c r="AL690" s="2748"/>
      <c r="AN690" s="2748"/>
      <c r="AO690" s="2748"/>
      <c r="AP690" s="2748"/>
    </row>
    <row r="691" spans="2:42" ht="18" customHeight="1">
      <c r="B691" s="2728"/>
      <c r="C691" s="2728"/>
      <c r="D691" s="2728"/>
      <c r="E691" s="2728"/>
      <c r="G691" s="2512"/>
      <c r="I691" s="2748"/>
      <c r="J691" s="2728"/>
      <c r="L691" s="2728"/>
      <c r="M691" s="2748"/>
      <c r="N691" s="2728"/>
      <c r="O691" s="2728"/>
      <c r="P691" s="2728"/>
      <c r="Q691" s="2748"/>
      <c r="R691" s="2748"/>
      <c r="S691" s="2748"/>
      <c r="T691" s="2748"/>
      <c r="U691" s="2748"/>
      <c r="V691" s="2748"/>
      <c r="W691" s="2748"/>
      <c r="X691" s="2748"/>
      <c r="Y691" s="2748"/>
      <c r="Z691" s="2748"/>
      <c r="AA691" s="2748"/>
      <c r="AB691" s="2748"/>
      <c r="AC691" s="2748"/>
      <c r="AD691" s="2748"/>
      <c r="AE691" s="2748"/>
      <c r="AF691" s="2748"/>
      <c r="AG691" s="2748"/>
      <c r="AH691" s="2748"/>
      <c r="AI691" s="2748"/>
      <c r="AK691" s="2748"/>
      <c r="AL691" s="2748"/>
      <c r="AN691" s="2748"/>
      <c r="AO691" s="2748"/>
      <c r="AP691" s="2748"/>
    </row>
    <row r="692" spans="2:42" ht="18" customHeight="1">
      <c r="B692" s="2728"/>
      <c r="C692" s="2728"/>
      <c r="D692" s="2728"/>
      <c r="E692" s="2728"/>
      <c r="G692" s="2512"/>
      <c r="I692" s="2748"/>
      <c r="J692" s="2728"/>
      <c r="L692" s="2728"/>
      <c r="M692" s="2748"/>
      <c r="N692" s="2728"/>
      <c r="O692" s="2728"/>
      <c r="P692" s="2728"/>
      <c r="Q692" s="2748"/>
      <c r="R692" s="2748"/>
      <c r="S692" s="2748"/>
      <c r="T692" s="2748"/>
      <c r="U692" s="2748"/>
      <c r="V692" s="2748"/>
      <c r="W692" s="2748"/>
      <c r="X692" s="2748"/>
      <c r="Y692" s="2748"/>
      <c r="Z692" s="2748"/>
      <c r="AA692" s="2748"/>
      <c r="AB692" s="2748"/>
      <c r="AC692" s="2748"/>
      <c r="AD692" s="2748"/>
      <c r="AE692" s="2748"/>
      <c r="AF692" s="2748"/>
      <c r="AG692" s="2748"/>
      <c r="AH692" s="2748"/>
      <c r="AI692" s="2748"/>
      <c r="AK692" s="2748"/>
      <c r="AL692" s="2748"/>
      <c r="AN692" s="2748"/>
      <c r="AO692" s="2748"/>
      <c r="AP692" s="2748"/>
    </row>
    <row r="693" spans="2:42" ht="18" customHeight="1">
      <c r="B693" s="2728"/>
      <c r="C693" s="2728"/>
      <c r="D693" s="2728"/>
      <c r="E693" s="2728"/>
      <c r="G693" s="2512"/>
      <c r="I693" s="2748"/>
      <c r="J693" s="2728"/>
      <c r="L693" s="2728"/>
      <c r="M693" s="2748"/>
      <c r="N693" s="2728"/>
      <c r="O693" s="2728"/>
      <c r="P693" s="2728"/>
      <c r="Q693" s="2748"/>
      <c r="R693" s="2748"/>
      <c r="S693" s="2748"/>
      <c r="T693" s="2748"/>
      <c r="U693" s="2748"/>
      <c r="V693" s="2748"/>
      <c r="W693" s="2748"/>
      <c r="X693" s="2748"/>
      <c r="Y693" s="2748"/>
      <c r="Z693" s="2748"/>
      <c r="AA693" s="2748"/>
      <c r="AB693" s="2748"/>
      <c r="AC693" s="2748"/>
      <c r="AD693" s="2748"/>
      <c r="AE693" s="2748"/>
      <c r="AF693" s="2748"/>
      <c r="AG693" s="2748"/>
      <c r="AH693" s="2748"/>
      <c r="AI693" s="2748"/>
      <c r="AK693" s="2748"/>
      <c r="AL693" s="2748"/>
      <c r="AN693" s="2748"/>
      <c r="AO693" s="2748"/>
      <c r="AP693" s="2748"/>
    </row>
    <row r="694" spans="2:42" ht="18" customHeight="1">
      <c r="B694" s="2728"/>
      <c r="C694" s="2728"/>
      <c r="D694" s="2728"/>
      <c r="E694" s="2728"/>
      <c r="G694" s="2512"/>
      <c r="I694" s="2748"/>
      <c r="J694" s="2728"/>
      <c r="L694" s="2728"/>
      <c r="M694" s="2748"/>
      <c r="N694" s="2728"/>
      <c r="O694" s="2728"/>
      <c r="P694" s="2728"/>
      <c r="Q694" s="2748"/>
      <c r="R694" s="2748"/>
      <c r="S694" s="2748"/>
      <c r="T694" s="2748"/>
      <c r="U694" s="2748"/>
      <c r="V694" s="2748"/>
      <c r="W694" s="2748"/>
      <c r="X694" s="2748"/>
      <c r="Y694" s="2748"/>
      <c r="Z694" s="2748"/>
      <c r="AA694" s="2748"/>
      <c r="AB694" s="2748"/>
      <c r="AC694" s="2748"/>
      <c r="AD694" s="2748"/>
      <c r="AE694" s="2748"/>
      <c r="AF694" s="2748"/>
      <c r="AG694" s="2748"/>
      <c r="AH694" s="2748"/>
      <c r="AI694" s="2748"/>
      <c r="AK694" s="2748"/>
      <c r="AL694" s="2748"/>
      <c r="AN694" s="2748"/>
      <c r="AO694" s="2748"/>
      <c r="AP694" s="2748"/>
    </row>
    <row r="695" spans="2:42" ht="18" customHeight="1">
      <c r="B695" s="2728"/>
      <c r="C695" s="2728"/>
      <c r="D695" s="2728"/>
      <c r="E695" s="2728"/>
      <c r="G695" s="2512"/>
      <c r="I695" s="2748"/>
      <c r="J695" s="2728"/>
      <c r="L695" s="2728"/>
      <c r="M695" s="2748"/>
      <c r="N695" s="2728"/>
      <c r="O695" s="2728"/>
      <c r="P695" s="2728"/>
      <c r="Q695" s="2748"/>
      <c r="R695" s="2748"/>
      <c r="S695" s="2748"/>
      <c r="T695" s="2748"/>
      <c r="U695" s="2748"/>
      <c r="V695" s="2748"/>
      <c r="W695" s="2748"/>
      <c r="X695" s="2748"/>
      <c r="Y695" s="2748"/>
      <c r="Z695" s="2748"/>
      <c r="AA695" s="2748"/>
      <c r="AB695" s="2748"/>
      <c r="AC695" s="2748"/>
      <c r="AD695" s="2748"/>
      <c r="AE695" s="2748"/>
      <c r="AF695" s="2748"/>
      <c r="AG695" s="2748"/>
      <c r="AH695" s="2748"/>
      <c r="AI695" s="2748"/>
      <c r="AK695" s="2748"/>
      <c r="AL695" s="2748"/>
      <c r="AN695" s="2748"/>
      <c r="AO695" s="2748"/>
      <c r="AP695" s="2748"/>
    </row>
    <row r="696" spans="2:42" ht="18" customHeight="1">
      <c r="B696" s="2728"/>
      <c r="C696" s="2728"/>
      <c r="D696" s="2728"/>
      <c r="E696" s="2728"/>
      <c r="G696" s="2512"/>
      <c r="I696" s="2748"/>
      <c r="J696" s="2728"/>
      <c r="L696" s="2728"/>
      <c r="M696" s="2748"/>
      <c r="N696" s="2728"/>
      <c r="O696" s="2728"/>
      <c r="P696" s="2728"/>
      <c r="Q696" s="2748"/>
      <c r="R696" s="2748"/>
      <c r="S696" s="2748"/>
      <c r="T696" s="2748"/>
      <c r="U696" s="2748"/>
      <c r="V696" s="2748"/>
      <c r="W696" s="2748"/>
      <c r="X696" s="2748"/>
      <c r="Y696" s="2748"/>
      <c r="Z696" s="2748"/>
      <c r="AA696" s="2748"/>
      <c r="AB696" s="2748"/>
      <c r="AC696" s="2748"/>
      <c r="AD696" s="2748"/>
      <c r="AE696" s="2748"/>
      <c r="AF696" s="2748"/>
      <c r="AG696" s="2748"/>
      <c r="AH696" s="2748"/>
      <c r="AI696" s="2748"/>
      <c r="AK696" s="2748"/>
      <c r="AL696" s="2748"/>
      <c r="AN696" s="2748"/>
      <c r="AO696" s="2748"/>
      <c r="AP696" s="2748"/>
    </row>
    <row r="697" spans="2:42" ht="18" customHeight="1">
      <c r="B697" s="2728"/>
      <c r="C697" s="2728"/>
      <c r="D697" s="2728"/>
      <c r="E697" s="2728"/>
      <c r="G697" s="2512"/>
      <c r="I697" s="2748"/>
      <c r="J697" s="2728"/>
      <c r="L697" s="2728"/>
      <c r="M697" s="2748"/>
      <c r="N697" s="2728"/>
      <c r="O697" s="2728"/>
      <c r="P697" s="2728"/>
      <c r="Q697" s="2748"/>
      <c r="R697" s="2748"/>
      <c r="S697" s="2748"/>
      <c r="T697" s="2748"/>
      <c r="U697" s="2748"/>
      <c r="V697" s="2748"/>
      <c r="W697" s="2748"/>
      <c r="X697" s="2748"/>
      <c r="Y697" s="2748"/>
      <c r="Z697" s="2748"/>
      <c r="AA697" s="2748"/>
      <c r="AB697" s="2748"/>
      <c r="AC697" s="2748"/>
      <c r="AD697" s="2748"/>
      <c r="AE697" s="2748"/>
      <c r="AF697" s="2748"/>
      <c r="AG697" s="2748"/>
      <c r="AH697" s="2748"/>
      <c r="AI697" s="2748"/>
      <c r="AK697" s="2748"/>
      <c r="AL697" s="2748"/>
      <c r="AN697" s="2748"/>
      <c r="AO697" s="2748"/>
      <c r="AP697" s="2748"/>
    </row>
    <row r="698" spans="2:42" ht="18" customHeight="1">
      <c r="B698" s="2728"/>
      <c r="C698" s="2728"/>
      <c r="D698" s="2728"/>
      <c r="E698" s="2728"/>
      <c r="G698" s="2512"/>
      <c r="I698" s="2748"/>
      <c r="J698" s="2728"/>
      <c r="L698" s="2728"/>
      <c r="M698" s="2748"/>
      <c r="N698" s="2728"/>
      <c r="O698" s="2728"/>
      <c r="P698" s="2728"/>
      <c r="Q698" s="2748"/>
      <c r="R698" s="2748"/>
      <c r="S698" s="2748"/>
      <c r="T698" s="2748"/>
      <c r="U698" s="2748"/>
      <c r="V698" s="2748"/>
      <c r="W698" s="2748"/>
      <c r="X698" s="2748"/>
      <c r="Y698" s="2748"/>
      <c r="Z698" s="2748"/>
      <c r="AA698" s="2748"/>
      <c r="AB698" s="2748"/>
      <c r="AC698" s="2748"/>
      <c r="AD698" s="2748"/>
      <c r="AE698" s="2748"/>
      <c r="AF698" s="2748"/>
      <c r="AG698" s="2748"/>
      <c r="AH698" s="2748"/>
      <c r="AI698" s="2748"/>
      <c r="AK698" s="2748"/>
      <c r="AL698" s="2748"/>
      <c r="AN698" s="2748"/>
      <c r="AO698" s="2748"/>
      <c r="AP698" s="2748"/>
    </row>
    <row r="699" spans="2:42" ht="18" customHeight="1">
      <c r="B699" s="2728"/>
      <c r="C699" s="2728"/>
      <c r="D699" s="2728"/>
      <c r="E699" s="2728"/>
      <c r="G699" s="2512"/>
      <c r="I699" s="2748"/>
      <c r="J699" s="2728"/>
      <c r="L699" s="2728"/>
      <c r="M699" s="2748"/>
      <c r="N699" s="2728"/>
      <c r="O699" s="2728"/>
      <c r="P699" s="2728"/>
      <c r="Q699" s="2748"/>
      <c r="R699" s="2748"/>
      <c r="S699" s="2748"/>
      <c r="T699" s="2748"/>
      <c r="U699" s="2748"/>
      <c r="V699" s="2748"/>
      <c r="W699" s="2748"/>
      <c r="X699" s="2748"/>
      <c r="Y699" s="2748"/>
      <c r="Z699" s="2748"/>
      <c r="AA699" s="2748"/>
      <c r="AB699" s="2748"/>
      <c r="AC699" s="2748"/>
      <c r="AD699" s="2748"/>
      <c r="AE699" s="2748"/>
      <c r="AF699" s="2748"/>
      <c r="AG699" s="2748"/>
      <c r="AH699" s="2748"/>
      <c r="AI699" s="2748"/>
      <c r="AK699" s="2748"/>
      <c r="AL699" s="2748"/>
      <c r="AN699" s="2748"/>
      <c r="AO699" s="2748"/>
      <c r="AP699" s="2748"/>
    </row>
    <row r="700" spans="2:42" ht="18" customHeight="1">
      <c r="B700" s="2728"/>
      <c r="C700" s="2728"/>
      <c r="D700" s="2728"/>
      <c r="E700" s="2728"/>
      <c r="G700" s="2512"/>
      <c r="I700" s="2748"/>
      <c r="J700" s="2728"/>
      <c r="L700" s="2728"/>
      <c r="M700" s="2748"/>
      <c r="N700" s="2728"/>
      <c r="O700" s="2728"/>
      <c r="P700" s="2728"/>
      <c r="Q700" s="2748"/>
      <c r="R700" s="2748"/>
      <c r="S700" s="2748"/>
      <c r="T700" s="2748"/>
      <c r="U700" s="2748"/>
      <c r="V700" s="2748"/>
      <c r="W700" s="2748"/>
      <c r="X700" s="2748"/>
      <c r="Y700" s="2748"/>
      <c r="Z700" s="2748"/>
      <c r="AA700" s="2748"/>
      <c r="AB700" s="2748"/>
      <c r="AC700" s="2748"/>
      <c r="AD700" s="2748"/>
      <c r="AE700" s="2748"/>
      <c r="AF700" s="2748"/>
      <c r="AG700" s="2748"/>
      <c r="AH700" s="2748"/>
      <c r="AI700" s="2748"/>
      <c r="AK700" s="2748"/>
      <c r="AL700" s="2748"/>
      <c r="AN700" s="2748"/>
      <c r="AO700" s="2748"/>
      <c r="AP700" s="2748"/>
    </row>
    <row r="701" spans="2:42" ht="18" customHeight="1">
      <c r="B701" s="2728"/>
      <c r="C701" s="2728"/>
      <c r="D701" s="2728"/>
      <c r="E701" s="2728"/>
      <c r="G701" s="2512"/>
      <c r="I701" s="2748"/>
      <c r="J701" s="2728"/>
      <c r="L701" s="2728"/>
      <c r="M701" s="2748"/>
      <c r="N701" s="2728"/>
      <c r="O701" s="2728"/>
      <c r="P701" s="2728"/>
      <c r="Q701" s="2748"/>
      <c r="R701" s="2748"/>
      <c r="S701" s="2748"/>
      <c r="T701" s="2748"/>
      <c r="U701" s="2748"/>
      <c r="V701" s="2748"/>
      <c r="W701" s="2748"/>
      <c r="X701" s="2748"/>
      <c r="Y701" s="2748"/>
      <c r="Z701" s="2748"/>
      <c r="AA701" s="2748"/>
      <c r="AB701" s="2748"/>
      <c r="AC701" s="2748"/>
      <c r="AD701" s="2748"/>
      <c r="AE701" s="2748"/>
      <c r="AF701" s="2748"/>
      <c r="AG701" s="2748"/>
      <c r="AH701" s="2748"/>
      <c r="AI701" s="2748"/>
      <c r="AK701" s="2748"/>
      <c r="AL701" s="2748"/>
      <c r="AN701" s="2748"/>
      <c r="AO701" s="2748"/>
      <c r="AP701" s="2748"/>
    </row>
    <row r="702" spans="2:42" ht="18" customHeight="1">
      <c r="B702" s="2728"/>
      <c r="C702" s="2728"/>
      <c r="D702" s="2728"/>
      <c r="E702" s="2728"/>
      <c r="G702" s="2512"/>
      <c r="I702" s="2748"/>
      <c r="J702" s="2728"/>
      <c r="L702" s="2728"/>
      <c r="M702" s="2748"/>
      <c r="N702" s="2728"/>
      <c r="O702" s="2728"/>
      <c r="P702" s="2728"/>
      <c r="Q702" s="2748"/>
      <c r="R702" s="2748"/>
      <c r="S702" s="2748"/>
      <c r="T702" s="2748"/>
      <c r="U702" s="2748"/>
      <c r="V702" s="2748"/>
      <c r="W702" s="2748"/>
      <c r="X702" s="2748"/>
      <c r="Y702" s="2748"/>
      <c r="Z702" s="2748"/>
      <c r="AA702" s="2748"/>
      <c r="AB702" s="2748"/>
      <c r="AC702" s="2748"/>
      <c r="AD702" s="2748"/>
      <c r="AE702" s="2748"/>
      <c r="AF702" s="2748"/>
      <c r="AG702" s="2748"/>
      <c r="AH702" s="2748"/>
      <c r="AI702" s="2748"/>
      <c r="AK702" s="2748"/>
      <c r="AL702" s="2748"/>
      <c r="AN702" s="2748"/>
      <c r="AO702" s="2748"/>
      <c r="AP702" s="2748"/>
    </row>
    <row r="703" spans="2:42" ht="18" customHeight="1">
      <c r="B703" s="2728"/>
      <c r="C703" s="2728"/>
      <c r="D703" s="2728"/>
      <c r="E703" s="2728"/>
      <c r="G703" s="2512"/>
      <c r="I703" s="2748"/>
      <c r="J703" s="2728"/>
      <c r="L703" s="2728"/>
      <c r="M703" s="2748"/>
      <c r="N703" s="2728"/>
      <c r="O703" s="2728"/>
      <c r="P703" s="2728"/>
      <c r="Q703" s="2748"/>
      <c r="R703" s="2748"/>
      <c r="S703" s="2748"/>
      <c r="T703" s="2748"/>
      <c r="U703" s="2748"/>
      <c r="V703" s="2748"/>
      <c r="W703" s="2748"/>
      <c r="X703" s="2748"/>
      <c r="Y703" s="2748"/>
      <c r="Z703" s="2748"/>
      <c r="AA703" s="2748"/>
      <c r="AB703" s="2748"/>
      <c r="AC703" s="2748"/>
      <c r="AD703" s="2748"/>
      <c r="AE703" s="2748"/>
      <c r="AF703" s="2748"/>
      <c r="AG703" s="2748"/>
      <c r="AH703" s="2748"/>
      <c r="AI703" s="2748"/>
      <c r="AK703" s="2748"/>
      <c r="AL703" s="2748"/>
      <c r="AN703" s="2748"/>
      <c r="AO703" s="2748"/>
      <c r="AP703" s="2748"/>
    </row>
    <row r="704" spans="2:42" ht="18" customHeight="1">
      <c r="B704" s="2728"/>
      <c r="C704" s="2728"/>
      <c r="D704" s="2728"/>
      <c r="E704" s="2728"/>
      <c r="G704" s="2512"/>
      <c r="I704" s="2748"/>
      <c r="J704" s="2728"/>
      <c r="L704" s="2728"/>
      <c r="M704" s="2748"/>
      <c r="N704" s="2728"/>
      <c r="O704" s="2728"/>
      <c r="P704" s="2728"/>
      <c r="Q704" s="2748"/>
      <c r="R704" s="2748"/>
      <c r="S704" s="2748"/>
      <c r="T704" s="2748"/>
      <c r="U704" s="2748"/>
      <c r="V704" s="2748"/>
      <c r="W704" s="2748"/>
      <c r="X704" s="2748"/>
      <c r="Y704" s="2748"/>
      <c r="Z704" s="2748"/>
      <c r="AA704" s="2748"/>
      <c r="AB704" s="2748"/>
      <c r="AC704" s="2748"/>
      <c r="AD704" s="2748"/>
      <c r="AE704" s="2748"/>
      <c r="AF704" s="2748"/>
      <c r="AG704" s="2748"/>
      <c r="AH704" s="2748"/>
      <c r="AI704" s="2748"/>
      <c r="AK704" s="2748"/>
      <c r="AL704" s="2748"/>
      <c r="AN704" s="2748"/>
      <c r="AO704" s="2748"/>
      <c r="AP704" s="2748"/>
    </row>
    <row r="705" spans="2:42" ht="18" customHeight="1">
      <c r="B705" s="2728"/>
      <c r="C705" s="2728"/>
      <c r="D705" s="2728"/>
      <c r="E705" s="2728"/>
      <c r="G705" s="2512"/>
      <c r="I705" s="2748"/>
      <c r="J705" s="2728"/>
      <c r="L705" s="2728"/>
      <c r="M705" s="2748"/>
      <c r="N705" s="2728"/>
      <c r="O705" s="2728"/>
      <c r="P705" s="2728"/>
      <c r="Q705" s="2748"/>
      <c r="R705" s="2748"/>
      <c r="S705" s="2748"/>
      <c r="T705" s="2748"/>
      <c r="U705" s="2748"/>
      <c r="V705" s="2748"/>
      <c r="W705" s="2748"/>
      <c r="X705" s="2748"/>
      <c r="Y705" s="2748"/>
      <c r="Z705" s="2748"/>
      <c r="AA705" s="2748"/>
      <c r="AB705" s="2748"/>
      <c r="AC705" s="2748"/>
      <c r="AD705" s="2748"/>
      <c r="AE705" s="2748"/>
      <c r="AF705" s="2748"/>
      <c r="AG705" s="2748"/>
      <c r="AH705" s="2748"/>
      <c r="AI705" s="2748"/>
      <c r="AK705" s="2748"/>
      <c r="AL705" s="2748"/>
      <c r="AN705" s="2748"/>
      <c r="AO705" s="2748"/>
      <c r="AP705" s="2748"/>
    </row>
    <row r="706" spans="2:42" ht="18" customHeight="1">
      <c r="B706" s="2728"/>
      <c r="C706" s="2728"/>
      <c r="D706" s="2728"/>
      <c r="E706" s="2728"/>
      <c r="G706" s="2512"/>
      <c r="I706" s="2748"/>
      <c r="J706" s="2728"/>
      <c r="L706" s="2728"/>
      <c r="M706" s="2748"/>
      <c r="N706" s="2728"/>
      <c r="O706" s="2728"/>
      <c r="P706" s="2728"/>
      <c r="Q706" s="2748"/>
      <c r="R706" s="2748"/>
      <c r="S706" s="2748"/>
      <c r="T706" s="2748"/>
      <c r="U706" s="2748"/>
      <c r="V706" s="2748"/>
      <c r="W706" s="2748"/>
      <c r="X706" s="2748"/>
      <c r="Y706" s="2748"/>
      <c r="Z706" s="2748"/>
      <c r="AA706" s="2748"/>
      <c r="AB706" s="2748"/>
      <c r="AC706" s="2748"/>
      <c r="AD706" s="2748"/>
      <c r="AE706" s="2748"/>
      <c r="AF706" s="2748"/>
      <c r="AG706" s="2748"/>
      <c r="AH706" s="2748"/>
      <c r="AI706" s="2748"/>
      <c r="AK706" s="2748"/>
      <c r="AL706" s="2748"/>
      <c r="AN706" s="2748"/>
      <c r="AO706" s="2748"/>
      <c r="AP706" s="2748"/>
    </row>
    <row r="707" spans="2:42" ht="18" customHeight="1">
      <c r="B707" s="2728"/>
      <c r="C707" s="2728"/>
      <c r="D707" s="2728"/>
      <c r="E707" s="2728"/>
      <c r="G707" s="2512"/>
      <c r="I707" s="2748"/>
      <c r="J707" s="2728"/>
      <c r="L707" s="2728"/>
      <c r="M707" s="2748"/>
      <c r="N707" s="2728"/>
      <c r="O707" s="2728"/>
      <c r="P707" s="2728"/>
      <c r="Q707" s="2748"/>
      <c r="R707" s="2748"/>
      <c r="S707" s="2748"/>
      <c r="T707" s="2748"/>
      <c r="U707" s="2748"/>
      <c r="V707" s="2748"/>
      <c r="W707" s="2748"/>
      <c r="X707" s="2748"/>
      <c r="Y707" s="2748"/>
      <c r="Z707" s="2748"/>
      <c r="AA707" s="2748"/>
      <c r="AB707" s="2748"/>
      <c r="AC707" s="2748"/>
      <c r="AD707" s="2748"/>
      <c r="AE707" s="2748"/>
      <c r="AF707" s="2748"/>
      <c r="AG707" s="2748"/>
      <c r="AH707" s="2748"/>
      <c r="AI707" s="2748"/>
      <c r="AK707" s="2748"/>
      <c r="AL707" s="2748"/>
      <c r="AN707" s="2748"/>
      <c r="AO707" s="2748"/>
      <c r="AP707" s="2748"/>
    </row>
    <row r="708" spans="2:42" ht="18" customHeight="1">
      <c r="B708" s="2728"/>
      <c r="C708" s="2728"/>
      <c r="D708" s="2728"/>
      <c r="E708" s="2728"/>
      <c r="G708" s="2512"/>
      <c r="I708" s="2748"/>
      <c r="J708" s="2728"/>
      <c r="L708" s="2728"/>
      <c r="M708" s="2748"/>
      <c r="N708" s="2728"/>
      <c r="O708" s="2728"/>
      <c r="P708" s="2728"/>
      <c r="Q708" s="2748"/>
      <c r="R708" s="2748"/>
      <c r="S708" s="2748"/>
      <c r="T708" s="2748"/>
      <c r="U708" s="2748"/>
      <c r="V708" s="2748"/>
      <c r="W708" s="2748"/>
      <c r="X708" s="2748"/>
      <c r="Y708" s="2748"/>
      <c r="Z708" s="2748"/>
      <c r="AA708" s="2748"/>
      <c r="AB708" s="2748"/>
      <c r="AC708" s="2748"/>
      <c r="AD708" s="2748"/>
      <c r="AE708" s="2748"/>
      <c r="AF708" s="2748"/>
      <c r="AG708" s="2748"/>
      <c r="AH708" s="2748"/>
      <c r="AI708" s="2748"/>
      <c r="AK708" s="2748"/>
      <c r="AL708" s="2748"/>
      <c r="AN708" s="2748"/>
      <c r="AO708" s="2748"/>
      <c r="AP708" s="2748"/>
    </row>
    <row r="709" spans="2:42" ht="18" customHeight="1">
      <c r="B709" s="2728"/>
      <c r="C709" s="2728"/>
      <c r="D709" s="2728"/>
      <c r="E709" s="2728"/>
      <c r="G709" s="2512"/>
      <c r="I709" s="2748"/>
      <c r="J709" s="2728"/>
      <c r="L709" s="2728"/>
      <c r="M709" s="2748"/>
      <c r="N709" s="2728"/>
      <c r="O709" s="2728"/>
      <c r="P709" s="2728"/>
      <c r="Q709" s="2748"/>
      <c r="R709" s="2748"/>
      <c r="S709" s="2748"/>
      <c r="T709" s="2748"/>
      <c r="U709" s="2748"/>
      <c r="V709" s="2748"/>
      <c r="W709" s="2748"/>
      <c r="X709" s="2748"/>
      <c r="Y709" s="2748"/>
      <c r="Z709" s="2748"/>
      <c r="AA709" s="2748"/>
      <c r="AB709" s="2748"/>
      <c r="AC709" s="2748"/>
      <c r="AD709" s="2748"/>
      <c r="AE709" s="2748"/>
      <c r="AF709" s="2748"/>
      <c r="AG709" s="2748"/>
      <c r="AH709" s="2748"/>
      <c r="AI709" s="2748"/>
      <c r="AK709" s="2748"/>
      <c r="AL709" s="2748"/>
      <c r="AN709" s="2748"/>
      <c r="AO709" s="2748"/>
      <c r="AP709" s="2748"/>
    </row>
    <row r="710" spans="2:42" ht="18" customHeight="1">
      <c r="B710" s="2728"/>
      <c r="C710" s="2728"/>
      <c r="D710" s="2728"/>
      <c r="E710" s="2728"/>
      <c r="G710" s="2512"/>
      <c r="I710" s="2748"/>
      <c r="J710" s="2728"/>
      <c r="L710" s="2728"/>
      <c r="M710" s="2748"/>
      <c r="N710" s="2728"/>
      <c r="O710" s="2728"/>
      <c r="P710" s="2728"/>
      <c r="Q710" s="2748"/>
      <c r="R710" s="2748"/>
      <c r="S710" s="2748"/>
      <c r="T710" s="2748"/>
      <c r="U710" s="2748"/>
      <c r="V710" s="2748"/>
      <c r="W710" s="2748"/>
      <c r="X710" s="2748"/>
      <c r="Y710" s="2748"/>
      <c r="Z710" s="2748"/>
      <c r="AA710" s="2748"/>
      <c r="AB710" s="2748"/>
      <c r="AC710" s="2748"/>
      <c r="AD710" s="2748"/>
      <c r="AE710" s="2748"/>
      <c r="AF710" s="2748"/>
      <c r="AG710" s="2748"/>
      <c r="AH710" s="2748"/>
      <c r="AI710" s="2748"/>
      <c r="AK710" s="2748"/>
      <c r="AL710" s="2748"/>
      <c r="AN710" s="2748"/>
      <c r="AO710" s="2748"/>
      <c r="AP710" s="2748"/>
    </row>
    <row r="711" spans="2:42" ht="18" customHeight="1">
      <c r="B711" s="2728"/>
      <c r="C711" s="2728"/>
      <c r="D711" s="2728"/>
      <c r="E711" s="2728"/>
      <c r="G711" s="2512"/>
      <c r="I711" s="2748"/>
      <c r="J711" s="2728"/>
      <c r="L711" s="2728"/>
      <c r="M711" s="2748"/>
      <c r="N711" s="2728"/>
      <c r="O711" s="2728"/>
      <c r="P711" s="2728"/>
      <c r="Q711" s="2748"/>
      <c r="R711" s="2748"/>
      <c r="S711" s="2748"/>
      <c r="T711" s="2748"/>
      <c r="U711" s="2748"/>
      <c r="V711" s="2748"/>
      <c r="W711" s="2748"/>
      <c r="X711" s="2748"/>
      <c r="Y711" s="2748"/>
      <c r="Z711" s="2748"/>
      <c r="AA711" s="2748"/>
      <c r="AB711" s="2748"/>
      <c r="AC711" s="2748"/>
      <c r="AD711" s="2748"/>
      <c r="AE711" s="2748"/>
      <c r="AF711" s="2748"/>
      <c r="AG711" s="2748"/>
      <c r="AH711" s="2748"/>
      <c r="AI711" s="2748"/>
      <c r="AK711" s="2748"/>
      <c r="AL711" s="2748"/>
      <c r="AN711" s="2748"/>
      <c r="AO711" s="2748"/>
      <c r="AP711" s="2748"/>
    </row>
    <row r="712" spans="2:42" ht="18" customHeight="1">
      <c r="B712" s="2728"/>
      <c r="C712" s="2728"/>
      <c r="D712" s="2728"/>
      <c r="E712" s="2728"/>
      <c r="G712" s="2512"/>
      <c r="I712" s="2748"/>
      <c r="J712" s="2728"/>
      <c r="L712" s="2728"/>
      <c r="M712" s="2748"/>
      <c r="N712" s="2728"/>
      <c r="O712" s="2728"/>
      <c r="P712" s="2728"/>
      <c r="Q712" s="2748"/>
      <c r="R712" s="2748"/>
      <c r="S712" s="2748"/>
      <c r="T712" s="2748"/>
      <c r="U712" s="2748"/>
      <c r="V712" s="2748"/>
      <c r="W712" s="2748"/>
      <c r="X712" s="2748"/>
      <c r="Y712" s="2748"/>
      <c r="Z712" s="2748"/>
      <c r="AA712" s="2748"/>
      <c r="AB712" s="2748"/>
      <c r="AC712" s="2748"/>
      <c r="AD712" s="2748"/>
      <c r="AE712" s="2748"/>
      <c r="AF712" s="2748"/>
      <c r="AG712" s="2748"/>
      <c r="AH712" s="2748"/>
      <c r="AI712" s="2748"/>
      <c r="AK712" s="2748"/>
      <c r="AL712" s="2748"/>
      <c r="AN712" s="2748"/>
      <c r="AO712" s="2748"/>
      <c r="AP712" s="2748"/>
    </row>
    <row r="713" spans="2:42" ht="18" customHeight="1">
      <c r="B713" s="2728"/>
      <c r="C713" s="2728"/>
      <c r="D713" s="2728"/>
      <c r="E713" s="2728"/>
      <c r="G713" s="2512"/>
      <c r="I713" s="2748"/>
      <c r="J713" s="2728"/>
      <c r="L713" s="2728"/>
      <c r="M713" s="2748"/>
      <c r="N713" s="2728"/>
      <c r="O713" s="2728"/>
      <c r="P713" s="2728"/>
      <c r="Q713" s="2748"/>
      <c r="R713" s="2748"/>
      <c r="S713" s="2748"/>
      <c r="T713" s="2748"/>
      <c r="U713" s="2748"/>
      <c r="V713" s="2748"/>
      <c r="W713" s="2748"/>
      <c r="X713" s="2748"/>
      <c r="Y713" s="2748"/>
      <c r="Z713" s="2748"/>
      <c r="AA713" s="2748"/>
      <c r="AB713" s="2748"/>
      <c r="AC713" s="2748"/>
      <c r="AD713" s="2748"/>
      <c r="AE713" s="2748"/>
      <c r="AF713" s="2748"/>
      <c r="AG713" s="2748"/>
      <c r="AH713" s="2748"/>
      <c r="AI713" s="2748"/>
      <c r="AK713" s="2748"/>
      <c r="AL713" s="2748"/>
      <c r="AN713" s="2748"/>
      <c r="AO713" s="2748"/>
      <c r="AP713" s="2748"/>
    </row>
    <row r="714" spans="2:42" ht="18" customHeight="1">
      <c r="B714" s="2728"/>
      <c r="C714" s="2728"/>
      <c r="D714" s="2728"/>
      <c r="E714" s="2728"/>
      <c r="G714" s="2512"/>
      <c r="I714" s="2748"/>
      <c r="J714" s="2728"/>
      <c r="L714" s="2728"/>
      <c r="M714" s="2748"/>
      <c r="N714" s="2728"/>
      <c r="O714" s="2728"/>
      <c r="P714" s="2728"/>
      <c r="Q714" s="2748"/>
      <c r="R714" s="2748"/>
      <c r="S714" s="2748"/>
      <c r="T714" s="2748"/>
      <c r="U714" s="2748"/>
      <c r="V714" s="2748"/>
      <c r="W714" s="2748"/>
      <c r="X714" s="2748"/>
      <c r="Y714" s="2748"/>
      <c r="Z714" s="2748"/>
      <c r="AA714" s="2748"/>
      <c r="AB714" s="2748"/>
      <c r="AC714" s="2748"/>
      <c r="AD714" s="2748"/>
      <c r="AE714" s="2748"/>
      <c r="AF714" s="2748"/>
      <c r="AG714" s="2748"/>
      <c r="AH714" s="2748"/>
      <c r="AI714" s="2748"/>
      <c r="AK714" s="2748"/>
      <c r="AL714" s="2748"/>
      <c r="AN714" s="2748"/>
      <c r="AO714" s="2748"/>
      <c r="AP714" s="2748"/>
    </row>
    <row r="715" spans="2:42" ht="18" customHeight="1">
      <c r="B715" s="2728"/>
      <c r="C715" s="2728"/>
      <c r="D715" s="2728"/>
      <c r="E715" s="2728"/>
      <c r="G715" s="2512"/>
      <c r="I715" s="2748"/>
      <c r="J715" s="2728"/>
      <c r="L715" s="2728"/>
      <c r="M715" s="2748"/>
      <c r="N715" s="2728"/>
      <c r="O715" s="2728"/>
      <c r="P715" s="2728"/>
      <c r="Q715" s="2748"/>
      <c r="R715" s="2748"/>
      <c r="S715" s="2748"/>
      <c r="T715" s="2748"/>
      <c r="U715" s="2748"/>
      <c r="V715" s="2748"/>
      <c r="W715" s="2748"/>
      <c r="X715" s="2748"/>
      <c r="Y715" s="2748"/>
      <c r="Z715" s="2748"/>
      <c r="AA715" s="2748"/>
      <c r="AB715" s="2748"/>
      <c r="AC715" s="2748"/>
      <c r="AD715" s="2748"/>
      <c r="AE715" s="2748"/>
      <c r="AF715" s="2748"/>
      <c r="AG715" s="2748"/>
      <c r="AH715" s="2748"/>
      <c r="AI715" s="2748"/>
      <c r="AK715" s="2748"/>
      <c r="AL715" s="2748"/>
      <c r="AN715" s="2748"/>
      <c r="AO715" s="2748"/>
      <c r="AP715" s="2748"/>
    </row>
    <row r="716" spans="2:42" ht="18" customHeight="1">
      <c r="B716" s="2728"/>
      <c r="C716" s="2728"/>
      <c r="D716" s="2728"/>
      <c r="E716" s="2728"/>
      <c r="G716" s="2512"/>
      <c r="I716" s="2748"/>
      <c r="J716" s="2728"/>
      <c r="L716" s="2728"/>
      <c r="M716" s="2748"/>
      <c r="N716" s="2728"/>
      <c r="O716" s="2728"/>
      <c r="P716" s="2728"/>
      <c r="Q716" s="2748"/>
      <c r="R716" s="2748"/>
      <c r="S716" s="2748"/>
      <c r="T716" s="2748"/>
      <c r="U716" s="2748"/>
      <c r="V716" s="2748"/>
      <c r="W716" s="2748"/>
      <c r="X716" s="2748"/>
      <c r="Y716" s="2748"/>
      <c r="Z716" s="2748"/>
      <c r="AA716" s="2748"/>
      <c r="AB716" s="2748"/>
      <c r="AC716" s="2748"/>
      <c r="AD716" s="2748"/>
      <c r="AE716" s="2748"/>
      <c r="AF716" s="2748"/>
      <c r="AG716" s="2748"/>
      <c r="AH716" s="2748"/>
      <c r="AI716" s="2748"/>
      <c r="AK716" s="2748"/>
      <c r="AL716" s="2748"/>
      <c r="AN716" s="2748"/>
      <c r="AO716" s="2748"/>
      <c r="AP716" s="2748"/>
    </row>
    <row r="717" spans="2:42" ht="18" customHeight="1">
      <c r="B717" s="2728"/>
      <c r="C717" s="2728"/>
      <c r="D717" s="2728"/>
      <c r="E717" s="2728"/>
      <c r="G717" s="2512"/>
      <c r="I717" s="2748"/>
      <c r="J717" s="2728"/>
      <c r="L717" s="2728"/>
      <c r="M717" s="2748"/>
      <c r="N717" s="2728"/>
      <c r="O717" s="2728"/>
      <c r="P717" s="2728"/>
      <c r="Q717" s="2748"/>
      <c r="R717" s="2748"/>
      <c r="S717" s="2748"/>
      <c r="T717" s="2748"/>
      <c r="U717" s="2748"/>
      <c r="V717" s="2748"/>
      <c r="W717" s="2748"/>
      <c r="X717" s="2748"/>
      <c r="Y717" s="2748"/>
      <c r="Z717" s="2748"/>
      <c r="AA717" s="2748"/>
      <c r="AB717" s="2748"/>
      <c r="AC717" s="2748"/>
      <c r="AD717" s="2748"/>
      <c r="AE717" s="2748"/>
      <c r="AF717" s="2748"/>
      <c r="AG717" s="2748"/>
      <c r="AH717" s="2748"/>
      <c r="AI717" s="2748"/>
      <c r="AK717" s="2748"/>
      <c r="AL717" s="2748"/>
      <c r="AN717" s="2748"/>
      <c r="AO717" s="2748"/>
      <c r="AP717" s="2748"/>
    </row>
    <row r="718" spans="2:42" ht="18" customHeight="1">
      <c r="B718" s="2728"/>
      <c r="C718" s="2728"/>
      <c r="D718" s="2728"/>
      <c r="E718" s="2728"/>
      <c r="G718" s="2512"/>
      <c r="I718" s="2748"/>
      <c r="J718" s="2728"/>
      <c r="L718" s="2728"/>
      <c r="M718" s="2748"/>
      <c r="N718" s="2728"/>
      <c r="O718" s="2728"/>
      <c r="P718" s="2728"/>
      <c r="Q718" s="2748"/>
      <c r="R718" s="2748"/>
      <c r="S718" s="2748"/>
      <c r="T718" s="2748"/>
      <c r="U718" s="2748"/>
      <c r="V718" s="2748"/>
      <c r="W718" s="2748"/>
      <c r="X718" s="2748"/>
      <c r="Y718" s="2748"/>
      <c r="Z718" s="2748"/>
      <c r="AA718" s="2748"/>
      <c r="AB718" s="2748"/>
      <c r="AC718" s="2748"/>
      <c r="AD718" s="2748"/>
      <c r="AE718" s="2748"/>
      <c r="AF718" s="2748"/>
      <c r="AG718" s="2748"/>
      <c r="AH718" s="2748"/>
      <c r="AI718" s="2748"/>
      <c r="AK718" s="2748"/>
      <c r="AL718" s="2748"/>
      <c r="AN718" s="2748"/>
      <c r="AO718" s="2748"/>
      <c r="AP718" s="2748"/>
    </row>
    <row r="719" spans="2:42" ht="18" customHeight="1">
      <c r="B719" s="2728"/>
      <c r="C719" s="2728"/>
      <c r="D719" s="2728"/>
      <c r="E719" s="2728"/>
      <c r="G719" s="2512"/>
      <c r="I719" s="2748"/>
      <c r="J719" s="2728"/>
      <c r="L719" s="2728"/>
      <c r="M719" s="2748"/>
      <c r="N719" s="2728"/>
      <c r="O719" s="2728"/>
      <c r="P719" s="2728"/>
      <c r="Q719" s="2748"/>
      <c r="R719" s="2748"/>
      <c r="S719" s="2748"/>
      <c r="T719" s="2748"/>
      <c r="U719" s="2748"/>
      <c r="V719" s="2748"/>
      <c r="W719" s="2748"/>
      <c r="X719" s="2748"/>
      <c r="Y719" s="2748"/>
      <c r="Z719" s="2748"/>
      <c r="AA719" s="2748"/>
      <c r="AB719" s="2748"/>
      <c r="AC719" s="2748"/>
      <c r="AD719" s="2748"/>
      <c r="AE719" s="2748"/>
      <c r="AF719" s="2748"/>
      <c r="AG719" s="2748"/>
      <c r="AH719" s="2748"/>
      <c r="AI719" s="2748"/>
      <c r="AK719" s="2748"/>
      <c r="AL719" s="2748"/>
      <c r="AN719" s="2748"/>
      <c r="AO719" s="2748"/>
      <c r="AP719" s="2748"/>
    </row>
    <row r="720" spans="2:42" ht="18" customHeight="1">
      <c r="B720" s="2728"/>
      <c r="C720" s="2728"/>
      <c r="D720" s="2728"/>
      <c r="E720" s="2728"/>
      <c r="G720" s="2512"/>
      <c r="I720" s="2748"/>
      <c r="J720" s="2728"/>
      <c r="L720" s="2728"/>
      <c r="M720" s="2748"/>
      <c r="N720" s="2728"/>
      <c r="O720" s="2728"/>
      <c r="P720" s="2728"/>
      <c r="Q720" s="2748"/>
      <c r="R720" s="2748"/>
      <c r="S720" s="2748"/>
      <c r="T720" s="2748"/>
      <c r="U720" s="2748"/>
      <c r="V720" s="2748"/>
      <c r="W720" s="2748"/>
      <c r="X720" s="2748"/>
      <c r="Y720" s="2748"/>
      <c r="Z720" s="2748"/>
      <c r="AA720" s="2748"/>
      <c r="AB720" s="2748"/>
      <c r="AC720" s="2748"/>
      <c r="AD720" s="2748"/>
      <c r="AE720" s="2748"/>
      <c r="AF720" s="2748"/>
      <c r="AG720" s="2748"/>
      <c r="AH720" s="2748"/>
      <c r="AI720" s="2748"/>
      <c r="AK720" s="2748"/>
      <c r="AL720" s="2748"/>
      <c r="AN720" s="2748"/>
      <c r="AO720" s="2748"/>
      <c r="AP720" s="2748"/>
    </row>
    <row r="721" spans="2:42" ht="18" customHeight="1">
      <c r="B721" s="2728"/>
      <c r="C721" s="2728"/>
      <c r="D721" s="2728"/>
      <c r="E721" s="2728"/>
      <c r="G721" s="2512"/>
      <c r="I721" s="2748"/>
      <c r="J721" s="2728"/>
      <c r="L721" s="2728"/>
      <c r="M721" s="2748"/>
      <c r="N721" s="2728"/>
      <c r="O721" s="2728"/>
      <c r="P721" s="2728"/>
      <c r="Q721" s="2748"/>
      <c r="R721" s="2748"/>
      <c r="S721" s="2748"/>
      <c r="T721" s="2748"/>
      <c r="U721" s="2748"/>
      <c r="V721" s="2748"/>
      <c r="W721" s="2748"/>
      <c r="X721" s="2748"/>
      <c r="Y721" s="2748"/>
      <c r="Z721" s="2748"/>
      <c r="AA721" s="2748"/>
      <c r="AB721" s="2748"/>
      <c r="AC721" s="2748"/>
      <c r="AD721" s="2748"/>
      <c r="AE721" s="2748"/>
      <c r="AF721" s="2748"/>
      <c r="AG721" s="2748"/>
      <c r="AH721" s="2748"/>
      <c r="AI721" s="2748"/>
      <c r="AK721" s="2748"/>
      <c r="AL721" s="2748"/>
      <c r="AN721" s="2748"/>
      <c r="AO721" s="2748"/>
      <c r="AP721" s="2748"/>
    </row>
    <row r="722" spans="2:42" ht="18" customHeight="1">
      <c r="B722" s="2728"/>
      <c r="C722" s="2728"/>
      <c r="D722" s="2728"/>
      <c r="E722" s="2728"/>
      <c r="G722" s="2512"/>
      <c r="I722" s="2748"/>
      <c r="J722" s="2728"/>
      <c r="L722" s="2728"/>
      <c r="M722" s="2748"/>
      <c r="N722" s="2728"/>
      <c r="O722" s="2728"/>
      <c r="P722" s="2728"/>
      <c r="Q722" s="2748"/>
      <c r="R722" s="2748"/>
      <c r="S722" s="2748"/>
      <c r="T722" s="2748"/>
      <c r="U722" s="2748"/>
      <c r="V722" s="2748"/>
      <c r="W722" s="2748"/>
      <c r="X722" s="2748"/>
      <c r="Y722" s="2748"/>
      <c r="Z722" s="2748"/>
      <c r="AA722" s="2748"/>
      <c r="AB722" s="2748"/>
      <c r="AC722" s="2748"/>
      <c r="AD722" s="2748"/>
      <c r="AE722" s="2748"/>
      <c r="AF722" s="2748"/>
      <c r="AG722" s="2748"/>
      <c r="AH722" s="2748"/>
      <c r="AI722" s="2748"/>
      <c r="AK722" s="2748"/>
      <c r="AL722" s="2748"/>
      <c r="AN722" s="2748"/>
      <c r="AO722" s="2748"/>
      <c r="AP722" s="2748"/>
    </row>
    <row r="723" spans="2:42" ht="18" customHeight="1">
      <c r="B723" s="2728"/>
      <c r="C723" s="2728"/>
      <c r="D723" s="2728"/>
      <c r="E723" s="2728"/>
      <c r="G723" s="2512"/>
      <c r="I723" s="2748"/>
      <c r="J723" s="2728"/>
      <c r="L723" s="2728"/>
      <c r="M723" s="2748"/>
      <c r="N723" s="2728"/>
      <c r="O723" s="2728"/>
      <c r="P723" s="2728"/>
      <c r="Q723" s="2748"/>
      <c r="R723" s="2748"/>
      <c r="S723" s="2748"/>
      <c r="T723" s="2748"/>
      <c r="U723" s="2748"/>
      <c r="V723" s="2748"/>
      <c r="W723" s="2748"/>
      <c r="X723" s="2748"/>
      <c r="Y723" s="2748"/>
      <c r="Z723" s="2748"/>
      <c r="AA723" s="2748"/>
      <c r="AB723" s="2748"/>
      <c r="AC723" s="2748"/>
      <c r="AD723" s="2748"/>
      <c r="AE723" s="2748"/>
      <c r="AF723" s="2748"/>
      <c r="AG723" s="2748"/>
      <c r="AH723" s="2748"/>
      <c r="AI723" s="2748"/>
      <c r="AK723" s="2748"/>
      <c r="AL723" s="2748"/>
      <c r="AN723" s="2748"/>
      <c r="AO723" s="2748"/>
      <c r="AP723" s="2748"/>
    </row>
    <row r="724" spans="2:42" ht="18" customHeight="1">
      <c r="B724" s="2728"/>
      <c r="C724" s="2728"/>
      <c r="D724" s="2728"/>
      <c r="E724" s="2728"/>
      <c r="G724" s="2512"/>
      <c r="I724" s="2748"/>
      <c r="J724" s="2728"/>
      <c r="L724" s="2728"/>
      <c r="M724" s="2748"/>
      <c r="N724" s="2728"/>
      <c r="O724" s="2728"/>
      <c r="P724" s="2728"/>
      <c r="Q724" s="2748"/>
      <c r="R724" s="2748"/>
      <c r="S724" s="2748"/>
      <c r="T724" s="2748"/>
      <c r="U724" s="2748"/>
      <c r="V724" s="2748"/>
      <c r="W724" s="2748"/>
      <c r="X724" s="2748"/>
      <c r="Y724" s="2748"/>
      <c r="Z724" s="2748"/>
      <c r="AA724" s="2748"/>
      <c r="AB724" s="2748"/>
      <c r="AC724" s="2748"/>
      <c r="AD724" s="2748"/>
      <c r="AE724" s="2748"/>
      <c r="AF724" s="2748"/>
      <c r="AG724" s="2748"/>
      <c r="AH724" s="2748"/>
      <c r="AI724" s="2748"/>
      <c r="AK724" s="2748"/>
      <c r="AL724" s="2748"/>
      <c r="AN724" s="2748"/>
      <c r="AO724" s="2748"/>
      <c r="AP724" s="2748"/>
    </row>
    <row r="725" spans="2:42" ht="18" customHeight="1">
      <c r="B725" s="2728"/>
      <c r="C725" s="2728"/>
      <c r="D725" s="2728"/>
      <c r="E725" s="2728"/>
      <c r="G725" s="2512"/>
      <c r="I725" s="2748"/>
      <c r="J725" s="2728"/>
      <c r="L725" s="2728"/>
      <c r="M725" s="2748"/>
      <c r="N725" s="2728"/>
      <c r="O725" s="2728"/>
      <c r="P725" s="2728"/>
      <c r="Q725" s="2748"/>
      <c r="R725" s="2748"/>
      <c r="S725" s="2748"/>
      <c r="T725" s="2748"/>
      <c r="U725" s="2748"/>
      <c r="V725" s="2748"/>
      <c r="W725" s="2748"/>
      <c r="X725" s="2748"/>
      <c r="Y725" s="2748"/>
      <c r="Z725" s="2748"/>
      <c r="AA725" s="2748"/>
      <c r="AB725" s="2748"/>
      <c r="AC725" s="2748"/>
      <c r="AD725" s="2748"/>
      <c r="AE725" s="2748"/>
      <c r="AF725" s="2748"/>
      <c r="AG725" s="2748"/>
      <c r="AH725" s="2748"/>
      <c r="AI725" s="2748"/>
      <c r="AK725" s="2748"/>
      <c r="AL725" s="2748"/>
      <c r="AN725" s="2748"/>
      <c r="AO725" s="2748"/>
      <c r="AP725" s="2748"/>
    </row>
    <row r="726" spans="2:42" ht="18" customHeight="1">
      <c r="B726" s="2728"/>
      <c r="C726" s="2728"/>
      <c r="D726" s="2728"/>
      <c r="E726" s="2728"/>
      <c r="G726" s="2512"/>
      <c r="I726" s="2748"/>
      <c r="J726" s="2728"/>
      <c r="L726" s="2728"/>
      <c r="M726" s="2748"/>
      <c r="N726" s="2728"/>
      <c r="O726" s="2728"/>
      <c r="P726" s="2728"/>
      <c r="Q726" s="2748"/>
      <c r="R726" s="2748"/>
      <c r="S726" s="2748"/>
      <c r="T726" s="2748"/>
      <c r="U726" s="2748"/>
      <c r="V726" s="2748"/>
      <c r="W726" s="2748"/>
      <c r="X726" s="2748"/>
      <c r="Y726" s="2748"/>
      <c r="Z726" s="2748"/>
      <c r="AA726" s="2748"/>
      <c r="AB726" s="2748"/>
      <c r="AC726" s="2748"/>
      <c r="AD726" s="2748"/>
      <c r="AE726" s="2748"/>
      <c r="AF726" s="2748"/>
      <c r="AG726" s="2748"/>
      <c r="AH726" s="2748"/>
      <c r="AI726" s="2748"/>
      <c r="AK726" s="2748"/>
      <c r="AL726" s="2748"/>
      <c r="AN726" s="2748"/>
      <c r="AO726" s="2748"/>
      <c r="AP726" s="2748"/>
    </row>
    <row r="727" spans="2:42" ht="18" customHeight="1">
      <c r="B727" s="2728"/>
      <c r="C727" s="2728"/>
      <c r="D727" s="2728"/>
      <c r="E727" s="2728"/>
      <c r="G727" s="2512"/>
      <c r="I727" s="2748"/>
      <c r="J727" s="2728"/>
      <c r="L727" s="2728"/>
      <c r="M727" s="2748"/>
      <c r="N727" s="2728"/>
      <c r="O727" s="2728"/>
      <c r="P727" s="2728"/>
      <c r="Q727" s="2748"/>
      <c r="R727" s="2748"/>
      <c r="S727" s="2748"/>
      <c r="T727" s="2748"/>
      <c r="U727" s="2748"/>
      <c r="V727" s="2748"/>
      <c r="W727" s="2748"/>
      <c r="X727" s="2748"/>
      <c r="Y727" s="2748"/>
      <c r="Z727" s="2748"/>
      <c r="AA727" s="2748"/>
      <c r="AB727" s="2748"/>
      <c r="AC727" s="2748"/>
      <c r="AD727" s="2748"/>
      <c r="AE727" s="2748"/>
      <c r="AF727" s="2748"/>
      <c r="AG727" s="2748"/>
      <c r="AH727" s="2748"/>
      <c r="AI727" s="2748"/>
      <c r="AK727" s="2748"/>
      <c r="AL727" s="2748"/>
      <c r="AN727" s="2748"/>
      <c r="AO727" s="2748"/>
      <c r="AP727" s="2748"/>
    </row>
    <row r="728" spans="2:42" ht="18" customHeight="1">
      <c r="B728" s="2728"/>
      <c r="C728" s="2728"/>
      <c r="D728" s="2728"/>
      <c r="E728" s="2728"/>
      <c r="G728" s="2512"/>
      <c r="I728" s="2748"/>
      <c r="J728" s="2728"/>
      <c r="L728" s="2728"/>
      <c r="M728" s="2748"/>
      <c r="N728" s="2728"/>
      <c r="O728" s="2728"/>
      <c r="P728" s="2728"/>
      <c r="Q728" s="2748"/>
      <c r="R728" s="2748"/>
      <c r="S728" s="2748"/>
      <c r="T728" s="2748"/>
      <c r="U728" s="2748"/>
      <c r="V728" s="2748"/>
      <c r="W728" s="2748"/>
      <c r="X728" s="2748"/>
      <c r="Y728" s="2748"/>
      <c r="Z728" s="2748"/>
      <c r="AA728" s="2748"/>
      <c r="AB728" s="2748"/>
      <c r="AC728" s="2748"/>
      <c r="AD728" s="2748"/>
      <c r="AE728" s="2748"/>
      <c r="AF728" s="2748"/>
      <c r="AG728" s="2748"/>
      <c r="AH728" s="2748"/>
      <c r="AI728" s="2748"/>
      <c r="AK728" s="2748"/>
      <c r="AL728" s="2748"/>
      <c r="AN728" s="2748"/>
      <c r="AO728" s="2748"/>
      <c r="AP728" s="2748"/>
    </row>
    <row r="729" spans="2:42" ht="18" customHeight="1">
      <c r="B729" s="2728"/>
      <c r="C729" s="2728"/>
      <c r="D729" s="2728"/>
      <c r="E729" s="2728"/>
      <c r="G729" s="2512"/>
      <c r="I729" s="2748"/>
      <c r="J729" s="2728"/>
      <c r="L729" s="2728"/>
      <c r="M729" s="2748"/>
      <c r="N729" s="2728"/>
      <c r="O729" s="2728"/>
      <c r="P729" s="2728"/>
      <c r="Q729" s="2748"/>
      <c r="R729" s="2748"/>
      <c r="S729" s="2748"/>
      <c r="T729" s="2748"/>
      <c r="U729" s="2748"/>
      <c r="V729" s="2748"/>
      <c r="W729" s="2748"/>
      <c r="X729" s="2748"/>
      <c r="Y729" s="2748"/>
      <c r="Z729" s="2748"/>
      <c r="AA729" s="2748"/>
      <c r="AB729" s="2748"/>
      <c r="AC729" s="2748"/>
      <c r="AD729" s="2748"/>
      <c r="AE729" s="2748"/>
      <c r="AF729" s="2748"/>
      <c r="AG729" s="2748"/>
      <c r="AH729" s="2748"/>
      <c r="AI729" s="2748"/>
      <c r="AK729" s="2748"/>
      <c r="AL729" s="2748"/>
      <c r="AN729" s="2748"/>
      <c r="AO729" s="2748"/>
      <c r="AP729" s="2748"/>
    </row>
    <row r="730" spans="2:42" ht="18" customHeight="1">
      <c r="B730" s="2728"/>
      <c r="C730" s="2728"/>
      <c r="D730" s="2728"/>
      <c r="E730" s="2728"/>
      <c r="G730" s="2512"/>
      <c r="I730" s="2748"/>
      <c r="J730" s="2728"/>
      <c r="L730" s="2728"/>
      <c r="M730" s="2748"/>
      <c r="N730" s="2728"/>
      <c r="O730" s="2728"/>
      <c r="P730" s="2728"/>
      <c r="Q730" s="2748"/>
      <c r="R730" s="2748"/>
      <c r="S730" s="2748"/>
      <c r="T730" s="2748"/>
      <c r="U730" s="2748"/>
      <c r="V730" s="2748"/>
      <c r="W730" s="2748"/>
      <c r="X730" s="2748"/>
      <c r="Y730" s="2748"/>
      <c r="Z730" s="2748"/>
      <c r="AA730" s="2748"/>
      <c r="AB730" s="2748"/>
      <c r="AC730" s="2748"/>
      <c r="AD730" s="2748"/>
      <c r="AE730" s="2748"/>
      <c r="AF730" s="2748"/>
      <c r="AG730" s="2748"/>
      <c r="AH730" s="2748"/>
      <c r="AI730" s="2748"/>
      <c r="AK730" s="2748"/>
      <c r="AL730" s="2748"/>
      <c r="AN730" s="2748"/>
      <c r="AO730" s="2748"/>
      <c r="AP730" s="2748"/>
    </row>
    <row r="731" spans="2:42" ht="18" customHeight="1">
      <c r="B731" s="2728"/>
      <c r="C731" s="2728"/>
      <c r="D731" s="2728"/>
      <c r="E731" s="2728"/>
      <c r="G731" s="2512"/>
      <c r="I731" s="2748"/>
      <c r="J731" s="2728"/>
      <c r="L731" s="2728"/>
      <c r="M731" s="2748"/>
      <c r="N731" s="2728"/>
      <c r="O731" s="2728"/>
      <c r="P731" s="2728"/>
      <c r="Q731" s="2748"/>
      <c r="R731" s="2748"/>
      <c r="S731" s="2748"/>
      <c r="T731" s="2748"/>
      <c r="U731" s="2748"/>
      <c r="V731" s="2748"/>
      <c r="W731" s="2748"/>
      <c r="X731" s="2748"/>
      <c r="Y731" s="2748"/>
      <c r="Z731" s="2748"/>
      <c r="AA731" s="2748"/>
      <c r="AB731" s="2748"/>
      <c r="AC731" s="2748"/>
      <c r="AD731" s="2748"/>
      <c r="AE731" s="2748"/>
      <c r="AF731" s="2748"/>
      <c r="AG731" s="2748"/>
      <c r="AH731" s="2748"/>
      <c r="AI731" s="2748"/>
      <c r="AK731" s="2748"/>
      <c r="AL731" s="2748"/>
      <c r="AN731" s="2748"/>
      <c r="AO731" s="2748"/>
      <c r="AP731" s="2748"/>
    </row>
    <row r="732" spans="2:42" ht="18" customHeight="1">
      <c r="B732" s="2728"/>
      <c r="C732" s="2728"/>
      <c r="D732" s="2728"/>
      <c r="E732" s="2728"/>
      <c r="G732" s="2512"/>
      <c r="I732" s="2748"/>
      <c r="J732" s="2728"/>
      <c r="L732" s="2728"/>
      <c r="M732" s="2748"/>
      <c r="N732" s="2728"/>
      <c r="O732" s="2728"/>
      <c r="P732" s="2728"/>
      <c r="Q732" s="2748"/>
      <c r="R732" s="2748"/>
      <c r="S732" s="2748"/>
      <c r="T732" s="2748"/>
      <c r="U732" s="2748"/>
      <c r="V732" s="2748"/>
      <c r="W732" s="2748"/>
      <c r="X732" s="2748"/>
      <c r="Y732" s="2748"/>
      <c r="Z732" s="2748"/>
      <c r="AA732" s="2748"/>
      <c r="AB732" s="2748"/>
      <c r="AC732" s="2748"/>
      <c r="AD732" s="2748"/>
      <c r="AE732" s="2748"/>
      <c r="AF732" s="2748"/>
      <c r="AG732" s="2748"/>
      <c r="AH732" s="2748"/>
      <c r="AI732" s="2748"/>
      <c r="AK732" s="2748"/>
      <c r="AL732" s="2748"/>
      <c r="AN732" s="2748"/>
      <c r="AO732" s="2748"/>
      <c r="AP732" s="2748"/>
    </row>
    <row r="733" spans="2:42" ht="18" customHeight="1">
      <c r="B733" s="2728"/>
      <c r="C733" s="2728"/>
      <c r="D733" s="2728"/>
      <c r="E733" s="2728"/>
      <c r="G733" s="2512"/>
      <c r="I733" s="2748"/>
      <c r="J733" s="2728"/>
      <c r="L733" s="2728"/>
      <c r="M733" s="2748"/>
      <c r="N733" s="2728"/>
      <c r="O733" s="2728"/>
      <c r="P733" s="2728"/>
      <c r="Q733" s="2748"/>
      <c r="R733" s="2748"/>
      <c r="S733" s="2748"/>
      <c r="T733" s="2748"/>
      <c r="U733" s="2748"/>
      <c r="V733" s="2748"/>
      <c r="W733" s="2748"/>
      <c r="X733" s="2748"/>
      <c r="Y733" s="2748"/>
      <c r="Z733" s="2748"/>
      <c r="AA733" s="2748"/>
      <c r="AB733" s="2748"/>
      <c r="AC733" s="2748"/>
      <c r="AD733" s="2748"/>
      <c r="AE733" s="2748"/>
      <c r="AF733" s="2748"/>
      <c r="AG733" s="2748"/>
      <c r="AH733" s="2748"/>
      <c r="AI733" s="2748"/>
      <c r="AK733" s="2748"/>
      <c r="AL733" s="2748"/>
      <c r="AN733" s="2748"/>
      <c r="AO733" s="2748"/>
      <c r="AP733" s="2748"/>
    </row>
    <row r="734" spans="2:42" ht="18" customHeight="1">
      <c r="B734" s="2728"/>
      <c r="C734" s="2728"/>
      <c r="D734" s="2728"/>
      <c r="E734" s="2728"/>
      <c r="G734" s="2512"/>
      <c r="I734" s="2748"/>
      <c r="J734" s="2728"/>
      <c r="L734" s="2728"/>
      <c r="M734" s="2748"/>
      <c r="N734" s="2728"/>
      <c r="O734" s="2728"/>
      <c r="P734" s="2728"/>
      <c r="Q734" s="2748"/>
      <c r="R734" s="2748"/>
      <c r="S734" s="2748"/>
      <c r="T734" s="2748"/>
      <c r="U734" s="2748"/>
      <c r="V734" s="2748"/>
      <c r="W734" s="2748"/>
      <c r="X734" s="2748"/>
      <c r="Y734" s="2748"/>
      <c r="Z734" s="2748"/>
      <c r="AA734" s="2748"/>
      <c r="AB734" s="2748"/>
      <c r="AC734" s="2748"/>
      <c r="AD734" s="2748"/>
      <c r="AE734" s="2748"/>
      <c r="AF734" s="2748"/>
      <c r="AG734" s="2748"/>
      <c r="AH734" s="2748"/>
      <c r="AI734" s="2748"/>
      <c r="AK734" s="2748"/>
      <c r="AL734" s="2748"/>
      <c r="AN734" s="2748"/>
      <c r="AO734" s="2748"/>
      <c r="AP734" s="2748"/>
    </row>
    <row r="735" spans="2:42" ht="18" customHeight="1">
      <c r="B735" s="2728"/>
      <c r="C735" s="2728"/>
      <c r="D735" s="2728"/>
      <c r="E735" s="2728"/>
      <c r="G735" s="2512"/>
      <c r="I735" s="2748"/>
      <c r="J735" s="2728"/>
      <c r="L735" s="2728"/>
      <c r="M735" s="2748"/>
      <c r="N735" s="2728"/>
      <c r="O735" s="2728"/>
      <c r="P735" s="2728"/>
      <c r="Q735" s="2748"/>
      <c r="R735" s="2748"/>
      <c r="S735" s="2748"/>
      <c r="T735" s="2748"/>
      <c r="U735" s="2748"/>
      <c r="V735" s="2748"/>
      <c r="W735" s="2748"/>
      <c r="X735" s="2748"/>
      <c r="Y735" s="2748"/>
      <c r="Z735" s="2748"/>
      <c r="AA735" s="2748"/>
      <c r="AB735" s="2748"/>
      <c r="AC735" s="2748"/>
      <c r="AD735" s="2748"/>
      <c r="AE735" s="2748"/>
      <c r="AF735" s="2748"/>
      <c r="AG735" s="2748"/>
      <c r="AH735" s="2748"/>
      <c r="AI735" s="2748"/>
      <c r="AK735" s="2748"/>
      <c r="AL735" s="2748"/>
      <c r="AN735" s="2748"/>
      <c r="AO735" s="2748"/>
      <c r="AP735" s="2748"/>
    </row>
    <row r="736" spans="2:42" ht="18" customHeight="1">
      <c r="B736" s="2728"/>
      <c r="C736" s="2728"/>
      <c r="D736" s="2728"/>
      <c r="E736" s="2728"/>
      <c r="G736" s="2512"/>
      <c r="I736" s="2748"/>
      <c r="J736" s="2728"/>
      <c r="L736" s="2728"/>
      <c r="M736" s="2748"/>
      <c r="N736" s="2728"/>
      <c r="O736" s="2728"/>
      <c r="P736" s="2728"/>
      <c r="Q736" s="2748"/>
      <c r="R736" s="2748"/>
      <c r="S736" s="2748"/>
      <c r="T736" s="2748"/>
      <c r="U736" s="2748"/>
      <c r="V736" s="2748"/>
      <c r="W736" s="2748"/>
      <c r="X736" s="2748"/>
      <c r="Y736" s="2748"/>
      <c r="Z736" s="2748"/>
      <c r="AA736" s="2748"/>
      <c r="AB736" s="2748"/>
      <c r="AC736" s="2748"/>
      <c r="AD736" s="2748"/>
      <c r="AE736" s="2748"/>
      <c r="AF736" s="2748"/>
      <c r="AG736" s="2748"/>
      <c r="AH736" s="2748"/>
      <c r="AI736" s="2748"/>
      <c r="AK736" s="2748"/>
      <c r="AL736" s="2748"/>
      <c r="AN736" s="2748"/>
      <c r="AO736" s="2748"/>
      <c r="AP736" s="2748"/>
    </row>
    <row r="737" spans="2:42" ht="18" customHeight="1">
      <c r="B737" s="2728"/>
      <c r="C737" s="2728"/>
      <c r="D737" s="2728"/>
      <c r="E737" s="2728"/>
      <c r="G737" s="2512"/>
      <c r="I737" s="2748"/>
      <c r="J737" s="2728"/>
      <c r="L737" s="2728"/>
      <c r="M737" s="2748"/>
      <c r="N737" s="2728"/>
      <c r="O737" s="2728"/>
      <c r="P737" s="2728"/>
      <c r="Q737" s="2748"/>
      <c r="R737" s="2748"/>
      <c r="S737" s="2748"/>
      <c r="T737" s="2748"/>
      <c r="U737" s="2748"/>
      <c r="V737" s="2748"/>
      <c r="W737" s="2748"/>
      <c r="X737" s="2748"/>
      <c r="Y737" s="2748"/>
      <c r="Z737" s="2748"/>
      <c r="AA737" s="2748"/>
      <c r="AB737" s="2748"/>
      <c r="AC737" s="2748"/>
      <c r="AD737" s="2748"/>
      <c r="AE737" s="2748"/>
      <c r="AF737" s="2748"/>
      <c r="AG737" s="2748"/>
      <c r="AH737" s="2748"/>
      <c r="AI737" s="2748"/>
      <c r="AK737" s="2748"/>
      <c r="AL737" s="2748"/>
      <c r="AN737" s="2748"/>
      <c r="AO737" s="2748"/>
      <c r="AP737" s="2748"/>
    </row>
    <row r="738" spans="2:42" ht="18" customHeight="1">
      <c r="B738" s="2728"/>
      <c r="C738" s="2728"/>
      <c r="D738" s="2728"/>
      <c r="E738" s="2728"/>
      <c r="G738" s="2512"/>
      <c r="I738" s="2748"/>
      <c r="J738" s="2728"/>
      <c r="L738" s="2728"/>
      <c r="M738" s="2748"/>
      <c r="N738" s="2728"/>
      <c r="O738" s="2728"/>
      <c r="P738" s="2728"/>
      <c r="Q738" s="2748"/>
      <c r="R738" s="2748"/>
      <c r="S738" s="2748"/>
      <c r="T738" s="2748"/>
      <c r="U738" s="2748"/>
      <c r="V738" s="2748"/>
      <c r="W738" s="2748"/>
      <c r="X738" s="2748"/>
      <c r="Y738" s="2748"/>
      <c r="Z738" s="2748"/>
      <c r="AA738" s="2748"/>
      <c r="AB738" s="2748"/>
      <c r="AC738" s="2748"/>
      <c r="AD738" s="2748"/>
      <c r="AE738" s="2748"/>
      <c r="AF738" s="2748"/>
      <c r="AG738" s="2748"/>
      <c r="AH738" s="2748"/>
      <c r="AI738" s="2748"/>
      <c r="AK738" s="2748"/>
      <c r="AL738" s="2748"/>
      <c r="AN738" s="2748"/>
      <c r="AO738" s="2748"/>
      <c r="AP738" s="2748"/>
    </row>
    <row r="739" spans="2:42" ht="18" customHeight="1">
      <c r="B739" s="2728"/>
      <c r="C739" s="2728"/>
      <c r="D739" s="2728"/>
      <c r="E739" s="2728"/>
      <c r="G739" s="2512"/>
      <c r="I739" s="2748"/>
      <c r="J739" s="2728"/>
      <c r="L739" s="2728"/>
      <c r="M739" s="2748"/>
      <c r="N739" s="2728"/>
      <c r="O739" s="2728"/>
      <c r="P739" s="2728"/>
      <c r="Q739" s="2748"/>
      <c r="R739" s="2748"/>
      <c r="S739" s="2748"/>
      <c r="T739" s="2748"/>
      <c r="U739" s="2748"/>
      <c r="V739" s="2748"/>
      <c r="W739" s="2748"/>
      <c r="X739" s="2748"/>
      <c r="Y739" s="2748"/>
      <c r="Z739" s="2748"/>
      <c r="AA739" s="2748"/>
      <c r="AB739" s="2748"/>
      <c r="AC739" s="2748"/>
      <c r="AD739" s="2748"/>
      <c r="AE739" s="2748"/>
      <c r="AF739" s="2748"/>
      <c r="AG739" s="2748"/>
      <c r="AH739" s="2748"/>
      <c r="AI739" s="2748"/>
      <c r="AK739" s="2748"/>
      <c r="AL739" s="2748"/>
      <c r="AN739" s="2748"/>
      <c r="AO739" s="2748"/>
      <c r="AP739" s="2748"/>
    </row>
    <row r="740" spans="2:42" ht="18" customHeight="1">
      <c r="B740" s="2728"/>
      <c r="C740" s="2728"/>
      <c r="D740" s="2728"/>
      <c r="E740" s="2728"/>
      <c r="G740" s="2512"/>
      <c r="I740" s="2748"/>
      <c r="J740" s="2728"/>
      <c r="L740" s="2728"/>
      <c r="M740" s="2748"/>
      <c r="N740" s="2728"/>
      <c r="O740" s="2728"/>
      <c r="P740" s="2728"/>
      <c r="Q740" s="2748"/>
      <c r="R740" s="2748"/>
      <c r="S740" s="2748"/>
      <c r="T740" s="2748"/>
      <c r="U740" s="2748"/>
      <c r="V740" s="2748"/>
      <c r="W740" s="2748"/>
      <c r="X740" s="2748"/>
      <c r="Y740" s="2748"/>
      <c r="Z740" s="2748"/>
      <c r="AA740" s="2748"/>
      <c r="AB740" s="2748"/>
      <c r="AC740" s="2748"/>
      <c r="AD740" s="2748"/>
      <c r="AE740" s="2748"/>
      <c r="AF740" s="2748"/>
      <c r="AG740" s="2748"/>
      <c r="AH740" s="2748"/>
      <c r="AI740" s="2748"/>
      <c r="AK740" s="2748"/>
      <c r="AL740" s="2748"/>
      <c r="AN740" s="2748"/>
      <c r="AO740" s="2748"/>
      <c r="AP740" s="2748"/>
    </row>
    <row r="741" spans="2:42" ht="18" customHeight="1">
      <c r="B741" s="2728"/>
      <c r="C741" s="2728"/>
      <c r="D741" s="2728"/>
      <c r="E741" s="2728"/>
      <c r="G741" s="2512"/>
      <c r="I741" s="2748"/>
      <c r="J741" s="2728"/>
      <c r="L741" s="2728"/>
      <c r="M741" s="2748"/>
      <c r="N741" s="2728"/>
      <c r="O741" s="2728"/>
      <c r="P741" s="2728"/>
      <c r="Q741" s="2748"/>
      <c r="R741" s="2748"/>
      <c r="S741" s="2748"/>
      <c r="T741" s="2748"/>
      <c r="U741" s="2748"/>
      <c r="V741" s="2748"/>
      <c r="W741" s="2748"/>
      <c r="X741" s="2748"/>
      <c r="Y741" s="2748"/>
      <c r="Z741" s="2748"/>
      <c r="AA741" s="2748"/>
      <c r="AB741" s="2748"/>
      <c r="AC741" s="2748"/>
      <c r="AD741" s="2748"/>
      <c r="AE741" s="2748"/>
      <c r="AF741" s="2748"/>
      <c r="AG741" s="2748"/>
      <c r="AH741" s="2748"/>
      <c r="AI741" s="2748"/>
      <c r="AK741" s="2748"/>
      <c r="AL741" s="2748"/>
      <c r="AN741" s="2748"/>
      <c r="AO741" s="2748"/>
      <c r="AP741" s="2748"/>
    </row>
    <row r="742" spans="2:42" ht="18" customHeight="1">
      <c r="B742" s="2728"/>
      <c r="C742" s="2728"/>
      <c r="D742" s="2728"/>
      <c r="E742" s="2728"/>
      <c r="G742" s="2512"/>
      <c r="I742" s="2748"/>
      <c r="J742" s="2728"/>
      <c r="L742" s="2728"/>
      <c r="M742" s="2748"/>
      <c r="N742" s="2728"/>
      <c r="O742" s="2728"/>
      <c r="P742" s="2728"/>
      <c r="Q742" s="2748"/>
      <c r="R742" s="2748"/>
      <c r="S742" s="2748"/>
      <c r="T742" s="2748"/>
      <c r="U742" s="2748"/>
      <c r="V742" s="2748"/>
      <c r="W742" s="2748"/>
      <c r="X742" s="2748"/>
      <c r="Y742" s="2748"/>
      <c r="Z742" s="2748"/>
      <c r="AA742" s="2748"/>
      <c r="AB742" s="2748"/>
      <c r="AC742" s="2748"/>
      <c r="AD742" s="2748"/>
      <c r="AE742" s="2748"/>
      <c r="AF742" s="2748"/>
      <c r="AG742" s="2748"/>
      <c r="AH742" s="2748"/>
      <c r="AI742" s="2748"/>
      <c r="AK742" s="2748"/>
      <c r="AL742" s="2748"/>
      <c r="AN742" s="2748"/>
      <c r="AO742" s="2748"/>
      <c r="AP742" s="2748"/>
    </row>
    <row r="743" spans="2:42" ht="18" customHeight="1">
      <c r="B743" s="2728"/>
      <c r="C743" s="2728"/>
      <c r="D743" s="2728"/>
      <c r="E743" s="2728"/>
      <c r="G743" s="2512"/>
      <c r="I743" s="2748"/>
      <c r="J743" s="2728"/>
      <c r="L743" s="2728"/>
      <c r="M743" s="2748"/>
      <c r="N743" s="2728"/>
      <c r="O743" s="2728"/>
      <c r="P743" s="2728"/>
      <c r="Q743" s="2748"/>
      <c r="R743" s="2748"/>
      <c r="S743" s="2748"/>
      <c r="T743" s="2748"/>
      <c r="U743" s="2748"/>
      <c r="V743" s="2748"/>
      <c r="W743" s="2748"/>
      <c r="X743" s="2748"/>
      <c r="Y743" s="2748"/>
      <c r="Z743" s="2748"/>
      <c r="AA743" s="2748"/>
      <c r="AB743" s="2748"/>
      <c r="AC743" s="2748"/>
      <c r="AD743" s="2748"/>
      <c r="AE743" s="2748"/>
      <c r="AF743" s="2748"/>
      <c r="AG743" s="2748"/>
      <c r="AH743" s="2748"/>
      <c r="AI743" s="2748"/>
      <c r="AK743" s="2748"/>
      <c r="AL743" s="2748"/>
      <c r="AN743" s="2748"/>
      <c r="AO743" s="2748"/>
      <c r="AP743" s="2748"/>
    </row>
    <row r="744" spans="2:42" ht="18" customHeight="1">
      <c r="B744" s="2728"/>
      <c r="C744" s="2728"/>
      <c r="D744" s="2728"/>
      <c r="E744" s="2728"/>
      <c r="G744" s="2512"/>
      <c r="I744" s="2748"/>
      <c r="J744" s="2728"/>
      <c r="L744" s="2728"/>
      <c r="M744" s="2748"/>
      <c r="N744" s="2728"/>
      <c r="O744" s="2728"/>
      <c r="P744" s="2728"/>
      <c r="Q744" s="2748"/>
      <c r="R744" s="2748"/>
      <c r="S744" s="2748"/>
      <c r="T744" s="2748"/>
      <c r="U744" s="2748"/>
      <c r="V744" s="2748"/>
      <c r="W744" s="2748"/>
      <c r="X744" s="2748"/>
      <c r="Y744" s="2748"/>
      <c r="Z744" s="2748"/>
      <c r="AA744" s="2748"/>
      <c r="AB744" s="2748"/>
      <c r="AC744" s="2748"/>
      <c r="AD744" s="2748"/>
      <c r="AE744" s="2748"/>
      <c r="AF744" s="2748"/>
      <c r="AG744" s="2748"/>
      <c r="AH744" s="2748"/>
      <c r="AI744" s="2748"/>
      <c r="AK744" s="2748"/>
      <c r="AL744" s="2748"/>
      <c r="AN744" s="2748"/>
      <c r="AO744" s="2748"/>
      <c r="AP744" s="2748"/>
    </row>
    <row r="745" spans="2:42" ht="18" customHeight="1">
      <c r="B745" s="2728"/>
      <c r="C745" s="2728"/>
      <c r="D745" s="2728"/>
      <c r="E745" s="2728"/>
      <c r="G745" s="2512"/>
      <c r="I745" s="2748"/>
      <c r="J745" s="2728"/>
      <c r="L745" s="2728"/>
      <c r="M745" s="2748"/>
      <c r="N745" s="2728"/>
      <c r="O745" s="2728"/>
      <c r="P745" s="2728"/>
      <c r="Q745" s="2748"/>
      <c r="R745" s="2748"/>
      <c r="S745" s="2748"/>
      <c r="T745" s="2748"/>
      <c r="U745" s="2748"/>
      <c r="V745" s="2748"/>
      <c r="W745" s="2748"/>
      <c r="X745" s="2748"/>
      <c r="Y745" s="2748"/>
      <c r="Z745" s="2748"/>
      <c r="AA745" s="2748"/>
      <c r="AB745" s="2748"/>
      <c r="AC745" s="2748"/>
      <c r="AD745" s="2748"/>
      <c r="AE745" s="2748"/>
      <c r="AF745" s="2748"/>
      <c r="AG745" s="2748"/>
      <c r="AH745" s="2748"/>
      <c r="AI745" s="2748"/>
      <c r="AK745" s="2748"/>
      <c r="AL745" s="2748"/>
      <c r="AN745" s="2748"/>
      <c r="AO745" s="2748"/>
      <c r="AP745" s="2748"/>
    </row>
    <row r="746" spans="2:42" ht="18" customHeight="1">
      <c r="B746" s="2728"/>
      <c r="C746" s="2728"/>
      <c r="D746" s="2728"/>
      <c r="E746" s="2728"/>
      <c r="G746" s="2512"/>
      <c r="I746" s="2748"/>
      <c r="J746" s="2728"/>
      <c r="L746" s="2728"/>
      <c r="M746" s="2748"/>
      <c r="N746" s="2728"/>
      <c r="O746" s="2728"/>
      <c r="P746" s="2728"/>
      <c r="Q746" s="2748"/>
      <c r="R746" s="2748"/>
      <c r="S746" s="2748"/>
      <c r="T746" s="2748"/>
      <c r="U746" s="2748"/>
      <c r="V746" s="2748"/>
      <c r="W746" s="2748"/>
      <c r="X746" s="2748"/>
      <c r="Y746" s="2748"/>
      <c r="Z746" s="2748"/>
      <c r="AA746" s="2748"/>
      <c r="AB746" s="2748"/>
      <c r="AC746" s="2748"/>
      <c r="AD746" s="2748"/>
      <c r="AE746" s="2748"/>
      <c r="AF746" s="2748"/>
      <c r="AG746" s="2748"/>
      <c r="AH746" s="2748"/>
      <c r="AI746" s="2748"/>
      <c r="AK746" s="2748"/>
      <c r="AL746" s="2748"/>
      <c r="AN746" s="2748"/>
      <c r="AO746" s="2748"/>
      <c r="AP746" s="2748"/>
    </row>
    <row r="747" spans="2:42" ht="18" customHeight="1">
      <c r="B747" s="2728"/>
      <c r="C747" s="2728"/>
      <c r="D747" s="2728"/>
      <c r="E747" s="2728"/>
      <c r="G747" s="2512"/>
      <c r="I747" s="2748"/>
      <c r="J747" s="2728"/>
      <c r="L747" s="2728"/>
      <c r="M747" s="2748"/>
      <c r="N747" s="2728"/>
      <c r="O747" s="2728"/>
      <c r="P747" s="2728"/>
      <c r="Q747" s="2748"/>
      <c r="R747" s="2748"/>
      <c r="S747" s="2748"/>
      <c r="T747" s="2748"/>
      <c r="U747" s="2748"/>
      <c r="V747" s="2748"/>
      <c r="W747" s="2748"/>
      <c r="X747" s="2748"/>
      <c r="Y747" s="2748"/>
      <c r="Z747" s="2748"/>
      <c r="AA747" s="2748"/>
      <c r="AB747" s="2748"/>
      <c r="AC747" s="2748"/>
      <c r="AD747" s="2748"/>
      <c r="AE747" s="2748"/>
      <c r="AF747" s="2748"/>
      <c r="AG747" s="2748"/>
      <c r="AH747" s="2748"/>
      <c r="AI747" s="2748"/>
      <c r="AK747" s="2748"/>
      <c r="AL747" s="2748"/>
      <c r="AN747" s="2748"/>
      <c r="AO747" s="2748"/>
      <c r="AP747" s="2748"/>
    </row>
    <row r="748" spans="2:42" ht="18" customHeight="1">
      <c r="B748" s="2728"/>
      <c r="C748" s="2728"/>
      <c r="D748" s="2728"/>
      <c r="E748" s="2728"/>
      <c r="G748" s="2512"/>
      <c r="I748" s="2748"/>
      <c r="J748" s="2728"/>
      <c r="L748" s="2728"/>
      <c r="M748" s="2748"/>
      <c r="N748" s="2728"/>
      <c r="O748" s="2728"/>
      <c r="P748" s="2728"/>
      <c r="Q748" s="2748"/>
      <c r="R748" s="2748"/>
      <c r="S748" s="2748"/>
      <c r="T748" s="2748"/>
      <c r="U748" s="2748"/>
      <c r="V748" s="2748"/>
      <c r="W748" s="2748"/>
      <c r="X748" s="2748"/>
      <c r="Y748" s="2748"/>
      <c r="Z748" s="2748"/>
      <c r="AA748" s="2748"/>
      <c r="AB748" s="2748"/>
      <c r="AC748" s="2748"/>
      <c r="AD748" s="2748"/>
      <c r="AE748" s="2748"/>
      <c r="AF748" s="2748"/>
      <c r="AG748" s="2748"/>
      <c r="AH748" s="2748"/>
      <c r="AI748" s="2748"/>
      <c r="AK748" s="2748"/>
      <c r="AL748" s="2748"/>
      <c r="AN748" s="2748"/>
      <c r="AO748" s="2748"/>
      <c r="AP748" s="2748"/>
    </row>
    <row r="749" spans="2:42" ht="18" customHeight="1">
      <c r="B749" s="2728"/>
      <c r="C749" s="2728"/>
      <c r="D749" s="2728"/>
      <c r="E749" s="2728"/>
      <c r="G749" s="2512"/>
      <c r="I749" s="2748"/>
      <c r="J749" s="2728"/>
      <c r="L749" s="2728"/>
      <c r="M749" s="2748"/>
      <c r="N749" s="2728"/>
      <c r="O749" s="2728"/>
      <c r="P749" s="2728"/>
      <c r="Q749" s="2748"/>
      <c r="R749" s="2748"/>
      <c r="S749" s="2748"/>
      <c r="T749" s="2748"/>
      <c r="U749" s="2748"/>
      <c r="V749" s="2748"/>
      <c r="W749" s="2748"/>
      <c r="X749" s="2748"/>
      <c r="Y749" s="2748"/>
      <c r="Z749" s="2748"/>
      <c r="AA749" s="2748"/>
      <c r="AB749" s="2748"/>
      <c r="AC749" s="2748"/>
      <c r="AD749" s="2748"/>
      <c r="AE749" s="2748"/>
      <c r="AF749" s="2748"/>
      <c r="AG749" s="2748"/>
      <c r="AH749" s="2748"/>
      <c r="AI749" s="2748"/>
      <c r="AK749" s="2748"/>
      <c r="AL749" s="2748"/>
      <c r="AN749" s="2748"/>
      <c r="AO749" s="2748"/>
      <c r="AP749" s="2748"/>
    </row>
    <row r="750" spans="2:42" ht="18" customHeight="1">
      <c r="B750" s="2728"/>
      <c r="C750" s="2728"/>
      <c r="D750" s="2728"/>
      <c r="E750" s="2728"/>
      <c r="G750" s="2512"/>
      <c r="I750" s="2748"/>
      <c r="J750" s="2728"/>
      <c r="L750" s="2728"/>
      <c r="M750" s="2748"/>
      <c r="N750" s="2728"/>
      <c r="O750" s="2728"/>
      <c r="P750" s="2728"/>
      <c r="Q750" s="2748"/>
      <c r="R750" s="2748"/>
      <c r="S750" s="2748"/>
      <c r="T750" s="2748"/>
      <c r="U750" s="2748"/>
      <c r="V750" s="2748"/>
      <c r="W750" s="2748"/>
      <c r="X750" s="2748"/>
      <c r="Y750" s="2748"/>
      <c r="Z750" s="2748"/>
      <c r="AA750" s="2748"/>
      <c r="AB750" s="2748"/>
      <c r="AC750" s="2748"/>
      <c r="AD750" s="2748"/>
      <c r="AE750" s="2748"/>
      <c r="AF750" s="2748"/>
      <c r="AG750" s="2748"/>
      <c r="AH750" s="2748"/>
      <c r="AI750" s="2748"/>
      <c r="AK750" s="2748"/>
      <c r="AL750" s="2748"/>
      <c r="AN750" s="2748"/>
      <c r="AO750" s="2748"/>
      <c r="AP750" s="2748"/>
    </row>
    <row r="751" spans="2:42" ht="18" customHeight="1">
      <c r="B751" s="2728"/>
      <c r="C751" s="2728"/>
      <c r="D751" s="2728"/>
      <c r="E751" s="2728"/>
      <c r="G751" s="2512"/>
      <c r="I751" s="2748"/>
      <c r="J751" s="2728"/>
      <c r="L751" s="2728"/>
      <c r="M751" s="2748"/>
      <c r="N751" s="2728"/>
      <c r="O751" s="2728"/>
      <c r="P751" s="2728"/>
      <c r="Q751" s="2748"/>
      <c r="R751" s="2748"/>
      <c r="S751" s="2748"/>
      <c r="T751" s="2748"/>
      <c r="U751" s="2748"/>
      <c r="V751" s="2748"/>
      <c r="W751" s="2748"/>
      <c r="X751" s="2748"/>
      <c r="Y751" s="2748"/>
      <c r="Z751" s="2748"/>
      <c r="AA751" s="2748"/>
      <c r="AB751" s="2748"/>
      <c r="AC751" s="2748"/>
      <c r="AD751" s="2748"/>
      <c r="AE751" s="2748"/>
      <c r="AF751" s="2748"/>
      <c r="AG751" s="2748"/>
      <c r="AH751" s="2748"/>
      <c r="AI751" s="2748"/>
      <c r="AK751" s="2748"/>
      <c r="AL751" s="2748"/>
      <c r="AN751" s="2748"/>
      <c r="AO751" s="2748"/>
      <c r="AP751" s="2748"/>
    </row>
    <row r="752" spans="2:42" ht="18" customHeight="1">
      <c r="B752" s="2728"/>
      <c r="C752" s="2728"/>
      <c r="D752" s="2728"/>
      <c r="E752" s="2728"/>
      <c r="G752" s="2512"/>
      <c r="I752" s="2748"/>
      <c r="J752" s="2728"/>
      <c r="L752" s="2728"/>
      <c r="M752" s="2748"/>
      <c r="N752" s="2728"/>
      <c r="O752" s="2728"/>
      <c r="P752" s="2728"/>
      <c r="Q752" s="2748"/>
      <c r="R752" s="2748"/>
      <c r="S752" s="2748"/>
      <c r="T752" s="2748"/>
      <c r="U752" s="2748"/>
      <c r="V752" s="2748"/>
      <c r="W752" s="2748"/>
      <c r="X752" s="2748"/>
      <c r="Y752" s="2748"/>
      <c r="Z752" s="2748"/>
      <c r="AA752" s="2748"/>
      <c r="AB752" s="2748"/>
      <c r="AC752" s="2748"/>
      <c r="AD752" s="2748"/>
      <c r="AE752" s="2748"/>
      <c r="AF752" s="2748"/>
      <c r="AG752" s="2748"/>
      <c r="AH752" s="2748"/>
      <c r="AI752" s="2748"/>
      <c r="AK752" s="2748"/>
      <c r="AL752" s="2748"/>
      <c r="AN752" s="2748"/>
      <c r="AO752" s="2748"/>
      <c r="AP752" s="2748"/>
    </row>
    <row r="753" spans="2:42" ht="18" customHeight="1">
      <c r="B753" s="2728"/>
      <c r="C753" s="2728"/>
      <c r="D753" s="2728"/>
      <c r="E753" s="2728"/>
      <c r="G753" s="2512"/>
      <c r="I753" s="2748"/>
      <c r="J753" s="2728"/>
      <c r="L753" s="2728"/>
      <c r="M753" s="2748"/>
      <c r="N753" s="2728"/>
      <c r="O753" s="2728"/>
      <c r="P753" s="2728"/>
      <c r="Q753" s="2748"/>
      <c r="R753" s="2748"/>
      <c r="S753" s="2748"/>
      <c r="T753" s="2748"/>
      <c r="U753" s="2748"/>
      <c r="V753" s="2748"/>
      <c r="W753" s="2748"/>
      <c r="X753" s="2748"/>
      <c r="Y753" s="2748"/>
      <c r="Z753" s="2748"/>
      <c r="AA753" s="2748"/>
      <c r="AB753" s="2748"/>
      <c r="AC753" s="2748"/>
      <c r="AD753" s="2748"/>
      <c r="AE753" s="2748"/>
      <c r="AF753" s="2748"/>
      <c r="AG753" s="2748"/>
      <c r="AH753" s="2748"/>
      <c r="AI753" s="2748"/>
      <c r="AK753" s="2748"/>
      <c r="AL753" s="2748"/>
      <c r="AN753" s="2748"/>
      <c r="AO753" s="2748"/>
      <c r="AP753" s="2748"/>
    </row>
    <row r="754" spans="2:42" ht="18" customHeight="1">
      <c r="B754" s="2728"/>
      <c r="C754" s="2728"/>
      <c r="D754" s="2728"/>
      <c r="E754" s="2728"/>
      <c r="G754" s="2512"/>
      <c r="I754" s="2748"/>
      <c r="J754" s="2728"/>
      <c r="L754" s="2728"/>
      <c r="M754" s="2748"/>
      <c r="N754" s="2728"/>
      <c r="O754" s="2728"/>
      <c r="P754" s="2728"/>
      <c r="Q754" s="2748"/>
      <c r="R754" s="2748"/>
      <c r="S754" s="2748"/>
      <c r="T754" s="2748"/>
      <c r="U754" s="2748"/>
      <c r="V754" s="2748"/>
      <c r="W754" s="2748"/>
      <c r="X754" s="2748"/>
      <c r="Y754" s="2748"/>
      <c r="Z754" s="2748"/>
      <c r="AA754" s="2748"/>
      <c r="AB754" s="2748"/>
      <c r="AC754" s="2748"/>
      <c r="AD754" s="2748"/>
      <c r="AE754" s="2748"/>
      <c r="AF754" s="2748"/>
      <c r="AG754" s="2748"/>
      <c r="AH754" s="2748"/>
      <c r="AI754" s="2748"/>
      <c r="AK754" s="2748"/>
      <c r="AL754" s="2748"/>
      <c r="AN754" s="2748"/>
      <c r="AO754" s="2748"/>
      <c r="AP754" s="2748"/>
    </row>
    <row r="755" spans="2:42" ht="18" customHeight="1">
      <c r="B755" s="2728"/>
      <c r="C755" s="2728"/>
      <c r="D755" s="2728"/>
      <c r="E755" s="2728"/>
      <c r="G755" s="2512"/>
      <c r="I755" s="2748"/>
      <c r="J755" s="2728"/>
      <c r="L755" s="2728"/>
      <c r="M755" s="2748"/>
      <c r="N755" s="2728"/>
      <c r="O755" s="2728"/>
      <c r="P755" s="2728"/>
      <c r="Q755" s="2748"/>
      <c r="R755" s="2748"/>
      <c r="S755" s="2748"/>
      <c r="T755" s="2748"/>
      <c r="U755" s="2748"/>
      <c r="V755" s="2748"/>
      <c r="W755" s="2748"/>
      <c r="X755" s="2748"/>
      <c r="Y755" s="2748"/>
      <c r="Z755" s="2748"/>
      <c r="AA755" s="2748"/>
      <c r="AB755" s="2748"/>
      <c r="AC755" s="2748"/>
      <c r="AD755" s="2748"/>
      <c r="AE755" s="2748"/>
      <c r="AF755" s="2748"/>
      <c r="AG755" s="2748"/>
      <c r="AH755" s="2748"/>
      <c r="AI755" s="2748"/>
      <c r="AK755" s="2748"/>
      <c r="AL755" s="2748"/>
      <c r="AN755" s="2748"/>
      <c r="AO755" s="2748"/>
      <c r="AP755" s="2748"/>
    </row>
    <row r="756" spans="2:42" ht="18" customHeight="1">
      <c r="B756" s="2728"/>
      <c r="C756" s="2728"/>
      <c r="D756" s="2728"/>
      <c r="E756" s="2728"/>
      <c r="G756" s="2512"/>
      <c r="I756" s="2748"/>
      <c r="J756" s="2728"/>
      <c r="L756" s="2728"/>
      <c r="M756" s="2748"/>
      <c r="N756" s="2728"/>
      <c r="O756" s="2728"/>
      <c r="P756" s="2728"/>
      <c r="Q756" s="2748"/>
      <c r="R756" s="2748"/>
      <c r="S756" s="2748"/>
      <c r="T756" s="2748"/>
      <c r="U756" s="2748"/>
      <c r="V756" s="2748"/>
      <c r="W756" s="2748"/>
      <c r="X756" s="2748"/>
      <c r="Y756" s="2748"/>
      <c r="Z756" s="2748"/>
      <c r="AA756" s="2748"/>
      <c r="AB756" s="2748"/>
      <c r="AC756" s="2748"/>
      <c r="AD756" s="2748"/>
      <c r="AE756" s="2748"/>
      <c r="AF756" s="2748"/>
      <c r="AG756" s="2748"/>
      <c r="AH756" s="2748"/>
      <c r="AI756" s="2748"/>
      <c r="AK756" s="2748"/>
      <c r="AL756" s="2748"/>
      <c r="AN756" s="2748"/>
      <c r="AO756" s="2748"/>
      <c r="AP756" s="2748"/>
    </row>
    <row r="757" spans="2:42" ht="18" customHeight="1">
      <c r="B757" s="2728"/>
      <c r="C757" s="2728"/>
      <c r="D757" s="2728"/>
      <c r="E757" s="2728"/>
      <c r="G757" s="2512"/>
      <c r="I757" s="2748"/>
      <c r="J757" s="2728"/>
      <c r="L757" s="2728"/>
      <c r="M757" s="2748"/>
      <c r="N757" s="2728"/>
      <c r="O757" s="2728"/>
      <c r="P757" s="2728"/>
      <c r="Q757" s="2748"/>
      <c r="R757" s="2748"/>
      <c r="S757" s="2748"/>
      <c r="T757" s="2748"/>
      <c r="U757" s="2748"/>
      <c r="V757" s="2748"/>
      <c r="W757" s="2748"/>
      <c r="X757" s="2748"/>
      <c r="Y757" s="2748"/>
      <c r="Z757" s="2748"/>
      <c r="AA757" s="2748"/>
      <c r="AB757" s="2748"/>
      <c r="AC757" s="2748"/>
      <c r="AD757" s="2748"/>
      <c r="AE757" s="2748"/>
      <c r="AF757" s="2748"/>
      <c r="AG757" s="2748"/>
      <c r="AH757" s="2748"/>
      <c r="AI757" s="2748"/>
      <c r="AK757" s="2748"/>
      <c r="AL757" s="2748"/>
      <c r="AN757" s="2748"/>
      <c r="AO757" s="2748"/>
      <c r="AP757" s="2748"/>
    </row>
    <row r="758" spans="2:42" ht="18" customHeight="1">
      <c r="B758" s="2728"/>
      <c r="C758" s="2728"/>
      <c r="D758" s="2728"/>
      <c r="E758" s="2728"/>
      <c r="G758" s="2512"/>
      <c r="I758" s="2748"/>
      <c r="J758" s="2728"/>
      <c r="L758" s="2728"/>
      <c r="M758" s="2748"/>
      <c r="N758" s="2728"/>
      <c r="O758" s="2728"/>
      <c r="P758" s="2728"/>
      <c r="Q758" s="2748"/>
      <c r="R758" s="2748"/>
      <c r="S758" s="2748"/>
      <c r="T758" s="2748"/>
      <c r="U758" s="2748"/>
      <c r="V758" s="2748"/>
      <c r="W758" s="2748"/>
      <c r="X758" s="2748"/>
      <c r="Y758" s="2748"/>
      <c r="Z758" s="2748"/>
      <c r="AA758" s="2748"/>
      <c r="AB758" s="2748"/>
      <c r="AC758" s="2748"/>
      <c r="AD758" s="2748"/>
      <c r="AE758" s="2748"/>
      <c r="AF758" s="2748"/>
      <c r="AG758" s="2748"/>
      <c r="AH758" s="2748"/>
      <c r="AI758" s="2748"/>
      <c r="AK758" s="2748"/>
      <c r="AL758" s="2748"/>
      <c r="AN758" s="2748"/>
      <c r="AO758" s="2748"/>
      <c r="AP758" s="2748"/>
    </row>
    <row r="759" spans="2:42" ht="18" customHeight="1">
      <c r="B759" s="2728"/>
      <c r="C759" s="2728"/>
      <c r="D759" s="2728"/>
      <c r="E759" s="2728"/>
      <c r="G759" s="2512"/>
      <c r="I759" s="2748"/>
      <c r="J759" s="2728"/>
      <c r="L759" s="2728"/>
      <c r="M759" s="2748"/>
      <c r="N759" s="2728"/>
      <c r="O759" s="2728"/>
      <c r="P759" s="2728"/>
      <c r="Q759" s="2748"/>
      <c r="R759" s="2748"/>
      <c r="S759" s="2748"/>
      <c r="T759" s="2748"/>
      <c r="U759" s="2748"/>
      <c r="V759" s="2748"/>
      <c r="W759" s="2748"/>
      <c r="X759" s="2748"/>
      <c r="Y759" s="2748"/>
      <c r="Z759" s="2748"/>
      <c r="AA759" s="2748"/>
      <c r="AB759" s="2748"/>
      <c r="AC759" s="2748"/>
      <c r="AD759" s="2748"/>
      <c r="AE759" s="2748"/>
      <c r="AF759" s="2748"/>
      <c r="AG759" s="2748"/>
      <c r="AH759" s="2748"/>
      <c r="AI759" s="2748"/>
      <c r="AK759" s="2748"/>
      <c r="AL759" s="2748"/>
      <c r="AN759" s="2748"/>
      <c r="AO759" s="2748"/>
      <c r="AP759" s="2748"/>
    </row>
    <row r="760" spans="2:42" ht="18" customHeight="1">
      <c r="B760" s="2728"/>
      <c r="C760" s="2728"/>
      <c r="D760" s="2728"/>
      <c r="E760" s="2728"/>
      <c r="G760" s="2512"/>
      <c r="I760" s="2748"/>
      <c r="J760" s="2728"/>
      <c r="L760" s="2728"/>
      <c r="M760" s="2748"/>
      <c r="N760" s="2728"/>
      <c r="O760" s="2728"/>
      <c r="P760" s="2728"/>
      <c r="Q760" s="2748"/>
      <c r="R760" s="2748"/>
      <c r="S760" s="2748"/>
      <c r="T760" s="2748"/>
      <c r="U760" s="2748"/>
      <c r="V760" s="2748"/>
      <c r="W760" s="2748"/>
      <c r="X760" s="2748"/>
      <c r="Y760" s="2748"/>
      <c r="Z760" s="2748"/>
      <c r="AA760" s="2748"/>
      <c r="AB760" s="2748"/>
      <c r="AC760" s="2748"/>
      <c r="AD760" s="2748"/>
      <c r="AE760" s="2748"/>
      <c r="AF760" s="2748"/>
      <c r="AG760" s="2748"/>
      <c r="AH760" s="2748"/>
      <c r="AI760" s="2748"/>
      <c r="AK760" s="2748"/>
      <c r="AL760" s="2748"/>
      <c r="AN760" s="2748"/>
      <c r="AO760" s="2748"/>
      <c r="AP760" s="2748"/>
    </row>
    <row r="761" spans="2:42" ht="18" customHeight="1">
      <c r="B761" s="2728"/>
      <c r="C761" s="2728"/>
      <c r="D761" s="2728"/>
      <c r="E761" s="2728"/>
      <c r="G761" s="2512"/>
      <c r="I761" s="2748"/>
      <c r="J761" s="2728"/>
      <c r="L761" s="2728"/>
      <c r="M761" s="2748"/>
      <c r="N761" s="2728"/>
      <c r="O761" s="2728"/>
      <c r="P761" s="2728"/>
      <c r="Q761" s="2748"/>
      <c r="R761" s="2748"/>
      <c r="S761" s="2748"/>
      <c r="T761" s="2748"/>
      <c r="U761" s="2748"/>
      <c r="V761" s="2748"/>
      <c r="W761" s="2748"/>
      <c r="X761" s="2748"/>
      <c r="Y761" s="2748"/>
      <c r="Z761" s="2748"/>
      <c r="AA761" s="2748"/>
      <c r="AB761" s="2748"/>
      <c r="AC761" s="2748"/>
      <c r="AD761" s="2748"/>
      <c r="AE761" s="2748"/>
      <c r="AF761" s="2748"/>
      <c r="AG761" s="2748"/>
      <c r="AH761" s="2748"/>
      <c r="AI761" s="2748"/>
      <c r="AK761" s="2748"/>
      <c r="AL761" s="2748"/>
      <c r="AN761" s="2748"/>
      <c r="AO761" s="2748"/>
      <c r="AP761" s="2748"/>
    </row>
    <row r="762" spans="2:42" ht="18" customHeight="1">
      <c r="B762" s="2728"/>
      <c r="C762" s="2728"/>
      <c r="D762" s="2728"/>
      <c r="E762" s="2728"/>
      <c r="G762" s="2512"/>
      <c r="I762" s="2748"/>
      <c r="J762" s="2728"/>
      <c r="L762" s="2728"/>
      <c r="M762" s="2748"/>
      <c r="N762" s="2728"/>
      <c r="O762" s="2728"/>
      <c r="P762" s="2728"/>
      <c r="Q762" s="2748"/>
      <c r="R762" s="2748"/>
      <c r="S762" s="2748"/>
      <c r="T762" s="2748"/>
      <c r="U762" s="2748"/>
      <c r="V762" s="2748"/>
      <c r="W762" s="2748"/>
      <c r="X762" s="2748"/>
      <c r="Y762" s="2748"/>
      <c r="Z762" s="2748"/>
      <c r="AA762" s="2748"/>
      <c r="AB762" s="2748"/>
      <c r="AC762" s="2748"/>
      <c r="AD762" s="2748"/>
      <c r="AE762" s="2748"/>
      <c r="AF762" s="2748"/>
      <c r="AG762" s="2748"/>
      <c r="AH762" s="2748"/>
      <c r="AI762" s="2748"/>
      <c r="AK762" s="2748"/>
      <c r="AL762" s="2748"/>
      <c r="AN762" s="2748"/>
      <c r="AO762" s="2748"/>
      <c r="AP762" s="2748"/>
    </row>
    <row r="763" spans="2:42" ht="18" customHeight="1">
      <c r="B763" s="2728"/>
      <c r="C763" s="2728"/>
      <c r="D763" s="2728"/>
      <c r="E763" s="2728"/>
      <c r="G763" s="2512"/>
      <c r="I763" s="2748"/>
      <c r="J763" s="2728"/>
      <c r="L763" s="2728"/>
      <c r="M763" s="2748"/>
      <c r="N763" s="2728"/>
      <c r="O763" s="2728"/>
      <c r="P763" s="2728"/>
      <c r="Q763" s="2748"/>
      <c r="R763" s="2748"/>
      <c r="S763" s="2748"/>
      <c r="T763" s="2748"/>
      <c r="U763" s="2748"/>
      <c r="V763" s="2748"/>
      <c r="W763" s="2748"/>
      <c r="X763" s="2748"/>
      <c r="Y763" s="2748"/>
      <c r="Z763" s="2748"/>
      <c r="AA763" s="2748"/>
      <c r="AB763" s="2748"/>
      <c r="AC763" s="2748"/>
      <c r="AD763" s="2748"/>
      <c r="AE763" s="2748"/>
      <c r="AF763" s="2748"/>
      <c r="AG763" s="2748"/>
      <c r="AH763" s="2748"/>
      <c r="AI763" s="2748"/>
      <c r="AK763" s="2748"/>
      <c r="AL763" s="2748"/>
      <c r="AN763" s="2748"/>
      <c r="AO763" s="2748"/>
      <c r="AP763" s="2748"/>
    </row>
    <row r="764" spans="2:42" ht="18" customHeight="1">
      <c r="B764" s="2728"/>
      <c r="C764" s="2728"/>
      <c r="D764" s="2728"/>
      <c r="E764" s="2728"/>
      <c r="G764" s="2512"/>
      <c r="I764" s="2748"/>
      <c r="J764" s="2728"/>
      <c r="L764" s="2728"/>
      <c r="M764" s="2748"/>
      <c r="N764" s="2728"/>
      <c r="O764" s="2728"/>
      <c r="P764" s="2728"/>
      <c r="Q764" s="2748"/>
      <c r="R764" s="2748"/>
      <c r="S764" s="2748"/>
      <c r="T764" s="2748"/>
      <c r="U764" s="2748"/>
      <c r="V764" s="2748"/>
      <c r="W764" s="2748"/>
      <c r="X764" s="2748"/>
      <c r="Y764" s="2748"/>
      <c r="Z764" s="2748"/>
      <c r="AA764" s="2748"/>
      <c r="AB764" s="2748"/>
      <c r="AC764" s="2748"/>
      <c r="AD764" s="2748"/>
      <c r="AE764" s="2748"/>
      <c r="AF764" s="2748"/>
      <c r="AG764" s="2748"/>
      <c r="AH764" s="2748"/>
      <c r="AI764" s="2748"/>
      <c r="AK764" s="2748"/>
      <c r="AL764" s="2748"/>
      <c r="AN764" s="2748"/>
      <c r="AO764" s="2748"/>
      <c r="AP764" s="2748"/>
    </row>
    <row r="765" spans="2:42" ht="18" customHeight="1">
      <c r="B765" s="2728"/>
      <c r="C765" s="2728"/>
      <c r="D765" s="2728"/>
      <c r="E765" s="2728"/>
      <c r="G765" s="2512"/>
      <c r="I765" s="2748"/>
      <c r="J765" s="2728"/>
      <c r="L765" s="2728"/>
      <c r="M765" s="2748"/>
      <c r="N765" s="2728"/>
      <c r="O765" s="2728"/>
      <c r="P765" s="2728"/>
      <c r="Q765" s="2748"/>
      <c r="R765" s="2748"/>
      <c r="S765" s="2748"/>
      <c r="T765" s="2748"/>
      <c r="U765" s="2748"/>
      <c r="V765" s="2748"/>
      <c r="W765" s="2748"/>
      <c r="X765" s="2748"/>
      <c r="Y765" s="2748"/>
      <c r="Z765" s="2748"/>
      <c r="AA765" s="2748"/>
      <c r="AB765" s="2748"/>
      <c r="AC765" s="2748"/>
      <c r="AD765" s="2748"/>
      <c r="AE765" s="2748"/>
      <c r="AF765" s="2748"/>
      <c r="AG765" s="2748"/>
      <c r="AH765" s="2748"/>
      <c r="AI765" s="2748"/>
      <c r="AK765" s="2748"/>
      <c r="AL765" s="2748"/>
      <c r="AN765" s="2748"/>
      <c r="AO765" s="2748"/>
      <c r="AP765" s="2748"/>
    </row>
    <row r="766" spans="2:42" ht="18" customHeight="1">
      <c r="B766" s="2728"/>
      <c r="C766" s="2728"/>
      <c r="D766" s="2728"/>
      <c r="E766" s="2728"/>
      <c r="G766" s="2512"/>
      <c r="I766" s="2748"/>
      <c r="J766" s="2728"/>
      <c r="L766" s="2728"/>
      <c r="M766" s="2748"/>
      <c r="N766" s="2728"/>
      <c r="O766" s="2728"/>
      <c r="P766" s="2728"/>
      <c r="Q766" s="2748"/>
      <c r="R766" s="2748"/>
      <c r="S766" s="2748"/>
      <c r="T766" s="2748"/>
      <c r="U766" s="2748"/>
      <c r="V766" s="2748"/>
      <c r="W766" s="2748"/>
      <c r="X766" s="2748"/>
      <c r="Y766" s="2748"/>
      <c r="Z766" s="2748"/>
      <c r="AA766" s="2748"/>
      <c r="AB766" s="2748"/>
      <c r="AC766" s="2748"/>
      <c r="AD766" s="2748"/>
      <c r="AE766" s="2748"/>
      <c r="AF766" s="2748"/>
      <c r="AG766" s="2748"/>
      <c r="AH766" s="2748"/>
      <c r="AI766" s="2748"/>
      <c r="AK766" s="2748"/>
      <c r="AL766" s="2748"/>
      <c r="AN766" s="2748"/>
      <c r="AO766" s="2748"/>
      <c r="AP766" s="2748"/>
    </row>
    <row r="767" spans="2:42" ht="18" customHeight="1">
      <c r="B767" s="2728"/>
      <c r="C767" s="2728"/>
      <c r="D767" s="2728"/>
      <c r="E767" s="2728"/>
      <c r="G767" s="2512"/>
      <c r="I767" s="2748"/>
      <c r="J767" s="2728"/>
      <c r="L767" s="2728"/>
      <c r="M767" s="2748"/>
      <c r="N767" s="2728"/>
      <c r="O767" s="2728"/>
      <c r="P767" s="2728"/>
      <c r="Q767" s="2748"/>
      <c r="R767" s="2748"/>
      <c r="S767" s="2748"/>
      <c r="T767" s="2748"/>
      <c r="U767" s="2748"/>
      <c r="V767" s="2748"/>
      <c r="W767" s="2748"/>
      <c r="X767" s="2748"/>
      <c r="Y767" s="2748"/>
      <c r="Z767" s="2748"/>
      <c r="AA767" s="2748"/>
      <c r="AB767" s="2748"/>
      <c r="AC767" s="2748"/>
      <c r="AD767" s="2748"/>
      <c r="AE767" s="2748"/>
      <c r="AF767" s="2748"/>
      <c r="AG767" s="2748"/>
      <c r="AH767" s="2748"/>
      <c r="AI767" s="2748"/>
      <c r="AK767" s="2748"/>
      <c r="AL767" s="2748"/>
      <c r="AN767" s="2748"/>
      <c r="AO767" s="2748"/>
      <c r="AP767" s="2748"/>
    </row>
    <row r="768" spans="2:42" ht="18" customHeight="1">
      <c r="B768" s="2728"/>
      <c r="C768" s="2728"/>
      <c r="D768" s="2728"/>
      <c r="E768" s="2728"/>
      <c r="G768" s="2512"/>
      <c r="I768" s="2748"/>
      <c r="J768" s="2728"/>
      <c r="L768" s="2728"/>
      <c r="M768" s="2748"/>
      <c r="N768" s="2728"/>
      <c r="O768" s="2728"/>
      <c r="P768" s="2728"/>
      <c r="Q768" s="2748"/>
      <c r="R768" s="2748"/>
      <c r="S768" s="2748"/>
      <c r="T768" s="2748"/>
      <c r="U768" s="2748"/>
      <c r="V768" s="2748"/>
      <c r="W768" s="2748"/>
      <c r="X768" s="2748"/>
      <c r="Y768" s="2748"/>
      <c r="Z768" s="2748"/>
      <c r="AA768" s="2748"/>
      <c r="AB768" s="2748"/>
      <c r="AC768" s="2748"/>
      <c r="AD768" s="2748"/>
      <c r="AE768" s="2748"/>
      <c r="AF768" s="2748"/>
      <c r="AG768" s="2748"/>
      <c r="AH768" s="2748"/>
      <c r="AI768" s="2748"/>
      <c r="AK768" s="2748"/>
      <c r="AL768" s="2748"/>
      <c r="AN768" s="2748"/>
      <c r="AO768" s="2748"/>
      <c r="AP768" s="2748"/>
    </row>
    <row r="769" spans="2:42" ht="18" customHeight="1">
      <c r="B769" s="2728"/>
      <c r="C769" s="2728"/>
      <c r="D769" s="2728"/>
      <c r="E769" s="2728"/>
      <c r="G769" s="2512"/>
      <c r="I769" s="2748"/>
      <c r="J769" s="2728"/>
      <c r="L769" s="2728"/>
      <c r="M769" s="2748"/>
      <c r="N769" s="2728"/>
      <c r="O769" s="2728"/>
      <c r="P769" s="2728"/>
      <c r="Q769" s="2748"/>
      <c r="R769" s="2748"/>
      <c r="S769" s="2748"/>
      <c r="T769" s="2748"/>
      <c r="U769" s="2748"/>
      <c r="V769" s="2748"/>
      <c r="W769" s="2748"/>
      <c r="X769" s="2748"/>
      <c r="Y769" s="2748"/>
      <c r="Z769" s="2748"/>
      <c r="AA769" s="2748"/>
      <c r="AB769" s="2748"/>
      <c r="AC769" s="2748"/>
      <c r="AD769" s="2748"/>
      <c r="AE769" s="2748"/>
      <c r="AF769" s="2748"/>
      <c r="AG769" s="2748"/>
      <c r="AH769" s="2748"/>
      <c r="AI769" s="2748"/>
      <c r="AK769" s="2748"/>
      <c r="AL769" s="2748"/>
      <c r="AN769" s="2748"/>
      <c r="AO769" s="2748"/>
      <c r="AP769" s="2748"/>
    </row>
    <row r="770" spans="2:42" ht="18" customHeight="1">
      <c r="B770" s="2728"/>
      <c r="C770" s="2728"/>
      <c r="D770" s="2728"/>
      <c r="E770" s="2728"/>
      <c r="G770" s="2512"/>
      <c r="I770" s="2748"/>
      <c r="J770" s="2728"/>
      <c r="L770" s="2728"/>
      <c r="M770" s="2748"/>
      <c r="N770" s="2728"/>
      <c r="O770" s="2728"/>
      <c r="P770" s="2728"/>
      <c r="Q770" s="2748"/>
      <c r="R770" s="2748"/>
      <c r="S770" s="2748"/>
      <c r="T770" s="2748"/>
      <c r="U770" s="2748"/>
      <c r="V770" s="2748"/>
      <c r="W770" s="2748"/>
      <c r="X770" s="2748"/>
      <c r="Y770" s="2748"/>
      <c r="Z770" s="2748"/>
      <c r="AA770" s="2748"/>
      <c r="AB770" s="2748"/>
      <c r="AC770" s="2748"/>
      <c r="AD770" s="2748"/>
      <c r="AE770" s="2748"/>
      <c r="AF770" s="2748"/>
      <c r="AG770" s="2748"/>
      <c r="AH770" s="2748"/>
      <c r="AI770" s="2748"/>
      <c r="AK770" s="2748"/>
      <c r="AL770" s="2748"/>
      <c r="AN770" s="2748"/>
      <c r="AO770" s="2748"/>
      <c r="AP770" s="2748"/>
    </row>
    <row r="771" spans="2:42" ht="18" customHeight="1">
      <c r="B771" s="2728"/>
      <c r="C771" s="2728"/>
      <c r="D771" s="2728"/>
      <c r="E771" s="2728"/>
      <c r="G771" s="2512"/>
      <c r="I771" s="2748"/>
      <c r="J771" s="2728"/>
      <c r="L771" s="2728"/>
      <c r="M771" s="2748"/>
      <c r="N771" s="2728"/>
      <c r="O771" s="2728"/>
      <c r="P771" s="2728"/>
      <c r="Q771" s="2748"/>
      <c r="R771" s="2748"/>
      <c r="S771" s="2748"/>
      <c r="T771" s="2748"/>
      <c r="U771" s="2748"/>
      <c r="V771" s="2748"/>
      <c r="W771" s="2748"/>
      <c r="X771" s="2748"/>
      <c r="Y771" s="2748"/>
      <c r="Z771" s="2748"/>
      <c r="AA771" s="2748"/>
      <c r="AB771" s="2748"/>
      <c r="AC771" s="2748"/>
      <c r="AD771" s="2748"/>
      <c r="AE771" s="2748"/>
      <c r="AF771" s="2748"/>
      <c r="AG771" s="2748"/>
      <c r="AH771" s="2748"/>
      <c r="AI771" s="2748"/>
      <c r="AK771" s="2748"/>
      <c r="AL771" s="2748"/>
      <c r="AN771" s="2748"/>
      <c r="AO771" s="2748"/>
      <c r="AP771" s="2748"/>
    </row>
    <row r="772" spans="2:42" ht="18" customHeight="1">
      <c r="B772" s="2728"/>
      <c r="C772" s="2728"/>
      <c r="D772" s="2728"/>
      <c r="E772" s="2728"/>
      <c r="G772" s="2512"/>
      <c r="I772" s="2748"/>
      <c r="J772" s="2728"/>
      <c r="L772" s="2728"/>
      <c r="M772" s="2748"/>
      <c r="N772" s="2728"/>
      <c r="O772" s="2728"/>
      <c r="P772" s="2728"/>
      <c r="Q772" s="2748"/>
      <c r="R772" s="2748"/>
      <c r="S772" s="2748"/>
      <c r="T772" s="2748"/>
      <c r="U772" s="2748"/>
      <c r="V772" s="2748"/>
      <c r="W772" s="2748"/>
      <c r="X772" s="2748"/>
      <c r="Y772" s="2748"/>
      <c r="Z772" s="2748"/>
      <c r="AA772" s="2748"/>
      <c r="AB772" s="2748"/>
      <c r="AC772" s="2748"/>
      <c r="AD772" s="2748"/>
      <c r="AE772" s="2748"/>
      <c r="AF772" s="2748"/>
      <c r="AG772" s="2748"/>
      <c r="AH772" s="2748"/>
      <c r="AI772" s="2748"/>
      <c r="AK772" s="2748"/>
      <c r="AL772" s="2748"/>
      <c r="AN772" s="2748"/>
      <c r="AO772" s="2748"/>
      <c r="AP772" s="2748"/>
    </row>
    <row r="773" spans="2:42" ht="18" customHeight="1">
      <c r="B773" s="2728"/>
      <c r="C773" s="2728"/>
      <c r="D773" s="2728"/>
      <c r="E773" s="2728"/>
      <c r="G773" s="2512"/>
      <c r="I773" s="2748"/>
      <c r="J773" s="2728"/>
      <c r="L773" s="2728"/>
      <c r="M773" s="2748"/>
      <c r="N773" s="2728"/>
      <c r="O773" s="2728"/>
      <c r="P773" s="2728"/>
      <c r="Q773" s="2748"/>
      <c r="R773" s="2748"/>
      <c r="S773" s="2748"/>
      <c r="T773" s="2748"/>
      <c r="U773" s="2748"/>
      <c r="V773" s="2748"/>
      <c r="W773" s="2748"/>
      <c r="X773" s="2748"/>
      <c r="Y773" s="2748"/>
      <c r="Z773" s="2748"/>
      <c r="AA773" s="2748"/>
      <c r="AB773" s="2748"/>
      <c r="AC773" s="2748"/>
      <c r="AD773" s="2748"/>
      <c r="AE773" s="2748"/>
      <c r="AF773" s="2748"/>
      <c r="AG773" s="2748"/>
      <c r="AH773" s="2748"/>
      <c r="AI773" s="2748"/>
      <c r="AK773" s="2748"/>
      <c r="AL773" s="2748"/>
      <c r="AN773" s="2748"/>
      <c r="AO773" s="2748"/>
      <c r="AP773" s="2748"/>
    </row>
    <row r="774" spans="2:42" ht="18" customHeight="1">
      <c r="B774" s="2728"/>
      <c r="C774" s="2728"/>
      <c r="D774" s="2728"/>
      <c r="E774" s="2728"/>
      <c r="G774" s="2512"/>
      <c r="I774" s="2748"/>
      <c r="J774" s="2728"/>
      <c r="L774" s="2728"/>
      <c r="M774" s="2748"/>
      <c r="N774" s="2728"/>
      <c r="O774" s="2728"/>
      <c r="P774" s="2728"/>
      <c r="Q774" s="2748"/>
      <c r="R774" s="2748"/>
      <c r="S774" s="2748"/>
      <c r="T774" s="2748"/>
      <c r="U774" s="2748"/>
      <c r="V774" s="2748"/>
      <c r="W774" s="2748"/>
      <c r="X774" s="2748"/>
      <c r="Y774" s="2748"/>
      <c r="Z774" s="2748"/>
      <c r="AA774" s="2748"/>
      <c r="AB774" s="2748"/>
      <c r="AC774" s="2748"/>
      <c r="AD774" s="2748"/>
      <c r="AE774" s="2748"/>
      <c r="AF774" s="2748"/>
      <c r="AG774" s="2748"/>
      <c r="AH774" s="2748"/>
      <c r="AI774" s="2748"/>
      <c r="AK774" s="2748"/>
      <c r="AL774" s="2748"/>
      <c r="AN774" s="2748"/>
      <c r="AO774" s="2748"/>
      <c r="AP774" s="2748"/>
    </row>
    <row r="775" spans="2:42" ht="18" customHeight="1">
      <c r="B775" s="2728"/>
      <c r="C775" s="2728"/>
      <c r="D775" s="2728"/>
      <c r="E775" s="2728"/>
      <c r="G775" s="2512"/>
      <c r="I775" s="2748"/>
      <c r="J775" s="2728"/>
      <c r="L775" s="2728"/>
      <c r="M775" s="2748"/>
      <c r="N775" s="2728"/>
      <c r="O775" s="2728"/>
      <c r="P775" s="2728"/>
      <c r="Q775" s="2748"/>
      <c r="R775" s="2748"/>
      <c r="S775" s="2748"/>
      <c r="T775" s="2748"/>
      <c r="U775" s="2748"/>
      <c r="V775" s="2748"/>
      <c r="W775" s="2748"/>
      <c r="X775" s="2748"/>
      <c r="Y775" s="2748"/>
      <c r="Z775" s="2748"/>
      <c r="AA775" s="2748"/>
      <c r="AB775" s="2748"/>
      <c r="AC775" s="2748"/>
      <c r="AD775" s="2748"/>
      <c r="AE775" s="2748"/>
      <c r="AF775" s="2748"/>
      <c r="AG775" s="2748"/>
      <c r="AH775" s="2748"/>
      <c r="AI775" s="2748"/>
      <c r="AK775" s="2748"/>
      <c r="AL775" s="2748"/>
      <c r="AN775" s="2748"/>
      <c r="AO775" s="2748"/>
      <c r="AP775" s="2748"/>
    </row>
    <row r="776" spans="2:42" ht="18" customHeight="1">
      <c r="B776" s="2728"/>
      <c r="C776" s="2728"/>
      <c r="D776" s="2728"/>
      <c r="E776" s="2728"/>
      <c r="G776" s="2512"/>
      <c r="I776" s="2748"/>
      <c r="J776" s="2728"/>
      <c r="L776" s="2728"/>
      <c r="M776" s="2748"/>
      <c r="N776" s="2728"/>
      <c r="O776" s="2728"/>
      <c r="P776" s="2728"/>
      <c r="Q776" s="2748"/>
      <c r="R776" s="2748"/>
      <c r="S776" s="2748"/>
      <c r="T776" s="2748"/>
      <c r="U776" s="2748"/>
      <c r="V776" s="2748"/>
      <c r="W776" s="2748"/>
      <c r="X776" s="2748"/>
      <c r="Y776" s="2748"/>
      <c r="Z776" s="2748"/>
      <c r="AA776" s="2748"/>
      <c r="AB776" s="2748"/>
      <c r="AC776" s="2748"/>
      <c r="AD776" s="2748"/>
      <c r="AE776" s="2748"/>
      <c r="AF776" s="2748"/>
      <c r="AG776" s="2748"/>
      <c r="AH776" s="2748"/>
      <c r="AI776" s="2748"/>
      <c r="AK776" s="2748"/>
      <c r="AL776" s="2748"/>
      <c r="AN776" s="2748"/>
      <c r="AO776" s="2748"/>
      <c r="AP776" s="2748"/>
    </row>
    <row r="777" spans="2:42" ht="18" customHeight="1">
      <c r="B777" s="2728"/>
      <c r="C777" s="2728"/>
      <c r="D777" s="2728"/>
      <c r="E777" s="2728"/>
      <c r="G777" s="2512"/>
      <c r="I777" s="2748"/>
      <c r="J777" s="2728"/>
      <c r="L777" s="2728"/>
      <c r="M777" s="2748"/>
      <c r="N777" s="2728"/>
      <c r="O777" s="2728"/>
      <c r="P777" s="2728"/>
      <c r="Q777" s="2748"/>
      <c r="R777" s="2748"/>
      <c r="S777" s="2748"/>
      <c r="T777" s="2748"/>
      <c r="U777" s="2748"/>
      <c r="V777" s="2748"/>
      <c r="W777" s="2748"/>
      <c r="X777" s="2748"/>
      <c r="Y777" s="2748"/>
      <c r="Z777" s="2748"/>
      <c r="AA777" s="2748"/>
      <c r="AB777" s="2748"/>
      <c r="AC777" s="2748"/>
      <c r="AD777" s="2748"/>
      <c r="AE777" s="2748"/>
      <c r="AF777" s="2748"/>
      <c r="AG777" s="2748"/>
      <c r="AH777" s="2748"/>
      <c r="AI777" s="2748"/>
      <c r="AK777" s="2748"/>
      <c r="AL777" s="2748"/>
      <c r="AN777" s="2748"/>
      <c r="AO777" s="2748"/>
      <c r="AP777" s="2748"/>
    </row>
    <row r="778" spans="2:42" ht="18" customHeight="1">
      <c r="B778" s="2728"/>
      <c r="C778" s="2728"/>
      <c r="D778" s="2728"/>
      <c r="E778" s="2728"/>
      <c r="G778" s="2512"/>
      <c r="I778" s="2748"/>
      <c r="J778" s="2728"/>
      <c r="L778" s="2728"/>
      <c r="M778" s="2748"/>
      <c r="N778" s="2728"/>
      <c r="O778" s="2728"/>
      <c r="P778" s="2728"/>
      <c r="Q778" s="2748"/>
      <c r="R778" s="2748"/>
      <c r="S778" s="2748"/>
      <c r="T778" s="2748"/>
      <c r="U778" s="2748"/>
      <c r="V778" s="2748"/>
      <c r="W778" s="2748"/>
      <c r="X778" s="2748"/>
      <c r="Y778" s="2748"/>
      <c r="Z778" s="2748"/>
      <c r="AA778" s="2748"/>
      <c r="AB778" s="2748"/>
      <c r="AC778" s="2748"/>
      <c r="AD778" s="2748"/>
      <c r="AE778" s="2748"/>
      <c r="AF778" s="2748"/>
      <c r="AG778" s="2748"/>
      <c r="AH778" s="2748"/>
      <c r="AI778" s="2748"/>
      <c r="AK778" s="2748"/>
      <c r="AL778" s="2748"/>
      <c r="AN778" s="2748"/>
      <c r="AO778" s="2748"/>
      <c r="AP778" s="2748"/>
    </row>
    <row r="779" spans="2:42" ht="18" customHeight="1">
      <c r="B779" s="2728"/>
      <c r="C779" s="2728"/>
      <c r="D779" s="2728"/>
      <c r="E779" s="2728"/>
      <c r="G779" s="2512"/>
      <c r="I779" s="2748"/>
      <c r="J779" s="2728"/>
      <c r="L779" s="2728"/>
      <c r="M779" s="2748"/>
      <c r="N779" s="2728"/>
      <c r="O779" s="2728"/>
      <c r="P779" s="2728"/>
      <c r="Q779" s="2748"/>
      <c r="R779" s="2748"/>
      <c r="S779" s="2748"/>
      <c r="T779" s="2748"/>
      <c r="U779" s="2748"/>
      <c r="V779" s="2748"/>
      <c r="W779" s="2748"/>
      <c r="X779" s="2748"/>
      <c r="Y779" s="2748"/>
      <c r="Z779" s="2748"/>
      <c r="AA779" s="2748"/>
      <c r="AB779" s="2748"/>
      <c r="AC779" s="2748"/>
      <c r="AD779" s="2748"/>
      <c r="AE779" s="2748"/>
      <c r="AF779" s="2748"/>
      <c r="AG779" s="2748"/>
      <c r="AH779" s="2748"/>
      <c r="AI779" s="2748"/>
      <c r="AK779" s="2748"/>
      <c r="AL779" s="2748"/>
      <c r="AN779" s="2748"/>
      <c r="AO779" s="2748"/>
      <c r="AP779" s="2748"/>
    </row>
    <row r="780" spans="2:42" ht="18" customHeight="1">
      <c r="B780" s="2728"/>
      <c r="C780" s="2728"/>
      <c r="D780" s="2728"/>
      <c r="E780" s="2728"/>
      <c r="G780" s="2512"/>
      <c r="I780" s="2748"/>
      <c r="J780" s="2728"/>
      <c r="L780" s="2728"/>
      <c r="M780" s="2748"/>
      <c r="N780" s="2728"/>
      <c r="O780" s="2728"/>
      <c r="P780" s="2728"/>
      <c r="Q780" s="2748"/>
      <c r="R780" s="2748"/>
      <c r="S780" s="2748"/>
      <c r="T780" s="2748"/>
      <c r="U780" s="2748"/>
      <c r="V780" s="2748"/>
      <c r="W780" s="2748"/>
      <c r="X780" s="2748"/>
      <c r="Y780" s="2748"/>
      <c r="Z780" s="2748"/>
      <c r="AA780" s="2748"/>
      <c r="AB780" s="2748"/>
      <c r="AC780" s="2748"/>
      <c r="AD780" s="2748"/>
      <c r="AE780" s="2748"/>
      <c r="AF780" s="2748"/>
      <c r="AG780" s="2748"/>
      <c r="AH780" s="2748"/>
      <c r="AI780" s="2748"/>
      <c r="AK780" s="2748"/>
      <c r="AL780" s="2748"/>
      <c r="AN780" s="2748"/>
      <c r="AO780" s="2748"/>
      <c r="AP780" s="2748"/>
    </row>
    <row r="781" spans="2:42" ht="18" customHeight="1">
      <c r="B781" s="2728"/>
      <c r="C781" s="2728"/>
      <c r="D781" s="2728"/>
      <c r="E781" s="2728"/>
      <c r="G781" s="2512"/>
      <c r="I781" s="2748"/>
      <c r="J781" s="2728"/>
      <c r="L781" s="2728"/>
      <c r="M781" s="2748"/>
      <c r="N781" s="2728"/>
      <c r="O781" s="2728"/>
      <c r="P781" s="2728"/>
      <c r="Q781" s="2748"/>
      <c r="R781" s="2748"/>
      <c r="S781" s="2748"/>
      <c r="T781" s="2748"/>
      <c r="U781" s="2748"/>
      <c r="V781" s="2748"/>
      <c r="W781" s="2748"/>
      <c r="X781" s="2748"/>
      <c r="Y781" s="2748"/>
      <c r="Z781" s="2748"/>
      <c r="AA781" s="2748"/>
      <c r="AB781" s="2748"/>
      <c r="AC781" s="2748"/>
      <c r="AD781" s="2748"/>
      <c r="AE781" s="2748"/>
      <c r="AF781" s="2748"/>
      <c r="AG781" s="2748"/>
      <c r="AH781" s="2748"/>
      <c r="AI781" s="2748"/>
      <c r="AK781" s="2748"/>
      <c r="AL781" s="2748"/>
      <c r="AN781" s="2748"/>
      <c r="AO781" s="2748"/>
      <c r="AP781" s="2748"/>
    </row>
    <row r="782" spans="2:42" ht="18" customHeight="1">
      <c r="B782" s="2728"/>
      <c r="C782" s="2728"/>
      <c r="D782" s="2728"/>
      <c r="E782" s="2728"/>
      <c r="G782" s="2512"/>
      <c r="I782" s="2748"/>
      <c r="J782" s="2728"/>
      <c r="L782" s="2728"/>
      <c r="M782" s="2748"/>
      <c r="N782" s="2728"/>
      <c r="O782" s="2728"/>
      <c r="P782" s="2728"/>
      <c r="Q782" s="2748"/>
      <c r="R782" s="2748"/>
      <c r="S782" s="2748"/>
      <c r="T782" s="2748"/>
      <c r="U782" s="2748"/>
      <c r="V782" s="2748"/>
      <c r="W782" s="2748"/>
      <c r="X782" s="2748"/>
      <c r="Y782" s="2748"/>
      <c r="Z782" s="2748"/>
      <c r="AA782" s="2748"/>
      <c r="AB782" s="2748"/>
      <c r="AC782" s="2748"/>
      <c r="AD782" s="2748"/>
      <c r="AE782" s="2748"/>
      <c r="AF782" s="2748"/>
      <c r="AG782" s="2748"/>
      <c r="AH782" s="2748"/>
      <c r="AI782" s="2748"/>
      <c r="AK782" s="2748"/>
      <c r="AL782" s="2748"/>
      <c r="AN782" s="2748"/>
      <c r="AO782" s="2748"/>
      <c r="AP782" s="2748"/>
    </row>
    <row r="783" spans="2:42" ht="18" customHeight="1">
      <c r="B783" s="2728"/>
      <c r="C783" s="2728"/>
      <c r="D783" s="2728"/>
      <c r="E783" s="2728"/>
      <c r="G783" s="2512"/>
      <c r="I783" s="2748"/>
      <c r="J783" s="2728"/>
      <c r="L783" s="2728"/>
      <c r="M783" s="2748"/>
      <c r="N783" s="2728"/>
      <c r="O783" s="2728"/>
      <c r="P783" s="2728"/>
      <c r="Q783" s="2748"/>
      <c r="R783" s="2748"/>
      <c r="S783" s="2748"/>
      <c r="T783" s="2748"/>
      <c r="U783" s="2748"/>
      <c r="V783" s="2748"/>
      <c r="W783" s="2748"/>
      <c r="X783" s="2748"/>
      <c r="Y783" s="2748"/>
      <c r="Z783" s="2748"/>
      <c r="AA783" s="2748"/>
      <c r="AB783" s="2748"/>
      <c r="AC783" s="2748"/>
      <c r="AD783" s="2748"/>
      <c r="AE783" s="2748"/>
      <c r="AF783" s="2748"/>
      <c r="AG783" s="2748"/>
      <c r="AH783" s="2748"/>
      <c r="AI783" s="2748"/>
      <c r="AK783" s="2748"/>
      <c r="AL783" s="2748"/>
      <c r="AN783" s="2748"/>
      <c r="AO783" s="2748"/>
      <c r="AP783" s="2748"/>
    </row>
    <row r="784" spans="2:42" ht="18" customHeight="1">
      <c r="B784" s="2728"/>
      <c r="C784" s="2728"/>
      <c r="D784" s="2728"/>
      <c r="E784" s="2728"/>
      <c r="G784" s="2512"/>
      <c r="I784" s="2748"/>
      <c r="J784" s="2728"/>
      <c r="L784" s="2728"/>
      <c r="M784" s="2748"/>
      <c r="N784" s="2728"/>
      <c r="O784" s="2728"/>
      <c r="P784" s="2728"/>
      <c r="Q784" s="2748"/>
      <c r="R784" s="2748"/>
      <c r="S784" s="2748"/>
      <c r="T784" s="2748"/>
      <c r="U784" s="2748"/>
      <c r="V784" s="2748"/>
      <c r="W784" s="2748"/>
      <c r="X784" s="2748"/>
      <c r="Y784" s="2748"/>
      <c r="Z784" s="2748"/>
      <c r="AA784" s="2748"/>
      <c r="AB784" s="2748"/>
      <c r="AC784" s="2748"/>
      <c r="AD784" s="2748"/>
      <c r="AE784" s="2748"/>
      <c r="AF784" s="2748"/>
      <c r="AG784" s="2748"/>
      <c r="AH784" s="2748"/>
      <c r="AI784" s="2748"/>
      <c r="AK784" s="2748"/>
      <c r="AL784" s="2748"/>
      <c r="AN784" s="2748"/>
      <c r="AO784" s="2748"/>
      <c r="AP784" s="2748"/>
    </row>
    <row r="785" spans="2:42" ht="18" customHeight="1">
      <c r="B785" s="2728"/>
      <c r="C785" s="2728"/>
      <c r="D785" s="2728"/>
      <c r="E785" s="2728"/>
      <c r="G785" s="2512"/>
      <c r="I785" s="2748"/>
      <c r="J785" s="2728"/>
      <c r="L785" s="2728"/>
      <c r="M785" s="2748"/>
      <c r="N785" s="2728"/>
      <c r="O785" s="2728"/>
      <c r="P785" s="2728"/>
      <c r="Q785" s="2748"/>
      <c r="R785" s="2748"/>
      <c r="S785" s="2748"/>
      <c r="T785" s="2748"/>
      <c r="U785" s="2748"/>
      <c r="V785" s="2748"/>
      <c r="W785" s="2748"/>
      <c r="X785" s="2748"/>
      <c r="Y785" s="2748"/>
      <c r="Z785" s="2748"/>
      <c r="AA785" s="2748"/>
      <c r="AB785" s="2748"/>
      <c r="AC785" s="2748"/>
      <c r="AD785" s="2748"/>
      <c r="AE785" s="2748"/>
      <c r="AF785" s="2748"/>
      <c r="AG785" s="2748"/>
      <c r="AH785" s="2748"/>
      <c r="AI785" s="2748"/>
      <c r="AK785" s="2748"/>
      <c r="AL785" s="2748"/>
      <c r="AN785" s="2748"/>
      <c r="AO785" s="2748"/>
      <c r="AP785" s="2748"/>
    </row>
    <row r="786" spans="2:42" ht="18" customHeight="1">
      <c r="B786" s="2728"/>
      <c r="C786" s="2728"/>
      <c r="D786" s="2728"/>
      <c r="E786" s="2728"/>
      <c r="G786" s="2512"/>
      <c r="I786" s="2748"/>
      <c r="J786" s="2728"/>
      <c r="L786" s="2728"/>
      <c r="M786" s="2748"/>
      <c r="N786" s="2728"/>
      <c r="O786" s="2728"/>
      <c r="P786" s="2728"/>
      <c r="Q786" s="2748"/>
      <c r="R786" s="2748"/>
      <c r="S786" s="2748"/>
      <c r="T786" s="2748"/>
      <c r="U786" s="2748"/>
      <c r="V786" s="2748"/>
      <c r="W786" s="2748"/>
      <c r="X786" s="2748"/>
      <c r="Y786" s="2748"/>
      <c r="Z786" s="2748"/>
      <c r="AA786" s="2748"/>
      <c r="AB786" s="2748"/>
      <c r="AC786" s="2748"/>
      <c r="AD786" s="2748"/>
      <c r="AE786" s="2748"/>
      <c r="AF786" s="2748"/>
      <c r="AG786" s="2748"/>
      <c r="AH786" s="2748"/>
      <c r="AI786" s="2748"/>
      <c r="AK786" s="2748"/>
      <c r="AL786" s="2748"/>
      <c r="AN786" s="2748"/>
      <c r="AO786" s="2748"/>
      <c r="AP786" s="2748"/>
    </row>
    <row r="787" spans="2:42" ht="18" customHeight="1">
      <c r="B787" s="2728"/>
      <c r="C787" s="2728"/>
      <c r="D787" s="2728"/>
      <c r="E787" s="2728"/>
      <c r="G787" s="2512"/>
      <c r="I787" s="2748"/>
      <c r="J787" s="2728"/>
      <c r="L787" s="2728"/>
      <c r="M787" s="2748"/>
      <c r="N787" s="2728"/>
      <c r="O787" s="2728"/>
      <c r="P787" s="2728"/>
      <c r="Q787" s="2748"/>
      <c r="R787" s="2748"/>
      <c r="S787" s="2748"/>
      <c r="T787" s="2748"/>
      <c r="U787" s="2748"/>
      <c r="V787" s="2748"/>
      <c r="W787" s="2748"/>
      <c r="X787" s="2748"/>
      <c r="Y787" s="2748"/>
      <c r="Z787" s="2748"/>
      <c r="AA787" s="2748"/>
      <c r="AB787" s="2748"/>
      <c r="AC787" s="2748"/>
      <c r="AD787" s="2748"/>
      <c r="AE787" s="2748"/>
      <c r="AF787" s="2748"/>
      <c r="AG787" s="2748"/>
      <c r="AH787" s="2748"/>
      <c r="AI787" s="2748"/>
      <c r="AK787" s="2748"/>
      <c r="AL787" s="2748"/>
      <c r="AN787" s="2748"/>
      <c r="AO787" s="2748"/>
      <c r="AP787" s="2748"/>
    </row>
    <row r="788" spans="2:42" ht="18" customHeight="1">
      <c r="B788" s="2728"/>
      <c r="C788" s="2728"/>
      <c r="D788" s="2728"/>
      <c r="E788" s="2728"/>
      <c r="G788" s="2512"/>
      <c r="I788" s="2748"/>
      <c r="J788" s="2728"/>
      <c r="L788" s="2728"/>
      <c r="M788" s="2748"/>
      <c r="N788" s="2728"/>
      <c r="O788" s="2728"/>
      <c r="P788" s="2728"/>
      <c r="Q788" s="2748"/>
      <c r="R788" s="2748"/>
      <c r="S788" s="2748"/>
      <c r="T788" s="2748"/>
      <c r="U788" s="2748"/>
      <c r="V788" s="2748"/>
      <c r="W788" s="2748"/>
      <c r="X788" s="2748"/>
      <c r="Y788" s="2748"/>
      <c r="Z788" s="2748"/>
      <c r="AA788" s="2748"/>
      <c r="AB788" s="2748"/>
      <c r="AC788" s="2748"/>
      <c r="AD788" s="2748"/>
      <c r="AE788" s="2748"/>
      <c r="AF788" s="2748"/>
      <c r="AG788" s="2748"/>
      <c r="AH788" s="2748"/>
      <c r="AI788" s="2748"/>
      <c r="AK788" s="2748"/>
      <c r="AL788" s="2748"/>
      <c r="AN788" s="2748"/>
      <c r="AO788" s="2748"/>
      <c r="AP788" s="2748"/>
    </row>
    <row r="789" spans="2:42" ht="18" customHeight="1">
      <c r="B789" s="2728"/>
      <c r="C789" s="2728"/>
      <c r="D789" s="2728"/>
      <c r="E789" s="2728"/>
      <c r="G789" s="2512"/>
      <c r="I789" s="2748"/>
      <c r="J789" s="2728"/>
      <c r="L789" s="2728"/>
      <c r="M789" s="2748"/>
      <c r="N789" s="2728"/>
      <c r="O789" s="2728"/>
      <c r="P789" s="2728"/>
      <c r="Q789" s="2748"/>
      <c r="R789" s="2748"/>
      <c r="S789" s="2748"/>
      <c r="T789" s="2748"/>
      <c r="U789" s="2748"/>
      <c r="V789" s="2748"/>
      <c r="W789" s="2748"/>
      <c r="X789" s="2748"/>
      <c r="Y789" s="2748"/>
      <c r="Z789" s="2748"/>
      <c r="AA789" s="2748"/>
      <c r="AB789" s="2748"/>
      <c r="AC789" s="2748"/>
      <c r="AD789" s="2748"/>
      <c r="AE789" s="2748"/>
      <c r="AF789" s="2748"/>
      <c r="AG789" s="2748"/>
      <c r="AH789" s="2748"/>
      <c r="AI789" s="2748"/>
      <c r="AK789" s="2748"/>
      <c r="AL789" s="2748"/>
      <c r="AN789" s="2748"/>
      <c r="AO789" s="2748"/>
      <c r="AP789" s="2748"/>
    </row>
    <row r="790" spans="2:42" ht="18" customHeight="1">
      <c r="B790" s="2728"/>
      <c r="C790" s="2728"/>
      <c r="D790" s="2728"/>
      <c r="E790" s="2728"/>
      <c r="G790" s="2512"/>
      <c r="I790" s="2748"/>
      <c r="J790" s="2728"/>
      <c r="L790" s="2728"/>
      <c r="M790" s="2748"/>
      <c r="N790" s="2728"/>
      <c r="O790" s="2728"/>
      <c r="P790" s="2728"/>
      <c r="Q790" s="2748"/>
      <c r="R790" s="2748"/>
      <c r="S790" s="2748"/>
      <c r="T790" s="2748"/>
      <c r="U790" s="2748"/>
      <c r="V790" s="2748"/>
      <c r="W790" s="2748"/>
      <c r="X790" s="2748"/>
      <c r="Y790" s="2748"/>
      <c r="Z790" s="2748"/>
      <c r="AA790" s="2748"/>
      <c r="AB790" s="2748"/>
      <c r="AC790" s="2748"/>
      <c r="AD790" s="2748"/>
      <c r="AE790" s="2748"/>
      <c r="AF790" s="2748"/>
      <c r="AG790" s="2748"/>
      <c r="AH790" s="2748"/>
      <c r="AI790" s="2748"/>
      <c r="AK790" s="2748"/>
      <c r="AL790" s="2748"/>
      <c r="AN790" s="2748"/>
      <c r="AO790" s="2748"/>
      <c r="AP790" s="2748"/>
    </row>
    <row r="791" spans="2:42" ht="18" customHeight="1">
      <c r="B791" s="2728"/>
      <c r="C791" s="2728"/>
      <c r="D791" s="2728"/>
      <c r="E791" s="2728"/>
      <c r="G791" s="2512"/>
      <c r="I791" s="2748"/>
      <c r="J791" s="2728"/>
      <c r="L791" s="2728"/>
      <c r="M791" s="2748"/>
      <c r="N791" s="2728"/>
      <c r="O791" s="2728"/>
      <c r="P791" s="2728"/>
      <c r="Q791" s="2748"/>
      <c r="R791" s="2748"/>
      <c r="S791" s="2748"/>
      <c r="T791" s="2748"/>
      <c r="U791" s="2748"/>
      <c r="V791" s="2748"/>
      <c r="W791" s="2748"/>
      <c r="X791" s="2748"/>
      <c r="Y791" s="2748"/>
      <c r="Z791" s="2748"/>
      <c r="AA791" s="2748"/>
      <c r="AB791" s="2748"/>
      <c r="AC791" s="2748"/>
      <c r="AD791" s="2748"/>
      <c r="AE791" s="2748"/>
      <c r="AF791" s="2748"/>
      <c r="AG791" s="2748"/>
      <c r="AH791" s="2748"/>
      <c r="AI791" s="2748"/>
      <c r="AK791" s="2748"/>
      <c r="AL791" s="2748"/>
      <c r="AN791" s="2748"/>
      <c r="AO791" s="2748"/>
      <c r="AP791" s="2748"/>
    </row>
    <row r="792" spans="2:42" ht="18" customHeight="1">
      <c r="B792" s="2728"/>
      <c r="C792" s="2728"/>
      <c r="D792" s="2728"/>
      <c r="E792" s="2728"/>
      <c r="G792" s="2512"/>
      <c r="I792" s="2748"/>
      <c r="J792" s="2728"/>
      <c r="L792" s="2728"/>
      <c r="M792" s="2748"/>
      <c r="N792" s="2728"/>
      <c r="O792" s="2728"/>
      <c r="P792" s="2728"/>
      <c r="Q792" s="2748"/>
      <c r="R792" s="2748"/>
      <c r="S792" s="2748"/>
      <c r="T792" s="2748"/>
      <c r="U792" s="2748"/>
      <c r="V792" s="2748"/>
      <c r="W792" s="2748"/>
      <c r="X792" s="2748"/>
      <c r="Y792" s="2748"/>
      <c r="Z792" s="2748"/>
      <c r="AA792" s="2748"/>
      <c r="AB792" s="2748"/>
      <c r="AC792" s="2748"/>
      <c r="AD792" s="2748"/>
      <c r="AE792" s="2748"/>
      <c r="AF792" s="2748"/>
      <c r="AG792" s="2748"/>
      <c r="AH792" s="2748"/>
      <c r="AI792" s="2748"/>
      <c r="AK792" s="2748"/>
      <c r="AL792" s="2748"/>
      <c r="AN792" s="2748"/>
      <c r="AO792" s="2748"/>
      <c r="AP792" s="2748"/>
    </row>
    <row r="793" spans="2:42" ht="18" customHeight="1">
      <c r="B793" s="2728"/>
      <c r="C793" s="2728"/>
      <c r="D793" s="2728"/>
      <c r="E793" s="2728"/>
      <c r="G793" s="2512"/>
      <c r="I793" s="2748"/>
      <c r="J793" s="2728"/>
      <c r="L793" s="2728"/>
      <c r="M793" s="2748"/>
      <c r="N793" s="2728"/>
      <c r="O793" s="2728"/>
      <c r="P793" s="2728"/>
      <c r="Q793" s="2748"/>
      <c r="R793" s="2748"/>
      <c r="S793" s="2748"/>
      <c r="T793" s="2748"/>
      <c r="U793" s="2748"/>
      <c r="V793" s="2748"/>
      <c r="W793" s="2748"/>
      <c r="X793" s="2748"/>
      <c r="Y793" s="2748"/>
      <c r="Z793" s="2748"/>
      <c r="AA793" s="2748"/>
      <c r="AB793" s="2748"/>
      <c r="AC793" s="2748"/>
      <c r="AD793" s="2748"/>
      <c r="AE793" s="2748"/>
      <c r="AF793" s="2748"/>
      <c r="AG793" s="2748"/>
      <c r="AH793" s="2748"/>
      <c r="AI793" s="2748"/>
      <c r="AK793" s="2748"/>
      <c r="AL793" s="2748"/>
      <c r="AN793" s="2748"/>
      <c r="AO793" s="2748"/>
      <c r="AP793" s="2748"/>
    </row>
    <row r="794" spans="2:42" ht="18" customHeight="1">
      <c r="B794" s="2728"/>
      <c r="C794" s="2728"/>
      <c r="D794" s="2728"/>
      <c r="E794" s="2728"/>
      <c r="G794" s="2512"/>
      <c r="I794" s="2748"/>
      <c r="J794" s="2728"/>
      <c r="L794" s="2728"/>
      <c r="M794" s="2748"/>
      <c r="N794" s="2728"/>
      <c r="O794" s="2728"/>
      <c r="P794" s="2728"/>
      <c r="Q794" s="2748"/>
      <c r="R794" s="2748"/>
      <c r="S794" s="2748"/>
      <c r="T794" s="2748"/>
      <c r="U794" s="2748"/>
      <c r="V794" s="2748"/>
      <c r="W794" s="2748"/>
      <c r="X794" s="2748"/>
      <c r="Y794" s="2748"/>
      <c r="Z794" s="2748"/>
      <c r="AA794" s="2748"/>
      <c r="AB794" s="2748"/>
      <c r="AC794" s="2748"/>
      <c r="AD794" s="2748"/>
      <c r="AE794" s="2748"/>
      <c r="AF794" s="2748"/>
      <c r="AG794" s="2748"/>
      <c r="AH794" s="2748"/>
      <c r="AI794" s="2748"/>
      <c r="AK794" s="2748"/>
      <c r="AL794" s="2748"/>
      <c r="AN794" s="2748"/>
      <c r="AO794" s="2748"/>
      <c r="AP794" s="2748"/>
    </row>
    <row r="795" spans="2:42" ht="18" customHeight="1">
      <c r="B795" s="2728"/>
      <c r="C795" s="2728"/>
      <c r="D795" s="2728"/>
      <c r="E795" s="2728"/>
      <c r="G795" s="2512"/>
      <c r="I795" s="2748"/>
      <c r="J795" s="2728"/>
      <c r="L795" s="2728"/>
      <c r="M795" s="2748"/>
      <c r="N795" s="2728"/>
      <c r="O795" s="2728"/>
      <c r="P795" s="2728"/>
      <c r="Q795" s="2748"/>
      <c r="R795" s="2748"/>
      <c r="S795" s="2748"/>
      <c r="T795" s="2748"/>
      <c r="U795" s="2748"/>
      <c r="V795" s="2748"/>
      <c r="W795" s="2748"/>
      <c r="X795" s="2748"/>
      <c r="Y795" s="2748"/>
      <c r="Z795" s="2748"/>
      <c r="AA795" s="2748"/>
      <c r="AB795" s="2748"/>
      <c r="AC795" s="2748"/>
      <c r="AD795" s="2748"/>
      <c r="AE795" s="2748"/>
      <c r="AF795" s="2748"/>
      <c r="AG795" s="2748"/>
      <c r="AH795" s="2748"/>
      <c r="AI795" s="2748"/>
      <c r="AK795" s="2748"/>
      <c r="AL795" s="2748"/>
      <c r="AN795" s="2748"/>
      <c r="AO795" s="2748"/>
      <c r="AP795" s="2748"/>
    </row>
    <row r="796" spans="2:42" ht="18" customHeight="1">
      <c r="B796" s="2728"/>
      <c r="C796" s="2728"/>
      <c r="D796" s="2728"/>
      <c r="E796" s="2728"/>
      <c r="G796" s="2512"/>
      <c r="I796" s="2748"/>
      <c r="J796" s="2728"/>
      <c r="L796" s="2728"/>
      <c r="M796" s="2748"/>
      <c r="N796" s="2728"/>
      <c r="O796" s="2728"/>
      <c r="P796" s="2728"/>
      <c r="Q796" s="2748"/>
      <c r="R796" s="2748"/>
      <c r="S796" s="2748"/>
      <c r="T796" s="2748"/>
      <c r="U796" s="2748"/>
      <c r="V796" s="2748"/>
      <c r="W796" s="2748"/>
      <c r="X796" s="2748"/>
      <c r="Y796" s="2748"/>
      <c r="Z796" s="2748"/>
      <c r="AA796" s="2748"/>
      <c r="AB796" s="2748"/>
      <c r="AC796" s="2748"/>
      <c r="AD796" s="2748"/>
      <c r="AE796" s="2748"/>
      <c r="AF796" s="2748"/>
      <c r="AG796" s="2748"/>
      <c r="AH796" s="2748"/>
      <c r="AI796" s="2748"/>
      <c r="AK796" s="2748"/>
      <c r="AL796" s="2748"/>
      <c r="AN796" s="2748"/>
      <c r="AO796" s="2748"/>
      <c r="AP796" s="2748"/>
    </row>
    <row r="797" spans="2:42" ht="18" customHeight="1">
      <c r="B797" s="2728"/>
      <c r="C797" s="2728"/>
      <c r="D797" s="2728"/>
      <c r="E797" s="2728"/>
      <c r="G797" s="2512"/>
      <c r="I797" s="2748"/>
      <c r="J797" s="2728"/>
      <c r="L797" s="2728"/>
      <c r="M797" s="2748"/>
      <c r="N797" s="2728"/>
      <c r="O797" s="2728"/>
      <c r="P797" s="2728"/>
      <c r="Q797" s="2748"/>
      <c r="R797" s="2748"/>
      <c r="S797" s="2748"/>
      <c r="T797" s="2748"/>
      <c r="U797" s="2748"/>
      <c r="V797" s="2748"/>
      <c r="W797" s="2748"/>
      <c r="X797" s="2748"/>
      <c r="Y797" s="2748"/>
      <c r="Z797" s="2748"/>
      <c r="AA797" s="2748"/>
      <c r="AB797" s="2748"/>
      <c r="AC797" s="2748"/>
      <c r="AD797" s="2748"/>
      <c r="AE797" s="2748"/>
      <c r="AF797" s="2748"/>
      <c r="AG797" s="2748"/>
      <c r="AH797" s="2748"/>
      <c r="AI797" s="2748"/>
      <c r="AK797" s="2748"/>
      <c r="AL797" s="2748"/>
      <c r="AN797" s="2748"/>
      <c r="AO797" s="2748"/>
      <c r="AP797" s="2748"/>
    </row>
    <row r="798" spans="2:42" ht="18" customHeight="1">
      <c r="B798" s="2728"/>
      <c r="C798" s="2728"/>
      <c r="D798" s="2728"/>
      <c r="E798" s="2728"/>
      <c r="G798" s="2512"/>
      <c r="I798" s="2748"/>
      <c r="J798" s="2728"/>
      <c r="L798" s="2728"/>
      <c r="M798" s="2748"/>
      <c r="N798" s="2728"/>
      <c r="O798" s="2728"/>
      <c r="P798" s="2728"/>
      <c r="Q798" s="2748"/>
      <c r="R798" s="2748"/>
      <c r="S798" s="2748"/>
      <c r="T798" s="2748"/>
      <c r="U798" s="2748"/>
      <c r="V798" s="2748"/>
      <c r="W798" s="2748"/>
      <c r="X798" s="2748"/>
      <c r="Y798" s="2748"/>
      <c r="Z798" s="2748"/>
      <c r="AA798" s="2748"/>
      <c r="AB798" s="2748"/>
      <c r="AC798" s="2748"/>
      <c r="AD798" s="2748"/>
      <c r="AE798" s="2748"/>
      <c r="AF798" s="2748"/>
      <c r="AG798" s="2748"/>
      <c r="AH798" s="2748"/>
      <c r="AI798" s="2748"/>
      <c r="AK798" s="2748"/>
      <c r="AL798" s="2748"/>
      <c r="AN798" s="2748"/>
      <c r="AO798" s="2748"/>
      <c r="AP798" s="2748"/>
    </row>
    <row r="799" spans="2:42" ht="18" customHeight="1">
      <c r="B799" s="2728"/>
      <c r="C799" s="2728"/>
      <c r="D799" s="2728"/>
      <c r="E799" s="2728"/>
      <c r="G799" s="2512"/>
      <c r="I799" s="2748"/>
      <c r="J799" s="2728"/>
      <c r="L799" s="2728"/>
      <c r="M799" s="2748"/>
      <c r="N799" s="2728"/>
      <c r="O799" s="2728"/>
      <c r="P799" s="2728"/>
      <c r="Q799" s="2748"/>
      <c r="R799" s="2748"/>
      <c r="S799" s="2748"/>
      <c r="T799" s="2748"/>
      <c r="U799" s="2748"/>
      <c r="V799" s="2748"/>
      <c r="W799" s="2748"/>
      <c r="X799" s="2748"/>
      <c r="Y799" s="2748"/>
      <c r="Z799" s="2748"/>
      <c r="AA799" s="2748"/>
      <c r="AB799" s="2748"/>
      <c r="AC799" s="2748"/>
      <c r="AD799" s="2748"/>
      <c r="AE799" s="2748"/>
      <c r="AF799" s="2748"/>
      <c r="AG799" s="2748"/>
      <c r="AH799" s="2748"/>
      <c r="AI799" s="2748"/>
      <c r="AK799" s="2748"/>
      <c r="AL799" s="2748"/>
      <c r="AN799" s="2748"/>
      <c r="AO799" s="2748"/>
      <c r="AP799" s="2748"/>
    </row>
    <row r="800" spans="2:42" ht="18" customHeight="1">
      <c r="B800" s="2728"/>
      <c r="C800" s="2728"/>
      <c r="D800" s="2728"/>
      <c r="E800" s="2728"/>
      <c r="G800" s="2512"/>
      <c r="I800" s="2748"/>
      <c r="J800" s="2728"/>
      <c r="L800" s="2728"/>
      <c r="M800" s="2748"/>
      <c r="N800" s="2728"/>
      <c r="O800" s="2728"/>
      <c r="P800" s="2728"/>
      <c r="Q800" s="2748"/>
      <c r="R800" s="2748"/>
      <c r="S800" s="2748"/>
      <c r="T800" s="2748"/>
      <c r="U800" s="2748"/>
      <c r="V800" s="2748"/>
      <c r="W800" s="2748"/>
      <c r="X800" s="2748"/>
      <c r="Y800" s="2748"/>
      <c r="Z800" s="2748"/>
      <c r="AA800" s="2748"/>
      <c r="AB800" s="2748"/>
      <c r="AC800" s="2748"/>
      <c r="AD800" s="2748"/>
      <c r="AE800" s="2748"/>
      <c r="AF800" s="2748"/>
      <c r="AG800" s="2748"/>
      <c r="AH800" s="2748"/>
      <c r="AI800" s="2748"/>
      <c r="AK800" s="2748"/>
      <c r="AL800" s="2748"/>
      <c r="AN800" s="2748"/>
      <c r="AO800" s="2748"/>
      <c r="AP800" s="2748"/>
    </row>
    <row r="801" spans="2:42" ht="18" customHeight="1">
      <c r="B801" s="2728"/>
      <c r="C801" s="2728"/>
      <c r="D801" s="2728"/>
      <c r="E801" s="2728"/>
      <c r="G801" s="2512"/>
      <c r="I801" s="2748"/>
      <c r="J801" s="2728"/>
      <c r="L801" s="2728"/>
      <c r="M801" s="2748"/>
      <c r="N801" s="2728"/>
      <c r="O801" s="2728"/>
      <c r="P801" s="2728"/>
      <c r="Q801" s="2748"/>
      <c r="R801" s="2748"/>
      <c r="S801" s="2748"/>
      <c r="T801" s="2748"/>
      <c r="U801" s="2748"/>
      <c r="V801" s="2748"/>
      <c r="W801" s="2748"/>
      <c r="X801" s="2748"/>
      <c r="Y801" s="2748"/>
      <c r="Z801" s="2748"/>
      <c r="AA801" s="2748"/>
      <c r="AB801" s="2748"/>
      <c r="AC801" s="2748"/>
      <c r="AD801" s="2748"/>
      <c r="AE801" s="2748"/>
      <c r="AF801" s="2748"/>
      <c r="AG801" s="2748"/>
      <c r="AH801" s="2748"/>
      <c r="AI801" s="2748"/>
      <c r="AK801" s="2748"/>
      <c r="AL801" s="2748"/>
      <c r="AN801" s="2748"/>
      <c r="AO801" s="2748"/>
      <c r="AP801" s="2748"/>
    </row>
    <row r="802" spans="2:42" ht="18" customHeight="1">
      <c r="B802" s="2728"/>
      <c r="C802" s="2728"/>
      <c r="D802" s="2728"/>
      <c r="E802" s="2728"/>
      <c r="G802" s="2512"/>
      <c r="I802" s="2748"/>
      <c r="J802" s="2728"/>
      <c r="L802" s="2728"/>
      <c r="M802" s="2748"/>
      <c r="N802" s="2728"/>
      <c r="O802" s="2728"/>
      <c r="P802" s="2728"/>
      <c r="Q802" s="2748"/>
      <c r="R802" s="2748"/>
      <c r="S802" s="2748"/>
      <c r="T802" s="2748"/>
      <c r="U802" s="2748"/>
      <c r="V802" s="2748"/>
      <c r="W802" s="2748"/>
      <c r="X802" s="2748"/>
      <c r="Y802" s="2748"/>
      <c r="Z802" s="2748"/>
      <c r="AA802" s="2748"/>
      <c r="AB802" s="2748"/>
      <c r="AC802" s="2748"/>
      <c r="AD802" s="2748"/>
      <c r="AE802" s="2748"/>
      <c r="AF802" s="2748"/>
      <c r="AG802" s="2748"/>
      <c r="AH802" s="2748"/>
      <c r="AI802" s="2748"/>
      <c r="AK802" s="2748"/>
      <c r="AL802" s="2748"/>
      <c r="AN802" s="2748"/>
      <c r="AO802" s="2748"/>
      <c r="AP802" s="2748"/>
    </row>
    <row r="803" spans="2:42" ht="18" customHeight="1">
      <c r="B803" s="2728"/>
      <c r="C803" s="2728"/>
      <c r="D803" s="2728"/>
      <c r="E803" s="2728"/>
      <c r="G803" s="2512"/>
      <c r="I803" s="2748"/>
      <c r="J803" s="2728"/>
      <c r="L803" s="2728"/>
      <c r="M803" s="2748"/>
      <c r="N803" s="2728"/>
      <c r="O803" s="2728"/>
      <c r="P803" s="2728"/>
      <c r="Q803" s="2748"/>
      <c r="R803" s="2748"/>
      <c r="S803" s="2748"/>
      <c r="T803" s="2748"/>
      <c r="U803" s="2748"/>
      <c r="V803" s="2748"/>
      <c r="W803" s="2748"/>
      <c r="X803" s="2748"/>
      <c r="Y803" s="2748"/>
      <c r="Z803" s="2748"/>
      <c r="AA803" s="2748"/>
      <c r="AB803" s="2748"/>
      <c r="AC803" s="2748"/>
      <c r="AD803" s="2748"/>
      <c r="AE803" s="2748"/>
      <c r="AF803" s="2748"/>
      <c r="AG803" s="2748"/>
      <c r="AH803" s="2748"/>
      <c r="AI803" s="2748"/>
      <c r="AK803" s="2748"/>
      <c r="AL803" s="2748"/>
      <c r="AN803" s="2748"/>
      <c r="AO803" s="2748"/>
      <c r="AP803" s="2748"/>
    </row>
    <row r="804" spans="2:42" ht="18" customHeight="1">
      <c r="B804" s="2728"/>
      <c r="C804" s="2728"/>
      <c r="D804" s="2728"/>
      <c r="E804" s="2728"/>
      <c r="G804" s="2512"/>
      <c r="I804" s="2748"/>
      <c r="J804" s="2728"/>
      <c r="L804" s="2728"/>
      <c r="M804" s="2748"/>
      <c r="N804" s="2728"/>
      <c r="O804" s="2728"/>
      <c r="P804" s="2728"/>
      <c r="Q804" s="2748"/>
      <c r="R804" s="2748"/>
      <c r="S804" s="2748"/>
      <c r="T804" s="2748"/>
      <c r="U804" s="2748"/>
      <c r="V804" s="2748"/>
      <c r="W804" s="2748"/>
      <c r="X804" s="2748"/>
      <c r="Y804" s="2748"/>
      <c r="Z804" s="2748"/>
      <c r="AA804" s="2748"/>
      <c r="AB804" s="2748"/>
      <c r="AC804" s="2748"/>
      <c r="AD804" s="2748"/>
      <c r="AE804" s="2748"/>
      <c r="AF804" s="2748"/>
      <c r="AG804" s="2748"/>
      <c r="AH804" s="2748"/>
      <c r="AI804" s="2748"/>
      <c r="AK804" s="2748"/>
      <c r="AL804" s="2748"/>
      <c r="AN804" s="2748"/>
      <c r="AO804" s="2748"/>
      <c r="AP804" s="2748"/>
    </row>
    <row r="805" spans="2:42" ht="18" customHeight="1">
      <c r="B805" s="2728"/>
      <c r="C805" s="2728"/>
      <c r="D805" s="2728"/>
      <c r="E805" s="2728"/>
      <c r="G805" s="2512"/>
      <c r="I805" s="2748"/>
      <c r="J805" s="2728"/>
      <c r="L805" s="2728"/>
      <c r="M805" s="2748"/>
      <c r="N805" s="2728"/>
      <c r="O805" s="2728"/>
      <c r="P805" s="2728"/>
      <c r="Q805" s="2748"/>
      <c r="R805" s="2748"/>
      <c r="S805" s="2748"/>
      <c r="T805" s="2748"/>
      <c r="U805" s="2748"/>
      <c r="V805" s="2748"/>
      <c r="W805" s="2748"/>
      <c r="X805" s="2748"/>
      <c r="Y805" s="2748"/>
      <c r="Z805" s="2748"/>
      <c r="AA805" s="2748"/>
      <c r="AB805" s="2748"/>
      <c r="AC805" s="2748"/>
      <c r="AD805" s="2748"/>
      <c r="AE805" s="2748"/>
      <c r="AF805" s="2748"/>
      <c r="AG805" s="2748"/>
      <c r="AH805" s="2748"/>
      <c r="AI805" s="2748"/>
      <c r="AK805" s="2748"/>
      <c r="AL805" s="2748"/>
      <c r="AN805" s="2748"/>
      <c r="AO805" s="2748"/>
      <c r="AP805" s="2748"/>
    </row>
    <row r="806" spans="2:42" ht="18" customHeight="1">
      <c r="B806" s="2728"/>
      <c r="C806" s="2728"/>
      <c r="D806" s="2728"/>
      <c r="E806" s="2728"/>
      <c r="G806" s="2512"/>
      <c r="I806" s="2748"/>
      <c r="J806" s="2728"/>
      <c r="L806" s="2728"/>
      <c r="M806" s="2748"/>
      <c r="N806" s="2728"/>
      <c r="O806" s="2728"/>
      <c r="P806" s="2728"/>
      <c r="Q806" s="2748"/>
      <c r="R806" s="2748"/>
      <c r="S806" s="2748"/>
      <c r="T806" s="2748"/>
      <c r="U806" s="2748"/>
      <c r="V806" s="2748"/>
      <c r="W806" s="2748"/>
      <c r="X806" s="2748"/>
      <c r="Y806" s="2748"/>
      <c r="Z806" s="2748"/>
      <c r="AA806" s="2748"/>
      <c r="AB806" s="2748"/>
      <c r="AC806" s="2748"/>
      <c r="AD806" s="2748"/>
      <c r="AE806" s="2748"/>
      <c r="AF806" s="2748"/>
      <c r="AG806" s="2748"/>
      <c r="AH806" s="2748"/>
      <c r="AI806" s="2748"/>
      <c r="AK806" s="2748"/>
      <c r="AL806" s="2748"/>
      <c r="AN806" s="2748"/>
      <c r="AO806" s="2748"/>
      <c r="AP806" s="2748"/>
    </row>
    <row r="807" spans="2:42" ht="18" customHeight="1">
      <c r="B807" s="2728"/>
      <c r="C807" s="2728"/>
      <c r="D807" s="2728"/>
      <c r="E807" s="2728"/>
      <c r="G807" s="2512"/>
      <c r="I807" s="2748"/>
      <c r="J807" s="2728"/>
      <c r="L807" s="2728"/>
      <c r="M807" s="2748"/>
      <c r="N807" s="2728"/>
      <c r="O807" s="2728"/>
      <c r="P807" s="2728"/>
      <c r="Q807" s="2748"/>
      <c r="R807" s="2748"/>
      <c r="S807" s="2748"/>
      <c r="T807" s="2748"/>
      <c r="U807" s="2748"/>
      <c r="V807" s="2748"/>
      <c r="W807" s="2748"/>
      <c r="X807" s="2748"/>
      <c r="Y807" s="2748"/>
      <c r="Z807" s="2748"/>
      <c r="AA807" s="2748"/>
      <c r="AB807" s="2748"/>
      <c r="AC807" s="2748"/>
      <c r="AD807" s="2748"/>
      <c r="AE807" s="2748"/>
      <c r="AF807" s="2748"/>
      <c r="AG807" s="2748"/>
      <c r="AH807" s="2748"/>
      <c r="AI807" s="2748"/>
      <c r="AK807" s="2748"/>
      <c r="AL807" s="2748"/>
      <c r="AN807" s="2748"/>
      <c r="AO807" s="2748"/>
      <c r="AP807" s="2748"/>
    </row>
    <row r="808" spans="2:42" ht="18" customHeight="1">
      <c r="B808" s="2728"/>
      <c r="C808" s="2728"/>
      <c r="D808" s="2728"/>
      <c r="E808" s="2728"/>
      <c r="G808" s="2512"/>
      <c r="I808" s="2748"/>
      <c r="J808" s="2728"/>
      <c r="L808" s="2728"/>
      <c r="M808" s="2748"/>
      <c r="N808" s="2728"/>
      <c r="O808" s="2728"/>
      <c r="P808" s="2728"/>
      <c r="Q808" s="2748"/>
      <c r="R808" s="2748"/>
      <c r="S808" s="2748"/>
      <c r="T808" s="2748"/>
      <c r="U808" s="2748"/>
      <c r="V808" s="2748"/>
      <c r="W808" s="2748"/>
      <c r="X808" s="2748"/>
      <c r="Y808" s="2748"/>
      <c r="Z808" s="2748"/>
      <c r="AA808" s="2748"/>
      <c r="AB808" s="2748"/>
      <c r="AC808" s="2748"/>
      <c r="AD808" s="2748"/>
      <c r="AE808" s="2748"/>
      <c r="AF808" s="2748"/>
      <c r="AG808" s="2748"/>
      <c r="AH808" s="2748"/>
      <c r="AI808" s="2748"/>
      <c r="AK808" s="2748"/>
      <c r="AL808" s="2748"/>
      <c r="AN808" s="2748"/>
      <c r="AO808" s="2748"/>
      <c r="AP808" s="2748"/>
    </row>
    <row r="809" spans="2:42" ht="18" customHeight="1">
      <c r="B809" s="2728"/>
      <c r="C809" s="2728"/>
      <c r="D809" s="2728"/>
      <c r="E809" s="2728"/>
      <c r="G809" s="2512"/>
      <c r="I809" s="2748"/>
      <c r="J809" s="2728"/>
      <c r="L809" s="2728"/>
      <c r="M809" s="2748"/>
      <c r="N809" s="2728"/>
      <c r="O809" s="2728"/>
      <c r="P809" s="2728"/>
      <c r="Q809" s="2748"/>
      <c r="R809" s="2748"/>
      <c r="S809" s="2748"/>
      <c r="T809" s="2748"/>
      <c r="U809" s="2748"/>
      <c r="V809" s="2748"/>
      <c r="W809" s="2748"/>
      <c r="X809" s="2748"/>
      <c r="Y809" s="2748"/>
      <c r="Z809" s="2748"/>
      <c r="AA809" s="2748"/>
      <c r="AB809" s="2748"/>
      <c r="AC809" s="2748"/>
      <c r="AD809" s="2748"/>
      <c r="AE809" s="2748"/>
      <c r="AF809" s="2748"/>
      <c r="AG809" s="2748"/>
      <c r="AH809" s="2748"/>
      <c r="AI809" s="2748"/>
      <c r="AK809" s="2748"/>
      <c r="AL809" s="2748"/>
      <c r="AN809" s="2748"/>
      <c r="AO809" s="2748"/>
      <c r="AP809" s="2748"/>
    </row>
    <row r="810" spans="2:42" ht="18" customHeight="1">
      <c r="B810" s="2728"/>
      <c r="C810" s="2728"/>
      <c r="D810" s="2728"/>
      <c r="E810" s="2728"/>
      <c r="G810" s="2512"/>
      <c r="I810" s="2748"/>
      <c r="J810" s="2728"/>
      <c r="L810" s="2728"/>
      <c r="M810" s="2748"/>
      <c r="N810" s="2728"/>
      <c r="O810" s="2728"/>
      <c r="P810" s="2728"/>
      <c r="Q810" s="2748"/>
      <c r="R810" s="2748"/>
      <c r="S810" s="2748"/>
      <c r="T810" s="2748"/>
      <c r="U810" s="2748"/>
      <c r="V810" s="2748"/>
      <c r="W810" s="2748"/>
      <c r="X810" s="2748"/>
      <c r="Y810" s="2748"/>
      <c r="Z810" s="2748"/>
      <c r="AA810" s="2748"/>
      <c r="AB810" s="2748"/>
      <c r="AC810" s="2748"/>
      <c r="AD810" s="2748"/>
      <c r="AE810" s="2748"/>
      <c r="AF810" s="2748"/>
      <c r="AG810" s="2748"/>
      <c r="AH810" s="2748"/>
      <c r="AI810" s="2748"/>
      <c r="AK810" s="2748"/>
      <c r="AL810" s="2748"/>
      <c r="AN810" s="2748"/>
      <c r="AO810" s="2748"/>
      <c r="AP810" s="2748"/>
    </row>
    <row r="811" spans="2:42" ht="18" customHeight="1">
      <c r="B811" s="2728"/>
      <c r="C811" s="2728"/>
      <c r="D811" s="2728"/>
      <c r="E811" s="2728"/>
      <c r="G811" s="2512"/>
      <c r="I811" s="2748"/>
      <c r="J811" s="2728"/>
      <c r="L811" s="2728"/>
      <c r="M811" s="2748"/>
      <c r="N811" s="2728"/>
      <c r="O811" s="2728"/>
      <c r="P811" s="2728"/>
      <c r="Q811" s="2748"/>
      <c r="R811" s="2748"/>
      <c r="S811" s="2748"/>
      <c r="T811" s="2748"/>
      <c r="U811" s="2748"/>
      <c r="V811" s="2748"/>
      <c r="W811" s="2748"/>
      <c r="X811" s="2748"/>
      <c r="Y811" s="2748"/>
      <c r="Z811" s="2748"/>
      <c r="AA811" s="2748"/>
      <c r="AB811" s="2748"/>
      <c r="AC811" s="2748"/>
      <c r="AD811" s="2748"/>
      <c r="AE811" s="2748"/>
      <c r="AF811" s="2748"/>
      <c r="AG811" s="2748"/>
      <c r="AH811" s="2748"/>
      <c r="AI811" s="2748"/>
      <c r="AK811" s="2748"/>
      <c r="AL811" s="2748"/>
      <c r="AN811" s="2748"/>
      <c r="AO811" s="2748"/>
      <c r="AP811" s="2748"/>
    </row>
    <row r="812" spans="2:42" ht="18" customHeight="1">
      <c r="B812" s="2728"/>
      <c r="C812" s="2728"/>
      <c r="D812" s="2728"/>
      <c r="E812" s="2728"/>
      <c r="G812" s="2512"/>
      <c r="I812" s="2748"/>
      <c r="J812" s="2728"/>
      <c r="L812" s="2728"/>
      <c r="M812" s="2748"/>
      <c r="N812" s="2728"/>
      <c r="O812" s="2728"/>
      <c r="P812" s="2728"/>
      <c r="Q812" s="2748"/>
      <c r="R812" s="2748"/>
      <c r="S812" s="2748"/>
      <c r="T812" s="2748"/>
      <c r="U812" s="2748"/>
      <c r="V812" s="2748"/>
      <c r="W812" s="2748"/>
      <c r="X812" s="2748"/>
      <c r="Y812" s="2748"/>
      <c r="Z812" s="2748"/>
      <c r="AA812" s="2748"/>
      <c r="AB812" s="2748"/>
      <c r="AC812" s="2748"/>
      <c r="AD812" s="2748"/>
      <c r="AE812" s="2748"/>
      <c r="AF812" s="2748"/>
      <c r="AG812" s="2748"/>
      <c r="AH812" s="2748"/>
      <c r="AI812" s="2748"/>
      <c r="AK812" s="2748"/>
      <c r="AL812" s="2748"/>
      <c r="AN812" s="2748"/>
      <c r="AO812" s="2748"/>
      <c r="AP812" s="2748"/>
    </row>
    <row r="813" spans="2:42" ht="18" customHeight="1">
      <c r="B813" s="2728"/>
      <c r="C813" s="2728"/>
      <c r="D813" s="2728"/>
      <c r="E813" s="2728"/>
      <c r="G813" s="2512"/>
      <c r="I813" s="2748"/>
      <c r="J813" s="2728"/>
      <c r="L813" s="2728"/>
      <c r="M813" s="2748"/>
      <c r="N813" s="2728"/>
      <c r="O813" s="2728"/>
      <c r="P813" s="2728"/>
      <c r="Q813" s="2748"/>
      <c r="R813" s="2748"/>
      <c r="S813" s="2748"/>
      <c r="T813" s="2748"/>
      <c r="U813" s="2748"/>
      <c r="V813" s="2748"/>
      <c r="W813" s="2748"/>
      <c r="X813" s="2748"/>
      <c r="Y813" s="2748"/>
      <c r="Z813" s="2748"/>
      <c r="AA813" s="2748"/>
      <c r="AB813" s="2748"/>
      <c r="AC813" s="2748"/>
      <c r="AD813" s="2748"/>
      <c r="AE813" s="2748"/>
      <c r="AF813" s="2748"/>
      <c r="AG813" s="2748"/>
      <c r="AH813" s="2748"/>
      <c r="AI813" s="2748"/>
      <c r="AK813" s="2748"/>
      <c r="AL813" s="2748"/>
      <c r="AN813" s="2748"/>
      <c r="AO813" s="2748"/>
      <c r="AP813" s="2748"/>
    </row>
    <row r="814" spans="2:42" ht="18" customHeight="1">
      <c r="B814" s="2728"/>
      <c r="C814" s="2728"/>
      <c r="D814" s="2728"/>
      <c r="E814" s="2728"/>
      <c r="G814" s="2512"/>
      <c r="I814" s="2748"/>
      <c r="J814" s="2728"/>
      <c r="L814" s="2728"/>
      <c r="M814" s="2748"/>
      <c r="N814" s="2728"/>
      <c r="O814" s="2728"/>
      <c r="P814" s="2728"/>
      <c r="Q814" s="2748"/>
      <c r="R814" s="2748"/>
      <c r="S814" s="2748"/>
      <c r="T814" s="2748"/>
      <c r="U814" s="2748"/>
      <c r="V814" s="2748"/>
      <c r="W814" s="2748"/>
      <c r="X814" s="2748"/>
      <c r="Y814" s="2748"/>
      <c r="Z814" s="2748"/>
      <c r="AA814" s="2748"/>
      <c r="AB814" s="2748"/>
      <c r="AC814" s="2748"/>
      <c r="AD814" s="2748"/>
      <c r="AE814" s="2748"/>
      <c r="AF814" s="2748"/>
      <c r="AG814" s="2748"/>
      <c r="AH814" s="2748"/>
      <c r="AI814" s="2748"/>
      <c r="AK814" s="2748"/>
      <c r="AL814" s="2748"/>
      <c r="AN814" s="2748"/>
      <c r="AO814" s="2748"/>
      <c r="AP814" s="2748"/>
    </row>
    <row r="815" spans="2:42" ht="18" customHeight="1">
      <c r="B815" s="2728"/>
      <c r="C815" s="2728"/>
      <c r="D815" s="2728"/>
      <c r="E815" s="2728"/>
      <c r="G815" s="2512"/>
      <c r="I815" s="2748"/>
      <c r="J815" s="2728"/>
      <c r="L815" s="2728"/>
      <c r="M815" s="2748"/>
      <c r="N815" s="2728"/>
      <c r="O815" s="2728"/>
      <c r="P815" s="2728"/>
      <c r="Q815" s="2748"/>
      <c r="R815" s="2748"/>
      <c r="S815" s="2748"/>
      <c r="T815" s="2748"/>
      <c r="U815" s="2748"/>
      <c r="V815" s="2748"/>
      <c r="W815" s="2748"/>
      <c r="X815" s="2748"/>
      <c r="Y815" s="2748"/>
      <c r="Z815" s="2748"/>
      <c r="AA815" s="2748"/>
      <c r="AB815" s="2748"/>
      <c r="AC815" s="2748"/>
      <c r="AD815" s="2748"/>
      <c r="AE815" s="2748"/>
      <c r="AF815" s="2748"/>
      <c r="AG815" s="2748"/>
      <c r="AH815" s="2748"/>
      <c r="AI815" s="2748"/>
      <c r="AK815" s="2748"/>
      <c r="AL815" s="2748"/>
      <c r="AN815" s="2748"/>
      <c r="AO815" s="2748"/>
      <c r="AP815" s="2748"/>
    </row>
    <row r="816" spans="2:42" ht="18" customHeight="1">
      <c r="B816" s="2728"/>
      <c r="C816" s="2728"/>
      <c r="D816" s="2728"/>
      <c r="E816" s="2728"/>
      <c r="G816" s="2512"/>
      <c r="I816" s="2748"/>
      <c r="J816" s="2728"/>
      <c r="L816" s="2728"/>
      <c r="M816" s="2748"/>
      <c r="N816" s="2728"/>
      <c r="O816" s="2728"/>
      <c r="P816" s="2728"/>
      <c r="Q816" s="2748"/>
      <c r="R816" s="2748"/>
      <c r="S816" s="2748"/>
      <c r="T816" s="2748"/>
      <c r="U816" s="2748"/>
      <c r="V816" s="2748"/>
      <c r="W816" s="2748"/>
      <c r="X816" s="2748"/>
      <c r="Y816" s="2748"/>
      <c r="Z816" s="2748"/>
      <c r="AA816" s="2748"/>
      <c r="AB816" s="2748"/>
      <c r="AC816" s="2748"/>
      <c r="AD816" s="2748"/>
      <c r="AE816" s="2748"/>
      <c r="AF816" s="2748"/>
      <c r="AG816" s="2748"/>
      <c r="AH816" s="2748"/>
      <c r="AI816" s="2748"/>
      <c r="AK816" s="2748"/>
      <c r="AL816" s="2748"/>
      <c r="AN816" s="2748"/>
      <c r="AO816" s="2748"/>
      <c r="AP816" s="2748"/>
    </row>
    <row r="817" spans="2:42" ht="18" customHeight="1">
      <c r="B817" s="2728"/>
      <c r="C817" s="2728"/>
      <c r="D817" s="2728"/>
      <c r="E817" s="2728"/>
      <c r="G817" s="2512"/>
      <c r="I817" s="2748"/>
      <c r="J817" s="2728"/>
      <c r="L817" s="2728"/>
      <c r="M817" s="2748"/>
      <c r="N817" s="2728"/>
      <c r="O817" s="2728"/>
      <c r="P817" s="2728"/>
      <c r="Q817" s="2748"/>
      <c r="R817" s="2748"/>
      <c r="S817" s="2748"/>
      <c r="T817" s="2748"/>
      <c r="U817" s="2748"/>
      <c r="V817" s="2748"/>
      <c r="W817" s="2748"/>
      <c r="X817" s="2748"/>
      <c r="Y817" s="2748"/>
      <c r="Z817" s="2748"/>
      <c r="AA817" s="2748"/>
      <c r="AB817" s="2748"/>
      <c r="AC817" s="2748"/>
      <c r="AD817" s="2748"/>
      <c r="AE817" s="2748"/>
      <c r="AF817" s="2748"/>
      <c r="AG817" s="2748"/>
      <c r="AH817" s="2748"/>
      <c r="AI817" s="2748"/>
      <c r="AK817" s="2748"/>
      <c r="AL817" s="2748"/>
      <c r="AN817" s="2748"/>
      <c r="AO817" s="2748"/>
      <c r="AP817" s="2748"/>
    </row>
    <row r="818" spans="2:42" ht="18" customHeight="1">
      <c r="B818" s="2728"/>
      <c r="C818" s="2728"/>
      <c r="D818" s="2728"/>
      <c r="E818" s="2728"/>
      <c r="G818" s="2512"/>
      <c r="I818" s="2748"/>
      <c r="J818" s="2728"/>
      <c r="L818" s="2728"/>
      <c r="M818" s="2748"/>
      <c r="N818" s="2728"/>
      <c r="O818" s="2728"/>
      <c r="P818" s="2728"/>
      <c r="Q818" s="2748"/>
      <c r="R818" s="2748"/>
      <c r="S818" s="2748"/>
      <c r="T818" s="2748"/>
      <c r="U818" s="2748"/>
      <c r="V818" s="2748"/>
      <c r="W818" s="2748"/>
      <c r="X818" s="2748"/>
      <c r="Y818" s="2748"/>
      <c r="Z818" s="2748"/>
      <c r="AA818" s="2748"/>
      <c r="AB818" s="2748"/>
      <c r="AC818" s="2748"/>
      <c r="AD818" s="2748"/>
      <c r="AE818" s="2748"/>
      <c r="AF818" s="2748"/>
      <c r="AG818" s="2748"/>
      <c r="AH818" s="2748"/>
      <c r="AI818" s="2748"/>
      <c r="AK818" s="2748"/>
      <c r="AL818" s="2748"/>
      <c r="AN818" s="2748"/>
      <c r="AO818" s="2748"/>
      <c r="AP818" s="2748"/>
    </row>
    <row r="819" spans="2:42" ht="18" customHeight="1">
      <c r="B819" s="2728"/>
      <c r="C819" s="2728"/>
      <c r="D819" s="2728"/>
      <c r="E819" s="2728"/>
      <c r="G819" s="2512"/>
      <c r="I819" s="2748"/>
      <c r="J819" s="2728"/>
      <c r="L819" s="2728"/>
      <c r="M819" s="2748"/>
      <c r="N819" s="2728"/>
      <c r="O819" s="2728"/>
      <c r="P819" s="2728"/>
      <c r="Q819" s="2748"/>
      <c r="R819" s="2748"/>
      <c r="S819" s="2748"/>
      <c r="T819" s="2748"/>
      <c r="U819" s="2748"/>
      <c r="V819" s="2748"/>
      <c r="W819" s="2748"/>
      <c r="X819" s="2748"/>
      <c r="Y819" s="2748"/>
      <c r="Z819" s="2748"/>
      <c r="AA819" s="2748"/>
      <c r="AB819" s="2748"/>
      <c r="AC819" s="2748"/>
      <c r="AD819" s="2748"/>
      <c r="AE819" s="2748"/>
      <c r="AF819" s="2748"/>
      <c r="AG819" s="2748"/>
      <c r="AH819" s="2748"/>
      <c r="AI819" s="2748"/>
      <c r="AK819" s="2748"/>
      <c r="AL819" s="2748"/>
      <c r="AN819" s="2748"/>
      <c r="AO819" s="2748"/>
      <c r="AP819" s="2748"/>
    </row>
    <row r="820" spans="2:42" ht="18" customHeight="1">
      <c r="B820" s="2728"/>
      <c r="C820" s="2728"/>
      <c r="D820" s="2728"/>
      <c r="E820" s="2728"/>
      <c r="G820" s="2512"/>
      <c r="I820" s="2748"/>
      <c r="J820" s="2728"/>
      <c r="L820" s="2728"/>
      <c r="M820" s="2748"/>
      <c r="N820" s="2728"/>
      <c r="O820" s="2728"/>
      <c r="P820" s="2728"/>
      <c r="Q820" s="2748"/>
      <c r="R820" s="2748"/>
      <c r="S820" s="2748"/>
      <c r="T820" s="2748"/>
      <c r="U820" s="2748"/>
      <c r="V820" s="2748"/>
      <c r="W820" s="2748"/>
      <c r="X820" s="2748"/>
      <c r="Y820" s="2748"/>
      <c r="Z820" s="2748"/>
      <c r="AA820" s="2748"/>
      <c r="AB820" s="2748"/>
      <c r="AC820" s="2748"/>
      <c r="AD820" s="2748"/>
      <c r="AE820" s="2748"/>
      <c r="AF820" s="2748"/>
      <c r="AG820" s="2748"/>
      <c r="AH820" s="2748"/>
      <c r="AI820" s="2748"/>
      <c r="AK820" s="2748"/>
      <c r="AL820" s="2748"/>
      <c r="AN820" s="2748"/>
      <c r="AO820" s="2748"/>
      <c r="AP820" s="2748"/>
    </row>
    <row r="821" spans="2:42" ht="18" customHeight="1">
      <c r="B821" s="2728"/>
      <c r="C821" s="2728"/>
      <c r="D821" s="2728"/>
      <c r="E821" s="2728"/>
      <c r="G821" s="2512"/>
      <c r="I821" s="2748"/>
      <c r="J821" s="2728"/>
      <c r="L821" s="2728"/>
      <c r="M821" s="2748"/>
      <c r="N821" s="2728"/>
      <c r="O821" s="2728"/>
      <c r="P821" s="2728"/>
      <c r="Q821" s="2748"/>
      <c r="R821" s="2748"/>
      <c r="S821" s="2748"/>
      <c r="T821" s="2748"/>
      <c r="U821" s="2748"/>
      <c r="V821" s="2748"/>
      <c r="W821" s="2748"/>
      <c r="X821" s="2748"/>
      <c r="Y821" s="2748"/>
      <c r="Z821" s="2748"/>
      <c r="AA821" s="2748"/>
      <c r="AB821" s="2748"/>
      <c r="AC821" s="2748"/>
      <c r="AD821" s="2748"/>
      <c r="AE821" s="2748"/>
      <c r="AF821" s="2748"/>
      <c r="AG821" s="2748"/>
      <c r="AH821" s="2748"/>
      <c r="AI821" s="2748"/>
      <c r="AK821" s="2748"/>
      <c r="AL821" s="2748"/>
      <c r="AN821" s="2748"/>
      <c r="AO821" s="2748"/>
      <c r="AP821" s="2748"/>
    </row>
    <row r="822" spans="2:42" ht="18" customHeight="1">
      <c r="B822" s="2728"/>
      <c r="C822" s="2728"/>
      <c r="D822" s="2728"/>
      <c r="E822" s="2728"/>
      <c r="G822" s="2512"/>
      <c r="I822" s="2748"/>
      <c r="J822" s="2728"/>
      <c r="L822" s="2728"/>
      <c r="M822" s="2748"/>
      <c r="N822" s="2728"/>
      <c r="O822" s="2728"/>
      <c r="P822" s="2728"/>
      <c r="Q822" s="2748"/>
      <c r="R822" s="2748"/>
      <c r="S822" s="2748"/>
      <c r="T822" s="2748"/>
      <c r="U822" s="2748"/>
      <c r="V822" s="2748"/>
      <c r="W822" s="2748"/>
      <c r="X822" s="2748"/>
      <c r="Y822" s="2748"/>
      <c r="Z822" s="2748"/>
      <c r="AA822" s="2748"/>
      <c r="AB822" s="2748"/>
      <c r="AC822" s="2748"/>
      <c r="AD822" s="2748"/>
      <c r="AE822" s="2748"/>
      <c r="AF822" s="2748"/>
      <c r="AG822" s="2748"/>
      <c r="AH822" s="2748"/>
      <c r="AI822" s="2748"/>
      <c r="AK822" s="2748"/>
      <c r="AL822" s="2748"/>
      <c r="AN822" s="2748"/>
      <c r="AO822" s="2748"/>
      <c r="AP822" s="2748"/>
    </row>
    <row r="823" spans="2:42" ht="18" customHeight="1">
      <c r="B823" s="2728"/>
      <c r="C823" s="2728"/>
      <c r="D823" s="2728"/>
      <c r="E823" s="2728"/>
      <c r="G823" s="2512"/>
      <c r="I823" s="2748"/>
      <c r="J823" s="2728"/>
      <c r="L823" s="2728"/>
      <c r="M823" s="2748"/>
      <c r="N823" s="2728"/>
      <c r="O823" s="2728"/>
      <c r="P823" s="2728"/>
      <c r="Q823" s="2748"/>
      <c r="R823" s="2748"/>
      <c r="S823" s="2748"/>
      <c r="T823" s="2748"/>
      <c r="U823" s="2748"/>
      <c r="V823" s="2748"/>
      <c r="W823" s="2748"/>
      <c r="X823" s="2748"/>
      <c r="Y823" s="2748"/>
      <c r="Z823" s="2748"/>
      <c r="AA823" s="2748"/>
      <c r="AB823" s="2748"/>
      <c r="AC823" s="2748"/>
      <c r="AD823" s="2748"/>
      <c r="AE823" s="2748"/>
      <c r="AF823" s="2748"/>
      <c r="AG823" s="2748"/>
      <c r="AH823" s="2748"/>
      <c r="AI823" s="2748"/>
      <c r="AK823" s="2748"/>
      <c r="AL823" s="2748"/>
      <c r="AN823" s="2748"/>
      <c r="AO823" s="2748"/>
      <c r="AP823" s="2748"/>
    </row>
    <row r="824" spans="2:42" ht="18" customHeight="1">
      <c r="B824" s="2728"/>
      <c r="C824" s="2728"/>
      <c r="D824" s="2728"/>
      <c r="E824" s="2728"/>
      <c r="G824" s="2512"/>
      <c r="I824" s="2748"/>
      <c r="J824" s="2728"/>
      <c r="L824" s="2728"/>
      <c r="M824" s="2748"/>
      <c r="N824" s="2728"/>
      <c r="O824" s="2728"/>
      <c r="P824" s="2728"/>
      <c r="Q824" s="2748"/>
      <c r="R824" s="2748"/>
      <c r="S824" s="2748"/>
      <c r="T824" s="2748"/>
      <c r="U824" s="2748"/>
      <c r="V824" s="2748"/>
      <c r="W824" s="2748"/>
      <c r="X824" s="2748"/>
      <c r="Y824" s="2748"/>
      <c r="Z824" s="2748"/>
      <c r="AA824" s="2748"/>
      <c r="AB824" s="2748"/>
      <c r="AC824" s="2748"/>
      <c r="AD824" s="2748"/>
      <c r="AE824" s="2748"/>
      <c r="AF824" s="2748"/>
      <c r="AG824" s="2748"/>
      <c r="AH824" s="2748"/>
      <c r="AI824" s="2748"/>
      <c r="AK824" s="2748"/>
      <c r="AL824" s="2748"/>
      <c r="AN824" s="2748"/>
      <c r="AO824" s="2748"/>
      <c r="AP824" s="2748"/>
    </row>
    <row r="825" spans="2:42" ht="18" customHeight="1">
      <c r="B825" s="2728"/>
      <c r="C825" s="2728"/>
      <c r="D825" s="2728"/>
      <c r="E825" s="2728"/>
      <c r="G825" s="2512"/>
      <c r="I825" s="2748"/>
      <c r="J825" s="2728"/>
      <c r="L825" s="2728"/>
      <c r="M825" s="2748"/>
      <c r="N825" s="2728"/>
      <c r="O825" s="2728"/>
      <c r="P825" s="2728"/>
      <c r="Q825" s="2748"/>
      <c r="R825" s="2748"/>
      <c r="S825" s="2748"/>
      <c r="T825" s="2748"/>
      <c r="U825" s="2748"/>
      <c r="V825" s="2748"/>
      <c r="W825" s="2748"/>
      <c r="X825" s="2748"/>
      <c r="Y825" s="2748"/>
      <c r="Z825" s="2748"/>
      <c r="AA825" s="2748"/>
      <c r="AB825" s="2748"/>
      <c r="AC825" s="2748"/>
      <c r="AD825" s="2748"/>
      <c r="AE825" s="2748"/>
      <c r="AF825" s="2748"/>
      <c r="AG825" s="2748"/>
      <c r="AH825" s="2748"/>
      <c r="AI825" s="2748"/>
      <c r="AK825" s="2748"/>
      <c r="AL825" s="2748"/>
      <c r="AN825" s="2748"/>
      <c r="AO825" s="2748"/>
      <c r="AP825" s="2748"/>
    </row>
    <row r="826" spans="2:42" ht="18" customHeight="1">
      <c r="B826" s="2728"/>
      <c r="C826" s="2728"/>
      <c r="D826" s="2728"/>
      <c r="E826" s="2728"/>
      <c r="G826" s="2512"/>
      <c r="I826" s="2748"/>
      <c r="J826" s="2728"/>
      <c r="L826" s="2728"/>
      <c r="M826" s="2748"/>
      <c r="N826" s="2728"/>
      <c r="O826" s="2728"/>
      <c r="P826" s="2728"/>
      <c r="Q826" s="2748"/>
      <c r="R826" s="2748"/>
      <c r="S826" s="2748"/>
      <c r="T826" s="2748"/>
      <c r="U826" s="2748"/>
      <c r="V826" s="2748"/>
      <c r="W826" s="2748"/>
      <c r="X826" s="2748"/>
      <c r="Y826" s="2748"/>
      <c r="Z826" s="2748"/>
      <c r="AA826" s="2748"/>
      <c r="AB826" s="2748"/>
      <c r="AC826" s="2748"/>
      <c r="AD826" s="2748"/>
      <c r="AE826" s="2748"/>
      <c r="AF826" s="2748"/>
      <c r="AG826" s="2748"/>
      <c r="AH826" s="2748"/>
      <c r="AI826" s="2748"/>
      <c r="AK826" s="2748"/>
      <c r="AL826" s="2748"/>
      <c r="AN826" s="2748"/>
      <c r="AO826" s="2748"/>
      <c r="AP826" s="2748"/>
    </row>
    <row r="827" spans="2:42" ht="18" customHeight="1">
      <c r="B827" s="2728"/>
      <c r="C827" s="2728"/>
      <c r="D827" s="2728"/>
      <c r="E827" s="2728"/>
      <c r="G827" s="2512"/>
      <c r="I827" s="2748"/>
      <c r="J827" s="2728"/>
      <c r="L827" s="2728"/>
      <c r="M827" s="2748"/>
      <c r="N827" s="2728"/>
      <c r="O827" s="2728"/>
      <c r="P827" s="2728"/>
      <c r="Q827" s="2748"/>
      <c r="R827" s="2748"/>
      <c r="S827" s="2748"/>
      <c r="T827" s="2748"/>
      <c r="U827" s="2748"/>
      <c r="V827" s="2748"/>
      <c r="W827" s="2748"/>
      <c r="X827" s="2748"/>
      <c r="Y827" s="2748"/>
      <c r="Z827" s="2748"/>
      <c r="AA827" s="2748"/>
      <c r="AB827" s="2748"/>
      <c r="AC827" s="2748"/>
      <c r="AD827" s="2748"/>
      <c r="AE827" s="2748"/>
      <c r="AF827" s="2748"/>
      <c r="AG827" s="2748"/>
      <c r="AH827" s="2748"/>
      <c r="AI827" s="2748"/>
      <c r="AK827" s="2748"/>
      <c r="AL827" s="2748"/>
      <c r="AN827" s="2748"/>
      <c r="AO827" s="2748"/>
      <c r="AP827" s="2748"/>
    </row>
    <row r="828" spans="2:42" ht="18" customHeight="1">
      <c r="B828" s="2728"/>
      <c r="C828" s="2728"/>
      <c r="D828" s="2728"/>
      <c r="E828" s="2728"/>
      <c r="G828" s="2512"/>
      <c r="I828" s="2748"/>
      <c r="J828" s="2728"/>
      <c r="L828" s="2728"/>
      <c r="M828" s="2748"/>
      <c r="N828" s="2728"/>
      <c r="O828" s="2728"/>
      <c r="P828" s="2728"/>
      <c r="Q828" s="2748"/>
      <c r="R828" s="2748"/>
      <c r="S828" s="2748"/>
      <c r="T828" s="2748"/>
      <c r="U828" s="2748"/>
      <c r="V828" s="2748"/>
      <c r="W828" s="2748"/>
      <c r="X828" s="2748"/>
      <c r="Y828" s="2748"/>
      <c r="Z828" s="2748"/>
      <c r="AA828" s="2748"/>
      <c r="AB828" s="2748"/>
      <c r="AC828" s="2748"/>
      <c r="AD828" s="2748"/>
      <c r="AE828" s="2748"/>
      <c r="AF828" s="2748"/>
      <c r="AG828" s="2748"/>
      <c r="AH828" s="2748"/>
      <c r="AI828" s="2748"/>
      <c r="AK828" s="2748"/>
      <c r="AL828" s="2748"/>
      <c r="AN828" s="2748"/>
      <c r="AO828" s="2748"/>
      <c r="AP828" s="2748"/>
    </row>
    <row r="829" spans="2:42" ht="18" customHeight="1">
      <c r="B829" s="2728"/>
      <c r="C829" s="2728"/>
      <c r="D829" s="2728"/>
      <c r="E829" s="2728"/>
      <c r="G829" s="2512"/>
      <c r="I829" s="2748"/>
      <c r="J829" s="2728"/>
      <c r="L829" s="2728"/>
      <c r="M829" s="2748"/>
      <c r="N829" s="2728"/>
      <c r="O829" s="2728"/>
      <c r="P829" s="2728"/>
      <c r="Q829" s="2748"/>
      <c r="R829" s="2748"/>
      <c r="S829" s="2748"/>
      <c r="T829" s="2748"/>
      <c r="U829" s="2748"/>
      <c r="V829" s="2748"/>
      <c r="W829" s="2748"/>
      <c r="X829" s="2748"/>
      <c r="Y829" s="2748"/>
      <c r="Z829" s="2748"/>
      <c r="AA829" s="2748"/>
      <c r="AB829" s="2748"/>
      <c r="AC829" s="2748"/>
      <c r="AD829" s="2748"/>
      <c r="AE829" s="2748"/>
      <c r="AF829" s="2748"/>
      <c r="AG829" s="2748"/>
      <c r="AH829" s="2748"/>
      <c r="AI829" s="2748"/>
      <c r="AK829" s="2748"/>
      <c r="AL829" s="2748"/>
      <c r="AN829" s="2748"/>
      <c r="AO829" s="2748"/>
      <c r="AP829" s="2748"/>
    </row>
    <row r="830" spans="2:42" ht="18" customHeight="1">
      <c r="B830" s="2728"/>
      <c r="C830" s="2728"/>
      <c r="D830" s="2728"/>
      <c r="E830" s="2728"/>
      <c r="G830" s="2512"/>
      <c r="I830" s="2748"/>
      <c r="J830" s="2728"/>
      <c r="L830" s="2728"/>
      <c r="M830" s="2748"/>
      <c r="N830" s="2728"/>
      <c r="O830" s="2728"/>
      <c r="P830" s="2728"/>
      <c r="Q830" s="2748"/>
      <c r="R830" s="2748"/>
      <c r="S830" s="2748"/>
      <c r="T830" s="2748"/>
      <c r="U830" s="2748"/>
      <c r="V830" s="2748"/>
      <c r="W830" s="2748"/>
      <c r="X830" s="2748"/>
      <c r="Y830" s="2748"/>
      <c r="Z830" s="2748"/>
      <c r="AA830" s="2748"/>
      <c r="AB830" s="2748"/>
      <c r="AC830" s="2748"/>
      <c r="AD830" s="2748"/>
      <c r="AE830" s="2748"/>
      <c r="AF830" s="2748"/>
      <c r="AG830" s="2748"/>
      <c r="AH830" s="2748"/>
      <c r="AI830" s="2748"/>
      <c r="AK830" s="2748"/>
      <c r="AL830" s="2748"/>
      <c r="AN830" s="2748"/>
      <c r="AO830" s="2748"/>
      <c r="AP830" s="2748"/>
    </row>
    <row r="831" spans="2:42" ht="18" customHeight="1">
      <c r="B831" s="2728"/>
      <c r="C831" s="2728"/>
      <c r="D831" s="2728"/>
      <c r="E831" s="2728"/>
      <c r="G831" s="2512"/>
      <c r="I831" s="2748"/>
      <c r="J831" s="2728"/>
      <c r="L831" s="2728"/>
      <c r="M831" s="2748"/>
      <c r="N831" s="2728"/>
      <c r="O831" s="2728"/>
      <c r="P831" s="2728"/>
      <c r="Q831" s="2748"/>
      <c r="R831" s="2748"/>
      <c r="S831" s="2748"/>
      <c r="T831" s="2748"/>
      <c r="U831" s="2748"/>
      <c r="V831" s="2748"/>
      <c r="W831" s="2748"/>
      <c r="X831" s="2748"/>
      <c r="Y831" s="2748"/>
      <c r="Z831" s="2748"/>
      <c r="AA831" s="2748"/>
      <c r="AB831" s="2748"/>
      <c r="AC831" s="2748"/>
      <c r="AD831" s="2748"/>
      <c r="AE831" s="2748"/>
      <c r="AF831" s="2748"/>
      <c r="AG831" s="2748"/>
      <c r="AH831" s="2748"/>
      <c r="AI831" s="2748"/>
      <c r="AK831" s="2748"/>
      <c r="AL831" s="2748"/>
      <c r="AN831" s="2748"/>
      <c r="AO831" s="2748"/>
      <c r="AP831" s="2748"/>
    </row>
    <row r="832" spans="2:42" ht="18" customHeight="1">
      <c r="B832" s="2728"/>
      <c r="C832" s="2728"/>
      <c r="D832" s="2728"/>
      <c r="E832" s="2728"/>
      <c r="G832" s="2512"/>
      <c r="I832" s="2748"/>
      <c r="J832" s="2728"/>
      <c r="L832" s="2728"/>
      <c r="M832" s="2748"/>
      <c r="N832" s="2728"/>
      <c r="O832" s="2728"/>
      <c r="P832" s="2728"/>
      <c r="Q832" s="2748"/>
      <c r="R832" s="2748"/>
      <c r="S832" s="2748"/>
      <c r="T832" s="2748"/>
      <c r="U832" s="2748"/>
      <c r="V832" s="2748"/>
      <c r="W832" s="2748"/>
      <c r="X832" s="2748"/>
      <c r="Y832" s="2748"/>
      <c r="Z832" s="2748"/>
      <c r="AA832" s="2748"/>
      <c r="AB832" s="2748"/>
      <c r="AC832" s="2748"/>
      <c r="AD832" s="2748"/>
      <c r="AE832" s="2748"/>
      <c r="AF832" s="2748"/>
      <c r="AG832" s="2748"/>
      <c r="AH832" s="2748"/>
      <c r="AI832" s="2748"/>
      <c r="AK832" s="2748"/>
      <c r="AL832" s="2748"/>
      <c r="AN832" s="2748"/>
      <c r="AO832" s="2748"/>
      <c r="AP832" s="2748"/>
    </row>
    <row r="833" spans="2:42" ht="18" customHeight="1">
      <c r="B833" s="2728"/>
      <c r="C833" s="2728"/>
      <c r="D833" s="2728"/>
      <c r="E833" s="2728"/>
      <c r="G833" s="2512"/>
      <c r="I833" s="2748"/>
      <c r="J833" s="2728"/>
      <c r="L833" s="2728"/>
      <c r="M833" s="2748"/>
      <c r="N833" s="2728"/>
      <c r="O833" s="2728"/>
      <c r="P833" s="2728"/>
      <c r="Q833" s="2748"/>
      <c r="R833" s="2748"/>
      <c r="S833" s="2748"/>
      <c r="T833" s="2748"/>
      <c r="U833" s="2748"/>
      <c r="V833" s="2748"/>
      <c r="W833" s="2748"/>
      <c r="X833" s="2748"/>
      <c r="Y833" s="2748"/>
      <c r="Z833" s="2748"/>
      <c r="AA833" s="2748"/>
      <c r="AB833" s="2748"/>
      <c r="AC833" s="2748"/>
      <c r="AD833" s="2748"/>
      <c r="AE833" s="2748"/>
      <c r="AF833" s="2748"/>
      <c r="AG833" s="2748"/>
      <c r="AH833" s="2748"/>
      <c r="AI833" s="2748"/>
      <c r="AK833" s="2748"/>
      <c r="AL833" s="2748"/>
      <c r="AN833" s="2748"/>
      <c r="AO833" s="2748"/>
      <c r="AP833" s="2748"/>
    </row>
    <row r="834" spans="2:42" ht="18" customHeight="1">
      <c r="B834" s="2728"/>
      <c r="C834" s="2728"/>
      <c r="D834" s="2728"/>
      <c r="E834" s="2728"/>
      <c r="G834" s="2512"/>
      <c r="I834" s="2748"/>
      <c r="J834" s="2728"/>
      <c r="L834" s="2728"/>
      <c r="M834" s="2748"/>
      <c r="N834" s="2728"/>
      <c r="O834" s="2728"/>
      <c r="P834" s="2728"/>
      <c r="Q834" s="2748"/>
      <c r="R834" s="2748"/>
      <c r="S834" s="2748"/>
      <c r="T834" s="2748"/>
      <c r="U834" s="2748"/>
      <c r="V834" s="2748"/>
      <c r="W834" s="2748"/>
      <c r="X834" s="2748"/>
      <c r="Y834" s="2748"/>
      <c r="Z834" s="2748"/>
      <c r="AA834" s="2748"/>
      <c r="AB834" s="2748"/>
      <c r="AC834" s="2748"/>
      <c r="AD834" s="2748"/>
      <c r="AE834" s="2748"/>
      <c r="AF834" s="2748"/>
      <c r="AG834" s="2748"/>
      <c r="AH834" s="2748"/>
      <c r="AI834" s="2748"/>
      <c r="AK834" s="2748"/>
      <c r="AL834" s="2748"/>
      <c r="AN834" s="2748"/>
      <c r="AO834" s="2748"/>
      <c r="AP834" s="2748"/>
    </row>
    <row r="835" spans="2:42" ht="18" customHeight="1">
      <c r="B835" s="2728"/>
      <c r="C835" s="2728"/>
      <c r="D835" s="2728"/>
      <c r="E835" s="2728"/>
      <c r="G835" s="2512"/>
      <c r="I835" s="2748"/>
      <c r="J835" s="2728"/>
      <c r="L835" s="2728"/>
      <c r="M835" s="2748"/>
      <c r="N835" s="2728"/>
      <c r="O835" s="2728"/>
      <c r="P835" s="2728"/>
      <c r="Q835" s="2748"/>
      <c r="R835" s="2748"/>
      <c r="S835" s="2748"/>
      <c r="T835" s="2748"/>
      <c r="U835" s="2748"/>
      <c r="V835" s="2748"/>
      <c r="W835" s="2748"/>
      <c r="X835" s="2748"/>
      <c r="Y835" s="2748"/>
      <c r="Z835" s="2748"/>
      <c r="AA835" s="2748"/>
      <c r="AB835" s="2748"/>
      <c r="AC835" s="2748"/>
      <c r="AD835" s="2748"/>
      <c r="AE835" s="2748"/>
      <c r="AF835" s="2748"/>
      <c r="AG835" s="2748"/>
      <c r="AH835" s="2748"/>
      <c r="AI835" s="2748"/>
      <c r="AK835" s="2748"/>
      <c r="AL835" s="2748"/>
      <c r="AN835" s="2748"/>
      <c r="AO835" s="2748"/>
      <c r="AP835" s="2748"/>
    </row>
    <row r="836" spans="2:42" ht="18" customHeight="1">
      <c r="B836" s="2728"/>
      <c r="C836" s="2728"/>
      <c r="D836" s="2728"/>
      <c r="E836" s="2728"/>
      <c r="G836" s="2512"/>
      <c r="I836" s="2748"/>
      <c r="J836" s="2728"/>
      <c r="L836" s="2728"/>
      <c r="M836" s="2748"/>
      <c r="N836" s="2728"/>
      <c r="O836" s="2728"/>
      <c r="P836" s="2728"/>
      <c r="Q836" s="2748"/>
      <c r="R836" s="2748"/>
      <c r="S836" s="2748"/>
      <c r="T836" s="2748"/>
      <c r="U836" s="2748"/>
      <c r="V836" s="2748"/>
      <c r="W836" s="2748"/>
      <c r="X836" s="2748"/>
      <c r="Y836" s="2748"/>
      <c r="Z836" s="2748"/>
      <c r="AA836" s="2748"/>
      <c r="AB836" s="2748"/>
      <c r="AC836" s="2748"/>
      <c r="AD836" s="2748"/>
      <c r="AE836" s="2748"/>
      <c r="AF836" s="2748"/>
      <c r="AG836" s="2748"/>
      <c r="AH836" s="2748"/>
      <c r="AI836" s="2748"/>
      <c r="AK836" s="2748"/>
      <c r="AL836" s="2748"/>
      <c r="AN836" s="2748"/>
      <c r="AO836" s="2748"/>
      <c r="AP836" s="2748"/>
    </row>
    <row r="837" spans="2:42" ht="18" customHeight="1">
      <c r="B837" s="2728"/>
      <c r="C837" s="2728"/>
      <c r="D837" s="2728"/>
      <c r="E837" s="2728"/>
      <c r="G837" s="2512"/>
      <c r="I837" s="2748"/>
      <c r="J837" s="2728"/>
      <c r="L837" s="2728"/>
      <c r="M837" s="2748"/>
      <c r="N837" s="2728"/>
      <c r="O837" s="2728"/>
      <c r="P837" s="2728"/>
      <c r="Q837" s="2748"/>
      <c r="R837" s="2748"/>
      <c r="S837" s="2748"/>
      <c r="T837" s="2748"/>
      <c r="U837" s="2748"/>
      <c r="V837" s="2748"/>
      <c r="W837" s="2748"/>
      <c r="X837" s="2748"/>
      <c r="Y837" s="2748"/>
      <c r="Z837" s="2748"/>
      <c r="AA837" s="2748"/>
      <c r="AB837" s="2748"/>
      <c r="AC837" s="2748"/>
      <c r="AD837" s="2748"/>
      <c r="AE837" s="2748"/>
      <c r="AF837" s="2748"/>
      <c r="AG837" s="2748"/>
      <c r="AH837" s="2748"/>
      <c r="AI837" s="2748"/>
      <c r="AK837" s="2748"/>
      <c r="AL837" s="2748"/>
      <c r="AN837" s="2748"/>
      <c r="AO837" s="2748"/>
      <c r="AP837" s="2748"/>
    </row>
    <row r="838" spans="2:42" ht="18" customHeight="1">
      <c r="B838" s="2728"/>
      <c r="C838" s="2728"/>
      <c r="D838" s="2728"/>
      <c r="E838" s="2728"/>
      <c r="G838" s="2512"/>
      <c r="I838" s="2748"/>
      <c r="J838" s="2728"/>
      <c r="L838" s="2728"/>
      <c r="M838" s="2748"/>
      <c r="N838" s="2728"/>
      <c r="O838" s="2728"/>
      <c r="P838" s="2728"/>
      <c r="Q838" s="2748"/>
      <c r="R838" s="2748"/>
      <c r="S838" s="2748"/>
      <c r="T838" s="2748"/>
      <c r="U838" s="2748"/>
      <c r="V838" s="2748"/>
      <c r="W838" s="2748"/>
      <c r="X838" s="2748"/>
      <c r="Y838" s="2748"/>
      <c r="Z838" s="2748"/>
      <c r="AA838" s="2748"/>
      <c r="AB838" s="2748"/>
      <c r="AC838" s="2748"/>
      <c r="AD838" s="2748"/>
      <c r="AE838" s="2748"/>
      <c r="AF838" s="2748"/>
      <c r="AG838" s="2748"/>
      <c r="AH838" s="2748"/>
      <c r="AI838" s="2748"/>
      <c r="AK838" s="2748"/>
      <c r="AL838" s="2748"/>
      <c r="AN838" s="2748"/>
      <c r="AO838" s="2748"/>
      <c r="AP838" s="2748"/>
    </row>
    <row r="839" spans="2:42" ht="18" customHeight="1">
      <c r="B839" s="2728"/>
      <c r="C839" s="2728"/>
      <c r="D839" s="2728"/>
      <c r="E839" s="2728"/>
      <c r="G839" s="2512"/>
      <c r="I839" s="2748"/>
      <c r="J839" s="2728"/>
      <c r="L839" s="2728"/>
      <c r="M839" s="2748"/>
      <c r="N839" s="2728"/>
      <c r="O839" s="2728"/>
      <c r="P839" s="2728"/>
      <c r="Q839" s="2748"/>
      <c r="R839" s="2748"/>
      <c r="S839" s="2748"/>
      <c r="T839" s="2748"/>
      <c r="U839" s="2748"/>
      <c r="V839" s="2748"/>
      <c r="W839" s="2748"/>
      <c r="X839" s="2748"/>
      <c r="Y839" s="2748"/>
      <c r="Z839" s="2748"/>
      <c r="AA839" s="2748"/>
      <c r="AB839" s="2748"/>
      <c r="AC839" s="2748"/>
      <c r="AD839" s="2748"/>
      <c r="AE839" s="2748"/>
      <c r="AF839" s="2748"/>
      <c r="AG839" s="2748"/>
      <c r="AH839" s="2748"/>
      <c r="AI839" s="2748"/>
      <c r="AK839" s="2748"/>
      <c r="AL839" s="2748"/>
      <c r="AN839" s="2748"/>
      <c r="AO839" s="2748"/>
      <c r="AP839" s="2748"/>
    </row>
    <row r="840" spans="2:42" ht="18" customHeight="1">
      <c r="B840" s="2728"/>
      <c r="C840" s="2728"/>
      <c r="D840" s="2728"/>
      <c r="E840" s="2728"/>
      <c r="G840" s="2512"/>
      <c r="I840" s="2748"/>
      <c r="J840" s="2728"/>
      <c r="L840" s="2728"/>
      <c r="M840" s="2748"/>
      <c r="N840" s="2728"/>
      <c r="O840" s="2728"/>
      <c r="P840" s="2728"/>
      <c r="Q840" s="2748"/>
      <c r="R840" s="2748"/>
      <c r="S840" s="2748"/>
      <c r="T840" s="2748"/>
      <c r="U840" s="2748"/>
      <c r="V840" s="2748"/>
      <c r="W840" s="2748"/>
      <c r="X840" s="2748"/>
      <c r="Y840" s="2748"/>
      <c r="Z840" s="2748"/>
      <c r="AA840" s="2748"/>
      <c r="AB840" s="2748"/>
      <c r="AC840" s="2748"/>
      <c r="AD840" s="2748"/>
      <c r="AE840" s="2748"/>
      <c r="AF840" s="2748"/>
      <c r="AG840" s="2748"/>
      <c r="AH840" s="2748"/>
      <c r="AI840" s="2748"/>
      <c r="AK840" s="2748"/>
      <c r="AL840" s="2748"/>
      <c r="AN840" s="2748"/>
      <c r="AO840" s="2748"/>
      <c r="AP840" s="2748"/>
    </row>
    <row r="841" spans="2:42" ht="18" customHeight="1">
      <c r="B841" s="2728"/>
      <c r="C841" s="2728"/>
      <c r="D841" s="2728"/>
      <c r="E841" s="2728"/>
      <c r="G841" s="2512"/>
      <c r="I841" s="2748"/>
      <c r="J841" s="2728"/>
      <c r="L841" s="2728"/>
      <c r="M841" s="2748"/>
      <c r="N841" s="2728"/>
      <c r="O841" s="2728"/>
      <c r="P841" s="2728"/>
      <c r="Q841" s="2748"/>
      <c r="R841" s="2748"/>
      <c r="S841" s="2748"/>
      <c r="T841" s="2748"/>
      <c r="U841" s="2748"/>
      <c r="V841" s="2748"/>
      <c r="W841" s="2748"/>
      <c r="X841" s="2748"/>
      <c r="Y841" s="2748"/>
      <c r="Z841" s="2748"/>
      <c r="AA841" s="2748"/>
      <c r="AB841" s="2748"/>
      <c r="AC841" s="2748"/>
      <c r="AD841" s="2748"/>
      <c r="AE841" s="2748"/>
      <c r="AF841" s="2748"/>
      <c r="AG841" s="2748"/>
      <c r="AH841" s="2748"/>
      <c r="AI841" s="2748"/>
      <c r="AK841" s="2748"/>
      <c r="AL841" s="2748"/>
      <c r="AN841" s="2748"/>
      <c r="AO841" s="2748"/>
      <c r="AP841" s="2748"/>
    </row>
    <row r="842" spans="2:42" ht="18" customHeight="1">
      <c r="B842" s="2728"/>
      <c r="C842" s="2728"/>
      <c r="D842" s="2728"/>
      <c r="E842" s="2728"/>
      <c r="G842" s="2512"/>
      <c r="I842" s="2748"/>
      <c r="J842" s="2728"/>
      <c r="L842" s="2728"/>
      <c r="M842" s="2748"/>
      <c r="N842" s="2728"/>
      <c r="O842" s="2728"/>
      <c r="P842" s="2728"/>
      <c r="Q842" s="2748"/>
      <c r="R842" s="2748"/>
      <c r="S842" s="2748"/>
      <c r="T842" s="2748"/>
      <c r="U842" s="2748"/>
      <c r="V842" s="2748"/>
      <c r="W842" s="2748"/>
      <c r="X842" s="2748"/>
      <c r="Y842" s="2748"/>
      <c r="Z842" s="2748"/>
      <c r="AA842" s="2748"/>
      <c r="AB842" s="2748"/>
      <c r="AC842" s="2748"/>
      <c r="AD842" s="2748"/>
      <c r="AE842" s="2748"/>
      <c r="AF842" s="2748"/>
      <c r="AG842" s="2748"/>
      <c r="AH842" s="2748"/>
      <c r="AI842" s="2748"/>
      <c r="AK842" s="2748"/>
      <c r="AL842" s="2748"/>
      <c r="AN842" s="2748"/>
      <c r="AO842" s="2748"/>
      <c r="AP842" s="2748"/>
    </row>
    <row r="843" spans="2:42" ht="18" customHeight="1">
      <c r="B843" s="2728"/>
      <c r="C843" s="2728"/>
      <c r="D843" s="2728"/>
      <c r="E843" s="2728"/>
      <c r="G843" s="2512"/>
      <c r="I843" s="2748"/>
      <c r="J843" s="2728"/>
      <c r="L843" s="2728"/>
      <c r="M843" s="2748"/>
      <c r="N843" s="2728"/>
      <c r="O843" s="2728"/>
      <c r="P843" s="2728"/>
      <c r="Q843" s="2748"/>
      <c r="R843" s="2748"/>
      <c r="S843" s="2748"/>
      <c r="T843" s="2748"/>
      <c r="U843" s="2748"/>
      <c r="V843" s="2748"/>
      <c r="W843" s="2748"/>
      <c r="X843" s="2748"/>
      <c r="Y843" s="2748"/>
      <c r="Z843" s="2748"/>
      <c r="AA843" s="2748"/>
      <c r="AB843" s="2748"/>
      <c r="AC843" s="2748"/>
      <c r="AD843" s="2748"/>
      <c r="AE843" s="2748"/>
      <c r="AF843" s="2748"/>
      <c r="AG843" s="2748"/>
      <c r="AH843" s="2748"/>
      <c r="AI843" s="2748"/>
      <c r="AK843" s="2748"/>
      <c r="AL843" s="2748"/>
      <c r="AN843" s="2748"/>
      <c r="AO843" s="2748"/>
      <c r="AP843" s="2748"/>
    </row>
    <row r="844" spans="2:42" ht="18" customHeight="1">
      <c r="B844" s="2728"/>
      <c r="C844" s="2728"/>
      <c r="D844" s="2728"/>
      <c r="E844" s="2728"/>
      <c r="G844" s="2512"/>
      <c r="I844" s="2748"/>
      <c r="J844" s="2728"/>
      <c r="L844" s="2728"/>
      <c r="M844" s="2748"/>
      <c r="N844" s="2728"/>
      <c r="O844" s="2728"/>
      <c r="P844" s="2728"/>
      <c r="Q844" s="2748"/>
      <c r="R844" s="2748"/>
      <c r="S844" s="2748"/>
      <c r="T844" s="2748"/>
      <c r="U844" s="2748"/>
      <c r="V844" s="2748"/>
      <c r="W844" s="2748"/>
      <c r="X844" s="2748"/>
      <c r="Y844" s="2748"/>
      <c r="Z844" s="2748"/>
      <c r="AA844" s="2748"/>
      <c r="AB844" s="2748"/>
      <c r="AC844" s="2748"/>
      <c r="AD844" s="2748"/>
      <c r="AE844" s="2748"/>
      <c r="AF844" s="2748"/>
      <c r="AG844" s="2748"/>
      <c r="AH844" s="2748"/>
      <c r="AI844" s="2748"/>
      <c r="AK844" s="2748"/>
      <c r="AL844" s="2748"/>
      <c r="AN844" s="2748"/>
      <c r="AO844" s="2748"/>
      <c r="AP844" s="2748"/>
    </row>
    <row r="845" spans="2:42" ht="18" customHeight="1">
      <c r="B845" s="2728"/>
      <c r="C845" s="2728"/>
      <c r="D845" s="2728"/>
      <c r="E845" s="2728"/>
      <c r="G845" s="2512"/>
      <c r="I845" s="2748"/>
      <c r="J845" s="2728"/>
      <c r="L845" s="2728"/>
      <c r="M845" s="2748"/>
      <c r="N845" s="2728"/>
      <c r="O845" s="2728"/>
      <c r="P845" s="2728"/>
      <c r="Q845" s="2748"/>
      <c r="R845" s="2748"/>
      <c r="S845" s="2748"/>
      <c r="T845" s="2748"/>
      <c r="U845" s="2748"/>
      <c r="V845" s="2748"/>
      <c r="W845" s="2748"/>
      <c r="X845" s="2748"/>
      <c r="Y845" s="2748"/>
      <c r="Z845" s="2748"/>
      <c r="AA845" s="2748"/>
      <c r="AB845" s="2748"/>
      <c r="AC845" s="2748"/>
      <c r="AD845" s="2748"/>
      <c r="AE845" s="2748"/>
      <c r="AF845" s="2748"/>
      <c r="AG845" s="2748"/>
      <c r="AH845" s="2748"/>
      <c r="AI845" s="2748"/>
      <c r="AK845" s="2748"/>
      <c r="AL845" s="2748"/>
      <c r="AN845" s="2748"/>
      <c r="AO845" s="2748"/>
      <c r="AP845" s="2748"/>
    </row>
    <row r="846" spans="2:42" ht="18" customHeight="1">
      <c r="B846" s="2728"/>
      <c r="C846" s="2728"/>
      <c r="D846" s="2728"/>
      <c r="E846" s="2728"/>
      <c r="G846" s="2512"/>
      <c r="I846" s="2748"/>
      <c r="J846" s="2728"/>
      <c r="L846" s="2728"/>
      <c r="M846" s="2748"/>
      <c r="N846" s="2728"/>
      <c r="O846" s="2728"/>
      <c r="P846" s="2728"/>
      <c r="Q846" s="2748"/>
      <c r="R846" s="2748"/>
      <c r="S846" s="2748"/>
      <c r="T846" s="2748"/>
      <c r="U846" s="2748"/>
      <c r="V846" s="2748"/>
      <c r="W846" s="2748"/>
      <c r="X846" s="2748"/>
      <c r="Y846" s="2748"/>
      <c r="Z846" s="2748"/>
      <c r="AA846" s="2748"/>
      <c r="AB846" s="2748"/>
      <c r="AC846" s="2748"/>
      <c r="AD846" s="2748"/>
      <c r="AE846" s="2748"/>
      <c r="AF846" s="2748"/>
      <c r="AG846" s="2748"/>
      <c r="AH846" s="2748"/>
      <c r="AI846" s="2748"/>
      <c r="AK846" s="2748"/>
      <c r="AL846" s="2748"/>
      <c r="AN846" s="2748"/>
      <c r="AO846" s="2748"/>
      <c r="AP846" s="2748"/>
    </row>
    <row r="847" spans="2:42" ht="18" customHeight="1">
      <c r="B847" s="2728"/>
      <c r="C847" s="2728"/>
      <c r="D847" s="2728"/>
      <c r="E847" s="2728"/>
      <c r="G847" s="2512"/>
      <c r="I847" s="2748"/>
      <c r="J847" s="2728"/>
      <c r="L847" s="2728"/>
      <c r="M847" s="2748"/>
      <c r="N847" s="2728"/>
      <c r="O847" s="2728"/>
      <c r="P847" s="2728"/>
      <c r="Q847" s="2748"/>
      <c r="R847" s="2748"/>
      <c r="S847" s="2748"/>
      <c r="T847" s="2748"/>
      <c r="U847" s="2748"/>
      <c r="V847" s="2748"/>
      <c r="W847" s="2748"/>
      <c r="X847" s="2748"/>
      <c r="Y847" s="2748"/>
      <c r="Z847" s="2748"/>
      <c r="AA847" s="2748"/>
      <c r="AB847" s="2748"/>
      <c r="AC847" s="2748"/>
      <c r="AD847" s="2748"/>
      <c r="AE847" s="2748"/>
      <c r="AF847" s="2748"/>
      <c r="AG847" s="2748"/>
      <c r="AH847" s="2748"/>
      <c r="AI847" s="2748"/>
      <c r="AK847" s="2748"/>
      <c r="AL847" s="2748"/>
      <c r="AN847" s="2748"/>
      <c r="AO847" s="2748"/>
      <c r="AP847" s="2748"/>
    </row>
    <row r="848" spans="2:42" ht="18" customHeight="1">
      <c r="B848" s="2728"/>
      <c r="C848" s="2728"/>
      <c r="D848" s="2728"/>
      <c r="E848" s="2728"/>
      <c r="G848" s="2512"/>
      <c r="I848" s="2748"/>
      <c r="J848" s="2728"/>
      <c r="L848" s="2728"/>
      <c r="M848" s="2748"/>
      <c r="N848" s="2728"/>
      <c r="O848" s="2728"/>
      <c r="P848" s="2728"/>
      <c r="Q848" s="2748"/>
      <c r="R848" s="2748"/>
      <c r="S848" s="2748"/>
      <c r="T848" s="2748"/>
      <c r="U848" s="2748"/>
      <c r="V848" s="2748"/>
      <c r="W848" s="2748"/>
      <c r="X848" s="2748"/>
      <c r="Y848" s="2748"/>
      <c r="Z848" s="2748"/>
      <c r="AA848" s="2748"/>
      <c r="AB848" s="2748"/>
      <c r="AC848" s="2748"/>
      <c r="AD848" s="2748"/>
      <c r="AE848" s="2748"/>
      <c r="AF848" s="2748"/>
      <c r="AG848" s="2748"/>
      <c r="AH848" s="2748"/>
      <c r="AI848" s="2748"/>
      <c r="AK848" s="2748"/>
      <c r="AL848" s="2748"/>
      <c r="AN848" s="2748"/>
      <c r="AO848" s="2748"/>
      <c r="AP848" s="2748"/>
    </row>
    <row r="849" spans="2:42" ht="18" customHeight="1">
      <c r="B849" s="2728"/>
      <c r="C849" s="2728"/>
      <c r="D849" s="2728"/>
      <c r="E849" s="2728"/>
      <c r="G849" s="2512"/>
      <c r="I849" s="2748"/>
      <c r="J849" s="2728"/>
      <c r="L849" s="2728"/>
      <c r="M849" s="2748"/>
      <c r="N849" s="2728"/>
      <c r="O849" s="2728"/>
      <c r="P849" s="2728"/>
      <c r="Q849" s="2748"/>
      <c r="R849" s="2748"/>
      <c r="S849" s="2748"/>
      <c r="T849" s="2748"/>
      <c r="U849" s="2748"/>
      <c r="V849" s="2748"/>
      <c r="W849" s="2748"/>
      <c r="X849" s="2748"/>
      <c r="Y849" s="2748"/>
      <c r="Z849" s="2748"/>
      <c r="AA849" s="2748"/>
      <c r="AB849" s="2748"/>
      <c r="AC849" s="2748"/>
      <c r="AD849" s="2748"/>
      <c r="AE849" s="2748"/>
      <c r="AF849" s="2748"/>
      <c r="AG849" s="2748"/>
      <c r="AH849" s="2748"/>
      <c r="AI849" s="2748"/>
      <c r="AK849" s="2748"/>
      <c r="AL849" s="2748"/>
      <c r="AN849" s="2748"/>
      <c r="AO849" s="2748"/>
      <c r="AP849" s="2748"/>
    </row>
    <row r="850" spans="2:42" ht="18" customHeight="1">
      <c r="B850" s="2728"/>
      <c r="C850" s="2728"/>
      <c r="D850" s="2728"/>
      <c r="E850" s="2728"/>
      <c r="G850" s="2512"/>
      <c r="I850" s="2748"/>
      <c r="J850" s="2728"/>
      <c r="L850" s="2728"/>
      <c r="M850" s="2748"/>
      <c r="N850" s="2728"/>
      <c r="O850" s="2728"/>
      <c r="P850" s="2728"/>
      <c r="Q850" s="2748"/>
      <c r="R850" s="2748"/>
      <c r="S850" s="2748"/>
      <c r="T850" s="2748"/>
      <c r="U850" s="2748"/>
      <c r="V850" s="2748"/>
      <c r="W850" s="2748"/>
      <c r="X850" s="2748"/>
      <c r="Y850" s="2748"/>
      <c r="Z850" s="2748"/>
      <c r="AA850" s="2748"/>
      <c r="AB850" s="2748"/>
      <c r="AC850" s="2748"/>
      <c r="AD850" s="2748"/>
      <c r="AE850" s="2748"/>
      <c r="AF850" s="2748"/>
      <c r="AG850" s="2748"/>
      <c r="AH850" s="2748"/>
      <c r="AI850" s="2748"/>
      <c r="AK850" s="2748"/>
      <c r="AL850" s="2748"/>
      <c r="AN850" s="2748"/>
      <c r="AO850" s="2748"/>
      <c r="AP850" s="2748"/>
    </row>
    <row r="851" spans="2:42" ht="18" customHeight="1">
      <c r="B851" s="2728"/>
      <c r="C851" s="2728"/>
      <c r="D851" s="2728"/>
      <c r="E851" s="2728"/>
      <c r="G851" s="2512"/>
      <c r="I851" s="2748"/>
      <c r="J851" s="2728"/>
      <c r="L851" s="2728"/>
      <c r="M851" s="2748"/>
      <c r="N851" s="2728"/>
      <c r="O851" s="2728"/>
      <c r="P851" s="2728"/>
      <c r="Q851" s="2748"/>
      <c r="R851" s="2748"/>
      <c r="S851" s="2748"/>
      <c r="T851" s="2748"/>
      <c r="U851" s="2748"/>
      <c r="V851" s="2748"/>
      <c r="W851" s="2748"/>
      <c r="X851" s="2748"/>
      <c r="Y851" s="2748"/>
      <c r="Z851" s="2748"/>
      <c r="AA851" s="2748"/>
      <c r="AB851" s="2748"/>
      <c r="AC851" s="2748"/>
      <c r="AD851" s="2748"/>
      <c r="AE851" s="2748"/>
      <c r="AF851" s="2748"/>
      <c r="AG851" s="2748"/>
      <c r="AH851" s="2748"/>
      <c r="AI851" s="2748"/>
      <c r="AK851" s="2748"/>
      <c r="AL851" s="2748"/>
      <c r="AN851" s="2748"/>
      <c r="AO851" s="2748"/>
      <c r="AP851" s="2748"/>
    </row>
    <row r="852" spans="2:42" ht="18" customHeight="1">
      <c r="B852" s="2728"/>
      <c r="C852" s="2728"/>
      <c r="D852" s="2728"/>
      <c r="E852" s="2728"/>
      <c r="G852" s="2512"/>
      <c r="I852" s="2748"/>
      <c r="J852" s="2728"/>
      <c r="L852" s="2728"/>
      <c r="M852" s="2748"/>
      <c r="N852" s="2728"/>
      <c r="O852" s="2728"/>
      <c r="P852" s="2728"/>
      <c r="Q852" s="2748"/>
      <c r="R852" s="2748"/>
      <c r="S852" s="2748"/>
      <c r="T852" s="2748"/>
      <c r="U852" s="2748"/>
      <c r="V852" s="2748"/>
      <c r="W852" s="2748"/>
      <c r="X852" s="2748"/>
      <c r="Y852" s="2748"/>
      <c r="Z852" s="2748"/>
      <c r="AA852" s="2748"/>
      <c r="AB852" s="2748"/>
      <c r="AC852" s="2748"/>
      <c r="AD852" s="2748"/>
      <c r="AE852" s="2748"/>
      <c r="AF852" s="2748"/>
      <c r="AG852" s="2748"/>
      <c r="AH852" s="2748"/>
      <c r="AI852" s="2748"/>
      <c r="AK852" s="2748"/>
      <c r="AL852" s="2748"/>
      <c r="AN852" s="2748"/>
      <c r="AO852" s="2748"/>
      <c r="AP852" s="2748"/>
    </row>
    <row r="853" spans="2:42" ht="18" customHeight="1">
      <c r="B853" s="2728"/>
      <c r="C853" s="2728"/>
      <c r="D853" s="2728"/>
      <c r="E853" s="2728"/>
      <c r="G853" s="2512"/>
      <c r="I853" s="2748"/>
      <c r="J853" s="2728"/>
      <c r="L853" s="2728"/>
      <c r="M853" s="2748"/>
      <c r="N853" s="2728"/>
      <c r="O853" s="2728"/>
      <c r="P853" s="2728"/>
      <c r="Q853" s="2748"/>
      <c r="R853" s="2748"/>
      <c r="S853" s="2748"/>
      <c r="T853" s="2748"/>
      <c r="U853" s="2748"/>
      <c r="V853" s="2748"/>
      <c r="W853" s="2748"/>
      <c r="X853" s="2748"/>
      <c r="Y853" s="2748"/>
      <c r="Z853" s="2748"/>
      <c r="AA853" s="2748"/>
      <c r="AB853" s="2748"/>
      <c r="AC853" s="2748"/>
      <c r="AD853" s="2748"/>
      <c r="AE853" s="2748"/>
      <c r="AF853" s="2748"/>
      <c r="AG853" s="2748"/>
      <c r="AH853" s="2748"/>
      <c r="AI853" s="2748"/>
      <c r="AK853" s="2748"/>
      <c r="AL853" s="2748"/>
      <c r="AN853" s="2748"/>
      <c r="AO853" s="2748"/>
      <c r="AP853" s="2748"/>
    </row>
    <row r="854" spans="2:42" ht="18" customHeight="1">
      <c r="B854" s="2728"/>
      <c r="C854" s="2728"/>
      <c r="D854" s="2728"/>
      <c r="E854" s="2728"/>
      <c r="G854" s="2512"/>
      <c r="I854" s="2748"/>
      <c r="J854" s="2728"/>
      <c r="L854" s="2728"/>
      <c r="M854" s="2748"/>
      <c r="N854" s="2728"/>
      <c r="O854" s="2728"/>
      <c r="P854" s="2728"/>
      <c r="Q854" s="2748"/>
      <c r="R854" s="2748"/>
      <c r="S854" s="2748"/>
      <c r="T854" s="2748"/>
      <c r="U854" s="2748"/>
      <c r="V854" s="2748"/>
      <c r="W854" s="2748"/>
      <c r="X854" s="2748"/>
      <c r="Y854" s="2748"/>
      <c r="Z854" s="2748"/>
      <c r="AA854" s="2748"/>
      <c r="AB854" s="2748"/>
      <c r="AC854" s="2748"/>
      <c r="AD854" s="2748"/>
      <c r="AE854" s="2748"/>
      <c r="AF854" s="2748"/>
      <c r="AG854" s="2748"/>
      <c r="AH854" s="2748"/>
      <c r="AI854" s="2748"/>
      <c r="AK854" s="2748"/>
      <c r="AL854" s="2748"/>
      <c r="AN854" s="2748"/>
      <c r="AO854" s="2748"/>
      <c r="AP854" s="2748"/>
    </row>
    <row r="855" spans="2:42" ht="18" customHeight="1">
      <c r="B855" s="2728"/>
      <c r="C855" s="2728"/>
      <c r="D855" s="2728"/>
      <c r="E855" s="2728"/>
      <c r="G855" s="2512"/>
      <c r="I855" s="2748"/>
      <c r="J855" s="2728"/>
      <c r="L855" s="2728"/>
      <c r="M855" s="2748"/>
      <c r="N855" s="2728"/>
      <c r="O855" s="2728"/>
      <c r="P855" s="2728"/>
      <c r="Q855" s="2748"/>
      <c r="R855" s="2748"/>
      <c r="S855" s="2748"/>
      <c r="T855" s="2748"/>
      <c r="U855" s="2748"/>
      <c r="V855" s="2748"/>
      <c r="W855" s="2748"/>
      <c r="X855" s="2748"/>
      <c r="Y855" s="2748"/>
      <c r="Z855" s="2748"/>
      <c r="AA855" s="2748"/>
      <c r="AB855" s="2748"/>
      <c r="AC855" s="2748"/>
      <c r="AD855" s="2748"/>
      <c r="AE855" s="2748"/>
      <c r="AF855" s="2748"/>
      <c r="AG855" s="2748"/>
      <c r="AH855" s="2748"/>
      <c r="AI855" s="2748"/>
      <c r="AK855" s="2748"/>
      <c r="AL855" s="2748"/>
      <c r="AN855" s="2748"/>
      <c r="AO855" s="2748"/>
      <c r="AP855" s="2748"/>
    </row>
    <row r="856" spans="2:42" ht="18" customHeight="1">
      <c r="B856" s="2728"/>
      <c r="C856" s="2728"/>
      <c r="D856" s="2728"/>
      <c r="E856" s="2728"/>
      <c r="G856" s="2512"/>
      <c r="I856" s="2748"/>
      <c r="J856" s="2728"/>
      <c r="L856" s="2728"/>
      <c r="M856" s="2748"/>
      <c r="N856" s="2728"/>
      <c r="O856" s="2728"/>
      <c r="P856" s="2728"/>
      <c r="Q856" s="2748"/>
      <c r="R856" s="2748"/>
      <c r="S856" s="2748"/>
      <c r="T856" s="2748"/>
      <c r="U856" s="2748"/>
      <c r="V856" s="2748"/>
      <c r="W856" s="2748"/>
      <c r="X856" s="2748"/>
      <c r="Y856" s="2748"/>
      <c r="Z856" s="2748"/>
      <c r="AA856" s="2748"/>
      <c r="AB856" s="2748"/>
      <c r="AC856" s="2748"/>
      <c r="AD856" s="2748"/>
      <c r="AE856" s="2748"/>
      <c r="AF856" s="2748"/>
      <c r="AG856" s="2748"/>
      <c r="AH856" s="2748"/>
      <c r="AI856" s="2748"/>
      <c r="AK856" s="2748"/>
      <c r="AL856" s="2748"/>
      <c r="AN856" s="2748"/>
      <c r="AO856" s="2748"/>
      <c r="AP856" s="2748"/>
    </row>
    <row r="857" spans="2:42" ht="18" customHeight="1">
      <c r="B857" s="2728"/>
      <c r="C857" s="2728"/>
      <c r="D857" s="2728"/>
      <c r="E857" s="2728"/>
      <c r="G857" s="2512"/>
      <c r="I857" s="2748"/>
      <c r="J857" s="2728"/>
      <c r="L857" s="2728"/>
      <c r="M857" s="2748"/>
      <c r="N857" s="2728"/>
      <c r="O857" s="2728"/>
      <c r="P857" s="2728"/>
      <c r="Q857" s="2748"/>
      <c r="R857" s="2748"/>
      <c r="S857" s="2748"/>
      <c r="T857" s="2748"/>
      <c r="U857" s="2748"/>
      <c r="V857" s="2748"/>
      <c r="W857" s="2748"/>
      <c r="X857" s="2748"/>
      <c r="Y857" s="2748"/>
      <c r="Z857" s="2748"/>
      <c r="AA857" s="2748"/>
      <c r="AB857" s="2748"/>
      <c r="AC857" s="2748"/>
      <c r="AD857" s="2748"/>
      <c r="AE857" s="2748"/>
      <c r="AF857" s="2748"/>
      <c r="AG857" s="2748"/>
      <c r="AH857" s="2748"/>
      <c r="AI857" s="2748"/>
      <c r="AK857" s="2748"/>
      <c r="AL857" s="2748"/>
      <c r="AN857" s="2748"/>
      <c r="AO857" s="2748"/>
      <c r="AP857" s="2748"/>
    </row>
    <row r="858" spans="2:42" ht="18" customHeight="1">
      <c r="B858" s="2728"/>
      <c r="C858" s="2728"/>
      <c r="D858" s="2728"/>
      <c r="E858" s="2728"/>
      <c r="G858" s="2512"/>
      <c r="I858" s="2748"/>
      <c r="J858" s="2728"/>
      <c r="L858" s="2728"/>
      <c r="M858" s="2748"/>
      <c r="N858" s="2728"/>
      <c r="O858" s="2728"/>
      <c r="P858" s="2728"/>
      <c r="Q858" s="2748"/>
      <c r="R858" s="2748"/>
      <c r="S858" s="2748"/>
      <c r="T858" s="2748"/>
      <c r="U858" s="2748"/>
      <c r="V858" s="2748"/>
      <c r="W858" s="2748"/>
      <c r="X858" s="2748"/>
      <c r="Y858" s="2748"/>
      <c r="Z858" s="2748"/>
      <c r="AA858" s="2748"/>
      <c r="AB858" s="2748"/>
      <c r="AC858" s="2748"/>
      <c r="AD858" s="2748"/>
      <c r="AE858" s="2748"/>
      <c r="AF858" s="2748"/>
      <c r="AG858" s="2748"/>
      <c r="AH858" s="2748"/>
      <c r="AI858" s="2748"/>
      <c r="AK858" s="2748"/>
      <c r="AL858" s="2748"/>
      <c r="AN858" s="2748"/>
      <c r="AO858" s="2748"/>
      <c r="AP858" s="2748"/>
    </row>
    <row r="859" spans="2:42" ht="18" customHeight="1">
      <c r="B859" s="2728"/>
      <c r="C859" s="2728"/>
      <c r="D859" s="2728"/>
      <c r="E859" s="2728"/>
      <c r="G859" s="2512"/>
      <c r="I859" s="2748"/>
      <c r="J859" s="2728"/>
      <c r="L859" s="2728"/>
      <c r="M859" s="2748"/>
      <c r="N859" s="2728"/>
      <c r="O859" s="2728"/>
      <c r="P859" s="2728"/>
      <c r="Q859" s="2748"/>
      <c r="R859" s="2748"/>
      <c r="S859" s="2748"/>
      <c r="T859" s="2748"/>
      <c r="U859" s="2748"/>
      <c r="V859" s="2748"/>
      <c r="W859" s="2748"/>
      <c r="X859" s="2748"/>
      <c r="Y859" s="2748"/>
      <c r="Z859" s="2748"/>
      <c r="AA859" s="2748"/>
      <c r="AB859" s="2748"/>
      <c r="AC859" s="2748"/>
      <c r="AD859" s="2748"/>
      <c r="AE859" s="2748"/>
      <c r="AF859" s="2748"/>
      <c r="AG859" s="2748"/>
      <c r="AH859" s="2748"/>
      <c r="AI859" s="2748"/>
      <c r="AK859" s="2748"/>
      <c r="AL859" s="2748"/>
      <c r="AN859" s="2748"/>
      <c r="AO859" s="2748"/>
      <c r="AP859" s="2748"/>
    </row>
    <row r="860" spans="2:42" ht="18" customHeight="1">
      <c r="B860" s="2728"/>
      <c r="C860" s="2728"/>
      <c r="D860" s="2728"/>
      <c r="E860" s="2728"/>
      <c r="G860" s="2512"/>
      <c r="I860" s="2748"/>
      <c r="J860" s="2728"/>
      <c r="L860" s="2728"/>
      <c r="M860" s="2748"/>
      <c r="N860" s="2728"/>
      <c r="O860" s="2728"/>
      <c r="P860" s="2728"/>
      <c r="Q860" s="2748"/>
      <c r="R860" s="2748"/>
      <c r="S860" s="2748"/>
      <c r="T860" s="2748"/>
      <c r="U860" s="2748"/>
      <c r="V860" s="2748"/>
      <c r="W860" s="2748"/>
      <c r="X860" s="2748"/>
      <c r="Y860" s="2748"/>
      <c r="Z860" s="2748"/>
      <c r="AA860" s="2748"/>
      <c r="AB860" s="2748"/>
      <c r="AC860" s="2748"/>
      <c r="AD860" s="2748"/>
      <c r="AE860" s="2748"/>
      <c r="AF860" s="2748"/>
      <c r="AG860" s="2748"/>
      <c r="AH860" s="2748"/>
      <c r="AI860" s="2748"/>
      <c r="AK860" s="2748"/>
      <c r="AL860" s="2748"/>
      <c r="AN860" s="2748"/>
      <c r="AO860" s="2748"/>
      <c r="AP860" s="2748"/>
    </row>
    <row r="861" spans="2:42" ht="18" customHeight="1">
      <c r="B861" s="2728"/>
      <c r="C861" s="2728"/>
      <c r="D861" s="2728"/>
      <c r="E861" s="2728"/>
      <c r="G861" s="2512"/>
      <c r="I861" s="2748"/>
      <c r="J861" s="2728"/>
      <c r="L861" s="2728"/>
      <c r="M861" s="2748"/>
      <c r="N861" s="2728"/>
      <c r="O861" s="2728"/>
      <c r="P861" s="2728"/>
      <c r="Q861" s="2748"/>
      <c r="R861" s="2748"/>
      <c r="S861" s="2748"/>
      <c r="T861" s="2748"/>
      <c r="U861" s="2748"/>
      <c r="V861" s="2748"/>
      <c r="W861" s="2748"/>
      <c r="X861" s="2748"/>
      <c r="Y861" s="2748"/>
      <c r="Z861" s="2748"/>
      <c r="AA861" s="2748"/>
      <c r="AB861" s="2748"/>
      <c r="AC861" s="2748"/>
      <c r="AD861" s="2748"/>
      <c r="AE861" s="2748"/>
      <c r="AF861" s="2748"/>
      <c r="AG861" s="2748"/>
      <c r="AH861" s="2748"/>
      <c r="AI861" s="2748"/>
      <c r="AK861" s="2748"/>
      <c r="AL861" s="2748"/>
      <c r="AN861" s="2748"/>
      <c r="AO861" s="2748"/>
      <c r="AP861" s="2748"/>
    </row>
    <row r="862" spans="2:42" ht="18" customHeight="1">
      <c r="B862" s="2728"/>
      <c r="C862" s="2728"/>
      <c r="D862" s="2728"/>
      <c r="E862" s="2728"/>
      <c r="G862" s="2512"/>
      <c r="I862" s="2748"/>
      <c r="J862" s="2728"/>
      <c r="L862" s="2728"/>
      <c r="M862" s="2748"/>
      <c r="N862" s="2728"/>
      <c r="O862" s="2728"/>
      <c r="P862" s="2728"/>
      <c r="Q862" s="2748"/>
      <c r="R862" s="2748"/>
      <c r="S862" s="2748"/>
      <c r="T862" s="2748"/>
      <c r="U862" s="2748"/>
      <c r="V862" s="2748"/>
      <c r="W862" s="2748"/>
      <c r="X862" s="2748"/>
      <c r="Y862" s="2748"/>
      <c r="Z862" s="2748"/>
      <c r="AA862" s="2748"/>
      <c r="AB862" s="2748"/>
      <c r="AC862" s="2748"/>
      <c r="AD862" s="2748"/>
      <c r="AE862" s="2748"/>
      <c r="AF862" s="2748"/>
      <c r="AG862" s="2748"/>
      <c r="AH862" s="2748"/>
      <c r="AI862" s="2748"/>
      <c r="AK862" s="2748"/>
      <c r="AL862" s="2748"/>
      <c r="AN862" s="2748"/>
      <c r="AO862" s="2748"/>
      <c r="AP862" s="2748"/>
    </row>
    <row r="863" spans="2:42" ht="18" customHeight="1">
      <c r="B863" s="2728"/>
      <c r="C863" s="2728"/>
      <c r="D863" s="2728"/>
      <c r="E863" s="2728"/>
      <c r="G863" s="2512"/>
      <c r="I863" s="2748"/>
      <c r="J863" s="2728"/>
      <c r="L863" s="2728"/>
      <c r="M863" s="2748"/>
      <c r="N863" s="2728"/>
      <c r="O863" s="2728"/>
      <c r="P863" s="2728"/>
      <c r="Q863" s="2748"/>
      <c r="R863" s="2748"/>
      <c r="S863" s="2748"/>
      <c r="T863" s="2748"/>
      <c r="U863" s="2748"/>
      <c r="V863" s="2748"/>
      <c r="W863" s="2748"/>
      <c r="X863" s="2748"/>
      <c r="Y863" s="2748"/>
      <c r="Z863" s="2748"/>
      <c r="AA863" s="2748"/>
      <c r="AB863" s="2748"/>
      <c r="AC863" s="2748"/>
      <c r="AD863" s="2748"/>
      <c r="AE863" s="2748"/>
      <c r="AF863" s="2748"/>
      <c r="AG863" s="2748"/>
      <c r="AH863" s="2748"/>
      <c r="AI863" s="2748"/>
      <c r="AK863" s="2748"/>
      <c r="AL863" s="2748"/>
      <c r="AN863" s="2748"/>
      <c r="AO863" s="2748"/>
      <c r="AP863" s="2748"/>
    </row>
    <row r="864" spans="2:42" ht="18" customHeight="1">
      <c r="B864" s="2728"/>
      <c r="C864" s="2728"/>
      <c r="D864" s="2728"/>
      <c r="E864" s="2728"/>
      <c r="G864" s="2512"/>
      <c r="I864" s="2748"/>
      <c r="J864" s="2728"/>
      <c r="L864" s="2728"/>
      <c r="M864" s="2748"/>
      <c r="N864" s="2728"/>
      <c r="O864" s="2728"/>
      <c r="P864" s="2728"/>
      <c r="Q864" s="2748"/>
      <c r="R864" s="2748"/>
      <c r="S864" s="2748"/>
      <c r="T864" s="2748"/>
      <c r="U864" s="2748"/>
      <c r="V864" s="2748"/>
      <c r="W864" s="2748"/>
      <c r="X864" s="2748"/>
      <c r="Y864" s="2748"/>
      <c r="Z864" s="2748"/>
      <c r="AA864" s="2748"/>
      <c r="AB864" s="2748"/>
      <c r="AC864" s="2748"/>
      <c r="AD864" s="2748"/>
      <c r="AE864" s="2748"/>
      <c r="AF864" s="2748"/>
      <c r="AG864" s="2748"/>
      <c r="AH864" s="2748"/>
      <c r="AI864" s="2748"/>
      <c r="AK864" s="2748"/>
      <c r="AL864" s="2748"/>
      <c r="AN864" s="2748"/>
      <c r="AO864" s="2748"/>
      <c r="AP864" s="2748"/>
    </row>
    <row r="865" spans="2:42" ht="18" customHeight="1">
      <c r="B865" s="2728"/>
      <c r="C865" s="2728"/>
      <c r="D865" s="2728"/>
      <c r="E865" s="2728"/>
      <c r="G865" s="2512"/>
      <c r="I865" s="2748"/>
      <c r="J865" s="2728"/>
      <c r="L865" s="2728"/>
      <c r="M865" s="2748"/>
      <c r="N865" s="2728"/>
      <c r="O865" s="2728"/>
      <c r="P865" s="2728"/>
      <c r="Q865" s="2748"/>
      <c r="R865" s="2748"/>
      <c r="S865" s="2748"/>
      <c r="T865" s="2748"/>
      <c r="U865" s="2748"/>
      <c r="V865" s="2748"/>
      <c r="W865" s="2748"/>
      <c r="X865" s="2748"/>
      <c r="Y865" s="2748"/>
      <c r="Z865" s="2748"/>
      <c r="AA865" s="2748"/>
      <c r="AB865" s="2748"/>
      <c r="AC865" s="2748"/>
      <c r="AD865" s="2748"/>
      <c r="AE865" s="2748"/>
      <c r="AF865" s="2748"/>
      <c r="AG865" s="2748"/>
      <c r="AH865" s="2748"/>
      <c r="AI865" s="2748"/>
      <c r="AK865" s="2748"/>
      <c r="AL865" s="2748"/>
      <c r="AN865" s="2748"/>
      <c r="AO865" s="2748"/>
      <c r="AP865" s="2748"/>
    </row>
    <row r="866" spans="2:42" ht="18" customHeight="1">
      <c r="B866" s="2728"/>
      <c r="C866" s="2728"/>
      <c r="D866" s="2728"/>
      <c r="E866" s="2728"/>
      <c r="G866" s="2512"/>
      <c r="I866" s="2748"/>
      <c r="J866" s="2728"/>
      <c r="L866" s="2728"/>
      <c r="M866" s="2748"/>
      <c r="N866" s="2728"/>
      <c r="O866" s="2728"/>
      <c r="P866" s="2728"/>
      <c r="Q866" s="2748"/>
      <c r="R866" s="2748"/>
      <c r="S866" s="2748"/>
      <c r="T866" s="2748"/>
      <c r="U866" s="2748"/>
      <c r="V866" s="2748"/>
      <c r="W866" s="2748"/>
      <c r="X866" s="2748"/>
      <c r="Y866" s="2748"/>
      <c r="Z866" s="2748"/>
      <c r="AA866" s="2748"/>
      <c r="AB866" s="2748"/>
      <c r="AC866" s="2748"/>
      <c r="AD866" s="2748"/>
      <c r="AE866" s="2748"/>
      <c r="AF866" s="2748"/>
      <c r="AG866" s="2748"/>
      <c r="AH866" s="2748"/>
      <c r="AI866" s="2748"/>
      <c r="AK866" s="2748"/>
      <c r="AL866" s="2748"/>
      <c r="AN866" s="2748"/>
      <c r="AO866" s="2748"/>
      <c r="AP866" s="2748"/>
    </row>
    <row r="867" spans="2:42" ht="18" customHeight="1">
      <c r="B867" s="2728"/>
      <c r="C867" s="2728"/>
      <c r="D867" s="2728"/>
      <c r="E867" s="2728"/>
      <c r="G867" s="2512"/>
      <c r="I867" s="2748"/>
      <c r="J867" s="2728"/>
      <c r="L867" s="2728"/>
      <c r="M867" s="2748"/>
      <c r="N867" s="2728"/>
      <c r="O867" s="2728"/>
      <c r="P867" s="2728"/>
      <c r="Q867" s="2748"/>
      <c r="R867" s="2748"/>
      <c r="S867" s="2748"/>
      <c r="T867" s="2748"/>
      <c r="U867" s="2748"/>
      <c r="V867" s="2748"/>
      <c r="W867" s="2748"/>
      <c r="X867" s="2748"/>
      <c r="Y867" s="2748"/>
      <c r="Z867" s="2748"/>
      <c r="AA867" s="2748"/>
      <c r="AB867" s="2748"/>
      <c r="AC867" s="2748"/>
      <c r="AD867" s="2748"/>
      <c r="AE867" s="2748"/>
      <c r="AF867" s="2748"/>
      <c r="AG867" s="2748"/>
      <c r="AH867" s="2748"/>
      <c r="AI867" s="2748"/>
      <c r="AK867" s="2748"/>
      <c r="AL867" s="2748"/>
      <c r="AN867" s="2748"/>
      <c r="AO867" s="2748"/>
      <c r="AP867" s="2748"/>
    </row>
    <row r="868" spans="2:42" ht="18" customHeight="1">
      <c r="B868" s="2728"/>
      <c r="C868" s="2728"/>
      <c r="D868" s="2728"/>
      <c r="E868" s="2728"/>
      <c r="G868" s="2512"/>
      <c r="I868" s="2748"/>
      <c r="J868" s="2728"/>
      <c r="L868" s="2728"/>
      <c r="M868" s="2748"/>
      <c r="N868" s="2728"/>
      <c r="O868" s="2728"/>
      <c r="P868" s="2728"/>
      <c r="Q868" s="2748"/>
      <c r="R868" s="2748"/>
      <c r="S868" s="2748"/>
      <c r="T868" s="2748"/>
      <c r="U868" s="2748"/>
      <c r="V868" s="2748"/>
      <c r="W868" s="2748"/>
      <c r="X868" s="2748"/>
      <c r="Y868" s="2748"/>
      <c r="Z868" s="2748"/>
      <c r="AA868" s="2748"/>
      <c r="AB868" s="2748"/>
      <c r="AC868" s="2748"/>
      <c r="AD868" s="2748"/>
      <c r="AE868" s="2748"/>
      <c r="AF868" s="2748"/>
      <c r="AG868" s="2748"/>
      <c r="AH868" s="2748"/>
      <c r="AI868" s="2748"/>
      <c r="AK868" s="2748"/>
      <c r="AL868" s="2748"/>
      <c r="AN868" s="2748"/>
      <c r="AO868" s="2748"/>
      <c r="AP868" s="2748"/>
    </row>
    <row r="869" spans="2:42" ht="18" customHeight="1">
      <c r="B869" s="2728"/>
      <c r="C869" s="2728"/>
      <c r="D869" s="2728"/>
      <c r="E869" s="2728"/>
      <c r="G869" s="2512"/>
      <c r="I869" s="2748"/>
      <c r="J869" s="2728"/>
      <c r="L869" s="2728"/>
      <c r="M869" s="2748"/>
      <c r="N869" s="2728"/>
      <c r="O869" s="2728"/>
      <c r="P869" s="2728"/>
      <c r="Q869" s="2748"/>
      <c r="R869" s="2748"/>
      <c r="S869" s="2748"/>
      <c r="T869" s="2748"/>
      <c r="U869" s="2748"/>
      <c r="V869" s="2748"/>
      <c r="W869" s="2748"/>
      <c r="X869" s="2748"/>
      <c r="Y869" s="2748"/>
      <c r="Z869" s="2748"/>
      <c r="AA869" s="2748"/>
      <c r="AB869" s="2748"/>
      <c r="AC869" s="2748"/>
      <c r="AD869" s="2748"/>
      <c r="AE869" s="2748"/>
      <c r="AF869" s="2748"/>
      <c r="AG869" s="2748"/>
      <c r="AH869" s="2748"/>
      <c r="AI869" s="2748"/>
      <c r="AK869" s="2748"/>
      <c r="AL869" s="2748"/>
      <c r="AN869" s="2748"/>
      <c r="AO869" s="2748"/>
      <c r="AP869" s="2748"/>
    </row>
    <row r="870" spans="2:42" ht="18" customHeight="1">
      <c r="B870" s="2728"/>
      <c r="C870" s="2728"/>
      <c r="D870" s="2728"/>
      <c r="E870" s="2728"/>
      <c r="G870" s="2512"/>
      <c r="I870" s="2748"/>
      <c r="J870" s="2728"/>
      <c r="L870" s="2728"/>
      <c r="M870" s="2748"/>
      <c r="N870" s="2728"/>
      <c r="O870" s="2728"/>
      <c r="P870" s="2728"/>
      <c r="Q870" s="2748"/>
      <c r="R870" s="2748"/>
      <c r="S870" s="2748"/>
      <c r="T870" s="2748"/>
      <c r="U870" s="2748"/>
      <c r="V870" s="2748"/>
      <c r="W870" s="2748"/>
      <c r="X870" s="2748"/>
      <c r="Y870" s="2748"/>
      <c r="Z870" s="2748"/>
      <c r="AA870" s="2748"/>
      <c r="AB870" s="2748"/>
      <c r="AC870" s="2748"/>
      <c r="AD870" s="2748"/>
      <c r="AE870" s="2748"/>
      <c r="AF870" s="2748"/>
      <c r="AG870" s="2748"/>
      <c r="AH870" s="2748"/>
      <c r="AI870" s="2748"/>
      <c r="AK870" s="2748"/>
      <c r="AL870" s="2748"/>
      <c r="AN870" s="2748"/>
      <c r="AO870" s="2748"/>
      <c r="AP870" s="2748"/>
    </row>
    <row r="871" spans="2:42" ht="18" customHeight="1">
      <c r="B871" s="2728"/>
      <c r="C871" s="2728"/>
      <c r="D871" s="2728"/>
      <c r="E871" s="2728"/>
      <c r="G871" s="2512"/>
      <c r="I871" s="2748"/>
      <c r="J871" s="2728"/>
      <c r="L871" s="2728"/>
      <c r="M871" s="2748"/>
      <c r="N871" s="2728"/>
      <c r="O871" s="2728"/>
      <c r="P871" s="2728"/>
      <c r="Q871" s="2748"/>
      <c r="R871" s="2748"/>
      <c r="S871" s="2748"/>
      <c r="T871" s="2748"/>
      <c r="U871" s="2748"/>
      <c r="V871" s="2748"/>
      <c r="W871" s="2748"/>
      <c r="X871" s="2748"/>
      <c r="Y871" s="2748"/>
      <c r="Z871" s="2748"/>
      <c r="AA871" s="2748"/>
      <c r="AB871" s="2748"/>
      <c r="AC871" s="2748"/>
      <c r="AD871" s="2748"/>
      <c r="AE871" s="2748"/>
      <c r="AF871" s="2748"/>
      <c r="AG871" s="2748"/>
      <c r="AH871" s="2748"/>
      <c r="AI871" s="2748"/>
      <c r="AK871" s="2748"/>
      <c r="AL871" s="2748"/>
      <c r="AN871" s="2748"/>
      <c r="AO871" s="2748"/>
      <c r="AP871" s="2748"/>
    </row>
    <row r="872" spans="2:42" ht="18" customHeight="1">
      <c r="B872" s="2728"/>
      <c r="C872" s="2728"/>
      <c r="D872" s="2728"/>
      <c r="E872" s="2728"/>
      <c r="G872" s="2512"/>
      <c r="I872" s="2748"/>
      <c r="J872" s="2728"/>
      <c r="L872" s="2728"/>
      <c r="M872" s="2748"/>
      <c r="N872" s="2728"/>
      <c r="O872" s="2728"/>
      <c r="P872" s="2728"/>
      <c r="Q872" s="2748"/>
      <c r="R872" s="2748"/>
      <c r="S872" s="2748"/>
      <c r="T872" s="2748"/>
      <c r="U872" s="2748"/>
      <c r="V872" s="2748"/>
      <c r="W872" s="2748"/>
      <c r="X872" s="2748"/>
      <c r="Y872" s="2748"/>
      <c r="Z872" s="2748"/>
      <c r="AA872" s="2748"/>
      <c r="AB872" s="2748"/>
      <c r="AC872" s="2748"/>
      <c r="AD872" s="2748"/>
      <c r="AE872" s="2748"/>
      <c r="AF872" s="2748"/>
      <c r="AG872" s="2748"/>
      <c r="AH872" s="2748"/>
      <c r="AI872" s="2748"/>
      <c r="AK872" s="2748"/>
      <c r="AL872" s="2748"/>
      <c r="AN872" s="2748"/>
      <c r="AO872" s="2748"/>
      <c r="AP872" s="2748"/>
    </row>
    <row r="873" spans="2:42" ht="18" customHeight="1">
      <c r="B873" s="2728"/>
      <c r="C873" s="2728"/>
      <c r="D873" s="2728"/>
      <c r="E873" s="2728"/>
      <c r="G873" s="2512"/>
      <c r="I873" s="2748"/>
      <c r="J873" s="2728"/>
      <c r="L873" s="2728"/>
      <c r="M873" s="2748"/>
      <c r="N873" s="2728"/>
      <c r="O873" s="2728"/>
      <c r="P873" s="2728"/>
      <c r="Q873" s="2748"/>
      <c r="R873" s="2748"/>
      <c r="S873" s="2748"/>
      <c r="T873" s="2748"/>
      <c r="U873" s="2748"/>
      <c r="V873" s="2748"/>
      <c r="W873" s="2748"/>
      <c r="X873" s="2748"/>
      <c r="Y873" s="2748"/>
      <c r="Z873" s="2748"/>
      <c r="AA873" s="2748"/>
      <c r="AB873" s="2748"/>
      <c r="AC873" s="2748"/>
      <c r="AD873" s="2748"/>
      <c r="AE873" s="2748"/>
      <c r="AF873" s="2748"/>
      <c r="AG873" s="2748"/>
      <c r="AH873" s="2748"/>
      <c r="AI873" s="2748"/>
      <c r="AK873" s="2748"/>
      <c r="AL873" s="2748"/>
      <c r="AN873" s="2748"/>
      <c r="AO873" s="2748"/>
      <c r="AP873" s="2748"/>
    </row>
    <row r="874" spans="2:42" ht="18" customHeight="1">
      <c r="B874" s="2728"/>
      <c r="C874" s="2728"/>
      <c r="D874" s="2728"/>
      <c r="E874" s="2728"/>
      <c r="G874" s="2512"/>
      <c r="I874" s="2748"/>
      <c r="J874" s="2728"/>
      <c r="L874" s="2728"/>
      <c r="M874" s="2748"/>
      <c r="N874" s="2728"/>
      <c r="O874" s="2728"/>
      <c r="P874" s="2728"/>
      <c r="Q874" s="2748"/>
      <c r="R874" s="2748"/>
      <c r="S874" s="2748"/>
      <c r="T874" s="2748"/>
      <c r="U874" s="2748"/>
      <c r="V874" s="2748"/>
      <c r="W874" s="2748"/>
      <c r="X874" s="2748"/>
      <c r="Y874" s="2748"/>
      <c r="Z874" s="2748"/>
      <c r="AA874" s="2748"/>
      <c r="AB874" s="2748"/>
      <c r="AC874" s="2748"/>
      <c r="AD874" s="2748"/>
      <c r="AE874" s="2748"/>
      <c r="AF874" s="2748"/>
      <c r="AG874" s="2748"/>
      <c r="AH874" s="2748"/>
      <c r="AI874" s="2748"/>
      <c r="AK874" s="2748"/>
      <c r="AL874" s="2748"/>
      <c r="AN874" s="2748"/>
      <c r="AO874" s="2748"/>
      <c r="AP874" s="2748"/>
    </row>
    <row r="875" spans="2:42" ht="18" customHeight="1">
      <c r="B875" s="2728"/>
      <c r="C875" s="2728"/>
      <c r="D875" s="2728"/>
      <c r="E875" s="2728"/>
      <c r="G875" s="2512"/>
      <c r="I875" s="2748"/>
      <c r="J875" s="2728"/>
      <c r="L875" s="2728"/>
      <c r="M875" s="2748"/>
      <c r="N875" s="2728"/>
      <c r="O875" s="2728"/>
      <c r="P875" s="2728"/>
      <c r="Q875" s="2748"/>
      <c r="R875" s="2748"/>
      <c r="S875" s="2748"/>
      <c r="T875" s="2748"/>
      <c r="U875" s="2748"/>
      <c r="V875" s="2748"/>
      <c r="W875" s="2748"/>
      <c r="X875" s="2748"/>
      <c r="Y875" s="2748"/>
      <c r="Z875" s="2748"/>
      <c r="AA875" s="2748"/>
      <c r="AB875" s="2748"/>
      <c r="AC875" s="2748"/>
      <c r="AD875" s="2748"/>
      <c r="AE875" s="2748"/>
      <c r="AF875" s="2748"/>
      <c r="AG875" s="2748"/>
      <c r="AH875" s="2748"/>
      <c r="AI875" s="2748"/>
      <c r="AK875" s="2748"/>
      <c r="AL875" s="2748"/>
      <c r="AN875" s="2748"/>
      <c r="AO875" s="2748"/>
      <c r="AP875" s="2748"/>
    </row>
    <row r="876" spans="2:42" ht="18" customHeight="1">
      <c r="B876" s="2728"/>
      <c r="C876" s="2728"/>
      <c r="D876" s="2728"/>
      <c r="E876" s="2728"/>
      <c r="G876" s="2512"/>
      <c r="I876" s="2748"/>
      <c r="J876" s="2728"/>
      <c r="L876" s="2728"/>
      <c r="M876" s="2748"/>
      <c r="N876" s="2728"/>
      <c r="O876" s="2728"/>
      <c r="P876" s="2728"/>
      <c r="Q876" s="2748"/>
      <c r="R876" s="2748"/>
      <c r="S876" s="2748"/>
      <c r="T876" s="2748"/>
      <c r="U876" s="2748"/>
      <c r="V876" s="2748"/>
      <c r="W876" s="2748"/>
      <c r="X876" s="2748"/>
      <c r="Y876" s="2748"/>
      <c r="Z876" s="2748"/>
      <c r="AA876" s="2748"/>
      <c r="AB876" s="2748"/>
      <c r="AC876" s="2748"/>
      <c r="AD876" s="2748"/>
      <c r="AE876" s="2748"/>
      <c r="AF876" s="2748"/>
      <c r="AG876" s="2748"/>
      <c r="AH876" s="2748"/>
      <c r="AI876" s="2748"/>
      <c r="AK876" s="2748"/>
      <c r="AL876" s="2748"/>
      <c r="AN876" s="2748"/>
      <c r="AO876" s="2748"/>
      <c r="AP876" s="2748"/>
    </row>
    <row r="877" spans="2:42" ht="18" customHeight="1">
      <c r="B877" s="2728"/>
      <c r="C877" s="2728"/>
      <c r="D877" s="2728"/>
      <c r="E877" s="2728"/>
      <c r="G877" s="2512"/>
      <c r="I877" s="2748"/>
      <c r="J877" s="2728"/>
      <c r="L877" s="2728"/>
      <c r="M877" s="2748"/>
      <c r="N877" s="2728"/>
      <c r="O877" s="2728"/>
      <c r="P877" s="2728"/>
      <c r="Q877" s="2748"/>
      <c r="R877" s="2748"/>
      <c r="S877" s="2748"/>
      <c r="T877" s="2748"/>
      <c r="U877" s="2748"/>
      <c r="V877" s="2748"/>
      <c r="W877" s="2748"/>
      <c r="X877" s="2748"/>
      <c r="Y877" s="2748"/>
      <c r="Z877" s="2748"/>
      <c r="AA877" s="2748"/>
      <c r="AB877" s="2748"/>
      <c r="AC877" s="2748"/>
      <c r="AD877" s="2748"/>
      <c r="AE877" s="2748"/>
      <c r="AF877" s="2748"/>
      <c r="AG877" s="2748"/>
      <c r="AH877" s="2748"/>
      <c r="AI877" s="2748"/>
      <c r="AK877" s="2748"/>
      <c r="AL877" s="2748"/>
      <c r="AN877" s="2748"/>
      <c r="AO877" s="2748"/>
      <c r="AP877" s="2748"/>
    </row>
    <row r="878" spans="2:42" ht="18" customHeight="1">
      <c r="B878" s="2728"/>
      <c r="C878" s="2728"/>
      <c r="D878" s="2728"/>
      <c r="E878" s="2728"/>
      <c r="G878" s="2512"/>
      <c r="I878" s="2748"/>
      <c r="J878" s="2728"/>
      <c r="L878" s="2728"/>
      <c r="M878" s="2748"/>
      <c r="N878" s="2728"/>
      <c r="O878" s="2728"/>
      <c r="P878" s="2728"/>
      <c r="Q878" s="2748"/>
      <c r="R878" s="2748"/>
      <c r="S878" s="2748"/>
      <c r="T878" s="2748"/>
      <c r="U878" s="2748"/>
      <c r="V878" s="2748"/>
      <c r="W878" s="2748"/>
      <c r="X878" s="2748"/>
      <c r="Y878" s="2748"/>
      <c r="Z878" s="2748"/>
      <c r="AA878" s="2748"/>
      <c r="AB878" s="2748"/>
      <c r="AC878" s="2748"/>
      <c r="AD878" s="2748"/>
      <c r="AE878" s="2748"/>
      <c r="AF878" s="2748"/>
      <c r="AG878" s="2748"/>
      <c r="AH878" s="2748"/>
      <c r="AI878" s="2748"/>
      <c r="AK878" s="2748"/>
      <c r="AL878" s="2748"/>
      <c r="AN878" s="2748"/>
      <c r="AO878" s="2748"/>
      <c r="AP878" s="2748"/>
    </row>
    <row r="879" spans="2:42" ht="18" customHeight="1">
      <c r="B879" s="2728"/>
      <c r="C879" s="2728"/>
      <c r="D879" s="2728"/>
      <c r="E879" s="2728"/>
      <c r="G879" s="2512"/>
      <c r="I879" s="2748"/>
      <c r="J879" s="2728"/>
      <c r="L879" s="2728"/>
      <c r="M879" s="2748"/>
      <c r="N879" s="2728"/>
      <c r="O879" s="2728"/>
      <c r="P879" s="2728"/>
      <c r="Q879" s="2748"/>
      <c r="R879" s="2748"/>
      <c r="S879" s="2748"/>
      <c r="T879" s="2748"/>
      <c r="U879" s="2748"/>
      <c r="V879" s="2748"/>
      <c r="W879" s="2748"/>
      <c r="X879" s="2748"/>
      <c r="Y879" s="2748"/>
      <c r="Z879" s="2748"/>
      <c r="AA879" s="2748"/>
      <c r="AB879" s="2748"/>
      <c r="AC879" s="2748"/>
      <c r="AD879" s="2748"/>
      <c r="AE879" s="2748"/>
      <c r="AF879" s="2748"/>
      <c r="AG879" s="2748"/>
      <c r="AH879" s="2748"/>
      <c r="AI879" s="2748"/>
      <c r="AK879" s="2748"/>
      <c r="AL879" s="2748"/>
      <c r="AN879" s="2748"/>
      <c r="AO879" s="2748"/>
      <c r="AP879" s="2748"/>
    </row>
    <row r="880" spans="2:42" ht="18" customHeight="1">
      <c r="B880" s="2728"/>
      <c r="C880" s="2728"/>
      <c r="D880" s="2728"/>
      <c r="E880" s="2728"/>
      <c r="G880" s="2512"/>
      <c r="I880" s="2748"/>
      <c r="J880" s="2728"/>
      <c r="L880" s="2728"/>
      <c r="M880" s="2748"/>
      <c r="N880" s="2728"/>
      <c r="O880" s="2728"/>
      <c r="P880" s="2728"/>
      <c r="Q880" s="2748"/>
      <c r="R880" s="2748"/>
      <c r="S880" s="2748"/>
      <c r="T880" s="2748"/>
      <c r="U880" s="2748"/>
      <c r="V880" s="2748"/>
      <c r="W880" s="2748"/>
      <c r="X880" s="2748"/>
      <c r="Y880" s="2748"/>
      <c r="Z880" s="2748"/>
      <c r="AA880" s="2748"/>
      <c r="AB880" s="2748"/>
      <c r="AC880" s="2748"/>
      <c r="AD880" s="2748"/>
      <c r="AE880" s="2748"/>
      <c r="AF880" s="2748"/>
      <c r="AG880" s="2748"/>
      <c r="AH880" s="2748"/>
      <c r="AI880" s="2748"/>
      <c r="AK880" s="2748"/>
      <c r="AL880" s="2748"/>
      <c r="AN880" s="2748"/>
      <c r="AO880" s="2748"/>
      <c r="AP880" s="2748"/>
    </row>
    <row r="881" spans="2:42" ht="18" customHeight="1">
      <c r="B881" s="2728"/>
      <c r="C881" s="2728"/>
      <c r="D881" s="2728"/>
      <c r="E881" s="2728"/>
      <c r="G881" s="2512"/>
      <c r="I881" s="2748"/>
      <c r="J881" s="2728"/>
      <c r="L881" s="2728"/>
      <c r="M881" s="2748"/>
      <c r="N881" s="2728"/>
      <c r="O881" s="2728"/>
      <c r="P881" s="2728"/>
      <c r="Q881" s="2748"/>
      <c r="R881" s="2748"/>
      <c r="S881" s="2748"/>
      <c r="T881" s="2748"/>
      <c r="U881" s="2748"/>
      <c r="V881" s="2748"/>
      <c r="W881" s="2748"/>
      <c r="X881" s="2748"/>
      <c r="Y881" s="2748"/>
      <c r="Z881" s="2748"/>
      <c r="AA881" s="2748"/>
      <c r="AB881" s="2748"/>
      <c r="AC881" s="2748"/>
      <c r="AD881" s="2748"/>
      <c r="AE881" s="2748"/>
      <c r="AF881" s="2748"/>
      <c r="AG881" s="2748"/>
      <c r="AH881" s="2748"/>
      <c r="AI881" s="2748"/>
      <c r="AK881" s="2748"/>
      <c r="AL881" s="2748"/>
      <c r="AN881" s="2748"/>
      <c r="AO881" s="2748"/>
      <c r="AP881" s="2748"/>
    </row>
    <row r="882" spans="2:42" ht="18" customHeight="1">
      <c r="B882" s="2728"/>
      <c r="C882" s="2728"/>
      <c r="D882" s="2728"/>
      <c r="E882" s="2728"/>
      <c r="G882" s="2512"/>
      <c r="I882" s="2748"/>
      <c r="J882" s="2728"/>
      <c r="L882" s="2728"/>
      <c r="M882" s="2748"/>
      <c r="N882" s="2728"/>
      <c r="O882" s="2728"/>
      <c r="P882" s="2728"/>
      <c r="Q882" s="2748"/>
      <c r="R882" s="2748"/>
      <c r="S882" s="2748"/>
      <c r="T882" s="2748"/>
      <c r="U882" s="2748"/>
      <c r="V882" s="2748"/>
      <c r="W882" s="2748"/>
      <c r="X882" s="2748"/>
      <c r="Y882" s="2748"/>
      <c r="Z882" s="2748"/>
      <c r="AA882" s="2748"/>
      <c r="AB882" s="2748"/>
      <c r="AC882" s="2748"/>
      <c r="AD882" s="2748"/>
      <c r="AE882" s="2748"/>
      <c r="AF882" s="2748"/>
      <c r="AG882" s="2748"/>
      <c r="AH882" s="2748"/>
      <c r="AI882" s="2748"/>
      <c r="AK882" s="2748"/>
      <c r="AL882" s="2748"/>
      <c r="AN882" s="2748"/>
      <c r="AO882" s="2748"/>
      <c r="AP882" s="2748"/>
    </row>
    <row r="883" spans="2:42" ht="18" customHeight="1">
      <c r="B883" s="2728"/>
      <c r="C883" s="2728"/>
      <c r="D883" s="2728"/>
      <c r="E883" s="2728"/>
      <c r="G883" s="2512"/>
      <c r="I883" s="2748"/>
      <c r="J883" s="2728"/>
      <c r="L883" s="2728"/>
      <c r="M883" s="2748"/>
      <c r="N883" s="2728"/>
      <c r="O883" s="2728"/>
      <c r="P883" s="2728"/>
      <c r="Q883" s="2748"/>
      <c r="R883" s="2748"/>
      <c r="S883" s="2748"/>
      <c r="T883" s="2748"/>
      <c r="U883" s="2748"/>
      <c r="V883" s="2748"/>
      <c r="W883" s="2748"/>
      <c r="X883" s="2748"/>
      <c r="Y883" s="2748"/>
      <c r="Z883" s="2748"/>
      <c r="AA883" s="2748"/>
      <c r="AB883" s="2748"/>
      <c r="AC883" s="2748"/>
      <c r="AD883" s="2748"/>
      <c r="AE883" s="2748"/>
      <c r="AF883" s="2748"/>
      <c r="AG883" s="2748"/>
      <c r="AH883" s="2748"/>
      <c r="AI883" s="2748"/>
      <c r="AK883" s="2748"/>
      <c r="AL883" s="2748"/>
      <c r="AN883" s="2748"/>
      <c r="AO883" s="2748"/>
      <c r="AP883" s="2748"/>
    </row>
    <row r="884" spans="2:42" ht="18" customHeight="1">
      <c r="B884" s="2728"/>
      <c r="C884" s="2728"/>
      <c r="D884" s="2728"/>
      <c r="E884" s="2728"/>
      <c r="G884" s="2512"/>
      <c r="I884" s="2748"/>
      <c r="J884" s="2728"/>
      <c r="L884" s="2728"/>
      <c r="M884" s="2748"/>
      <c r="N884" s="2728"/>
      <c r="O884" s="2728"/>
      <c r="P884" s="2728"/>
      <c r="Q884" s="2748"/>
      <c r="R884" s="2748"/>
      <c r="S884" s="2748"/>
      <c r="T884" s="2748"/>
      <c r="U884" s="2748"/>
      <c r="V884" s="2748"/>
      <c r="W884" s="2748"/>
      <c r="X884" s="2748"/>
      <c r="Y884" s="2748"/>
      <c r="Z884" s="2748"/>
      <c r="AA884" s="2748"/>
      <c r="AB884" s="2748"/>
      <c r="AC884" s="2748"/>
      <c r="AD884" s="2748"/>
      <c r="AE884" s="2748"/>
      <c r="AF884" s="2748"/>
      <c r="AG884" s="2748"/>
      <c r="AH884" s="2748"/>
      <c r="AI884" s="2748"/>
      <c r="AK884" s="2748"/>
      <c r="AL884" s="2748"/>
      <c r="AN884" s="2748"/>
      <c r="AO884" s="2748"/>
      <c r="AP884" s="2748"/>
    </row>
    <row r="885" spans="2:42" ht="18" customHeight="1">
      <c r="B885" s="2728"/>
      <c r="C885" s="2728"/>
      <c r="D885" s="2728"/>
      <c r="E885" s="2728"/>
      <c r="G885" s="2512"/>
      <c r="I885" s="2748"/>
      <c r="J885" s="2728"/>
      <c r="L885" s="2728"/>
      <c r="M885" s="2748"/>
      <c r="N885" s="2728"/>
      <c r="O885" s="2728"/>
      <c r="P885" s="2728"/>
      <c r="Q885" s="2748"/>
      <c r="R885" s="2748"/>
      <c r="S885" s="2748"/>
      <c r="T885" s="2748"/>
      <c r="U885" s="2748"/>
      <c r="V885" s="2748"/>
      <c r="W885" s="2748"/>
      <c r="X885" s="2748"/>
      <c r="Y885" s="2748"/>
      <c r="Z885" s="2748"/>
      <c r="AA885" s="2748"/>
      <c r="AB885" s="2748"/>
      <c r="AC885" s="2748"/>
      <c r="AD885" s="2748"/>
      <c r="AE885" s="2748"/>
      <c r="AF885" s="2748"/>
      <c r="AG885" s="2748"/>
      <c r="AH885" s="2748"/>
      <c r="AI885" s="2748"/>
      <c r="AK885" s="2748"/>
      <c r="AL885" s="2748"/>
      <c r="AN885" s="2748"/>
      <c r="AO885" s="2748"/>
      <c r="AP885" s="2748"/>
    </row>
    <row r="886" spans="2:42" ht="18" customHeight="1">
      <c r="B886" s="2728"/>
      <c r="C886" s="2728"/>
      <c r="D886" s="2728"/>
      <c r="E886" s="2728"/>
      <c r="G886" s="2512"/>
      <c r="I886" s="2748"/>
      <c r="J886" s="2728"/>
      <c r="L886" s="2728"/>
      <c r="M886" s="2748"/>
      <c r="N886" s="2728"/>
      <c r="O886" s="2728"/>
      <c r="P886" s="2728"/>
      <c r="Q886" s="2748"/>
      <c r="R886" s="2748"/>
      <c r="S886" s="2748"/>
      <c r="T886" s="2748"/>
      <c r="U886" s="2748"/>
      <c r="V886" s="2748"/>
      <c r="W886" s="2748"/>
      <c r="X886" s="2748"/>
      <c r="Y886" s="2748"/>
      <c r="Z886" s="2748"/>
      <c r="AA886" s="2748"/>
      <c r="AB886" s="2748"/>
      <c r="AC886" s="2748"/>
      <c r="AD886" s="2748"/>
      <c r="AE886" s="2748"/>
      <c r="AF886" s="2748"/>
      <c r="AG886" s="2748"/>
      <c r="AH886" s="2748"/>
      <c r="AI886" s="2748"/>
      <c r="AK886" s="2748"/>
      <c r="AL886" s="2748"/>
      <c r="AN886" s="2748"/>
      <c r="AO886" s="2748"/>
      <c r="AP886" s="2748"/>
    </row>
    <row r="887" spans="2:42" ht="18" customHeight="1">
      <c r="B887" s="2728"/>
      <c r="C887" s="2728"/>
      <c r="D887" s="2728"/>
      <c r="E887" s="2728"/>
      <c r="G887" s="2512"/>
      <c r="I887" s="2748"/>
      <c r="J887" s="2728"/>
      <c r="L887" s="2728"/>
      <c r="M887" s="2748"/>
      <c r="N887" s="2728"/>
      <c r="O887" s="2728"/>
      <c r="P887" s="2728"/>
      <c r="Q887" s="2748"/>
      <c r="R887" s="2748"/>
      <c r="S887" s="2748"/>
      <c r="T887" s="2748"/>
      <c r="U887" s="2748"/>
      <c r="V887" s="2748"/>
      <c r="W887" s="2748"/>
      <c r="X887" s="2748"/>
      <c r="Y887" s="2748"/>
      <c r="Z887" s="2748"/>
      <c r="AA887" s="2748"/>
      <c r="AB887" s="2748"/>
      <c r="AC887" s="2748"/>
      <c r="AD887" s="2748"/>
      <c r="AE887" s="2748"/>
      <c r="AF887" s="2748"/>
      <c r="AG887" s="2748"/>
      <c r="AH887" s="2748"/>
      <c r="AI887" s="2748"/>
      <c r="AK887" s="2748"/>
      <c r="AL887" s="2748"/>
      <c r="AN887" s="2748"/>
      <c r="AO887" s="2748"/>
      <c r="AP887" s="2748"/>
    </row>
    <row r="888" spans="2:42" ht="18" customHeight="1">
      <c r="B888" s="2728"/>
      <c r="C888" s="2728"/>
      <c r="D888" s="2728"/>
      <c r="E888" s="2728"/>
      <c r="G888" s="2512"/>
      <c r="I888" s="2748"/>
      <c r="J888" s="2728"/>
      <c r="L888" s="2728"/>
      <c r="M888" s="2748"/>
      <c r="N888" s="2728"/>
      <c r="O888" s="2728"/>
      <c r="P888" s="2728"/>
      <c r="Q888" s="2748"/>
      <c r="R888" s="2748"/>
      <c r="S888" s="2748"/>
      <c r="T888" s="2748"/>
      <c r="U888" s="2748"/>
      <c r="V888" s="2748"/>
      <c r="W888" s="2748"/>
      <c r="X888" s="2748"/>
      <c r="Y888" s="2748"/>
      <c r="Z888" s="2748"/>
      <c r="AA888" s="2748"/>
      <c r="AB888" s="2748"/>
      <c r="AC888" s="2748"/>
      <c r="AD888" s="2748"/>
      <c r="AE888" s="2748"/>
      <c r="AF888" s="2748"/>
      <c r="AG888" s="2748"/>
      <c r="AH888" s="2748"/>
      <c r="AI888" s="2748"/>
      <c r="AK888" s="2748"/>
      <c r="AL888" s="2748"/>
      <c r="AN888" s="2748"/>
      <c r="AO888" s="2748"/>
      <c r="AP888" s="2748"/>
    </row>
    <row r="889" spans="2:42" ht="18" customHeight="1">
      <c r="B889" s="2728"/>
      <c r="C889" s="2728"/>
      <c r="D889" s="2728"/>
      <c r="E889" s="2728"/>
      <c r="G889" s="2512"/>
      <c r="I889" s="2748"/>
      <c r="J889" s="2728"/>
      <c r="L889" s="2728"/>
      <c r="M889" s="2748"/>
      <c r="N889" s="2728"/>
      <c r="O889" s="2728"/>
      <c r="P889" s="2728"/>
      <c r="Q889" s="2748"/>
      <c r="R889" s="2748"/>
      <c r="S889" s="2748"/>
      <c r="T889" s="2748"/>
      <c r="U889" s="2748"/>
      <c r="V889" s="2748"/>
      <c r="W889" s="2748"/>
      <c r="X889" s="2748"/>
      <c r="Y889" s="2748"/>
      <c r="Z889" s="2748"/>
      <c r="AA889" s="2748"/>
      <c r="AB889" s="2748"/>
      <c r="AC889" s="2748"/>
      <c r="AD889" s="2748"/>
      <c r="AE889" s="2748"/>
      <c r="AF889" s="2748"/>
      <c r="AG889" s="2748"/>
      <c r="AH889" s="2748"/>
      <c r="AI889" s="2748"/>
      <c r="AK889" s="2748"/>
      <c r="AL889" s="2748"/>
      <c r="AN889" s="2748"/>
      <c r="AO889" s="2748"/>
      <c r="AP889" s="2748"/>
    </row>
    <row r="890" spans="2:42" ht="18" customHeight="1">
      <c r="B890" s="2728"/>
      <c r="C890" s="2728"/>
      <c r="D890" s="2728"/>
      <c r="E890" s="2728"/>
      <c r="G890" s="2512"/>
      <c r="I890" s="2748"/>
      <c r="J890" s="2728"/>
      <c r="L890" s="2728"/>
      <c r="M890" s="2748"/>
      <c r="N890" s="2728"/>
      <c r="O890" s="2728"/>
      <c r="P890" s="2728"/>
      <c r="Q890" s="2748"/>
      <c r="R890" s="2748"/>
      <c r="S890" s="2748"/>
      <c r="T890" s="2748"/>
      <c r="U890" s="2748"/>
      <c r="V890" s="2748"/>
      <c r="W890" s="2748"/>
      <c r="X890" s="2748"/>
      <c r="Y890" s="2748"/>
      <c r="Z890" s="2748"/>
      <c r="AA890" s="2748"/>
      <c r="AB890" s="2748"/>
      <c r="AC890" s="2748"/>
      <c r="AD890" s="2748"/>
      <c r="AE890" s="2748"/>
      <c r="AF890" s="2748"/>
      <c r="AG890" s="2748"/>
      <c r="AH890" s="2748"/>
      <c r="AI890" s="2748"/>
      <c r="AK890" s="2748"/>
      <c r="AL890" s="2748"/>
      <c r="AN890" s="2748"/>
      <c r="AO890" s="2748"/>
      <c r="AP890" s="2748"/>
    </row>
    <row r="891" spans="2:42" ht="18" customHeight="1">
      <c r="B891" s="2728"/>
      <c r="C891" s="2728"/>
      <c r="D891" s="2728"/>
      <c r="E891" s="2728"/>
      <c r="G891" s="2512"/>
      <c r="I891" s="2748"/>
      <c r="J891" s="2728"/>
      <c r="L891" s="2728"/>
      <c r="M891" s="2748"/>
      <c r="N891" s="2728"/>
      <c r="O891" s="2728"/>
      <c r="P891" s="2728"/>
      <c r="Q891" s="2748"/>
      <c r="R891" s="2748"/>
      <c r="S891" s="2748"/>
      <c r="T891" s="2748"/>
      <c r="U891" s="2748"/>
      <c r="V891" s="2748"/>
      <c r="W891" s="2748"/>
      <c r="X891" s="2748"/>
      <c r="Y891" s="2748"/>
      <c r="Z891" s="2748"/>
      <c r="AA891" s="2748"/>
      <c r="AB891" s="2748"/>
      <c r="AC891" s="2748"/>
      <c r="AD891" s="2748"/>
      <c r="AE891" s="2748"/>
      <c r="AF891" s="2748"/>
      <c r="AG891" s="2748"/>
      <c r="AH891" s="2748"/>
      <c r="AI891" s="2748"/>
      <c r="AK891" s="2748"/>
      <c r="AL891" s="2748"/>
      <c r="AN891" s="2748"/>
      <c r="AO891" s="2748"/>
      <c r="AP891" s="2748"/>
    </row>
    <row r="892" spans="2:42" ht="18" customHeight="1">
      <c r="B892" s="2728"/>
      <c r="C892" s="2728"/>
      <c r="D892" s="2728"/>
      <c r="E892" s="2728"/>
      <c r="G892" s="2512"/>
      <c r="I892" s="2748"/>
      <c r="J892" s="2728"/>
      <c r="L892" s="2728"/>
      <c r="M892" s="2748"/>
      <c r="N892" s="2728"/>
      <c r="O892" s="2728"/>
      <c r="P892" s="2728"/>
      <c r="Q892" s="2748"/>
      <c r="R892" s="2748"/>
      <c r="S892" s="2748"/>
      <c r="T892" s="2748"/>
      <c r="U892" s="2748"/>
      <c r="V892" s="2748"/>
      <c r="W892" s="2748"/>
      <c r="X892" s="2748"/>
      <c r="Y892" s="2748"/>
      <c r="Z892" s="2748"/>
      <c r="AA892" s="2748"/>
      <c r="AB892" s="2748"/>
      <c r="AC892" s="2748"/>
      <c r="AD892" s="2748"/>
      <c r="AE892" s="2748"/>
      <c r="AF892" s="2748"/>
      <c r="AG892" s="2748"/>
      <c r="AH892" s="2748"/>
      <c r="AI892" s="2748"/>
      <c r="AK892" s="2748"/>
      <c r="AL892" s="2748"/>
      <c r="AN892" s="2748"/>
      <c r="AO892" s="2748"/>
      <c r="AP892" s="2748"/>
    </row>
    <row r="893" spans="2:42" ht="18" customHeight="1">
      <c r="B893" s="2728"/>
      <c r="C893" s="2728"/>
      <c r="D893" s="2728"/>
      <c r="E893" s="2728"/>
      <c r="G893" s="2512"/>
      <c r="I893" s="2748"/>
      <c r="J893" s="2728"/>
      <c r="L893" s="2728"/>
      <c r="M893" s="2748"/>
      <c r="N893" s="2728"/>
      <c r="O893" s="2728"/>
      <c r="P893" s="2728"/>
      <c r="Q893" s="2748"/>
      <c r="R893" s="2748"/>
      <c r="S893" s="2748"/>
      <c r="T893" s="2748"/>
      <c r="U893" s="2748"/>
      <c r="V893" s="2748"/>
      <c r="W893" s="2748"/>
      <c r="X893" s="2748"/>
      <c r="Y893" s="2748"/>
      <c r="Z893" s="2748"/>
      <c r="AA893" s="2748"/>
      <c r="AB893" s="2748"/>
      <c r="AC893" s="2748"/>
      <c r="AD893" s="2748"/>
      <c r="AE893" s="2748"/>
      <c r="AF893" s="2748"/>
      <c r="AG893" s="2748"/>
      <c r="AH893" s="2748"/>
      <c r="AI893" s="2748"/>
      <c r="AK893" s="2748"/>
      <c r="AL893" s="2748"/>
      <c r="AN893" s="2748"/>
      <c r="AO893" s="2748"/>
      <c r="AP893" s="2748"/>
    </row>
    <row r="894" spans="2:42" ht="18" customHeight="1">
      <c r="B894" s="2728"/>
      <c r="C894" s="2728"/>
      <c r="D894" s="2728"/>
      <c r="E894" s="2728"/>
      <c r="G894" s="2512"/>
      <c r="I894" s="2748"/>
      <c r="J894" s="2728"/>
      <c r="L894" s="2728"/>
      <c r="M894" s="2748"/>
      <c r="N894" s="2728"/>
      <c r="O894" s="2728"/>
      <c r="P894" s="2728"/>
      <c r="Q894" s="2748"/>
      <c r="R894" s="2748"/>
      <c r="S894" s="2748"/>
      <c r="T894" s="2748"/>
      <c r="U894" s="2748"/>
      <c r="V894" s="2748"/>
      <c r="W894" s="2748"/>
      <c r="X894" s="2748"/>
      <c r="Y894" s="2748"/>
      <c r="Z894" s="2748"/>
      <c r="AA894" s="2748"/>
      <c r="AB894" s="2748"/>
      <c r="AC894" s="2748"/>
      <c r="AD894" s="2748"/>
      <c r="AE894" s="2748"/>
      <c r="AF894" s="2748"/>
      <c r="AG894" s="2748"/>
      <c r="AH894" s="2748"/>
      <c r="AI894" s="2748"/>
      <c r="AK894" s="2748"/>
      <c r="AL894" s="2748"/>
      <c r="AN894" s="2748"/>
      <c r="AO894" s="2748"/>
      <c r="AP894" s="2748"/>
    </row>
    <row r="895" spans="2:42" ht="18" customHeight="1">
      <c r="B895" s="2728"/>
      <c r="C895" s="2728"/>
      <c r="D895" s="2728"/>
      <c r="E895" s="2728"/>
      <c r="G895" s="2512"/>
      <c r="I895" s="2748"/>
      <c r="J895" s="2728"/>
      <c r="L895" s="2728"/>
      <c r="M895" s="2748"/>
      <c r="N895" s="2728"/>
      <c r="O895" s="2728"/>
      <c r="P895" s="2728"/>
      <c r="Q895" s="2748"/>
      <c r="R895" s="2748"/>
      <c r="S895" s="2748"/>
      <c r="T895" s="2748"/>
      <c r="U895" s="2748"/>
      <c r="V895" s="2748"/>
      <c r="W895" s="2748"/>
      <c r="X895" s="2748"/>
      <c r="Y895" s="2748"/>
      <c r="Z895" s="2748"/>
      <c r="AA895" s="2748"/>
      <c r="AB895" s="2748"/>
      <c r="AC895" s="2748"/>
      <c r="AD895" s="2748"/>
      <c r="AE895" s="2748"/>
      <c r="AF895" s="2748"/>
      <c r="AG895" s="2748"/>
      <c r="AH895" s="2748"/>
      <c r="AI895" s="2748"/>
      <c r="AK895" s="2748"/>
      <c r="AL895" s="2748"/>
      <c r="AN895" s="2748"/>
      <c r="AO895" s="2748"/>
      <c r="AP895" s="2748"/>
    </row>
    <row r="896" spans="2:42" ht="18" customHeight="1">
      <c r="B896" s="2728"/>
      <c r="C896" s="2728"/>
      <c r="D896" s="2728"/>
      <c r="E896" s="2728"/>
      <c r="G896" s="2512"/>
      <c r="I896" s="2748"/>
      <c r="J896" s="2728"/>
      <c r="L896" s="2728"/>
      <c r="M896" s="2748"/>
      <c r="N896" s="2728"/>
      <c r="O896" s="2728"/>
      <c r="P896" s="2728"/>
      <c r="Q896" s="2748"/>
      <c r="R896" s="2748"/>
      <c r="S896" s="2748"/>
      <c r="T896" s="2748"/>
      <c r="U896" s="2748"/>
      <c r="V896" s="2748"/>
      <c r="W896" s="2748"/>
      <c r="X896" s="2748"/>
      <c r="Y896" s="2748"/>
      <c r="Z896" s="2748"/>
      <c r="AA896" s="2748"/>
      <c r="AB896" s="2748"/>
      <c r="AC896" s="2748"/>
      <c r="AD896" s="2748"/>
      <c r="AE896" s="2748"/>
      <c r="AF896" s="2748"/>
      <c r="AG896" s="2748"/>
      <c r="AH896" s="2748"/>
      <c r="AI896" s="2748"/>
      <c r="AK896" s="2748"/>
      <c r="AL896" s="2748"/>
      <c r="AN896" s="2748"/>
      <c r="AO896" s="2748"/>
      <c r="AP896" s="2748"/>
    </row>
    <row r="897" spans="2:42" ht="18" customHeight="1">
      <c r="B897" s="2728"/>
      <c r="C897" s="2728"/>
      <c r="D897" s="2728"/>
      <c r="E897" s="2728"/>
      <c r="G897" s="2512"/>
      <c r="I897" s="2748"/>
      <c r="J897" s="2728"/>
      <c r="L897" s="2728"/>
      <c r="M897" s="2748"/>
      <c r="N897" s="2728"/>
      <c r="O897" s="2728"/>
      <c r="P897" s="2728"/>
      <c r="Q897" s="2748"/>
      <c r="R897" s="2748"/>
      <c r="S897" s="2748"/>
      <c r="T897" s="2748"/>
      <c r="U897" s="2748"/>
      <c r="V897" s="2748"/>
      <c r="W897" s="2748"/>
      <c r="X897" s="2748"/>
      <c r="Y897" s="2748"/>
      <c r="Z897" s="2748"/>
      <c r="AA897" s="2748"/>
      <c r="AB897" s="2748"/>
      <c r="AC897" s="2748"/>
      <c r="AD897" s="2748"/>
      <c r="AE897" s="2748"/>
      <c r="AF897" s="2748"/>
      <c r="AG897" s="2748"/>
      <c r="AH897" s="2748"/>
      <c r="AI897" s="2748"/>
      <c r="AK897" s="2748"/>
      <c r="AL897" s="2748"/>
      <c r="AN897" s="2748"/>
      <c r="AO897" s="2748"/>
      <c r="AP897" s="2748"/>
    </row>
    <row r="898" spans="2:42" ht="18" customHeight="1">
      <c r="B898" s="2728"/>
      <c r="C898" s="2728"/>
      <c r="D898" s="2728"/>
      <c r="E898" s="2728"/>
      <c r="G898" s="2512"/>
      <c r="I898" s="2748"/>
      <c r="J898" s="2728"/>
      <c r="L898" s="2728"/>
      <c r="M898" s="2748"/>
      <c r="N898" s="2728"/>
      <c r="O898" s="2728"/>
      <c r="P898" s="2728"/>
      <c r="Q898" s="2748"/>
      <c r="R898" s="2748"/>
      <c r="S898" s="2748"/>
      <c r="T898" s="2748"/>
      <c r="U898" s="2748"/>
      <c r="V898" s="2748"/>
      <c r="W898" s="2748"/>
      <c r="X898" s="2748"/>
      <c r="Y898" s="2748"/>
      <c r="Z898" s="2748"/>
      <c r="AA898" s="2748"/>
      <c r="AB898" s="2748"/>
      <c r="AC898" s="2748"/>
      <c r="AD898" s="2748"/>
      <c r="AE898" s="2748"/>
      <c r="AF898" s="2748"/>
      <c r="AG898" s="2748"/>
      <c r="AH898" s="2748"/>
      <c r="AI898" s="2748"/>
      <c r="AK898" s="2748"/>
      <c r="AL898" s="2748"/>
      <c r="AN898" s="2748"/>
      <c r="AO898" s="2748"/>
      <c r="AP898" s="2748"/>
    </row>
    <row r="899" spans="2:42" ht="18" customHeight="1">
      <c r="B899" s="2728"/>
      <c r="C899" s="2728"/>
      <c r="D899" s="2728"/>
      <c r="E899" s="2728"/>
      <c r="G899" s="2512"/>
      <c r="I899" s="2748"/>
      <c r="J899" s="2728"/>
      <c r="L899" s="2728"/>
      <c r="M899" s="2748"/>
      <c r="N899" s="2728"/>
      <c r="O899" s="2728"/>
      <c r="P899" s="2728"/>
      <c r="Q899" s="2748"/>
      <c r="R899" s="2748"/>
      <c r="S899" s="2748"/>
      <c r="T899" s="2748"/>
      <c r="U899" s="2748"/>
      <c r="V899" s="2748"/>
      <c r="W899" s="2748"/>
      <c r="X899" s="2748"/>
      <c r="Y899" s="2748"/>
      <c r="Z899" s="2748"/>
      <c r="AA899" s="2748"/>
      <c r="AB899" s="2748"/>
      <c r="AC899" s="2748"/>
      <c r="AD899" s="2748"/>
      <c r="AE899" s="2748"/>
      <c r="AF899" s="2748"/>
      <c r="AG899" s="2748"/>
      <c r="AH899" s="2748"/>
      <c r="AI899" s="2748"/>
      <c r="AK899" s="2748"/>
      <c r="AL899" s="2748"/>
      <c r="AN899" s="2748"/>
      <c r="AO899" s="2748"/>
      <c r="AP899" s="2748"/>
    </row>
    <row r="900" spans="2:42" ht="18" customHeight="1">
      <c r="B900" s="2728"/>
      <c r="C900" s="2728"/>
      <c r="D900" s="2728"/>
      <c r="E900" s="2728"/>
      <c r="G900" s="2512"/>
      <c r="I900" s="2748"/>
      <c r="J900" s="2728"/>
      <c r="L900" s="2728"/>
      <c r="M900" s="2748"/>
      <c r="N900" s="2728"/>
      <c r="O900" s="2728"/>
      <c r="P900" s="2728"/>
      <c r="Q900" s="2748"/>
      <c r="R900" s="2748"/>
      <c r="S900" s="2748"/>
      <c r="T900" s="2748"/>
      <c r="U900" s="2748"/>
      <c r="V900" s="2748"/>
      <c r="W900" s="2748"/>
      <c r="X900" s="2748"/>
      <c r="Y900" s="2748"/>
      <c r="Z900" s="2748"/>
      <c r="AA900" s="2748"/>
      <c r="AB900" s="2748"/>
      <c r="AC900" s="2748"/>
      <c r="AD900" s="2748"/>
      <c r="AE900" s="2748"/>
      <c r="AF900" s="2748"/>
      <c r="AG900" s="2748"/>
      <c r="AH900" s="2748"/>
      <c r="AI900" s="2748"/>
      <c r="AK900" s="2748"/>
      <c r="AL900" s="2748"/>
      <c r="AN900" s="2748"/>
      <c r="AO900" s="2748"/>
      <c r="AP900" s="2748"/>
    </row>
    <row r="901" spans="2:42" ht="18" customHeight="1">
      <c r="B901" s="2728"/>
      <c r="C901" s="2728"/>
      <c r="D901" s="2728"/>
      <c r="E901" s="2728"/>
      <c r="G901" s="2512"/>
      <c r="I901" s="2748"/>
      <c r="J901" s="2728"/>
      <c r="L901" s="2728"/>
      <c r="M901" s="2748"/>
      <c r="N901" s="2728"/>
      <c r="O901" s="2728"/>
      <c r="P901" s="2728"/>
      <c r="Q901" s="2748"/>
      <c r="R901" s="2748"/>
      <c r="S901" s="2748"/>
      <c r="T901" s="2748"/>
      <c r="U901" s="2748"/>
      <c r="V901" s="2748"/>
      <c r="W901" s="2748"/>
      <c r="X901" s="2748"/>
      <c r="Y901" s="2748"/>
      <c r="Z901" s="2748"/>
      <c r="AA901" s="2748"/>
      <c r="AB901" s="2748"/>
      <c r="AC901" s="2748"/>
      <c r="AD901" s="2748"/>
      <c r="AE901" s="2748"/>
      <c r="AF901" s="2748"/>
      <c r="AG901" s="2748"/>
      <c r="AH901" s="2748"/>
      <c r="AI901" s="2748"/>
      <c r="AK901" s="2748"/>
      <c r="AL901" s="2748"/>
      <c r="AN901" s="2748"/>
      <c r="AO901" s="2748"/>
      <c r="AP901" s="2748"/>
    </row>
    <row r="902" spans="2:42" ht="18" customHeight="1">
      <c r="B902" s="2728"/>
      <c r="C902" s="2728"/>
      <c r="D902" s="2728"/>
      <c r="E902" s="2728"/>
      <c r="G902" s="2512"/>
      <c r="I902" s="2748"/>
      <c r="J902" s="2728"/>
      <c r="L902" s="2728"/>
      <c r="M902" s="2748"/>
      <c r="N902" s="2728"/>
      <c r="O902" s="2728"/>
      <c r="P902" s="2728"/>
      <c r="Q902" s="2748"/>
      <c r="R902" s="2748"/>
      <c r="S902" s="2748"/>
      <c r="T902" s="2748"/>
      <c r="U902" s="2748"/>
      <c r="V902" s="2748"/>
      <c r="W902" s="2748"/>
      <c r="X902" s="2748"/>
      <c r="Y902" s="2748"/>
      <c r="Z902" s="2748"/>
      <c r="AA902" s="2748"/>
      <c r="AB902" s="2748"/>
      <c r="AC902" s="2748"/>
      <c r="AD902" s="2748"/>
      <c r="AE902" s="2748"/>
      <c r="AF902" s="2748"/>
      <c r="AG902" s="2748"/>
      <c r="AH902" s="2748"/>
      <c r="AI902" s="2748"/>
      <c r="AK902" s="2748"/>
      <c r="AL902" s="2748"/>
      <c r="AN902" s="2748"/>
      <c r="AO902" s="2748"/>
      <c r="AP902" s="2748"/>
    </row>
    <row r="903" spans="2:42" ht="18" customHeight="1">
      <c r="B903" s="2728"/>
      <c r="C903" s="2728"/>
      <c r="D903" s="2728"/>
      <c r="E903" s="2728"/>
      <c r="G903" s="2512"/>
      <c r="I903" s="2748"/>
      <c r="J903" s="2728"/>
      <c r="L903" s="2728"/>
      <c r="M903" s="2748"/>
      <c r="N903" s="2728"/>
      <c r="O903" s="2728"/>
      <c r="P903" s="2728"/>
      <c r="Q903" s="2748"/>
      <c r="R903" s="2748"/>
      <c r="S903" s="2748"/>
      <c r="T903" s="2748"/>
      <c r="U903" s="2748"/>
      <c r="V903" s="2748"/>
      <c r="W903" s="2748"/>
      <c r="X903" s="2748"/>
      <c r="Y903" s="2748"/>
      <c r="Z903" s="2748"/>
      <c r="AA903" s="2748"/>
      <c r="AB903" s="2748"/>
      <c r="AC903" s="2748"/>
      <c r="AD903" s="2748"/>
      <c r="AE903" s="2748"/>
      <c r="AF903" s="2748"/>
      <c r="AG903" s="2748"/>
      <c r="AH903" s="2748"/>
      <c r="AI903" s="2748"/>
      <c r="AK903" s="2748"/>
      <c r="AL903" s="2748"/>
      <c r="AN903" s="2748"/>
      <c r="AO903" s="2748"/>
      <c r="AP903" s="2748"/>
    </row>
    <row r="904" spans="2:42" ht="18" customHeight="1">
      <c r="B904" s="2728"/>
      <c r="C904" s="2728"/>
      <c r="D904" s="2728"/>
      <c r="E904" s="2728"/>
      <c r="G904" s="2512"/>
      <c r="I904" s="2748"/>
      <c r="J904" s="2728"/>
      <c r="L904" s="2728"/>
      <c r="M904" s="2748"/>
      <c r="N904" s="2728"/>
      <c r="O904" s="2728"/>
      <c r="P904" s="2728"/>
      <c r="Q904" s="2748"/>
      <c r="R904" s="2748"/>
      <c r="S904" s="2748"/>
      <c r="T904" s="2748"/>
      <c r="U904" s="2748"/>
      <c r="V904" s="2748"/>
      <c r="W904" s="2748"/>
      <c r="X904" s="2748"/>
      <c r="Y904" s="2748"/>
      <c r="Z904" s="2748"/>
      <c r="AA904" s="2748"/>
      <c r="AB904" s="2748"/>
      <c r="AC904" s="2748"/>
      <c r="AD904" s="2748"/>
      <c r="AE904" s="2748"/>
      <c r="AF904" s="2748"/>
      <c r="AG904" s="2748"/>
      <c r="AH904" s="2748"/>
      <c r="AI904" s="2748"/>
      <c r="AK904" s="2748"/>
      <c r="AL904" s="2748"/>
      <c r="AN904" s="2748"/>
      <c r="AO904" s="2748"/>
      <c r="AP904" s="2748"/>
    </row>
    <row r="905" spans="2:42" ht="18" customHeight="1">
      <c r="B905" s="2728"/>
      <c r="C905" s="2728"/>
      <c r="D905" s="2728"/>
      <c r="E905" s="2728"/>
      <c r="G905" s="2512"/>
      <c r="I905" s="2748"/>
      <c r="J905" s="2728"/>
      <c r="L905" s="2728"/>
      <c r="M905" s="2748"/>
      <c r="N905" s="2728"/>
      <c r="O905" s="2728"/>
      <c r="P905" s="2728"/>
      <c r="Q905" s="2748"/>
      <c r="R905" s="2748"/>
      <c r="S905" s="2748"/>
      <c r="T905" s="2748"/>
      <c r="U905" s="2748"/>
      <c r="V905" s="2748"/>
      <c r="W905" s="2748"/>
      <c r="X905" s="2748"/>
      <c r="Y905" s="2748"/>
      <c r="Z905" s="2748"/>
      <c r="AA905" s="2748"/>
      <c r="AB905" s="2748"/>
      <c r="AC905" s="2748"/>
      <c r="AD905" s="2748"/>
      <c r="AE905" s="2748"/>
      <c r="AF905" s="2748"/>
      <c r="AG905" s="2748"/>
      <c r="AH905" s="2748"/>
      <c r="AI905" s="2748"/>
      <c r="AK905" s="2748"/>
      <c r="AL905" s="2748"/>
      <c r="AN905" s="2748"/>
      <c r="AO905" s="2748"/>
      <c r="AP905" s="2748"/>
    </row>
    <row r="906" spans="2:42" ht="18" customHeight="1">
      <c r="B906" s="2728"/>
      <c r="C906" s="2728"/>
      <c r="D906" s="2728"/>
      <c r="E906" s="2728"/>
      <c r="G906" s="2512"/>
      <c r="I906" s="2748"/>
      <c r="J906" s="2728"/>
      <c r="L906" s="2728"/>
      <c r="M906" s="2748"/>
      <c r="N906" s="2728"/>
      <c r="O906" s="2728"/>
      <c r="P906" s="2728"/>
      <c r="Q906" s="2748"/>
      <c r="R906" s="2748"/>
      <c r="S906" s="2748"/>
      <c r="T906" s="2748"/>
      <c r="U906" s="2748"/>
      <c r="V906" s="2748"/>
      <c r="W906" s="2748"/>
      <c r="X906" s="2748"/>
      <c r="Y906" s="2748"/>
      <c r="Z906" s="2748"/>
      <c r="AA906" s="2748"/>
      <c r="AB906" s="2748"/>
      <c r="AC906" s="2748"/>
      <c r="AD906" s="2748"/>
      <c r="AE906" s="2748"/>
      <c r="AF906" s="2748"/>
      <c r="AG906" s="2748"/>
      <c r="AH906" s="2748"/>
      <c r="AI906" s="2748"/>
      <c r="AK906" s="2748"/>
      <c r="AL906" s="2748"/>
      <c r="AN906" s="2748"/>
      <c r="AO906" s="2748"/>
      <c r="AP906" s="2748"/>
    </row>
    <row r="907" spans="2:42" ht="18" customHeight="1">
      <c r="B907" s="2728"/>
      <c r="C907" s="2728"/>
      <c r="D907" s="2728"/>
      <c r="E907" s="2728"/>
      <c r="G907" s="2512"/>
      <c r="I907" s="2748"/>
      <c r="J907" s="2728"/>
      <c r="L907" s="2728"/>
      <c r="M907" s="2748"/>
      <c r="N907" s="2728"/>
      <c r="O907" s="2728"/>
      <c r="P907" s="2728"/>
      <c r="Q907" s="2748"/>
      <c r="R907" s="2748"/>
      <c r="S907" s="2748"/>
      <c r="T907" s="2748"/>
      <c r="U907" s="2748"/>
      <c r="V907" s="2748"/>
      <c r="W907" s="2748"/>
      <c r="X907" s="2748"/>
      <c r="Y907" s="2748"/>
      <c r="Z907" s="2748"/>
      <c r="AA907" s="2748"/>
      <c r="AB907" s="2748"/>
      <c r="AC907" s="2748"/>
      <c r="AD907" s="2748"/>
      <c r="AE907" s="2748"/>
      <c r="AF907" s="2748"/>
      <c r="AG907" s="2748"/>
      <c r="AH907" s="2748"/>
      <c r="AI907" s="2748"/>
      <c r="AK907" s="2748"/>
      <c r="AL907" s="2748"/>
      <c r="AN907" s="2748"/>
      <c r="AO907" s="2748"/>
      <c r="AP907" s="2748"/>
    </row>
    <row r="908" spans="2:42" ht="18" customHeight="1">
      <c r="B908" s="2728"/>
      <c r="C908" s="2728"/>
      <c r="D908" s="2728"/>
      <c r="E908" s="2728"/>
      <c r="G908" s="2512"/>
      <c r="I908" s="2748"/>
      <c r="J908" s="2728"/>
      <c r="L908" s="2728"/>
      <c r="M908" s="2748"/>
      <c r="N908" s="2728"/>
      <c r="O908" s="2728"/>
      <c r="P908" s="2728"/>
      <c r="Q908" s="2748"/>
      <c r="R908" s="2748"/>
      <c r="S908" s="2748"/>
      <c r="T908" s="2748"/>
      <c r="U908" s="2748"/>
      <c r="V908" s="2748"/>
      <c r="W908" s="2748"/>
      <c r="X908" s="2748"/>
      <c r="Y908" s="2748"/>
      <c r="Z908" s="2748"/>
      <c r="AA908" s="2748"/>
      <c r="AB908" s="2748"/>
      <c r="AC908" s="2748"/>
      <c r="AD908" s="2748"/>
      <c r="AE908" s="2748"/>
      <c r="AF908" s="2748"/>
      <c r="AG908" s="2748"/>
      <c r="AH908" s="2748"/>
      <c r="AI908" s="2748"/>
      <c r="AK908" s="2748"/>
      <c r="AL908" s="2748"/>
      <c r="AN908" s="2748"/>
      <c r="AO908" s="2748"/>
      <c r="AP908" s="2748"/>
    </row>
    <row r="909" spans="2:42" ht="18" customHeight="1">
      <c r="B909" s="2728"/>
      <c r="C909" s="2728"/>
      <c r="D909" s="2728"/>
      <c r="E909" s="2728"/>
      <c r="G909" s="2512"/>
      <c r="I909" s="2748"/>
      <c r="J909" s="2728"/>
      <c r="L909" s="2728"/>
      <c r="M909" s="2748"/>
      <c r="N909" s="2728"/>
      <c r="O909" s="2728"/>
      <c r="P909" s="2728"/>
      <c r="Q909" s="2748"/>
      <c r="R909" s="2748"/>
      <c r="S909" s="2748"/>
      <c r="T909" s="2748"/>
      <c r="U909" s="2748"/>
      <c r="V909" s="2748"/>
      <c r="W909" s="2748"/>
      <c r="X909" s="2748"/>
      <c r="Y909" s="2748"/>
      <c r="Z909" s="2748"/>
      <c r="AA909" s="2748"/>
      <c r="AB909" s="2748"/>
      <c r="AC909" s="2748"/>
      <c r="AD909" s="2748"/>
      <c r="AE909" s="2748"/>
      <c r="AF909" s="2748"/>
      <c r="AG909" s="2748"/>
      <c r="AH909" s="2748"/>
      <c r="AI909" s="2748"/>
      <c r="AK909" s="2748"/>
      <c r="AL909" s="2748"/>
      <c r="AN909" s="2748"/>
      <c r="AO909" s="2748"/>
      <c r="AP909" s="2748"/>
    </row>
    <row r="910" spans="2:42" ht="18" customHeight="1">
      <c r="B910" s="2728"/>
      <c r="C910" s="2728"/>
      <c r="D910" s="2728"/>
      <c r="E910" s="2728"/>
      <c r="G910" s="2512"/>
      <c r="I910" s="2748"/>
      <c r="J910" s="2728"/>
      <c r="L910" s="2728"/>
      <c r="M910" s="2748"/>
      <c r="N910" s="2728"/>
      <c r="O910" s="2728"/>
      <c r="P910" s="2728"/>
      <c r="Q910" s="2748"/>
      <c r="R910" s="2748"/>
      <c r="S910" s="2748"/>
      <c r="T910" s="2748"/>
      <c r="U910" s="2748"/>
      <c r="V910" s="2748"/>
      <c r="W910" s="2748"/>
      <c r="X910" s="2748"/>
      <c r="Y910" s="2748"/>
      <c r="Z910" s="2748"/>
      <c r="AA910" s="2748"/>
      <c r="AB910" s="2748"/>
      <c r="AC910" s="2748"/>
      <c r="AD910" s="2748"/>
      <c r="AE910" s="2748"/>
      <c r="AF910" s="2748"/>
      <c r="AG910" s="2748"/>
      <c r="AH910" s="2748"/>
      <c r="AI910" s="2748"/>
      <c r="AK910" s="2748"/>
      <c r="AL910" s="2748"/>
      <c r="AN910" s="2748"/>
      <c r="AO910" s="2748"/>
      <c r="AP910" s="2748"/>
    </row>
    <row r="911" spans="2:42" ht="18" customHeight="1">
      <c r="B911" s="2728"/>
      <c r="C911" s="2728"/>
      <c r="D911" s="2728"/>
      <c r="E911" s="2728"/>
      <c r="G911" s="2512"/>
      <c r="I911" s="2748"/>
      <c r="J911" s="2728"/>
      <c r="L911" s="2728"/>
      <c r="M911" s="2748"/>
      <c r="N911" s="2728"/>
      <c r="O911" s="2728"/>
      <c r="P911" s="2728"/>
      <c r="Q911" s="2748"/>
      <c r="R911" s="2748"/>
      <c r="S911" s="2748"/>
      <c r="T911" s="2748"/>
      <c r="U911" s="2748"/>
      <c r="V911" s="2748"/>
      <c r="W911" s="2748"/>
      <c r="X911" s="2748"/>
      <c r="Y911" s="2748"/>
      <c r="Z911" s="2748"/>
      <c r="AA911" s="2748"/>
      <c r="AB911" s="2748"/>
      <c r="AC911" s="2748"/>
      <c r="AD911" s="2748"/>
      <c r="AE911" s="2748"/>
      <c r="AF911" s="2748"/>
      <c r="AG911" s="2748"/>
      <c r="AH911" s="2748"/>
      <c r="AI911" s="2748"/>
      <c r="AK911" s="2748"/>
      <c r="AL911" s="2748"/>
      <c r="AN911" s="2748"/>
      <c r="AO911" s="2748"/>
      <c r="AP911" s="2748"/>
    </row>
    <row r="912" spans="2:42" ht="18" customHeight="1">
      <c r="B912" s="2728"/>
      <c r="C912" s="2728"/>
      <c r="D912" s="2728"/>
      <c r="E912" s="2728"/>
      <c r="G912" s="2512"/>
      <c r="I912" s="2748"/>
      <c r="J912" s="2728"/>
      <c r="L912" s="2728"/>
      <c r="M912" s="2748"/>
      <c r="N912" s="2728"/>
      <c r="O912" s="2728"/>
      <c r="P912" s="2728"/>
      <c r="Q912" s="2748"/>
      <c r="R912" s="2748"/>
      <c r="S912" s="2748"/>
      <c r="T912" s="2748"/>
      <c r="U912" s="2748"/>
      <c r="V912" s="2748"/>
      <c r="W912" s="2748"/>
      <c r="X912" s="2748"/>
      <c r="Y912" s="2748"/>
      <c r="Z912" s="2748"/>
      <c r="AA912" s="2748"/>
      <c r="AB912" s="2748"/>
      <c r="AC912" s="2748"/>
      <c r="AD912" s="2748"/>
      <c r="AE912" s="2748"/>
      <c r="AF912" s="2748"/>
      <c r="AG912" s="2748"/>
      <c r="AH912" s="2748"/>
      <c r="AI912" s="2748"/>
      <c r="AK912" s="2748"/>
      <c r="AL912" s="2748"/>
      <c r="AN912" s="2748"/>
      <c r="AO912" s="2748"/>
      <c r="AP912" s="2748"/>
    </row>
    <row r="913" spans="2:42" ht="18" customHeight="1">
      <c r="B913" s="2728"/>
      <c r="C913" s="2728"/>
      <c r="D913" s="2728"/>
      <c r="E913" s="2728"/>
      <c r="G913" s="2512"/>
      <c r="I913" s="2748"/>
      <c r="J913" s="2728"/>
      <c r="L913" s="2728"/>
      <c r="M913" s="2748"/>
      <c r="N913" s="2728"/>
      <c r="O913" s="2728"/>
      <c r="P913" s="2728"/>
      <c r="Q913" s="2748"/>
      <c r="R913" s="2748"/>
      <c r="S913" s="2748"/>
      <c r="T913" s="2748"/>
      <c r="U913" s="2748"/>
      <c r="V913" s="2748"/>
      <c r="W913" s="2748"/>
      <c r="X913" s="2748"/>
      <c r="Y913" s="2748"/>
      <c r="Z913" s="2748"/>
      <c r="AA913" s="2748"/>
      <c r="AB913" s="2748"/>
      <c r="AC913" s="2748"/>
      <c r="AD913" s="2748"/>
      <c r="AE913" s="2748"/>
      <c r="AF913" s="2748"/>
      <c r="AG913" s="2748"/>
      <c r="AH913" s="2748"/>
      <c r="AI913" s="2748"/>
      <c r="AK913" s="2748"/>
      <c r="AL913" s="2748"/>
      <c r="AN913" s="2748"/>
      <c r="AO913" s="2748"/>
      <c r="AP913" s="2748"/>
    </row>
    <row r="914" spans="2:42" ht="18" customHeight="1">
      <c r="B914" s="2728"/>
      <c r="C914" s="2728"/>
      <c r="D914" s="2728"/>
      <c r="E914" s="2728"/>
      <c r="G914" s="2512"/>
      <c r="I914" s="2748"/>
      <c r="J914" s="2728"/>
      <c r="L914" s="2728"/>
      <c r="M914" s="2748"/>
      <c r="N914" s="2728"/>
      <c r="O914" s="2728"/>
      <c r="P914" s="2728"/>
      <c r="Q914" s="2748"/>
      <c r="R914" s="2748"/>
      <c r="S914" s="2748"/>
      <c r="T914" s="2748"/>
      <c r="U914" s="2748"/>
      <c r="V914" s="2748"/>
      <c r="W914" s="2748"/>
      <c r="X914" s="2748"/>
      <c r="Y914" s="2748"/>
      <c r="Z914" s="2748"/>
      <c r="AA914" s="2748"/>
      <c r="AB914" s="2748"/>
      <c r="AC914" s="2748"/>
      <c r="AD914" s="2748"/>
      <c r="AE914" s="2748"/>
      <c r="AF914" s="2748"/>
      <c r="AG914" s="2748"/>
      <c r="AH914" s="2748"/>
      <c r="AI914" s="2748"/>
      <c r="AK914" s="2748"/>
      <c r="AL914" s="2748"/>
      <c r="AN914" s="2748"/>
      <c r="AO914" s="2748"/>
      <c r="AP914" s="2748"/>
    </row>
    <row r="915" spans="2:42" ht="18" customHeight="1">
      <c r="B915" s="2728"/>
      <c r="C915" s="2728"/>
      <c r="D915" s="2728"/>
      <c r="E915" s="2728"/>
      <c r="G915" s="2512"/>
      <c r="I915" s="2748"/>
      <c r="J915" s="2728"/>
      <c r="L915" s="2728"/>
      <c r="M915" s="2748"/>
      <c r="N915" s="2728"/>
      <c r="O915" s="2728"/>
      <c r="P915" s="2728"/>
      <c r="Q915" s="2748"/>
      <c r="R915" s="2748"/>
      <c r="S915" s="2748"/>
      <c r="T915" s="2748"/>
      <c r="U915" s="2748"/>
      <c r="V915" s="2748"/>
      <c r="W915" s="2748"/>
      <c r="X915" s="2748"/>
      <c r="Y915" s="2748"/>
      <c r="Z915" s="2748"/>
      <c r="AA915" s="2748"/>
      <c r="AB915" s="2748"/>
      <c r="AC915" s="2748"/>
      <c r="AD915" s="2748"/>
      <c r="AE915" s="2748"/>
      <c r="AF915" s="2748"/>
      <c r="AG915" s="2748"/>
      <c r="AH915" s="2748"/>
      <c r="AI915" s="2748"/>
      <c r="AK915" s="2748"/>
      <c r="AL915" s="2748"/>
      <c r="AN915" s="2748"/>
      <c r="AO915" s="2748"/>
      <c r="AP915" s="2748"/>
    </row>
    <row r="916" spans="2:42" ht="18" customHeight="1">
      <c r="B916" s="2728"/>
      <c r="C916" s="2728"/>
      <c r="D916" s="2728"/>
      <c r="E916" s="2728"/>
      <c r="G916" s="2512"/>
      <c r="I916" s="2748"/>
      <c r="J916" s="2728"/>
      <c r="L916" s="2728"/>
      <c r="M916" s="2748"/>
      <c r="N916" s="2728"/>
      <c r="O916" s="2728"/>
      <c r="P916" s="2728"/>
      <c r="Q916" s="2748"/>
      <c r="R916" s="2748"/>
      <c r="S916" s="2748"/>
      <c r="T916" s="2748"/>
      <c r="U916" s="2748"/>
      <c r="V916" s="2748"/>
      <c r="W916" s="2748"/>
      <c r="X916" s="2748"/>
      <c r="Y916" s="2748"/>
      <c r="Z916" s="2748"/>
      <c r="AA916" s="2748"/>
      <c r="AB916" s="2748"/>
      <c r="AC916" s="2748"/>
      <c r="AD916" s="2748"/>
      <c r="AE916" s="2748"/>
      <c r="AF916" s="2748"/>
      <c r="AG916" s="2748"/>
      <c r="AH916" s="2748"/>
      <c r="AI916" s="2748"/>
      <c r="AK916" s="2748"/>
      <c r="AL916" s="2748"/>
      <c r="AN916" s="2748"/>
      <c r="AO916" s="2748"/>
      <c r="AP916" s="2748"/>
    </row>
    <row r="917" spans="2:42" ht="18" customHeight="1">
      <c r="B917" s="2728"/>
      <c r="C917" s="2728"/>
      <c r="D917" s="2728"/>
      <c r="E917" s="2728"/>
      <c r="G917" s="2512"/>
      <c r="I917" s="2748"/>
      <c r="J917" s="2728"/>
      <c r="L917" s="2728"/>
      <c r="M917" s="2748"/>
      <c r="N917" s="2728"/>
      <c r="O917" s="2728"/>
      <c r="P917" s="2728"/>
      <c r="Q917" s="2748"/>
      <c r="R917" s="2748"/>
      <c r="S917" s="2748"/>
      <c r="T917" s="2748"/>
      <c r="U917" s="2748"/>
      <c r="V917" s="2748"/>
      <c r="W917" s="2748"/>
      <c r="X917" s="2748"/>
      <c r="Y917" s="2748"/>
      <c r="Z917" s="2748"/>
      <c r="AA917" s="2748"/>
      <c r="AB917" s="2748"/>
      <c r="AC917" s="2748"/>
      <c r="AD917" s="2748"/>
      <c r="AE917" s="2748"/>
      <c r="AF917" s="2748"/>
      <c r="AG917" s="2748"/>
      <c r="AH917" s="2748"/>
      <c r="AI917" s="2748"/>
      <c r="AK917" s="2748"/>
      <c r="AL917" s="2748"/>
      <c r="AN917" s="2748"/>
      <c r="AO917" s="2748"/>
      <c r="AP917" s="2748"/>
    </row>
    <row r="918" spans="2:42" ht="18" customHeight="1">
      <c r="B918" s="2728"/>
      <c r="C918" s="2728"/>
      <c r="D918" s="2728"/>
      <c r="E918" s="2728"/>
      <c r="G918" s="2512"/>
      <c r="I918" s="2748"/>
      <c r="J918" s="2728"/>
      <c r="L918" s="2728"/>
      <c r="M918" s="2748"/>
      <c r="N918" s="2728"/>
      <c r="O918" s="2728"/>
      <c r="P918" s="2728"/>
      <c r="Q918" s="2748"/>
      <c r="R918" s="2748"/>
      <c r="S918" s="2748"/>
      <c r="T918" s="2748"/>
      <c r="U918" s="2748"/>
      <c r="V918" s="2748"/>
      <c r="W918" s="2748"/>
      <c r="X918" s="2748"/>
      <c r="Y918" s="2748"/>
      <c r="Z918" s="2748"/>
      <c r="AA918" s="2748"/>
      <c r="AB918" s="2748"/>
      <c r="AC918" s="2748"/>
      <c r="AD918" s="2748"/>
      <c r="AE918" s="2748"/>
      <c r="AF918" s="2748"/>
      <c r="AG918" s="2748"/>
      <c r="AH918" s="2748"/>
      <c r="AI918" s="2748"/>
      <c r="AK918" s="2748"/>
      <c r="AL918" s="2748"/>
      <c r="AN918" s="2748"/>
      <c r="AO918" s="2748"/>
      <c r="AP918" s="2748"/>
    </row>
    <row r="919" spans="2:42" ht="18" customHeight="1">
      <c r="B919" s="2728"/>
      <c r="C919" s="2728"/>
      <c r="D919" s="2728"/>
      <c r="E919" s="2728"/>
      <c r="G919" s="2512"/>
      <c r="I919" s="2748"/>
      <c r="J919" s="2728"/>
      <c r="L919" s="2728"/>
      <c r="M919" s="2748"/>
      <c r="N919" s="2728"/>
      <c r="O919" s="2728"/>
      <c r="P919" s="2728"/>
      <c r="Q919" s="2748"/>
      <c r="R919" s="2748"/>
      <c r="S919" s="2748"/>
      <c r="T919" s="2748"/>
      <c r="U919" s="2748"/>
      <c r="V919" s="2748"/>
      <c r="W919" s="2748"/>
      <c r="X919" s="2748"/>
      <c r="Y919" s="2748"/>
      <c r="Z919" s="2748"/>
      <c r="AA919" s="2748"/>
      <c r="AB919" s="2748"/>
      <c r="AC919" s="2748"/>
      <c r="AD919" s="2748"/>
      <c r="AE919" s="2748"/>
      <c r="AF919" s="2748"/>
      <c r="AG919" s="2748"/>
      <c r="AH919" s="2748"/>
      <c r="AI919" s="2748"/>
      <c r="AK919" s="2748"/>
      <c r="AL919" s="2748"/>
      <c r="AN919" s="2748"/>
      <c r="AO919" s="2748"/>
      <c r="AP919" s="2748"/>
    </row>
    <row r="920" spans="2:42" ht="18" customHeight="1">
      <c r="B920" s="2728"/>
      <c r="C920" s="2728"/>
      <c r="D920" s="2728"/>
      <c r="E920" s="2728"/>
      <c r="G920" s="2512"/>
      <c r="I920" s="2748"/>
      <c r="J920" s="2728"/>
      <c r="L920" s="2728"/>
      <c r="M920" s="2748"/>
      <c r="N920" s="2728"/>
      <c r="O920" s="2728"/>
      <c r="P920" s="2728"/>
      <c r="Q920" s="2748"/>
      <c r="R920" s="2748"/>
      <c r="S920" s="2748"/>
      <c r="T920" s="2748"/>
      <c r="U920" s="2748"/>
      <c r="V920" s="2748"/>
      <c r="W920" s="2748"/>
      <c r="X920" s="2748"/>
      <c r="Y920" s="2748"/>
      <c r="Z920" s="2748"/>
      <c r="AA920" s="2748"/>
      <c r="AB920" s="2748"/>
      <c r="AC920" s="2748"/>
      <c r="AD920" s="2748"/>
      <c r="AE920" s="2748"/>
      <c r="AF920" s="2748"/>
      <c r="AG920" s="2748"/>
      <c r="AH920" s="2748"/>
      <c r="AI920" s="2748"/>
      <c r="AK920" s="2748"/>
      <c r="AL920" s="2748"/>
      <c r="AN920" s="2748"/>
      <c r="AO920" s="2748"/>
      <c r="AP920" s="2748"/>
    </row>
    <row r="921" spans="2:42" ht="18" customHeight="1">
      <c r="B921" s="2728"/>
      <c r="C921" s="2728"/>
      <c r="D921" s="2728"/>
      <c r="E921" s="2728"/>
      <c r="G921" s="2512"/>
      <c r="I921" s="2748"/>
      <c r="J921" s="2728"/>
      <c r="L921" s="2728"/>
      <c r="M921" s="2748"/>
      <c r="N921" s="2728"/>
      <c r="O921" s="2728"/>
      <c r="P921" s="2728"/>
      <c r="Q921" s="2748"/>
      <c r="R921" s="2748"/>
      <c r="S921" s="2748"/>
      <c r="T921" s="2748"/>
      <c r="U921" s="2748"/>
      <c r="V921" s="2748"/>
      <c r="W921" s="2748"/>
      <c r="X921" s="2748"/>
      <c r="Y921" s="2748"/>
      <c r="Z921" s="2748"/>
      <c r="AA921" s="2748"/>
      <c r="AB921" s="2748"/>
      <c r="AC921" s="2748"/>
      <c r="AD921" s="2748"/>
      <c r="AE921" s="2748"/>
      <c r="AF921" s="2748"/>
      <c r="AG921" s="2748"/>
      <c r="AH921" s="2748"/>
      <c r="AI921" s="2748"/>
      <c r="AK921" s="2748"/>
      <c r="AL921" s="2748"/>
      <c r="AN921" s="2748"/>
      <c r="AO921" s="2748"/>
      <c r="AP921" s="2748"/>
    </row>
    <row r="922" spans="2:42" ht="18" customHeight="1">
      <c r="B922" s="2728"/>
      <c r="C922" s="2728"/>
      <c r="D922" s="2728"/>
      <c r="E922" s="2728"/>
      <c r="G922" s="2512"/>
      <c r="I922" s="2748"/>
      <c r="J922" s="2728"/>
      <c r="L922" s="2728"/>
      <c r="M922" s="2748"/>
      <c r="N922" s="2728"/>
      <c r="O922" s="2728"/>
      <c r="P922" s="2728"/>
      <c r="Q922" s="2748"/>
      <c r="R922" s="2748"/>
      <c r="S922" s="2748"/>
      <c r="T922" s="2748"/>
      <c r="U922" s="2748"/>
      <c r="V922" s="2748"/>
      <c r="W922" s="2748"/>
      <c r="X922" s="2748"/>
      <c r="Y922" s="2748"/>
      <c r="Z922" s="2748"/>
      <c r="AA922" s="2748"/>
      <c r="AB922" s="2748"/>
      <c r="AC922" s="2748"/>
      <c r="AD922" s="2748"/>
      <c r="AE922" s="2748"/>
      <c r="AF922" s="2748"/>
      <c r="AG922" s="2748"/>
      <c r="AH922" s="2748"/>
      <c r="AI922" s="2748"/>
      <c r="AK922" s="2748"/>
      <c r="AL922" s="2748"/>
      <c r="AN922" s="2748"/>
      <c r="AO922" s="2748"/>
      <c r="AP922" s="2748"/>
    </row>
    <row r="923" spans="2:42" ht="18" customHeight="1">
      <c r="B923" s="2728"/>
      <c r="C923" s="2728"/>
      <c r="D923" s="2728"/>
      <c r="E923" s="2728"/>
      <c r="G923" s="2512"/>
      <c r="I923" s="2748"/>
      <c r="J923" s="2728"/>
      <c r="L923" s="2728"/>
      <c r="M923" s="2748"/>
      <c r="N923" s="2728"/>
      <c r="O923" s="2728"/>
      <c r="P923" s="2728"/>
      <c r="Q923" s="2748"/>
      <c r="R923" s="2748"/>
      <c r="S923" s="2748"/>
      <c r="T923" s="2748"/>
      <c r="U923" s="2748"/>
      <c r="V923" s="2748"/>
      <c r="W923" s="2748"/>
      <c r="X923" s="2748"/>
      <c r="Y923" s="2748"/>
      <c r="Z923" s="2748"/>
      <c r="AA923" s="2748"/>
      <c r="AB923" s="2748"/>
      <c r="AC923" s="2748"/>
      <c r="AD923" s="2748"/>
      <c r="AE923" s="2748"/>
      <c r="AF923" s="2748"/>
      <c r="AG923" s="2748"/>
      <c r="AH923" s="2748"/>
      <c r="AI923" s="2748"/>
      <c r="AK923" s="2748"/>
      <c r="AL923" s="2748"/>
      <c r="AN923" s="2748"/>
      <c r="AO923" s="2748"/>
      <c r="AP923" s="2748"/>
    </row>
    <row r="924" spans="2:42" ht="18" customHeight="1">
      <c r="B924" s="2728"/>
      <c r="C924" s="2728"/>
      <c r="D924" s="2728"/>
      <c r="E924" s="2728"/>
      <c r="G924" s="2512"/>
      <c r="I924" s="2748"/>
      <c r="J924" s="2728"/>
      <c r="L924" s="2728"/>
      <c r="M924" s="2748"/>
      <c r="N924" s="2728"/>
      <c r="O924" s="2728"/>
      <c r="P924" s="2728"/>
      <c r="Q924" s="2748"/>
      <c r="R924" s="2748"/>
      <c r="S924" s="2748"/>
      <c r="T924" s="2748"/>
      <c r="U924" s="2748"/>
      <c r="V924" s="2748"/>
      <c r="W924" s="2748"/>
      <c r="X924" s="2748"/>
      <c r="Y924" s="2748"/>
      <c r="Z924" s="2748"/>
      <c r="AA924" s="2748"/>
      <c r="AB924" s="2748"/>
      <c r="AC924" s="2748"/>
      <c r="AD924" s="2748"/>
      <c r="AE924" s="2748"/>
      <c r="AF924" s="2748"/>
      <c r="AG924" s="2748"/>
      <c r="AH924" s="2748"/>
      <c r="AI924" s="2748"/>
      <c r="AK924" s="2748"/>
      <c r="AL924" s="2748"/>
      <c r="AN924" s="2748"/>
      <c r="AO924" s="2748"/>
      <c r="AP924" s="2748"/>
    </row>
    <row r="925" spans="2:42" ht="18" customHeight="1">
      <c r="B925" s="2728"/>
      <c r="C925" s="2728"/>
      <c r="D925" s="2728"/>
      <c r="E925" s="2728"/>
      <c r="G925" s="2512"/>
      <c r="I925" s="2748"/>
      <c r="J925" s="2728"/>
      <c r="L925" s="2728"/>
      <c r="M925" s="2748"/>
      <c r="N925" s="2728"/>
      <c r="O925" s="2728"/>
      <c r="P925" s="2728"/>
      <c r="Q925" s="2748"/>
      <c r="R925" s="2748"/>
      <c r="S925" s="2748"/>
      <c r="T925" s="2748"/>
      <c r="U925" s="2748"/>
      <c r="V925" s="2748"/>
      <c r="W925" s="2748"/>
      <c r="X925" s="2748"/>
      <c r="Y925" s="2748"/>
      <c r="Z925" s="2748"/>
      <c r="AA925" s="2748"/>
      <c r="AB925" s="2748"/>
      <c r="AC925" s="2748"/>
      <c r="AD925" s="2748"/>
      <c r="AE925" s="2748"/>
      <c r="AF925" s="2748"/>
      <c r="AG925" s="2748"/>
      <c r="AH925" s="2748"/>
      <c r="AI925" s="2748"/>
      <c r="AK925" s="2748"/>
      <c r="AL925" s="2748"/>
      <c r="AN925" s="2748"/>
      <c r="AO925" s="2748"/>
      <c r="AP925" s="2748"/>
    </row>
    <row r="926" spans="2:42" ht="18" customHeight="1">
      <c r="B926" s="2728"/>
      <c r="C926" s="2728"/>
      <c r="D926" s="2728"/>
      <c r="E926" s="2728"/>
      <c r="G926" s="2512"/>
      <c r="I926" s="2748"/>
      <c r="J926" s="2728"/>
      <c r="L926" s="2728"/>
      <c r="M926" s="2748"/>
      <c r="N926" s="2728"/>
      <c r="O926" s="2728"/>
      <c r="P926" s="2728"/>
      <c r="Q926" s="2748"/>
      <c r="R926" s="2748"/>
      <c r="S926" s="2748"/>
      <c r="T926" s="2748"/>
      <c r="U926" s="2748"/>
      <c r="V926" s="2748"/>
      <c r="W926" s="2748"/>
      <c r="X926" s="2748"/>
      <c r="Y926" s="2748"/>
      <c r="Z926" s="2748"/>
      <c r="AA926" s="2748"/>
      <c r="AB926" s="2748"/>
      <c r="AC926" s="2748"/>
      <c r="AD926" s="2748"/>
      <c r="AE926" s="2748"/>
      <c r="AF926" s="2748"/>
      <c r="AG926" s="2748"/>
      <c r="AH926" s="2748"/>
      <c r="AI926" s="2748"/>
      <c r="AK926" s="2748"/>
      <c r="AL926" s="2748"/>
      <c r="AN926" s="2748"/>
      <c r="AO926" s="2748"/>
      <c r="AP926" s="2748"/>
    </row>
    <row r="927" spans="2:42" ht="18" customHeight="1">
      <c r="B927" s="2728"/>
      <c r="C927" s="2728"/>
      <c r="D927" s="2728"/>
      <c r="E927" s="2728"/>
      <c r="G927" s="2512"/>
      <c r="I927" s="2748"/>
      <c r="J927" s="2728"/>
      <c r="L927" s="2728"/>
      <c r="M927" s="2748"/>
      <c r="N927" s="2728"/>
      <c r="O927" s="2728"/>
      <c r="P927" s="2728"/>
      <c r="Q927" s="2748"/>
      <c r="R927" s="2748"/>
      <c r="S927" s="2748"/>
      <c r="T927" s="2748"/>
      <c r="U927" s="2748"/>
      <c r="V927" s="2748"/>
      <c r="W927" s="2748"/>
      <c r="X927" s="2748"/>
      <c r="Y927" s="2748"/>
      <c r="Z927" s="2748"/>
      <c r="AA927" s="2748"/>
      <c r="AB927" s="2748"/>
      <c r="AC927" s="2748"/>
      <c r="AD927" s="2748"/>
      <c r="AE927" s="2748"/>
      <c r="AF927" s="2748"/>
      <c r="AG927" s="2748"/>
      <c r="AH927" s="2748"/>
      <c r="AI927" s="2748"/>
      <c r="AK927" s="2748"/>
      <c r="AL927" s="2748"/>
      <c r="AN927" s="2748"/>
      <c r="AO927" s="2748"/>
      <c r="AP927" s="2748"/>
    </row>
    <row r="928" spans="2:42" ht="18" customHeight="1">
      <c r="B928" s="2728"/>
      <c r="C928" s="2728"/>
      <c r="D928" s="2728"/>
      <c r="E928" s="2728"/>
      <c r="G928" s="2512"/>
      <c r="I928" s="2748"/>
      <c r="J928" s="2728"/>
      <c r="L928" s="2728"/>
      <c r="M928" s="2748"/>
      <c r="N928" s="2728"/>
      <c r="O928" s="2728"/>
      <c r="P928" s="2728"/>
      <c r="Q928" s="2748"/>
      <c r="R928" s="2748"/>
      <c r="S928" s="2748"/>
      <c r="T928" s="2748"/>
      <c r="U928" s="2748"/>
      <c r="V928" s="2748"/>
      <c r="W928" s="2748"/>
      <c r="X928" s="2748"/>
      <c r="Y928" s="2748"/>
      <c r="Z928" s="2748"/>
      <c r="AA928" s="2748"/>
      <c r="AB928" s="2748"/>
      <c r="AC928" s="2748"/>
      <c r="AD928" s="2748"/>
      <c r="AE928" s="2748"/>
      <c r="AF928" s="2748"/>
      <c r="AG928" s="2748"/>
      <c r="AH928" s="2748"/>
      <c r="AI928" s="2748"/>
      <c r="AK928" s="2748"/>
      <c r="AL928" s="2748"/>
      <c r="AN928" s="2748"/>
      <c r="AO928" s="2748"/>
      <c r="AP928" s="2748"/>
    </row>
    <row r="929" spans="2:42" ht="18" customHeight="1">
      <c r="B929" s="2728"/>
      <c r="C929" s="2728"/>
      <c r="D929" s="2728"/>
      <c r="E929" s="2728"/>
      <c r="G929" s="2512"/>
      <c r="I929" s="2748"/>
      <c r="J929" s="2728"/>
      <c r="L929" s="2728"/>
      <c r="M929" s="2748"/>
      <c r="N929" s="2728"/>
      <c r="O929" s="2728"/>
      <c r="P929" s="2728"/>
      <c r="Q929" s="2748"/>
      <c r="R929" s="2748"/>
      <c r="S929" s="2748"/>
      <c r="T929" s="2748"/>
      <c r="U929" s="2748"/>
      <c r="V929" s="2748"/>
      <c r="W929" s="2748"/>
      <c r="X929" s="2748"/>
      <c r="Y929" s="2748"/>
      <c r="Z929" s="2748"/>
      <c r="AA929" s="2748"/>
      <c r="AB929" s="2748"/>
      <c r="AC929" s="2748"/>
      <c r="AD929" s="2748"/>
      <c r="AE929" s="2748"/>
      <c r="AF929" s="2748"/>
      <c r="AG929" s="2748"/>
      <c r="AH929" s="2748"/>
      <c r="AI929" s="2748"/>
      <c r="AK929" s="2748"/>
      <c r="AL929" s="2748"/>
      <c r="AN929" s="2748"/>
      <c r="AO929" s="2748"/>
      <c r="AP929" s="2748"/>
    </row>
    <row r="930" spans="2:42" ht="18" customHeight="1">
      <c r="B930" s="2728"/>
      <c r="C930" s="2728"/>
      <c r="D930" s="2728"/>
      <c r="E930" s="2728"/>
      <c r="G930" s="2512"/>
      <c r="I930" s="2748"/>
      <c r="J930" s="2728"/>
      <c r="L930" s="2728"/>
      <c r="M930" s="2748"/>
      <c r="N930" s="2728"/>
      <c r="O930" s="2728"/>
      <c r="P930" s="2728"/>
      <c r="Q930" s="2748"/>
      <c r="R930" s="2748"/>
      <c r="S930" s="2748"/>
      <c r="T930" s="2748"/>
      <c r="U930" s="2748"/>
      <c r="V930" s="2748"/>
      <c r="W930" s="2748"/>
      <c r="X930" s="2748"/>
      <c r="Y930" s="2748"/>
      <c r="Z930" s="2748"/>
      <c r="AA930" s="2748"/>
      <c r="AB930" s="2748"/>
      <c r="AC930" s="2748"/>
      <c r="AD930" s="2748"/>
      <c r="AE930" s="2748"/>
      <c r="AF930" s="2748"/>
      <c r="AG930" s="2748"/>
      <c r="AH930" s="2748"/>
      <c r="AI930" s="2748"/>
      <c r="AK930" s="2748"/>
      <c r="AL930" s="2748"/>
      <c r="AN930" s="2748"/>
      <c r="AO930" s="2748"/>
      <c r="AP930" s="2748"/>
    </row>
    <row r="931" spans="2:42" ht="18" customHeight="1">
      <c r="B931" s="2728"/>
      <c r="C931" s="2728"/>
      <c r="D931" s="2728"/>
      <c r="E931" s="2728"/>
      <c r="G931" s="2512"/>
      <c r="I931" s="2748"/>
      <c r="J931" s="2728"/>
      <c r="L931" s="2728"/>
      <c r="M931" s="2748"/>
      <c r="N931" s="2728"/>
      <c r="O931" s="2728"/>
      <c r="P931" s="2728"/>
      <c r="Q931" s="2748"/>
      <c r="R931" s="2748"/>
      <c r="S931" s="2748"/>
      <c r="T931" s="2748"/>
      <c r="U931" s="2748"/>
      <c r="V931" s="2748"/>
      <c r="W931" s="2748"/>
      <c r="X931" s="2748"/>
      <c r="Y931" s="2748"/>
      <c r="Z931" s="2748"/>
      <c r="AA931" s="2748"/>
      <c r="AB931" s="2748"/>
      <c r="AC931" s="2748"/>
      <c r="AD931" s="2748"/>
      <c r="AE931" s="2748"/>
      <c r="AF931" s="2748"/>
      <c r="AG931" s="2748"/>
      <c r="AH931" s="2748"/>
      <c r="AI931" s="2748"/>
      <c r="AK931" s="2748"/>
      <c r="AL931" s="2748"/>
      <c r="AN931" s="2748"/>
      <c r="AO931" s="2748"/>
      <c r="AP931" s="2748"/>
    </row>
    <row r="932" spans="2:42" ht="18" customHeight="1">
      <c r="B932" s="2728"/>
      <c r="C932" s="2728"/>
      <c r="D932" s="2728"/>
      <c r="E932" s="2728"/>
      <c r="G932" s="2512"/>
      <c r="I932" s="2748"/>
      <c r="J932" s="2728"/>
      <c r="L932" s="2728"/>
      <c r="M932" s="2748"/>
      <c r="N932" s="2728"/>
      <c r="O932" s="2728"/>
      <c r="P932" s="2728"/>
      <c r="Q932" s="2748"/>
      <c r="R932" s="2748"/>
      <c r="S932" s="2748"/>
      <c r="T932" s="2748"/>
      <c r="U932" s="2748"/>
      <c r="V932" s="2748"/>
      <c r="W932" s="2748"/>
      <c r="X932" s="2748"/>
      <c r="Y932" s="2748"/>
      <c r="Z932" s="2748"/>
      <c r="AA932" s="2748"/>
      <c r="AB932" s="2748"/>
      <c r="AC932" s="2748"/>
      <c r="AD932" s="2748"/>
      <c r="AE932" s="2748"/>
      <c r="AF932" s="2748"/>
      <c r="AG932" s="2748"/>
      <c r="AH932" s="2748"/>
      <c r="AI932" s="2748"/>
      <c r="AK932" s="2748"/>
      <c r="AL932" s="2748"/>
      <c r="AN932" s="2748"/>
      <c r="AO932" s="2748"/>
      <c r="AP932" s="2748"/>
    </row>
    <row r="933" spans="2:42" ht="18" customHeight="1">
      <c r="B933" s="2728"/>
      <c r="C933" s="2728"/>
      <c r="D933" s="2728"/>
      <c r="E933" s="2728"/>
      <c r="G933" s="2512"/>
      <c r="I933" s="2748"/>
      <c r="J933" s="2728"/>
      <c r="L933" s="2728"/>
      <c r="M933" s="2748"/>
      <c r="N933" s="2728"/>
      <c r="O933" s="2728"/>
      <c r="P933" s="2728"/>
      <c r="Q933" s="2748"/>
      <c r="R933" s="2748"/>
      <c r="S933" s="2748"/>
      <c r="T933" s="2748"/>
      <c r="U933" s="2748"/>
      <c r="V933" s="2748"/>
      <c r="W933" s="2748"/>
      <c r="X933" s="2748"/>
      <c r="Y933" s="2748"/>
      <c r="Z933" s="2748"/>
      <c r="AA933" s="2748"/>
      <c r="AB933" s="2748"/>
      <c r="AC933" s="2748"/>
      <c r="AD933" s="2748"/>
      <c r="AE933" s="2748"/>
      <c r="AF933" s="2748"/>
      <c r="AG933" s="2748"/>
      <c r="AH933" s="2748"/>
      <c r="AI933" s="2748"/>
      <c r="AK933" s="2748"/>
      <c r="AL933" s="2748"/>
      <c r="AN933" s="2748"/>
      <c r="AO933" s="2748"/>
      <c r="AP933" s="2748"/>
    </row>
    <row r="934" spans="2:42" ht="18" customHeight="1">
      <c r="B934" s="2728"/>
      <c r="C934" s="2728"/>
      <c r="D934" s="2728"/>
      <c r="E934" s="2728"/>
      <c r="G934" s="2512"/>
      <c r="I934" s="2748"/>
      <c r="J934" s="2728"/>
      <c r="L934" s="2728"/>
      <c r="M934" s="2748"/>
      <c r="N934" s="2728"/>
      <c r="O934" s="2728"/>
      <c r="P934" s="2728"/>
      <c r="Q934" s="2748"/>
      <c r="R934" s="2748"/>
      <c r="S934" s="2748"/>
      <c r="T934" s="2748"/>
      <c r="U934" s="2748"/>
      <c r="V934" s="2748"/>
      <c r="W934" s="2748"/>
      <c r="X934" s="2748"/>
      <c r="Y934" s="2748"/>
      <c r="Z934" s="2748"/>
      <c r="AA934" s="2748"/>
      <c r="AB934" s="2748"/>
      <c r="AC934" s="2748"/>
      <c r="AD934" s="2748"/>
      <c r="AE934" s="2748"/>
      <c r="AF934" s="2748"/>
      <c r="AG934" s="2748"/>
      <c r="AH934" s="2748"/>
      <c r="AI934" s="2748"/>
      <c r="AK934" s="2748"/>
      <c r="AL934" s="2748"/>
      <c r="AN934" s="2748"/>
      <c r="AO934" s="2748"/>
      <c r="AP934" s="2748"/>
    </row>
    <row r="935" spans="2:42" ht="18" customHeight="1">
      <c r="B935" s="2728"/>
      <c r="C935" s="2728"/>
      <c r="D935" s="2728"/>
      <c r="E935" s="2728"/>
      <c r="G935" s="2512"/>
      <c r="I935" s="2748"/>
      <c r="J935" s="2728"/>
      <c r="L935" s="2728"/>
      <c r="M935" s="2748"/>
      <c r="N935" s="2728"/>
      <c r="O935" s="2728"/>
      <c r="P935" s="2728"/>
      <c r="Q935" s="2748"/>
      <c r="R935" s="2748"/>
      <c r="S935" s="2748"/>
      <c r="T935" s="2748"/>
      <c r="U935" s="2748"/>
      <c r="V935" s="2748"/>
      <c r="W935" s="2748"/>
      <c r="X935" s="2748"/>
      <c r="Y935" s="2748"/>
      <c r="Z935" s="2748"/>
      <c r="AA935" s="2748"/>
      <c r="AB935" s="2748"/>
      <c r="AC935" s="2748"/>
      <c r="AD935" s="2748"/>
      <c r="AE935" s="2748"/>
      <c r="AF935" s="2748"/>
      <c r="AG935" s="2748"/>
      <c r="AH935" s="2748"/>
      <c r="AI935" s="2748"/>
      <c r="AK935" s="2748"/>
      <c r="AL935" s="2748"/>
      <c r="AN935" s="2748"/>
      <c r="AO935" s="2748"/>
      <c r="AP935" s="2748"/>
    </row>
    <row r="936" spans="2:42" ht="18" customHeight="1">
      <c r="B936" s="2728"/>
      <c r="C936" s="2728"/>
      <c r="D936" s="2728"/>
      <c r="E936" s="2728"/>
      <c r="G936" s="2512"/>
      <c r="I936" s="2748"/>
      <c r="J936" s="2728"/>
      <c r="L936" s="2728"/>
      <c r="M936" s="2748"/>
      <c r="N936" s="2728"/>
      <c r="O936" s="2728"/>
      <c r="P936" s="2728"/>
      <c r="Q936" s="2748"/>
      <c r="R936" s="2748"/>
      <c r="S936" s="2748"/>
      <c r="T936" s="2748"/>
      <c r="U936" s="2748"/>
      <c r="V936" s="2748"/>
      <c r="W936" s="2748"/>
      <c r="X936" s="2748"/>
      <c r="Y936" s="2748"/>
      <c r="Z936" s="2748"/>
      <c r="AA936" s="2748"/>
      <c r="AB936" s="2748"/>
      <c r="AC936" s="2748"/>
      <c r="AD936" s="2748"/>
      <c r="AE936" s="2748"/>
      <c r="AF936" s="2748"/>
      <c r="AG936" s="2748"/>
      <c r="AH936" s="2748"/>
      <c r="AI936" s="2748"/>
      <c r="AK936" s="2748"/>
      <c r="AL936" s="2748"/>
      <c r="AN936" s="2748"/>
      <c r="AO936" s="2748"/>
      <c r="AP936" s="2748"/>
    </row>
    <row r="937" spans="2:42" ht="18" customHeight="1">
      <c r="B937" s="2728"/>
      <c r="C937" s="2728"/>
      <c r="D937" s="2728"/>
      <c r="E937" s="2728"/>
      <c r="G937" s="2512"/>
      <c r="I937" s="2748"/>
      <c r="J937" s="2728"/>
      <c r="L937" s="2728"/>
      <c r="M937" s="2748"/>
      <c r="N937" s="2728"/>
      <c r="O937" s="2728"/>
      <c r="P937" s="2728"/>
      <c r="Q937" s="2748"/>
      <c r="R937" s="2748"/>
      <c r="S937" s="2748"/>
      <c r="T937" s="2748"/>
      <c r="U937" s="2748"/>
      <c r="V937" s="2748"/>
      <c r="W937" s="2748"/>
      <c r="X937" s="2748"/>
      <c r="Y937" s="2748"/>
      <c r="Z937" s="2748"/>
      <c r="AA937" s="2748"/>
      <c r="AB937" s="2748"/>
      <c r="AC937" s="2748"/>
      <c r="AD937" s="2748"/>
      <c r="AE937" s="2748"/>
      <c r="AF937" s="2748"/>
      <c r="AG937" s="2748"/>
      <c r="AH937" s="2748"/>
      <c r="AI937" s="2748"/>
      <c r="AK937" s="2748"/>
      <c r="AL937" s="2748"/>
      <c r="AN937" s="2748"/>
      <c r="AO937" s="2748"/>
      <c r="AP937" s="2748"/>
    </row>
    <row r="938" spans="2:42" ht="18" customHeight="1">
      <c r="B938" s="2728"/>
      <c r="C938" s="2728"/>
      <c r="D938" s="2728"/>
      <c r="E938" s="2728"/>
      <c r="G938" s="2512"/>
      <c r="I938" s="2748"/>
      <c r="J938" s="2728"/>
      <c r="L938" s="2728"/>
      <c r="M938" s="2748"/>
      <c r="N938" s="2728"/>
      <c r="O938" s="2728"/>
      <c r="P938" s="2728"/>
      <c r="Q938" s="2748"/>
      <c r="R938" s="2748"/>
      <c r="S938" s="2748"/>
      <c r="T938" s="2748"/>
      <c r="U938" s="2748"/>
      <c r="V938" s="2748"/>
      <c r="W938" s="2748"/>
      <c r="X938" s="2748"/>
      <c r="Y938" s="2748"/>
      <c r="Z938" s="2748"/>
      <c r="AA938" s="2748"/>
      <c r="AB938" s="2748"/>
      <c r="AC938" s="2748"/>
      <c r="AD938" s="2748"/>
      <c r="AE938" s="2748"/>
      <c r="AF938" s="2748"/>
      <c r="AG938" s="2748"/>
      <c r="AH938" s="2748"/>
      <c r="AI938" s="2748"/>
      <c r="AK938" s="2748"/>
      <c r="AL938" s="2748"/>
      <c r="AN938" s="2748"/>
      <c r="AO938" s="2748"/>
      <c r="AP938" s="2748"/>
    </row>
    <row r="939" spans="2:42" ht="18" customHeight="1">
      <c r="B939" s="2728"/>
      <c r="C939" s="2728"/>
      <c r="D939" s="2728"/>
      <c r="E939" s="2728"/>
      <c r="G939" s="2512"/>
      <c r="I939" s="2748"/>
      <c r="J939" s="2728"/>
      <c r="L939" s="2728"/>
      <c r="M939" s="2748"/>
      <c r="N939" s="2728"/>
      <c r="O939" s="2728"/>
      <c r="P939" s="2728"/>
      <c r="Q939" s="2748"/>
      <c r="R939" s="2748"/>
      <c r="S939" s="2748"/>
      <c r="T939" s="2748"/>
      <c r="U939" s="2748"/>
      <c r="V939" s="2748"/>
      <c r="W939" s="2748"/>
      <c r="X939" s="2748"/>
      <c r="Y939" s="2748"/>
      <c r="Z939" s="2748"/>
      <c r="AA939" s="2748"/>
      <c r="AB939" s="2748"/>
      <c r="AC939" s="2748"/>
      <c r="AD939" s="2748"/>
      <c r="AE939" s="2748"/>
      <c r="AF939" s="2748"/>
      <c r="AG939" s="2748"/>
      <c r="AH939" s="2748"/>
      <c r="AI939" s="2748"/>
      <c r="AK939" s="2748"/>
      <c r="AL939" s="2748"/>
      <c r="AN939" s="2748"/>
      <c r="AO939" s="2748"/>
      <c r="AP939" s="2748"/>
    </row>
    <row r="940" spans="2:42" ht="18" customHeight="1">
      <c r="B940" s="2728"/>
      <c r="C940" s="2728"/>
      <c r="D940" s="2728"/>
      <c r="E940" s="2728"/>
      <c r="G940" s="2512"/>
      <c r="I940" s="2748"/>
      <c r="J940" s="2728"/>
      <c r="L940" s="2728"/>
      <c r="M940" s="2748"/>
      <c r="N940" s="2728"/>
      <c r="O940" s="2728"/>
      <c r="P940" s="2728"/>
      <c r="Q940" s="2748"/>
      <c r="R940" s="2748"/>
      <c r="S940" s="2748"/>
      <c r="T940" s="2748"/>
      <c r="U940" s="2748"/>
      <c r="V940" s="2748"/>
      <c r="W940" s="2748"/>
      <c r="X940" s="2748"/>
      <c r="Y940" s="2748"/>
      <c r="Z940" s="2748"/>
      <c r="AA940" s="2748"/>
      <c r="AB940" s="2748"/>
      <c r="AC940" s="2748"/>
      <c r="AD940" s="2748"/>
      <c r="AE940" s="2748"/>
      <c r="AF940" s="2748"/>
      <c r="AG940" s="2748"/>
      <c r="AH940" s="2748"/>
      <c r="AI940" s="2748"/>
      <c r="AK940" s="2748"/>
      <c r="AL940" s="2748"/>
      <c r="AN940" s="2748"/>
      <c r="AO940" s="2748"/>
      <c r="AP940" s="2748"/>
    </row>
    <row r="941" spans="2:42" ht="18" customHeight="1">
      <c r="B941" s="2728"/>
      <c r="C941" s="2728"/>
      <c r="D941" s="2728"/>
      <c r="E941" s="2728"/>
      <c r="G941" s="2512"/>
      <c r="I941" s="2748"/>
      <c r="J941" s="2728"/>
      <c r="L941" s="2728"/>
      <c r="M941" s="2748"/>
      <c r="N941" s="2728"/>
      <c r="O941" s="2728"/>
      <c r="P941" s="2728"/>
      <c r="Q941" s="2748"/>
      <c r="R941" s="2748"/>
      <c r="S941" s="2748"/>
      <c r="T941" s="2748"/>
      <c r="U941" s="2748"/>
      <c r="V941" s="2748"/>
      <c r="W941" s="2748"/>
      <c r="X941" s="2748"/>
      <c r="Y941" s="2748"/>
      <c r="Z941" s="2748"/>
      <c r="AA941" s="2748"/>
      <c r="AB941" s="2748"/>
      <c r="AC941" s="2748"/>
      <c r="AD941" s="2748"/>
      <c r="AE941" s="2748"/>
      <c r="AF941" s="2748"/>
      <c r="AG941" s="2748"/>
      <c r="AH941" s="2748"/>
      <c r="AI941" s="2748"/>
      <c r="AK941" s="2748"/>
      <c r="AL941" s="2748"/>
      <c r="AN941" s="2748"/>
      <c r="AO941" s="2748"/>
      <c r="AP941" s="2748"/>
    </row>
    <row r="942" spans="2:42" ht="18" customHeight="1">
      <c r="B942" s="2728"/>
      <c r="C942" s="2728"/>
      <c r="D942" s="2728"/>
      <c r="E942" s="2728"/>
      <c r="G942" s="2512"/>
      <c r="I942" s="2748"/>
      <c r="J942" s="2728"/>
      <c r="L942" s="2728"/>
      <c r="M942" s="2748"/>
      <c r="N942" s="2728"/>
      <c r="O942" s="2728"/>
      <c r="P942" s="2728"/>
      <c r="Q942" s="2748"/>
      <c r="R942" s="2748"/>
      <c r="S942" s="2748"/>
      <c r="T942" s="2748"/>
      <c r="U942" s="2748"/>
      <c r="V942" s="2748"/>
      <c r="W942" s="2748"/>
      <c r="X942" s="2748"/>
      <c r="Y942" s="2748"/>
      <c r="Z942" s="2748"/>
      <c r="AA942" s="2748"/>
      <c r="AB942" s="2748"/>
      <c r="AC942" s="2748"/>
      <c r="AD942" s="2748"/>
      <c r="AE942" s="2748"/>
      <c r="AF942" s="2748"/>
      <c r="AG942" s="2748"/>
      <c r="AH942" s="2748"/>
      <c r="AI942" s="2748"/>
      <c r="AK942" s="2748"/>
      <c r="AL942" s="2748"/>
      <c r="AN942" s="2748"/>
      <c r="AO942" s="2748"/>
      <c r="AP942" s="2748"/>
    </row>
    <row r="943" spans="2:42" ht="18" customHeight="1">
      <c r="B943" s="2728"/>
      <c r="C943" s="2728"/>
      <c r="D943" s="2728"/>
      <c r="E943" s="2728"/>
      <c r="G943" s="2512"/>
      <c r="I943" s="2748"/>
      <c r="J943" s="2728"/>
      <c r="L943" s="2728"/>
      <c r="M943" s="2748"/>
      <c r="N943" s="2728"/>
      <c r="O943" s="2728"/>
      <c r="P943" s="2728"/>
      <c r="Q943" s="2748"/>
      <c r="R943" s="2748"/>
      <c r="S943" s="2748"/>
      <c r="T943" s="2748"/>
      <c r="U943" s="2748"/>
      <c r="V943" s="2748"/>
      <c r="W943" s="2748"/>
      <c r="X943" s="2748"/>
      <c r="Y943" s="2748"/>
      <c r="Z943" s="2748"/>
      <c r="AA943" s="2748"/>
      <c r="AB943" s="2748"/>
      <c r="AC943" s="2748"/>
      <c r="AD943" s="2748"/>
      <c r="AE943" s="2748"/>
      <c r="AF943" s="2748"/>
      <c r="AG943" s="2748"/>
      <c r="AH943" s="2748"/>
      <c r="AI943" s="2748"/>
      <c r="AK943" s="2748"/>
      <c r="AL943" s="2748"/>
      <c r="AN943" s="2748"/>
      <c r="AO943" s="2748"/>
      <c r="AP943" s="2748"/>
    </row>
    <row r="944" spans="2:42" ht="18" customHeight="1">
      <c r="B944" s="2728"/>
      <c r="C944" s="2728"/>
      <c r="D944" s="2728"/>
      <c r="E944" s="2728"/>
      <c r="G944" s="2512"/>
      <c r="I944" s="2748"/>
      <c r="J944" s="2728"/>
      <c r="L944" s="2728"/>
      <c r="M944" s="2748"/>
      <c r="N944" s="2728"/>
      <c r="O944" s="2728"/>
      <c r="P944" s="2728"/>
      <c r="Q944" s="2748"/>
      <c r="R944" s="2748"/>
      <c r="S944" s="2748"/>
      <c r="T944" s="2748"/>
      <c r="U944" s="2748"/>
      <c r="V944" s="2748"/>
      <c r="W944" s="2748"/>
      <c r="X944" s="2748"/>
      <c r="Y944" s="2748"/>
      <c r="Z944" s="2748"/>
      <c r="AA944" s="2748"/>
      <c r="AB944" s="2748"/>
      <c r="AC944" s="2748"/>
      <c r="AD944" s="2748"/>
      <c r="AE944" s="2748"/>
      <c r="AF944" s="2748"/>
      <c r="AG944" s="2748"/>
      <c r="AH944" s="2748"/>
      <c r="AI944" s="2748"/>
      <c r="AK944" s="2748"/>
      <c r="AL944" s="2748"/>
      <c r="AN944" s="2748"/>
      <c r="AO944" s="2748"/>
      <c r="AP944" s="2748"/>
    </row>
    <row r="945" spans="2:42" ht="18" customHeight="1">
      <c r="B945" s="2728"/>
      <c r="C945" s="2728"/>
      <c r="D945" s="2728"/>
      <c r="E945" s="2728"/>
      <c r="G945" s="2512"/>
      <c r="I945" s="2748"/>
      <c r="J945" s="2728"/>
      <c r="L945" s="2728"/>
      <c r="M945" s="2748"/>
      <c r="N945" s="2728"/>
      <c r="O945" s="2728"/>
      <c r="P945" s="2728"/>
      <c r="Q945" s="2748"/>
      <c r="R945" s="2748"/>
      <c r="S945" s="2748"/>
      <c r="T945" s="2748"/>
      <c r="U945" s="2748"/>
      <c r="V945" s="2748"/>
      <c r="W945" s="2748"/>
      <c r="X945" s="2748"/>
      <c r="Y945" s="2748"/>
      <c r="Z945" s="2748"/>
      <c r="AA945" s="2748"/>
      <c r="AB945" s="2748"/>
      <c r="AC945" s="2748"/>
      <c r="AD945" s="2748"/>
      <c r="AE945" s="2748"/>
      <c r="AF945" s="2748"/>
      <c r="AG945" s="2748"/>
      <c r="AH945" s="2748"/>
      <c r="AI945" s="2748"/>
      <c r="AK945" s="2748"/>
      <c r="AL945" s="2748"/>
      <c r="AN945" s="2748"/>
      <c r="AO945" s="2748"/>
      <c r="AP945" s="2748"/>
    </row>
    <row r="946" spans="2:42" ht="18" customHeight="1">
      <c r="B946" s="2728"/>
      <c r="C946" s="2728"/>
      <c r="D946" s="2728"/>
      <c r="E946" s="2728"/>
      <c r="G946" s="2512"/>
      <c r="I946" s="2748"/>
      <c r="J946" s="2728"/>
      <c r="L946" s="2728"/>
      <c r="M946" s="2748"/>
      <c r="N946" s="2728"/>
      <c r="O946" s="2728"/>
      <c r="P946" s="2728"/>
      <c r="Q946" s="2748"/>
      <c r="R946" s="2748"/>
      <c r="S946" s="2748"/>
      <c r="T946" s="2748"/>
      <c r="U946" s="2748"/>
      <c r="V946" s="2748"/>
      <c r="W946" s="2748"/>
      <c r="X946" s="2748"/>
      <c r="Y946" s="2748"/>
      <c r="Z946" s="2748"/>
      <c r="AA946" s="2748"/>
      <c r="AB946" s="2748"/>
      <c r="AC946" s="2748"/>
      <c r="AD946" s="2748"/>
      <c r="AE946" s="2748"/>
      <c r="AF946" s="2748"/>
      <c r="AG946" s="2748"/>
      <c r="AH946" s="2748"/>
      <c r="AI946" s="2748"/>
      <c r="AK946" s="2748"/>
      <c r="AL946" s="2748"/>
      <c r="AN946" s="2748"/>
      <c r="AO946" s="2748"/>
      <c r="AP946" s="2748"/>
    </row>
    <row r="947" spans="2:42" ht="18" customHeight="1">
      <c r="B947" s="2728"/>
      <c r="C947" s="2728"/>
      <c r="D947" s="2728"/>
      <c r="E947" s="2728"/>
      <c r="G947" s="2512"/>
      <c r="I947" s="2748"/>
      <c r="J947" s="2728"/>
      <c r="L947" s="2728"/>
      <c r="M947" s="2748"/>
      <c r="N947" s="2728"/>
      <c r="O947" s="2728"/>
      <c r="P947" s="2728"/>
      <c r="Q947" s="2748"/>
      <c r="R947" s="2748"/>
      <c r="S947" s="2748"/>
      <c r="T947" s="2748"/>
      <c r="U947" s="2748"/>
      <c r="V947" s="2748"/>
      <c r="W947" s="2748"/>
      <c r="X947" s="2748"/>
      <c r="Y947" s="2748"/>
      <c r="Z947" s="2748"/>
      <c r="AA947" s="2748"/>
      <c r="AB947" s="2748"/>
      <c r="AC947" s="2748"/>
      <c r="AD947" s="2748"/>
      <c r="AE947" s="2748"/>
      <c r="AF947" s="2748"/>
      <c r="AG947" s="2748"/>
      <c r="AH947" s="2748"/>
      <c r="AI947" s="2748"/>
      <c r="AK947" s="2748"/>
      <c r="AL947" s="2748"/>
      <c r="AN947" s="2748"/>
      <c r="AO947" s="2748"/>
      <c r="AP947" s="2748"/>
    </row>
    <row r="948" spans="2:42" ht="18" customHeight="1">
      <c r="B948" s="2728"/>
      <c r="C948" s="2728"/>
      <c r="D948" s="2728"/>
      <c r="E948" s="2728"/>
      <c r="G948" s="2512"/>
      <c r="I948" s="2748"/>
      <c r="J948" s="2728"/>
      <c r="L948" s="2728"/>
      <c r="M948" s="2748"/>
      <c r="N948" s="2728"/>
      <c r="O948" s="2728"/>
      <c r="P948" s="2728"/>
      <c r="Q948" s="2748"/>
      <c r="R948" s="2748"/>
      <c r="S948" s="2748"/>
      <c r="T948" s="2748"/>
      <c r="U948" s="2748"/>
      <c r="V948" s="2748"/>
      <c r="W948" s="2748"/>
      <c r="X948" s="2748"/>
      <c r="Y948" s="2748"/>
      <c r="Z948" s="2748"/>
      <c r="AA948" s="2748"/>
      <c r="AB948" s="2748"/>
      <c r="AC948" s="2748"/>
      <c r="AD948" s="2748"/>
      <c r="AE948" s="2748"/>
      <c r="AF948" s="2748"/>
      <c r="AG948" s="2748"/>
      <c r="AH948" s="2748"/>
      <c r="AI948" s="2748"/>
      <c r="AK948" s="2748"/>
      <c r="AL948" s="2748"/>
      <c r="AN948" s="2748"/>
      <c r="AO948" s="2748"/>
      <c r="AP948" s="2748"/>
    </row>
    <row r="949" spans="2:42" ht="18" customHeight="1">
      <c r="B949" s="2728"/>
      <c r="C949" s="2728"/>
      <c r="D949" s="2728"/>
      <c r="E949" s="2728"/>
      <c r="G949" s="2512"/>
      <c r="I949" s="2748"/>
      <c r="J949" s="2728"/>
      <c r="L949" s="2728"/>
      <c r="M949" s="2748"/>
      <c r="N949" s="2728"/>
      <c r="O949" s="2728"/>
      <c r="P949" s="2728"/>
      <c r="Q949" s="2748"/>
      <c r="R949" s="2748"/>
      <c r="S949" s="2748"/>
      <c r="T949" s="2748"/>
      <c r="U949" s="2748"/>
      <c r="V949" s="2748"/>
      <c r="W949" s="2748"/>
      <c r="X949" s="2748"/>
      <c r="Y949" s="2748"/>
      <c r="Z949" s="2748"/>
      <c r="AA949" s="2748"/>
      <c r="AB949" s="2748"/>
      <c r="AC949" s="2748"/>
      <c r="AD949" s="2748"/>
      <c r="AE949" s="2748"/>
      <c r="AF949" s="2748"/>
      <c r="AG949" s="2748"/>
      <c r="AH949" s="2748"/>
      <c r="AI949" s="2748"/>
      <c r="AK949" s="2748"/>
      <c r="AL949" s="2748"/>
      <c r="AN949" s="2748"/>
      <c r="AO949" s="2748"/>
      <c r="AP949" s="2748"/>
    </row>
    <row r="950" spans="2:42" ht="18" customHeight="1">
      <c r="B950" s="2728"/>
      <c r="C950" s="2728"/>
      <c r="D950" s="2728"/>
      <c r="E950" s="2728"/>
      <c r="G950" s="2512"/>
      <c r="I950" s="2748"/>
      <c r="J950" s="2728"/>
      <c r="L950" s="2728"/>
      <c r="M950" s="2748"/>
      <c r="N950" s="2728"/>
      <c r="O950" s="2728"/>
      <c r="P950" s="2728"/>
      <c r="Q950" s="2748"/>
      <c r="R950" s="2748"/>
      <c r="S950" s="2748"/>
      <c r="T950" s="2748"/>
      <c r="U950" s="2748"/>
      <c r="V950" s="2748"/>
      <c r="W950" s="2748"/>
      <c r="X950" s="2748"/>
      <c r="Y950" s="2748"/>
      <c r="Z950" s="2748"/>
      <c r="AA950" s="2748"/>
      <c r="AB950" s="2748"/>
      <c r="AC950" s="2748"/>
      <c r="AD950" s="2748"/>
      <c r="AE950" s="2748"/>
      <c r="AF950" s="2748"/>
      <c r="AG950" s="2748"/>
      <c r="AH950" s="2748"/>
      <c r="AI950" s="2748"/>
      <c r="AK950" s="2748"/>
      <c r="AL950" s="2748"/>
      <c r="AN950" s="2748"/>
      <c r="AO950" s="2748"/>
      <c r="AP950" s="2748"/>
    </row>
    <row r="951" spans="2:42" ht="18" customHeight="1">
      <c r="B951" s="2728"/>
      <c r="C951" s="2728"/>
      <c r="D951" s="2728"/>
      <c r="E951" s="2728"/>
      <c r="G951" s="2512"/>
      <c r="I951" s="2748"/>
      <c r="J951" s="2728"/>
      <c r="L951" s="2728"/>
      <c r="M951" s="2748"/>
      <c r="N951" s="2728"/>
      <c r="O951" s="2728"/>
      <c r="P951" s="2728"/>
      <c r="Q951" s="2748"/>
      <c r="R951" s="2748"/>
      <c r="S951" s="2748"/>
      <c r="T951" s="2748"/>
      <c r="U951" s="2748"/>
      <c r="V951" s="2748"/>
      <c r="W951" s="2748"/>
      <c r="X951" s="2748"/>
      <c r="Y951" s="2748"/>
      <c r="Z951" s="2748"/>
      <c r="AA951" s="2748"/>
      <c r="AB951" s="2748"/>
      <c r="AC951" s="2748"/>
      <c r="AD951" s="2748"/>
      <c r="AE951" s="2748"/>
      <c r="AF951" s="2748"/>
      <c r="AG951" s="2748"/>
      <c r="AH951" s="2748"/>
      <c r="AI951" s="2748"/>
      <c r="AK951" s="2748"/>
      <c r="AL951" s="2748"/>
      <c r="AN951" s="2748"/>
      <c r="AO951" s="2748"/>
      <c r="AP951" s="2748"/>
    </row>
    <row r="952" spans="2:42" ht="18" customHeight="1">
      <c r="B952" s="2728"/>
      <c r="C952" s="2728"/>
      <c r="D952" s="2728"/>
      <c r="E952" s="2728"/>
      <c r="G952" s="2512"/>
      <c r="I952" s="2748"/>
      <c r="J952" s="2728"/>
      <c r="L952" s="2728"/>
      <c r="M952" s="2748"/>
      <c r="N952" s="2728"/>
      <c r="O952" s="2728"/>
      <c r="P952" s="2728"/>
      <c r="Q952" s="2748"/>
      <c r="R952" s="2748"/>
      <c r="S952" s="2748"/>
      <c r="T952" s="2748"/>
      <c r="U952" s="2748"/>
      <c r="V952" s="2748"/>
      <c r="W952" s="2748"/>
      <c r="X952" s="2748"/>
      <c r="Y952" s="2748"/>
      <c r="Z952" s="2748"/>
      <c r="AA952" s="2748"/>
      <c r="AB952" s="2748"/>
      <c r="AC952" s="2748"/>
      <c r="AD952" s="2748"/>
      <c r="AE952" s="2748"/>
      <c r="AF952" s="2748"/>
      <c r="AG952" s="2748"/>
      <c r="AH952" s="2748"/>
      <c r="AI952" s="2748"/>
      <c r="AK952" s="2748"/>
      <c r="AL952" s="2748"/>
      <c r="AN952" s="2748"/>
      <c r="AO952" s="2748"/>
      <c r="AP952" s="2748"/>
    </row>
    <row r="953" spans="2:42" ht="18" customHeight="1">
      <c r="B953" s="2728"/>
      <c r="C953" s="2728"/>
      <c r="D953" s="2728"/>
      <c r="E953" s="2728"/>
      <c r="G953" s="2512"/>
      <c r="I953" s="2748"/>
      <c r="J953" s="2728"/>
      <c r="L953" s="2728"/>
      <c r="M953" s="2748"/>
      <c r="N953" s="2728"/>
      <c r="O953" s="2728"/>
      <c r="P953" s="2728"/>
      <c r="Q953" s="2748"/>
      <c r="R953" s="2748"/>
      <c r="S953" s="2748"/>
      <c r="T953" s="2748"/>
      <c r="U953" s="2748"/>
      <c r="V953" s="2748"/>
      <c r="W953" s="2748"/>
      <c r="X953" s="2748"/>
      <c r="Y953" s="2748"/>
      <c r="Z953" s="2748"/>
      <c r="AA953" s="2748"/>
      <c r="AB953" s="2748"/>
      <c r="AC953" s="2748"/>
      <c r="AD953" s="2748"/>
      <c r="AE953" s="2748"/>
      <c r="AF953" s="2748"/>
      <c r="AG953" s="2748"/>
      <c r="AH953" s="2748"/>
      <c r="AI953" s="2748"/>
      <c r="AK953" s="2748"/>
      <c r="AL953" s="2748"/>
      <c r="AN953" s="2748"/>
      <c r="AO953" s="2748"/>
      <c r="AP953" s="2748"/>
    </row>
    <row r="954" spans="2:42" ht="18" customHeight="1">
      <c r="B954" s="2728"/>
      <c r="C954" s="2728"/>
      <c r="D954" s="2728"/>
      <c r="E954" s="2728"/>
      <c r="G954" s="2512"/>
      <c r="I954" s="2748"/>
      <c r="J954" s="2728"/>
      <c r="L954" s="2728"/>
      <c r="M954" s="2748"/>
      <c r="N954" s="2728"/>
      <c r="O954" s="2728"/>
      <c r="P954" s="2728"/>
      <c r="Q954" s="2748"/>
      <c r="R954" s="2748"/>
      <c r="S954" s="2748"/>
      <c r="T954" s="2748"/>
      <c r="U954" s="2748"/>
      <c r="V954" s="2748"/>
      <c r="W954" s="2748"/>
      <c r="X954" s="2748"/>
      <c r="Y954" s="2748"/>
      <c r="Z954" s="2748"/>
      <c r="AA954" s="2748"/>
      <c r="AB954" s="2748"/>
      <c r="AC954" s="2748"/>
      <c r="AD954" s="2748"/>
      <c r="AE954" s="2748"/>
      <c r="AF954" s="2748"/>
      <c r="AG954" s="2748"/>
      <c r="AH954" s="2748"/>
      <c r="AI954" s="2748"/>
      <c r="AK954" s="2748"/>
      <c r="AL954" s="2748"/>
      <c r="AN954" s="2748"/>
      <c r="AO954" s="2748"/>
      <c r="AP954" s="2748"/>
    </row>
    <row r="955" spans="2:42" ht="18" customHeight="1">
      <c r="B955" s="2728"/>
      <c r="C955" s="2728"/>
      <c r="D955" s="2728"/>
      <c r="E955" s="2728"/>
      <c r="G955" s="2512"/>
      <c r="I955" s="2748"/>
      <c r="J955" s="2728"/>
      <c r="L955" s="2728"/>
      <c r="M955" s="2748"/>
      <c r="N955" s="2728"/>
      <c r="O955" s="2728"/>
      <c r="P955" s="2728"/>
      <c r="Q955" s="2748"/>
      <c r="R955" s="2748"/>
      <c r="S955" s="2748"/>
      <c r="T955" s="2748"/>
      <c r="U955" s="2748"/>
      <c r="V955" s="2748"/>
      <c r="W955" s="2748"/>
      <c r="X955" s="2748"/>
      <c r="Y955" s="2748"/>
      <c r="Z955" s="2748"/>
      <c r="AA955" s="2748"/>
      <c r="AB955" s="2748"/>
      <c r="AC955" s="2748"/>
      <c r="AD955" s="2748"/>
      <c r="AE955" s="2748"/>
      <c r="AF955" s="2748"/>
      <c r="AG955" s="2748"/>
      <c r="AH955" s="2748"/>
      <c r="AI955" s="2748"/>
      <c r="AK955" s="2748"/>
      <c r="AL955" s="2748"/>
      <c r="AN955" s="2748"/>
      <c r="AO955" s="2748"/>
      <c r="AP955" s="2748"/>
    </row>
    <row r="956" spans="2:42" ht="18" customHeight="1">
      <c r="B956" s="2728"/>
      <c r="C956" s="2728"/>
      <c r="D956" s="2728"/>
      <c r="E956" s="2728"/>
      <c r="G956" s="2512"/>
      <c r="I956" s="2748"/>
      <c r="J956" s="2728"/>
      <c r="L956" s="2728"/>
      <c r="M956" s="2748"/>
      <c r="N956" s="2728"/>
      <c r="O956" s="2728"/>
      <c r="P956" s="2728"/>
      <c r="Q956" s="2748"/>
      <c r="R956" s="2748"/>
      <c r="S956" s="2748"/>
      <c r="T956" s="2748"/>
      <c r="U956" s="2748"/>
      <c r="V956" s="2748"/>
      <c r="W956" s="2748"/>
      <c r="X956" s="2748"/>
      <c r="Y956" s="2748"/>
      <c r="Z956" s="2748"/>
      <c r="AA956" s="2748"/>
      <c r="AB956" s="2748"/>
      <c r="AC956" s="2748"/>
      <c r="AD956" s="2748"/>
      <c r="AE956" s="2748"/>
      <c r="AF956" s="2748"/>
      <c r="AG956" s="2748"/>
      <c r="AH956" s="2748"/>
      <c r="AI956" s="2748"/>
      <c r="AK956" s="2748"/>
      <c r="AL956" s="2748"/>
      <c r="AN956" s="2748"/>
      <c r="AO956" s="2748"/>
      <c r="AP956" s="2748"/>
    </row>
    <row r="957" spans="2:42" ht="18" customHeight="1">
      <c r="B957" s="2728"/>
      <c r="C957" s="2728"/>
      <c r="D957" s="2728"/>
      <c r="E957" s="2728"/>
      <c r="G957" s="2512"/>
      <c r="I957" s="2748"/>
      <c r="J957" s="2728"/>
      <c r="L957" s="2728"/>
      <c r="M957" s="2748"/>
      <c r="N957" s="2728"/>
      <c r="O957" s="2728"/>
      <c r="P957" s="2728"/>
      <c r="Q957" s="2748"/>
      <c r="R957" s="2748"/>
      <c r="S957" s="2748"/>
      <c r="T957" s="2748"/>
      <c r="U957" s="2748"/>
      <c r="V957" s="2748"/>
      <c r="W957" s="2748"/>
      <c r="X957" s="2748"/>
      <c r="Y957" s="2748"/>
      <c r="Z957" s="2748"/>
      <c r="AA957" s="2748"/>
      <c r="AB957" s="2748"/>
      <c r="AC957" s="2748"/>
      <c r="AD957" s="2748"/>
      <c r="AE957" s="2748"/>
      <c r="AF957" s="2748"/>
      <c r="AG957" s="2748"/>
      <c r="AH957" s="2748"/>
      <c r="AI957" s="2748"/>
      <c r="AK957" s="2748"/>
      <c r="AL957" s="2748"/>
      <c r="AN957" s="2748"/>
      <c r="AO957" s="2748"/>
      <c r="AP957" s="2748"/>
    </row>
    <row r="958" spans="2:42" ht="18" customHeight="1">
      <c r="B958" s="2728"/>
      <c r="C958" s="2728"/>
      <c r="D958" s="2728"/>
      <c r="E958" s="2728"/>
      <c r="G958" s="2512"/>
      <c r="I958" s="2748"/>
      <c r="J958" s="2728"/>
      <c r="L958" s="2728"/>
      <c r="M958" s="2748"/>
      <c r="N958" s="2728"/>
      <c r="O958" s="2728"/>
      <c r="P958" s="2728"/>
      <c r="Q958" s="2748"/>
      <c r="R958" s="2748"/>
      <c r="S958" s="2748"/>
      <c r="T958" s="2748"/>
      <c r="U958" s="2748"/>
      <c r="V958" s="2748"/>
      <c r="W958" s="2748"/>
      <c r="X958" s="2748"/>
      <c r="Y958" s="2748"/>
      <c r="Z958" s="2748"/>
      <c r="AA958" s="2748"/>
      <c r="AB958" s="2748"/>
      <c r="AC958" s="2748"/>
      <c r="AD958" s="2748"/>
      <c r="AE958" s="2748"/>
      <c r="AF958" s="2748"/>
      <c r="AG958" s="2748"/>
      <c r="AH958" s="2748"/>
      <c r="AI958" s="2748"/>
      <c r="AK958" s="2748"/>
      <c r="AL958" s="2748"/>
      <c r="AN958" s="2748"/>
      <c r="AO958" s="2748"/>
      <c r="AP958" s="2748"/>
    </row>
    <row r="959" spans="2:42" ht="18" customHeight="1">
      <c r="B959" s="2728"/>
      <c r="C959" s="2728"/>
      <c r="D959" s="2728"/>
      <c r="E959" s="2728"/>
      <c r="G959" s="2512"/>
      <c r="I959" s="2748"/>
      <c r="J959" s="2728"/>
      <c r="L959" s="2728"/>
      <c r="M959" s="2748"/>
      <c r="N959" s="2728"/>
      <c r="O959" s="2728"/>
      <c r="P959" s="2728"/>
      <c r="Q959" s="2748"/>
      <c r="R959" s="2748"/>
      <c r="S959" s="2748"/>
      <c r="T959" s="2748"/>
      <c r="U959" s="2748"/>
      <c r="V959" s="2748"/>
      <c r="W959" s="2748"/>
      <c r="X959" s="2748"/>
      <c r="Y959" s="2748"/>
      <c r="Z959" s="2748"/>
      <c r="AA959" s="2748"/>
      <c r="AB959" s="2748"/>
      <c r="AC959" s="2748"/>
      <c r="AD959" s="2748"/>
      <c r="AE959" s="2748"/>
      <c r="AF959" s="2748"/>
      <c r="AG959" s="2748"/>
      <c r="AH959" s="2748"/>
      <c r="AI959" s="2748"/>
      <c r="AK959" s="2748"/>
      <c r="AL959" s="2748"/>
      <c r="AN959" s="2748"/>
      <c r="AO959" s="2748"/>
      <c r="AP959" s="2748"/>
    </row>
    <row r="960" spans="2:42" ht="18" customHeight="1">
      <c r="B960" s="2728"/>
      <c r="C960" s="2728"/>
      <c r="D960" s="2728"/>
      <c r="E960" s="2728"/>
      <c r="G960" s="2512"/>
      <c r="I960" s="2748"/>
      <c r="J960" s="2728"/>
      <c r="L960" s="2728"/>
      <c r="M960" s="2748"/>
      <c r="N960" s="2728"/>
      <c r="O960" s="2728"/>
      <c r="P960" s="2728"/>
      <c r="Q960" s="2748"/>
      <c r="R960" s="2748"/>
      <c r="S960" s="2748"/>
      <c r="T960" s="2748"/>
      <c r="U960" s="2748"/>
      <c r="V960" s="2748"/>
      <c r="W960" s="2748"/>
      <c r="X960" s="2748"/>
      <c r="Y960" s="2748"/>
      <c r="Z960" s="2748"/>
      <c r="AA960" s="2748"/>
      <c r="AB960" s="2748"/>
      <c r="AC960" s="2748"/>
      <c r="AD960" s="2748"/>
      <c r="AE960" s="2748"/>
      <c r="AF960" s="2748"/>
      <c r="AG960" s="2748"/>
      <c r="AH960" s="2748"/>
      <c r="AI960" s="2748"/>
      <c r="AK960" s="2748"/>
      <c r="AL960" s="2748"/>
      <c r="AN960" s="2748"/>
      <c r="AO960" s="2748"/>
      <c r="AP960" s="2748"/>
    </row>
    <row r="961" spans="2:42" ht="18" customHeight="1">
      <c r="B961" s="2728"/>
      <c r="C961" s="2728"/>
      <c r="D961" s="2728"/>
      <c r="E961" s="2728"/>
      <c r="G961" s="2512"/>
      <c r="I961" s="2748"/>
      <c r="J961" s="2728"/>
      <c r="L961" s="2728"/>
      <c r="M961" s="2748"/>
      <c r="N961" s="2728"/>
      <c r="O961" s="2728"/>
      <c r="P961" s="2728"/>
      <c r="Q961" s="2748"/>
      <c r="R961" s="2748"/>
      <c r="S961" s="2748"/>
      <c r="T961" s="2748"/>
      <c r="U961" s="2748"/>
      <c r="V961" s="2748"/>
      <c r="W961" s="2748"/>
      <c r="X961" s="2748"/>
      <c r="Y961" s="2748"/>
      <c r="Z961" s="2748"/>
      <c r="AA961" s="2748"/>
      <c r="AB961" s="2748"/>
      <c r="AC961" s="2748"/>
      <c r="AD961" s="2748"/>
      <c r="AE961" s="2748"/>
      <c r="AF961" s="2748"/>
      <c r="AG961" s="2748"/>
      <c r="AH961" s="2748"/>
      <c r="AI961" s="2748"/>
      <c r="AK961" s="2748"/>
      <c r="AL961" s="2748"/>
      <c r="AN961" s="2748"/>
      <c r="AO961" s="2748"/>
      <c r="AP961" s="2748"/>
    </row>
    <row r="962" spans="2:42" ht="18" customHeight="1">
      <c r="B962" s="2728"/>
      <c r="C962" s="2728"/>
      <c r="D962" s="2728"/>
      <c r="E962" s="2728"/>
      <c r="G962" s="2512"/>
      <c r="I962" s="2748"/>
      <c r="J962" s="2728"/>
      <c r="L962" s="2728"/>
      <c r="M962" s="2748"/>
      <c r="N962" s="2728"/>
      <c r="O962" s="2728"/>
      <c r="P962" s="2728"/>
      <c r="Q962" s="2748"/>
      <c r="R962" s="2748"/>
      <c r="S962" s="2748"/>
      <c r="T962" s="2748"/>
      <c r="U962" s="2748"/>
      <c r="V962" s="2748"/>
      <c r="W962" s="2748"/>
      <c r="X962" s="2748"/>
      <c r="Y962" s="2748"/>
      <c r="Z962" s="2748"/>
      <c r="AA962" s="2748"/>
      <c r="AB962" s="2748"/>
      <c r="AC962" s="2748"/>
      <c r="AD962" s="2748"/>
      <c r="AE962" s="2748"/>
      <c r="AF962" s="2748"/>
      <c r="AG962" s="2748"/>
      <c r="AH962" s="2748"/>
      <c r="AI962" s="2748"/>
      <c r="AK962" s="2748"/>
      <c r="AL962" s="2748"/>
      <c r="AN962" s="2748"/>
      <c r="AO962" s="2748"/>
      <c r="AP962" s="2748"/>
    </row>
    <row r="963" spans="2:42" ht="18" customHeight="1">
      <c r="B963" s="2728"/>
      <c r="C963" s="2728"/>
      <c r="D963" s="2728"/>
      <c r="E963" s="2728"/>
      <c r="G963" s="2512"/>
      <c r="I963" s="2748"/>
      <c r="J963" s="2728"/>
      <c r="L963" s="2728"/>
      <c r="M963" s="2748"/>
      <c r="N963" s="2728"/>
      <c r="O963" s="2728"/>
      <c r="P963" s="2728"/>
      <c r="Q963" s="2748"/>
      <c r="R963" s="2748"/>
      <c r="S963" s="2748"/>
      <c r="T963" s="2748"/>
      <c r="U963" s="2748"/>
      <c r="V963" s="2748"/>
      <c r="W963" s="2748"/>
      <c r="X963" s="2748"/>
      <c r="Y963" s="2748"/>
      <c r="Z963" s="2748"/>
      <c r="AA963" s="2748"/>
      <c r="AB963" s="2748"/>
      <c r="AC963" s="2748"/>
      <c r="AD963" s="2748"/>
      <c r="AE963" s="2748"/>
      <c r="AF963" s="2748"/>
      <c r="AG963" s="2748"/>
      <c r="AH963" s="2748"/>
      <c r="AI963" s="2748"/>
      <c r="AK963" s="2748"/>
      <c r="AL963" s="2748"/>
      <c r="AN963" s="2748"/>
      <c r="AO963" s="2748"/>
      <c r="AP963" s="2748"/>
    </row>
    <row r="964" spans="2:42" ht="18" customHeight="1">
      <c r="B964" s="2728"/>
      <c r="C964" s="2728"/>
      <c r="D964" s="2728"/>
      <c r="E964" s="2728"/>
      <c r="G964" s="2512"/>
      <c r="I964" s="2748"/>
      <c r="J964" s="2728"/>
      <c r="L964" s="2728"/>
      <c r="M964" s="2748"/>
      <c r="N964" s="2728"/>
      <c r="O964" s="2728"/>
      <c r="P964" s="2728"/>
      <c r="Q964" s="2748"/>
      <c r="R964" s="2748"/>
      <c r="S964" s="2748"/>
      <c r="T964" s="2748"/>
      <c r="U964" s="2748"/>
      <c r="V964" s="2748"/>
      <c r="W964" s="2748"/>
      <c r="X964" s="2748"/>
      <c r="Y964" s="2748"/>
      <c r="Z964" s="2748"/>
      <c r="AA964" s="2748"/>
      <c r="AB964" s="2748"/>
      <c r="AC964" s="2748"/>
      <c r="AD964" s="2748"/>
      <c r="AE964" s="2748"/>
      <c r="AF964" s="2748"/>
      <c r="AG964" s="2748"/>
      <c r="AH964" s="2748"/>
      <c r="AI964" s="2748"/>
      <c r="AK964" s="2748"/>
      <c r="AL964" s="2748"/>
      <c r="AN964" s="2748"/>
      <c r="AO964" s="2748"/>
      <c r="AP964" s="2748"/>
    </row>
    <row r="965" spans="2:42" ht="18" customHeight="1">
      <c r="B965" s="2728"/>
      <c r="C965" s="2728"/>
      <c r="D965" s="2728"/>
      <c r="E965" s="2728"/>
      <c r="G965" s="2512"/>
      <c r="I965" s="2748"/>
      <c r="J965" s="2728"/>
      <c r="L965" s="2728"/>
      <c r="M965" s="2748"/>
      <c r="N965" s="2728"/>
      <c r="O965" s="2728"/>
      <c r="P965" s="2728"/>
      <c r="Q965" s="2748"/>
      <c r="R965" s="2748"/>
      <c r="S965" s="2748"/>
      <c r="T965" s="2748"/>
      <c r="U965" s="2748"/>
      <c r="V965" s="2748"/>
      <c r="W965" s="2748"/>
      <c r="X965" s="2748"/>
      <c r="Y965" s="2748"/>
      <c r="Z965" s="2748"/>
      <c r="AA965" s="2748"/>
      <c r="AB965" s="2748"/>
      <c r="AC965" s="2748"/>
      <c r="AD965" s="2748"/>
      <c r="AE965" s="2748"/>
      <c r="AF965" s="2748"/>
      <c r="AG965" s="2748"/>
      <c r="AH965" s="2748"/>
      <c r="AI965" s="2748"/>
      <c r="AK965" s="2748"/>
      <c r="AL965" s="2748"/>
      <c r="AN965" s="2748"/>
      <c r="AO965" s="2748"/>
      <c r="AP965" s="2748"/>
    </row>
    <row r="966" spans="2:42" ht="18" customHeight="1">
      <c r="B966" s="2728"/>
      <c r="C966" s="2728"/>
      <c r="D966" s="2728"/>
      <c r="E966" s="2728"/>
      <c r="G966" s="2512"/>
      <c r="I966" s="2748"/>
      <c r="J966" s="2728"/>
      <c r="L966" s="2728"/>
      <c r="M966" s="2748"/>
      <c r="N966" s="2728"/>
      <c r="O966" s="2728"/>
      <c r="P966" s="2728"/>
      <c r="Q966" s="2748"/>
      <c r="R966" s="2748"/>
      <c r="S966" s="2748"/>
      <c r="T966" s="2748"/>
      <c r="U966" s="2748"/>
      <c r="V966" s="2748"/>
      <c r="W966" s="2748"/>
      <c r="X966" s="2748"/>
      <c r="Y966" s="2748"/>
      <c r="Z966" s="2748"/>
      <c r="AA966" s="2748"/>
      <c r="AB966" s="2748"/>
      <c r="AC966" s="2748"/>
      <c r="AD966" s="2748"/>
      <c r="AE966" s="2748"/>
      <c r="AF966" s="2748"/>
      <c r="AG966" s="2748"/>
      <c r="AH966" s="2748"/>
      <c r="AI966" s="2748"/>
      <c r="AK966" s="2748"/>
      <c r="AL966" s="2748"/>
      <c r="AN966" s="2748"/>
      <c r="AO966" s="2748"/>
      <c r="AP966" s="2748"/>
    </row>
    <row r="967" spans="2:42" ht="18" customHeight="1">
      <c r="B967" s="2728"/>
      <c r="C967" s="2728"/>
      <c r="D967" s="2728"/>
      <c r="E967" s="2728"/>
      <c r="G967" s="2512"/>
      <c r="I967" s="2748"/>
      <c r="J967" s="2728"/>
      <c r="L967" s="2728"/>
      <c r="M967" s="2748"/>
      <c r="N967" s="2728"/>
      <c r="O967" s="2728"/>
      <c r="P967" s="2728"/>
      <c r="Q967" s="2748"/>
      <c r="R967" s="2748"/>
      <c r="S967" s="2748"/>
      <c r="T967" s="2748"/>
      <c r="U967" s="2748"/>
      <c r="V967" s="2748"/>
      <c r="W967" s="2748"/>
      <c r="X967" s="2748"/>
      <c r="Y967" s="2748"/>
      <c r="Z967" s="2748"/>
      <c r="AA967" s="2748"/>
      <c r="AB967" s="2748"/>
      <c r="AC967" s="2748"/>
      <c r="AD967" s="2748"/>
      <c r="AE967" s="2748"/>
      <c r="AF967" s="2748"/>
      <c r="AG967" s="2748"/>
      <c r="AH967" s="2748"/>
      <c r="AI967" s="2748"/>
      <c r="AK967" s="2748"/>
      <c r="AL967" s="2748"/>
      <c r="AN967" s="2748"/>
      <c r="AO967" s="2748"/>
      <c r="AP967" s="2748"/>
    </row>
    <row r="968" spans="2:42" ht="18" customHeight="1">
      <c r="B968" s="2728"/>
      <c r="C968" s="2728"/>
      <c r="D968" s="2728"/>
      <c r="E968" s="2728"/>
      <c r="G968" s="2512"/>
      <c r="I968" s="2748"/>
      <c r="J968" s="2728"/>
      <c r="L968" s="2728"/>
      <c r="M968" s="2748"/>
      <c r="N968" s="2728"/>
      <c r="O968" s="2728"/>
      <c r="P968" s="2728"/>
      <c r="Q968" s="2748"/>
      <c r="R968" s="2748"/>
      <c r="S968" s="2748"/>
      <c r="T968" s="2748"/>
      <c r="U968" s="2748"/>
      <c r="V968" s="2748"/>
      <c r="W968" s="2748"/>
      <c r="X968" s="2748"/>
      <c r="Y968" s="2748"/>
      <c r="Z968" s="2748"/>
      <c r="AA968" s="2748"/>
      <c r="AB968" s="2748"/>
      <c r="AC968" s="2748"/>
      <c r="AD968" s="2748"/>
      <c r="AE968" s="2748"/>
      <c r="AF968" s="2748"/>
      <c r="AG968" s="2748"/>
      <c r="AH968" s="2748"/>
      <c r="AI968" s="2748"/>
      <c r="AK968" s="2748"/>
      <c r="AL968" s="2748"/>
      <c r="AN968" s="2748"/>
      <c r="AO968" s="2748"/>
      <c r="AP968" s="2748"/>
    </row>
    <row r="969" spans="2:42" ht="18" customHeight="1">
      <c r="B969" s="2728"/>
      <c r="C969" s="2728"/>
      <c r="D969" s="2728"/>
      <c r="E969" s="2728"/>
      <c r="G969" s="2512"/>
      <c r="I969" s="2748"/>
      <c r="J969" s="2728"/>
      <c r="L969" s="2728"/>
      <c r="M969" s="2748"/>
      <c r="N969" s="2728"/>
      <c r="O969" s="2728"/>
      <c r="P969" s="2728"/>
      <c r="Q969" s="2748"/>
      <c r="R969" s="2748"/>
      <c r="S969" s="2748"/>
      <c r="T969" s="2748"/>
      <c r="U969" s="2748"/>
      <c r="V969" s="2748"/>
      <c r="W969" s="2748"/>
      <c r="X969" s="2748"/>
      <c r="Y969" s="2748"/>
      <c r="Z969" s="2748"/>
      <c r="AA969" s="2748"/>
      <c r="AB969" s="2748"/>
      <c r="AC969" s="2748"/>
      <c r="AD969" s="2748"/>
      <c r="AE969" s="2748"/>
      <c r="AF969" s="2748"/>
      <c r="AG969" s="2748"/>
      <c r="AH969" s="2748"/>
      <c r="AI969" s="2748"/>
      <c r="AK969" s="2748"/>
      <c r="AL969" s="2748"/>
      <c r="AN969" s="2748"/>
      <c r="AO969" s="2748"/>
      <c r="AP969" s="2748"/>
    </row>
    <row r="970" spans="2:42" ht="18" customHeight="1">
      <c r="B970" s="2728"/>
      <c r="C970" s="2728"/>
      <c r="D970" s="2728"/>
      <c r="E970" s="2728"/>
      <c r="G970" s="2512"/>
      <c r="I970" s="2748"/>
      <c r="J970" s="2728"/>
      <c r="L970" s="2728"/>
      <c r="M970" s="2748"/>
      <c r="N970" s="2728"/>
      <c r="O970" s="2728"/>
      <c r="P970" s="2728"/>
      <c r="Q970" s="2748"/>
      <c r="R970" s="2748"/>
      <c r="S970" s="2748"/>
      <c r="T970" s="2748"/>
      <c r="U970" s="2748"/>
      <c r="V970" s="2748"/>
      <c r="W970" s="2748"/>
      <c r="X970" s="2748"/>
      <c r="Y970" s="2748"/>
      <c r="Z970" s="2748"/>
      <c r="AA970" s="2748"/>
      <c r="AB970" s="2748"/>
      <c r="AC970" s="2748"/>
      <c r="AD970" s="2748"/>
      <c r="AE970" s="2748"/>
      <c r="AF970" s="2748"/>
      <c r="AG970" s="2748"/>
      <c r="AH970" s="2748"/>
      <c r="AI970" s="2748"/>
      <c r="AK970" s="2748"/>
      <c r="AL970" s="2748"/>
      <c r="AN970" s="2748"/>
      <c r="AO970" s="2748"/>
      <c r="AP970" s="2748"/>
    </row>
    <row r="971" spans="2:42" ht="18" customHeight="1">
      <c r="B971" s="2728"/>
      <c r="C971" s="2728"/>
      <c r="D971" s="2728"/>
      <c r="E971" s="2728"/>
      <c r="G971" s="2512"/>
      <c r="I971" s="2748"/>
      <c r="J971" s="2728"/>
      <c r="L971" s="2728"/>
      <c r="M971" s="2748"/>
      <c r="N971" s="2728"/>
      <c r="O971" s="2728"/>
      <c r="P971" s="2728"/>
      <c r="Q971" s="2748"/>
      <c r="R971" s="2748"/>
      <c r="S971" s="2748"/>
      <c r="T971" s="2748"/>
      <c r="U971" s="2748"/>
      <c r="V971" s="2748"/>
      <c r="W971" s="2748"/>
      <c r="X971" s="2748"/>
      <c r="Y971" s="2748"/>
      <c r="Z971" s="2748"/>
      <c r="AA971" s="2748"/>
      <c r="AB971" s="2748"/>
      <c r="AC971" s="2748"/>
      <c r="AD971" s="2748"/>
      <c r="AE971" s="2748"/>
      <c r="AF971" s="2748"/>
      <c r="AG971" s="2748"/>
      <c r="AH971" s="2748"/>
      <c r="AI971" s="2748"/>
      <c r="AK971" s="2748"/>
      <c r="AL971" s="2748"/>
      <c r="AN971" s="2748"/>
      <c r="AO971" s="2748"/>
      <c r="AP971" s="2748"/>
    </row>
    <row r="972" spans="2:42" ht="18" customHeight="1">
      <c r="B972" s="2728"/>
      <c r="C972" s="2728"/>
      <c r="D972" s="2728"/>
      <c r="E972" s="2728"/>
      <c r="G972" s="2512"/>
      <c r="I972" s="2748"/>
      <c r="J972" s="2728"/>
      <c r="L972" s="2728"/>
      <c r="M972" s="2748"/>
      <c r="N972" s="2728"/>
      <c r="O972" s="2728"/>
      <c r="P972" s="2728"/>
      <c r="Q972" s="2748"/>
      <c r="R972" s="2748"/>
      <c r="S972" s="2748"/>
      <c r="T972" s="2748"/>
      <c r="U972" s="2748"/>
      <c r="V972" s="2748"/>
      <c r="W972" s="2748"/>
      <c r="X972" s="2748"/>
      <c r="Y972" s="2748"/>
      <c r="Z972" s="2748"/>
      <c r="AA972" s="2748"/>
      <c r="AB972" s="2748"/>
      <c r="AC972" s="2748"/>
      <c r="AD972" s="2748"/>
      <c r="AE972" s="2748"/>
      <c r="AF972" s="2748"/>
      <c r="AG972" s="2748"/>
      <c r="AH972" s="2748"/>
      <c r="AI972" s="2748"/>
      <c r="AK972" s="2748"/>
      <c r="AL972" s="2748"/>
      <c r="AN972" s="2748"/>
      <c r="AO972" s="2748"/>
      <c r="AP972" s="2748"/>
    </row>
    <row r="973" spans="2:42" ht="18" customHeight="1">
      <c r="B973" s="2728"/>
      <c r="C973" s="2728"/>
      <c r="D973" s="2728"/>
      <c r="E973" s="2728"/>
      <c r="G973" s="2512"/>
      <c r="I973" s="2748"/>
      <c r="J973" s="2728"/>
      <c r="L973" s="2728"/>
      <c r="M973" s="2748"/>
      <c r="N973" s="2728"/>
      <c r="O973" s="2728"/>
      <c r="P973" s="2728"/>
      <c r="Q973" s="2748"/>
      <c r="R973" s="2748"/>
      <c r="S973" s="2748"/>
      <c r="T973" s="2748"/>
      <c r="U973" s="2748"/>
      <c r="V973" s="2748"/>
      <c r="W973" s="2748"/>
      <c r="X973" s="2748"/>
      <c r="Y973" s="2748"/>
      <c r="Z973" s="2748"/>
      <c r="AA973" s="2748"/>
      <c r="AB973" s="2748"/>
      <c r="AC973" s="2748"/>
      <c r="AD973" s="2748"/>
      <c r="AE973" s="2748"/>
      <c r="AF973" s="2748"/>
      <c r="AG973" s="2748"/>
      <c r="AH973" s="2748"/>
      <c r="AI973" s="2748"/>
      <c r="AK973" s="2748"/>
      <c r="AL973" s="2748"/>
      <c r="AN973" s="2748"/>
      <c r="AO973" s="2748"/>
      <c r="AP973" s="2748"/>
    </row>
    <row r="974" spans="2:42" ht="18" customHeight="1">
      <c r="B974" s="2728"/>
      <c r="C974" s="2728"/>
      <c r="D974" s="2728"/>
      <c r="E974" s="2728"/>
      <c r="G974" s="2512"/>
      <c r="I974" s="2748"/>
      <c r="J974" s="2728"/>
      <c r="L974" s="2728"/>
      <c r="M974" s="2748"/>
      <c r="N974" s="2728"/>
      <c r="O974" s="2728"/>
      <c r="P974" s="2728"/>
      <c r="Q974" s="2748"/>
      <c r="R974" s="2748"/>
      <c r="S974" s="2748"/>
      <c r="T974" s="2748"/>
      <c r="U974" s="2748"/>
      <c r="V974" s="2748"/>
      <c r="W974" s="2748"/>
      <c r="X974" s="2748"/>
      <c r="Y974" s="2748"/>
      <c r="Z974" s="2748"/>
      <c r="AA974" s="2748"/>
      <c r="AB974" s="2748"/>
      <c r="AC974" s="2748"/>
      <c r="AD974" s="2748"/>
      <c r="AE974" s="2748"/>
      <c r="AF974" s="2748"/>
      <c r="AG974" s="2748"/>
      <c r="AH974" s="2748"/>
      <c r="AI974" s="2748"/>
      <c r="AK974" s="2748"/>
      <c r="AL974" s="2748"/>
      <c r="AN974" s="2748"/>
      <c r="AO974" s="2748"/>
      <c r="AP974" s="2748"/>
    </row>
    <row r="975" spans="2:42" ht="18" customHeight="1">
      <c r="B975" s="2728"/>
      <c r="C975" s="2728"/>
      <c r="D975" s="2728"/>
      <c r="E975" s="2728"/>
      <c r="G975" s="2512"/>
      <c r="I975" s="2748"/>
      <c r="J975" s="2728"/>
      <c r="L975" s="2728"/>
      <c r="M975" s="2748"/>
      <c r="N975" s="2728"/>
      <c r="O975" s="2728"/>
      <c r="P975" s="2728"/>
      <c r="Q975" s="2748"/>
      <c r="R975" s="2748"/>
      <c r="S975" s="2748"/>
      <c r="T975" s="2748"/>
      <c r="U975" s="2748"/>
      <c r="V975" s="2748"/>
      <c r="W975" s="2748"/>
      <c r="X975" s="2748"/>
      <c r="Y975" s="2748"/>
      <c r="Z975" s="2748"/>
      <c r="AA975" s="2748"/>
      <c r="AB975" s="2748"/>
      <c r="AC975" s="2748"/>
      <c r="AD975" s="2748"/>
      <c r="AE975" s="2748"/>
      <c r="AF975" s="2748"/>
      <c r="AG975" s="2748"/>
      <c r="AH975" s="2748"/>
      <c r="AI975" s="2748"/>
      <c r="AK975" s="2748"/>
      <c r="AL975" s="2748"/>
      <c r="AN975" s="2748"/>
      <c r="AO975" s="2748"/>
      <c r="AP975" s="2748"/>
    </row>
    <row r="976" spans="2:42" ht="18" customHeight="1">
      <c r="B976" s="2728"/>
      <c r="C976" s="2728"/>
      <c r="D976" s="2728"/>
      <c r="E976" s="2728"/>
      <c r="G976" s="2512"/>
      <c r="I976" s="2748"/>
      <c r="J976" s="2728"/>
      <c r="L976" s="2728"/>
      <c r="M976" s="2748"/>
      <c r="N976" s="2728"/>
      <c r="O976" s="2728"/>
      <c r="P976" s="2728"/>
      <c r="Q976" s="2748"/>
      <c r="R976" s="2748"/>
      <c r="S976" s="2748"/>
      <c r="T976" s="2748"/>
      <c r="U976" s="2748"/>
      <c r="V976" s="2748"/>
      <c r="W976" s="2748"/>
      <c r="X976" s="2748"/>
      <c r="Y976" s="2748"/>
      <c r="Z976" s="2748"/>
      <c r="AA976" s="2748"/>
      <c r="AB976" s="2748"/>
      <c r="AC976" s="2748"/>
      <c r="AD976" s="2748"/>
      <c r="AE976" s="2748"/>
      <c r="AF976" s="2748"/>
      <c r="AG976" s="2748"/>
      <c r="AH976" s="2748"/>
      <c r="AI976" s="2748"/>
      <c r="AK976" s="2748"/>
      <c r="AL976" s="2748"/>
      <c r="AN976" s="2748"/>
      <c r="AO976" s="2748"/>
      <c r="AP976" s="2748"/>
    </row>
    <row r="977" spans="2:42" ht="18" customHeight="1">
      <c r="B977" s="2728"/>
      <c r="C977" s="2728"/>
      <c r="D977" s="2728"/>
      <c r="E977" s="2728"/>
      <c r="G977" s="2512"/>
      <c r="I977" s="2748"/>
      <c r="J977" s="2728"/>
      <c r="L977" s="2728"/>
      <c r="M977" s="2748"/>
      <c r="N977" s="2728"/>
      <c r="O977" s="2728"/>
      <c r="P977" s="2728"/>
      <c r="Q977" s="2748"/>
      <c r="R977" s="2748"/>
      <c r="S977" s="2748"/>
      <c r="T977" s="2748"/>
      <c r="U977" s="2748"/>
      <c r="V977" s="2748"/>
      <c r="W977" s="2748"/>
      <c r="X977" s="2748"/>
      <c r="Y977" s="2748"/>
      <c r="Z977" s="2748"/>
      <c r="AA977" s="2748"/>
      <c r="AB977" s="2748"/>
      <c r="AC977" s="2748"/>
      <c r="AD977" s="2748"/>
      <c r="AE977" s="2748"/>
      <c r="AF977" s="2748"/>
      <c r="AG977" s="2748"/>
      <c r="AH977" s="2748"/>
      <c r="AI977" s="2748"/>
      <c r="AK977" s="2748"/>
      <c r="AL977" s="2748"/>
      <c r="AN977" s="2748"/>
      <c r="AO977" s="2748"/>
      <c r="AP977" s="2748"/>
    </row>
    <row r="978" spans="2:42" ht="18" customHeight="1">
      <c r="B978" s="2728"/>
      <c r="C978" s="2728"/>
      <c r="D978" s="2728"/>
      <c r="E978" s="2728"/>
      <c r="G978" s="2512"/>
      <c r="I978" s="2748"/>
      <c r="J978" s="2728"/>
      <c r="L978" s="2728"/>
      <c r="M978" s="2748"/>
      <c r="N978" s="2728"/>
      <c r="O978" s="2728"/>
      <c r="P978" s="2728"/>
      <c r="Q978" s="2748"/>
      <c r="R978" s="2748"/>
      <c r="S978" s="2748"/>
      <c r="T978" s="2748"/>
      <c r="U978" s="2748"/>
      <c r="V978" s="2748"/>
      <c r="W978" s="2748"/>
      <c r="X978" s="2748"/>
      <c r="Y978" s="2748"/>
      <c r="Z978" s="2748"/>
      <c r="AA978" s="2748"/>
      <c r="AB978" s="2748"/>
      <c r="AC978" s="2748"/>
      <c r="AD978" s="2748"/>
      <c r="AE978" s="2748"/>
      <c r="AF978" s="2748"/>
      <c r="AG978" s="2748"/>
      <c r="AH978" s="2748"/>
      <c r="AI978" s="2748"/>
      <c r="AK978" s="2748"/>
      <c r="AL978" s="2748"/>
      <c r="AN978" s="2748"/>
      <c r="AO978" s="2748"/>
      <c r="AP978" s="2748"/>
    </row>
    <row r="979" spans="2:42" ht="18" customHeight="1">
      <c r="B979" s="2728"/>
      <c r="C979" s="2728"/>
      <c r="D979" s="2728"/>
      <c r="E979" s="2728"/>
      <c r="G979" s="2512"/>
      <c r="I979" s="2748"/>
      <c r="J979" s="2728"/>
      <c r="L979" s="2728"/>
      <c r="M979" s="2748"/>
      <c r="N979" s="2728"/>
      <c r="O979" s="2728"/>
      <c r="P979" s="2728"/>
      <c r="Q979" s="2748"/>
      <c r="R979" s="2748"/>
      <c r="S979" s="2748"/>
      <c r="T979" s="2748"/>
      <c r="U979" s="2748"/>
      <c r="V979" s="2748"/>
      <c r="W979" s="2748"/>
      <c r="X979" s="2748"/>
      <c r="Y979" s="2748"/>
      <c r="Z979" s="2748"/>
      <c r="AA979" s="2748"/>
      <c r="AB979" s="2748"/>
      <c r="AC979" s="2748"/>
      <c r="AD979" s="2748"/>
      <c r="AE979" s="2748"/>
      <c r="AF979" s="2748"/>
      <c r="AG979" s="2748"/>
      <c r="AH979" s="2748"/>
      <c r="AI979" s="2748"/>
      <c r="AK979" s="2748"/>
      <c r="AL979" s="2748"/>
      <c r="AN979" s="2748"/>
      <c r="AO979" s="2748"/>
      <c r="AP979" s="2748"/>
    </row>
    <row r="980" spans="2:42" ht="18" customHeight="1">
      <c r="B980" s="2728"/>
      <c r="C980" s="2728"/>
      <c r="D980" s="2728"/>
      <c r="E980" s="2728"/>
      <c r="G980" s="2512"/>
      <c r="I980" s="2748"/>
      <c r="J980" s="2728"/>
      <c r="L980" s="2728"/>
      <c r="M980" s="2748"/>
      <c r="N980" s="2728"/>
      <c r="O980" s="2728"/>
      <c r="P980" s="2728"/>
      <c r="Q980" s="2748"/>
      <c r="R980" s="2748"/>
      <c r="S980" s="2748"/>
      <c r="T980" s="2748"/>
      <c r="U980" s="2748"/>
      <c r="V980" s="2748"/>
      <c r="W980" s="2748"/>
      <c r="X980" s="2748"/>
      <c r="Y980" s="2748"/>
      <c r="Z980" s="2748"/>
      <c r="AA980" s="2748"/>
      <c r="AB980" s="2748"/>
      <c r="AC980" s="2748"/>
      <c r="AD980" s="2748"/>
      <c r="AE980" s="2748"/>
      <c r="AF980" s="2748"/>
      <c r="AG980" s="2748"/>
      <c r="AH980" s="2748"/>
      <c r="AI980" s="2748"/>
      <c r="AK980" s="2748"/>
      <c r="AL980" s="2748"/>
      <c r="AN980" s="2748"/>
      <c r="AO980" s="2748"/>
      <c r="AP980" s="2748"/>
    </row>
    <row r="981" spans="2:42" ht="18" customHeight="1">
      <c r="B981" s="2728"/>
      <c r="C981" s="2728"/>
      <c r="D981" s="2728"/>
      <c r="E981" s="2728"/>
      <c r="G981" s="2512"/>
      <c r="I981" s="2748"/>
      <c r="J981" s="2728"/>
      <c r="L981" s="2728"/>
      <c r="M981" s="2748"/>
      <c r="N981" s="2728"/>
      <c r="O981" s="2728"/>
      <c r="P981" s="2728"/>
      <c r="Q981" s="2748"/>
      <c r="R981" s="2748"/>
      <c r="S981" s="2748"/>
      <c r="T981" s="2748"/>
      <c r="U981" s="2748"/>
      <c r="V981" s="2748"/>
      <c r="W981" s="2748"/>
      <c r="X981" s="2748"/>
      <c r="Y981" s="2748"/>
      <c r="Z981" s="2748"/>
      <c r="AA981" s="2748"/>
      <c r="AB981" s="2748"/>
      <c r="AC981" s="2748"/>
      <c r="AD981" s="2748"/>
      <c r="AE981" s="2748"/>
      <c r="AF981" s="2748"/>
      <c r="AG981" s="2748"/>
      <c r="AH981" s="2748"/>
      <c r="AI981" s="2748"/>
      <c r="AK981" s="2748"/>
      <c r="AL981" s="2748"/>
      <c r="AN981" s="2748"/>
      <c r="AO981" s="2748"/>
      <c r="AP981" s="2748"/>
    </row>
    <row r="982" spans="2:42" ht="18" customHeight="1">
      <c r="B982" s="2728"/>
      <c r="C982" s="2728"/>
      <c r="D982" s="2728"/>
      <c r="E982" s="2728"/>
      <c r="G982" s="2512"/>
      <c r="I982" s="2748"/>
      <c r="J982" s="2728"/>
      <c r="L982" s="2728"/>
      <c r="M982" s="2748"/>
      <c r="N982" s="2728"/>
      <c r="O982" s="2728"/>
      <c r="P982" s="2728"/>
      <c r="Q982" s="2748"/>
      <c r="R982" s="2748"/>
      <c r="S982" s="2748"/>
      <c r="T982" s="2748"/>
      <c r="U982" s="2748"/>
      <c r="V982" s="2748"/>
      <c r="W982" s="2748"/>
      <c r="X982" s="2748"/>
      <c r="Y982" s="2748"/>
      <c r="Z982" s="2748"/>
      <c r="AA982" s="2748"/>
      <c r="AB982" s="2748"/>
      <c r="AC982" s="2748"/>
      <c r="AD982" s="2748"/>
      <c r="AE982" s="2748"/>
      <c r="AF982" s="2748"/>
      <c r="AG982" s="2748"/>
      <c r="AH982" s="2748"/>
      <c r="AI982" s="2748"/>
      <c r="AK982" s="2748"/>
      <c r="AL982" s="2748"/>
      <c r="AN982" s="2748"/>
      <c r="AO982" s="2748"/>
      <c r="AP982" s="2748"/>
    </row>
    <row r="983" spans="2:42" ht="18" customHeight="1">
      <c r="B983" s="2728"/>
      <c r="C983" s="2728"/>
      <c r="D983" s="2728"/>
      <c r="E983" s="2728"/>
      <c r="G983" s="2512"/>
      <c r="I983" s="2748"/>
      <c r="J983" s="2728"/>
      <c r="L983" s="2728"/>
      <c r="M983" s="2748"/>
      <c r="N983" s="2728"/>
      <c r="O983" s="2728"/>
      <c r="P983" s="2728"/>
      <c r="Q983" s="2748"/>
      <c r="R983" s="2748"/>
      <c r="S983" s="2748"/>
      <c r="T983" s="2748"/>
      <c r="U983" s="2748"/>
      <c r="V983" s="2748"/>
      <c r="W983" s="2748"/>
      <c r="X983" s="2748"/>
      <c r="Y983" s="2748"/>
      <c r="Z983" s="2748"/>
      <c r="AA983" s="2748"/>
      <c r="AB983" s="2748"/>
      <c r="AC983" s="2748"/>
      <c r="AD983" s="2748"/>
      <c r="AE983" s="2748"/>
      <c r="AF983" s="2748"/>
      <c r="AG983" s="2748"/>
      <c r="AH983" s="2748"/>
      <c r="AI983" s="2748"/>
      <c r="AK983" s="2748"/>
      <c r="AL983" s="2748"/>
      <c r="AN983" s="2748"/>
      <c r="AO983" s="2748"/>
      <c r="AP983" s="2748"/>
    </row>
    <row r="984" spans="2:42" ht="18" customHeight="1">
      <c r="B984" s="2728"/>
      <c r="C984" s="2728"/>
      <c r="D984" s="2728"/>
      <c r="E984" s="2728"/>
      <c r="G984" s="2512"/>
      <c r="I984" s="2748"/>
      <c r="J984" s="2728"/>
      <c r="L984" s="2728"/>
      <c r="M984" s="2748"/>
      <c r="N984" s="2728"/>
      <c r="O984" s="2728"/>
      <c r="P984" s="2728"/>
      <c r="Q984" s="2748"/>
      <c r="R984" s="2748"/>
      <c r="S984" s="2748"/>
      <c r="T984" s="2748"/>
      <c r="U984" s="2748"/>
      <c r="V984" s="2748"/>
      <c r="W984" s="2748"/>
      <c r="X984" s="2748"/>
      <c r="Y984" s="2748"/>
      <c r="Z984" s="2748"/>
      <c r="AA984" s="2748"/>
      <c r="AB984" s="2748"/>
      <c r="AC984" s="2748"/>
      <c r="AD984" s="2748"/>
      <c r="AE984" s="2748"/>
      <c r="AF984" s="2748"/>
      <c r="AG984" s="2748"/>
      <c r="AH984" s="2748"/>
      <c r="AI984" s="2748"/>
      <c r="AK984" s="2748"/>
      <c r="AL984" s="2748"/>
      <c r="AN984" s="2748"/>
      <c r="AO984" s="2748"/>
      <c r="AP984" s="2748"/>
    </row>
    <row r="985" spans="2:42" ht="18" customHeight="1">
      <c r="B985" s="2728"/>
      <c r="C985" s="2728"/>
      <c r="D985" s="2728"/>
      <c r="E985" s="2728"/>
      <c r="G985" s="2512"/>
      <c r="I985" s="2748"/>
      <c r="J985" s="2728"/>
      <c r="L985" s="2728"/>
      <c r="M985" s="2748"/>
      <c r="N985" s="2728"/>
      <c r="O985" s="2728"/>
      <c r="P985" s="2728"/>
      <c r="Q985" s="2748"/>
      <c r="R985" s="2748"/>
      <c r="S985" s="2748"/>
      <c r="T985" s="2748"/>
      <c r="U985" s="2748"/>
      <c r="V985" s="2748"/>
      <c r="W985" s="2748"/>
      <c r="X985" s="2748"/>
      <c r="Y985" s="2748"/>
      <c r="Z985" s="2748"/>
      <c r="AA985" s="2748"/>
      <c r="AB985" s="2748"/>
      <c r="AC985" s="2748"/>
      <c r="AD985" s="2748"/>
      <c r="AE985" s="2748"/>
      <c r="AF985" s="2748"/>
      <c r="AG985" s="2748"/>
      <c r="AH985" s="2748"/>
      <c r="AI985" s="2748"/>
      <c r="AK985" s="2748"/>
      <c r="AL985" s="2748"/>
      <c r="AN985" s="2748"/>
      <c r="AO985" s="2748"/>
      <c r="AP985" s="2748"/>
    </row>
    <row r="986" spans="2:42" ht="18" customHeight="1">
      <c r="B986" s="2728"/>
      <c r="C986" s="2728"/>
      <c r="D986" s="2728"/>
      <c r="E986" s="2728"/>
      <c r="G986" s="2512"/>
      <c r="I986" s="2748"/>
      <c r="J986" s="2728"/>
      <c r="L986" s="2728"/>
      <c r="M986" s="2748"/>
      <c r="N986" s="2728"/>
      <c r="O986" s="2728"/>
      <c r="P986" s="2728"/>
      <c r="Q986" s="2748"/>
      <c r="R986" s="2748"/>
      <c r="S986" s="2748"/>
      <c r="T986" s="2748"/>
      <c r="U986" s="2748"/>
      <c r="V986" s="2748"/>
      <c r="W986" s="2748"/>
      <c r="X986" s="2748"/>
      <c r="Y986" s="2748"/>
      <c r="Z986" s="2748"/>
      <c r="AA986" s="2748"/>
      <c r="AB986" s="2748"/>
      <c r="AC986" s="2748"/>
      <c r="AD986" s="2748"/>
      <c r="AE986" s="2748"/>
      <c r="AF986" s="2748"/>
      <c r="AG986" s="2748"/>
      <c r="AH986" s="2748"/>
      <c r="AI986" s="2748"/>
      <c r="AK986" s="2748"/>
      <c r="AL986" s="2748"/>
      <c r="AN986" s="2748"/>
      <c r="AO986" s="2748"/>
      <c r="AP986" s="2748"/>
    </row>
    <row r="987" spans="2:42" ht="18" customHeight="1">
      <c r="B987" s="2728"/>
      <c r="C987" s="2728"/>
      <c r="D987" s="2728"/>
      <c r="E987" s="2728"/>
      <c r="G987" s="2512"/>
      <c r="I987" s="2748"/>
      <c r="J987" s="2728"/>
      <c r="L987" s="2728"/>
      <c r="M987" s="2748"/>
      <c r="N987" s="2728"/>
      <c r="O987" s="2728"/>
      <c r="P987" s="2728"/>
      <c r="Q987" s="2748"/>
      <c r="R987" s="2748"/>
      <c r="S987" s="2748"/>
      <c r="T987" s="2748"/>
      <c r="U987" s="2748"/>
      <c r="V987" s="2748"/>
      <c r="W987" s="2748"/>
      <c r="X987" s="2748"/>
      <c r="Y987" s="2748"/>
      <c r="Z987" s="2748"/>
      <c r="AA987" s="2748"/>
      <c r="AB987" s="2748"/>
      <c r="AC987" s="2748"/>
      <c r="AD987" s="2748"/>
      <c r="AE987" s="2748"/>
      <c r="AF987" s="2748"/>
      <c r="AG987" s="2748"/>
      <c r="AH987" s="2748"/>
      <c r="AI987" s="2748"/>
      <c r="AK987" s="2748"/>
      <c r="AL987" s="2748"/>
      <c r="AN987" s="2748"/>
      <c r="AO987" s="2748"/>
      <c r="AP987" s="2748"/>
    </row>
    <row r="988" spans="2:42" ht="18" customHeight="1">
      <c r="B988" s="2728"/>
      <c r="C988" s="2728"/>
      <c r="D988" s="2728"/>
      <c r="E988" s="2728"/>
      <c r="G988" s="2512"/>
      <c r="I988" s="2748"/>
      <c r="J988" s="2728"/>
      <c r="L988" s="2728"/>
      <c r="M988" s="2748"/>
      <c r="N988" s="2728"/>
      <c r="O988" s="2728"/>
      <c r="P988" s="2728"/>
      <c r="Q988" s="2748"/>
      <c r="R988" s="2748"/>
      <c r="S988" s="2748"/>
      <c r="T988" s="2748"/>
      <c r="U988" s="2748"/>
      <c r="V988" s="2748"/>
      <c r="W988" s="2748"/>
      <c r="X988" s="2748"/>
      <c r="Y988" s="2748"/>
      <c r="Z988" s="2748"/>
      <c r="AA988" s="2748"/>
      <c r="AB988" s="2748"/>
      <c r="AC988" s="2748"/>
      <c r="AD988" s="2748"/>
      <c r="AE988" s="2748"/>
      <c r="AF988" s="2748"/>
      <c r="AG988" s="2748"/>
      <c r="AH988" s="2748"/>
      <c r="AI988" s="2748"/>
      <c r="AK988" s="2748"/>
      <c r="AL988" s="2748"/>
      <c r="AN988" s="2748"/>
      <c r="AO988" s="2748"/>
      <c r="AP988" s="2748"/>
    </row>
    <row r="989" spans="2:42" ht="18" customHeight="1">
      <c r="B989" s="2728"/>
      <c r="C989" s="2728"/>
      <c r="D989" s="2728"/>
      <c r="E989" s="2728"/>
      <c r="G989" s="2512"/>
      <c r="I989" s="2748"/>
      <c r="J989" s="2728"/>
      <c r="L989" s="2728"/>
      <c r="M989" s="2748"/>
      <c r="N989" s="2728"/>
      <c r="O989" s="2728"/>
      <c r="P989" s="2728"/>
      <c r="Q989" s="2748"/>
      <c r="R989" s="2748"/>
      <c r="S989" s="2748"/>
      <c r="T989" s="2748"/>
      <c r="U989" s="2748"/>
      <c r="V989" s="2748"/>
      <c r="W989" s="2748"/>
      <c r="X989" s="2748"/>
      <c r="Y989" s="2748"/>
      <c r="Z989" s="2748"/>
      <c r="AA989" s="2748"/>
      <c r="AB989" s="2748"/>
      <c r="AC989" s="2748"/>
      <c r="AD989" s="2748"/>
      <c r="AE989" s="2748"/>
      <c r="AF989" s="2748"/>
      <c r="AG989" s="2748"/>
      <c r="AH989" s="2748"/>
      <c r="AI989" s="2748"/>
      <c r="AK989" s="2748"/>
      <c r="AL989" s="2748"/>
      <c r="AN989" s="2748"/>
      <c r="AO989" s="2748"/>
      <c r="AP989" s="2748"/>
    </row>
    <row r="990" spans="2:42" ht="18" customHeight="1">
      <c r="B990" s="2728"/>
      <c r="C990" s="2728"/>
      <c r="D990" s="2728"/>
      <c r="E990" s="2728"/>
      <c r="G990" s="2512"/>
      <c r="I990" s="2748"/>
      <c r="J990" s="2728"/>
      <c r="L990" s="2728"/>
      <c r="M990" s="2748"/>
      <c r="N990" s="2728"/>
      <c r="O990" s="2728"/>
      <c r="P990" s="2728"/>
      <c r="Q990" s="2748"/>
      <c r="R990" s="2748"/>
      <c r="S990" s="2748"/>
      <c r="T990" s="2748"/>
      <c r="U990" s="2748"/>
      <c r="V990" s="2748"/>
      <c r="W990" s="2748"/>
      <c r="X990" s="2748"/>
      <c r="Y990" s="2748"/>
      <c r="Z990" s="2748"/>
      <c r="AA990" s="2748"/>
      <c r="AB990" s="2748"/>
      <c r="AC990" s="2748"/>
      <c r="AD990" s="2748"/>
      <c r="AE990" s="2748"/>
      <c r="AF990" s="2748"/>
      <c r="AG990" s="2748"/>
      <c r="AH990" s="2748"/>
      <c r="AI990" s="2748"/>
      <c r="AK990" s="2748"/>
      <c r="AL990" s="2748"/>
      <c r="AN990" s="2748"/>
      <c r="AO990" s="2748"/>
      <c r="AP990" s="2748"/>
    </row>
    <row r="991" spans="2:42" ht="18" customHeight="1">
      <c r="B991" s="2728"/>
      <c r="C991" s="2728"/>
      <c r="D991" s="2728"/>
      <c r="E991" s="2728"/>
      <c r="G991" s="2512"/>
      <c r="I991" s="2748"/>
      <c r="J991" s="2728"/>
      <c r="L991" s="2728"/>
      <c r="M991" s="2748"/>
      <c r="N991" s="2728"/>
      <c r="O991" s="2728"/>
      <c r="P991" s="2728"/>
      <c r="Q991" s="2748"/>
      <c r="R991" s="2748"/>
      <c r="S991" s="2748"/>
      <c r="T991" s="2748"/>
      <c r="U991" s="2748"/>
      <c r="V991" s="2748"/>
      <c r="W991" s="2748"/>
      <c r="X991" s="2748"/>
      <c r="Y991" s="2748"/>
      <c r="Z991" s="2748"/>
      <c r="AA991" s="2748"/>
      <c r="AB991" s="2748"/>
      <c r="AC991" s="2748"/>
      <c r="AD991" s="2748"/>
      <c r="AE991" s="2748"/>
      <c r="AF991" s="2748"/>
      <c r="AG991" s="2748"/>
      <c r="AH991" s="2748"/>
      <c r="AI991" s="2748"/>
      <c r="AK991" s="2748"/>
      <c r="AL991" s="2748"/>
      <c r="AN991" s="2748"/>
      <c r="AO991" s="2748"/>
      <c r="AP991" s="2748"/>
    </row>
    <row r="992" spans="2:42" ht="18" customHeight="1">
      <c r="B992" s="2728"/>
      <c r="C992" s="2728"/>
      <c r="D992" s="2728"/>
      <c r="E992" s="2728"/>
      <c r="G992" s="2512"/>
      <c r="I992" s="2748"/>
      <c r="J992" s="2728"/>
      <c r="L992" s="2728"/>
      <c r="M992" s="2748"/>
      <c r="N992" s="2728"/>
      <c r="O992" s="2728"/>
      <c r="P992" s="2728"/>
      <c r="Q992" s="2748"/>
      <c r="R992" s="2748"/>
      <c r="S992" s="2748"/>
      <c r="T992" s="2748"/>
      <c r="U992" s="2748"/>
      <c r="V992" s="2748"/>
      <c r="W992" s="2748"/>
      <c r="X992" s="2748"/>
      <c r="Y992" s="2748"/>
      <c r="Z992" s="2748"/>
      <c r="AA992" s="2748"/>
      <c r="AB992" s="2748"/>
      <c r="AC992" s="2748"/>
      <c r="AD992" s="2748"/>
      <c r="AE992" s="2748"/>
      <c r="AF992" s="2748"/>
      <c r="AG992" s="2748"/>
      <c r="AH992" s="2748"/>
      <c r="AI992" s="2748"/>
      <c r="AK992" s="2748"/>
      <c r="AL992" s="2748"/>
      <c r="AN992" s="2748"/>
      <c r="AO992" s="2748"/>
      <c r="AP992" s="2748"/>
    </row>
    <row r="993" spans="2:42" ht="18" customHeight="1">
      <c r="B993" s="2728"/>
      <c r="C993" s="2728"/>
      <c r="D993" s="2728"/>
      <c r="E993" s="2728"/>
      <c r="G993" s="2512"/>
      <c r="I993" s="2748"/>
      <c r="J993" s="2728"/>
      <c r="L993" s="2728"/>
      <c r="M993" s="2748"/>
      <c r="N993" s="2728"/>
      <c r="O993" s="2728"/>
      <c r="P993" s="2728"/>
      <c r="Q993" s="2748"/>
      <c r="R993" s="2748"/>
      <c r="S993" s="2748"/>
      <c r="T993" s="2748"/>
      <c r="U993" s="2748"/>
      <c r="V993" s="2748"/>
      <c r="W993" s="2748"/>
      <c r="X993" s="2748"/>
      <c r="Y993" s="2748"/>
      <c r="Z993" s="2748"/>
      <c r="AA993" s="2748"/>
      <c r="AB993" s="2748"/>
      <c r="AC993" s="2748"/>
      <c r="AD993" s="2748"/>
      <c r="AE993" s="2748"/>
      <c r="AF993" s="2748"/>
      <c r="AG993" s="2748"/>
      <c r="AH993" s="2748"/>
      <c r="AI993" s="2748"/>
      <c r="AK993" s="2748"/>
      <c r="AL993" s="2748"/>
      <c r="AN993" s="2748"/>
      <c r="AO993" s="2748"/>
      <c r="AP993" s="2748"/>
    </row>
    <row r="994" spans="2:42" ht="18" customHeight="1">
      <c r="B994" s="2728"/>
      <c r="C994" s="2728"/>
      <c r="D994" s="2728"/>
      <c r="E994" s="2728"/>
      <c r="G994" s="2512"/>
      <c r="I994" s="2748"/>
      <c r="J994" s="2728"/>
      <c r="L994" s="2728"/>
      <c r="M994" s="2748"/>
      <c r="N994" s="2728"/>
      <c r="O994" s="2728"/>
      <c r="P994" s="2728"/>
      <c r="Q994" s="2748"/>
      <c r="R994" s="2748"/>
      <c r="S994" s="2748"/>
      <c r="T994" s="2748"/>
      <c r="U994" s="2748"/>
      <c r="V994" s="2748"/>
      <c r="W994" s="2748"/>
      <c r="X994" s="2748"/>
      <c r="Y994" s="2748"/>
      <c r="Z994" s="2748"/>
      <c r="AA994" s="2748"/>
      <c r="AB994" s="2748"/>
      <c r="AC994" s="2748"/>
      <c r="AD994" s="2748"/>
      <c r="AE994" s="2748"/>
      <c r="AF994" s="2748"/>
      <c r="AG994" s="2748"/>
      <c r="AH994" s="2748"/>
      <c r="AI994" s="2748"/>
      <c r="AK994" s="2748"/>
      <c r="AL994" s="2748"/>
      <c r="AN994" s="2748"/>
      <c r="AO994" s="2748"/>
      <c r="AP994" s="2748"/>
    </row>
    <row r="995" spans="2:42" ht="18" customHeight="1">
      <c r="B995" s="2728"/>
      <c r="C995" s="2728"/>
      <c r="D995" s="2728"/>
      <c r="E995" s="2728"/>
      <c r="G995" s="2512"/>
      <c r="I995" s="2748"/>
      <c r="J995" s="2728"/>
      <c r="L995" s="2728"/>
      <c r="M995" s="2748"/>
      <c r="N995" s="2728"/>
      <c r="O995" s="2728"/>
      <c r="P995" s="2728"/>
      <c r="Q995" s="2748"/>
      <c r="R995" s="2748"/>
      <c r="S995" s="2748"/>
      <c r="T995" s="2748"/>
      <c r="U995" s="2748"/>
      <c r="V995" s="2748"/>
      <c r="W995" s="2748"/>
      <c r="X995" s="2748"/>
      <c r="Y995" s="2748"/>
      <c r="Z995" s="2748"/>
      <c r="AA995" s="2748"/>
      <c r="AB995" s="2748"/>
      <c r="AC995" s="2748"/>
      <c r="AD995" s="2748"/>
      <c r="AE995" s="2748"/>
      <c r="AF995" s="2748"/>
      <c r="AG995" s="2748"/>
      <c r="AH995" s="2748"/>
      <c r="AI995" s="2748"/>
      <c r="AK995" s="2748"/>
      <c r="AL995" s="2748"/>
      <c r="AN995" s="2748"/>
      <c r="AO995" s="2748"/>
      <c r="AP995" s="2748"/>
    </row>
    <row r="996" spans="2:42" ht="18" customHeight="1">
      <c r="B996" s="2728"/>
      <c r="C996" s="2728"/>
      <c r="D996" s="2728"/>
      <c r="E996" s="2728"/>
      <c r="G996" s="2512"/>
      <c r="I996" s="2748"/>
      <c r="J996" s="2728"/>
      <c r="L996" s="2728"/>
      <c r="M996" s="2748"/>
      <c r="N996" s="2728"/>
      <c r="O996" s="2728"/>
      <c r="P996" s="2728"/>
      <c r="Q996" s="2748"/>
      <c r="R996" s="2748"/>
      <c r="S996" s="2748"/>
      <c r="T996" s="2748"/>
      <c r="U996" s="2748"/>
      <c r="V996" s="2748"/>
      <c r="W996" s="2748"/>
      <c r="X996" s="2748"/>
      <c r="Y996" s="2748"/>
      <c r="Z996" s="2748"/>
      <c r="AA996" s="2748"/>
      <c r="AB996" s="2748"/>
      <c r="AC996" s="2748"/>
      <c r="AD996" s="2748"/>
      <c r="AE996" s="2748"/>
      <c r="AF996" s="2748"/>
      <c r="AG996" s="2748"/>
      <c r="AH996" s="2748"/>
      <c r="AI996" s="2748"/>
      <c r="AK996" s="2748"/>
      <c r="AL996" s="2748"/>
      <c r="AN996" s="2748"/>
      <c r="AO996" s="2748"/>
      <c r="AP996" s="2748"/>
    </row>
    <row r="997" spans="2:42" ht="18" customHeight="1">
      <c r="B997" s="2728"/>
      <c r="C997" s="2728"/>
      <c r="D997" s="2728"/>
      <c r="E997" s="2728"/>
      <c r="G997" s="2512"/>
      <c r="I997" s="2748"/>
      <c r="J997" s="2728"/>
      <c r="L997" s="2728"/>
      <c r="M997" s="2748"/>
      <c r="N997" s="2728"/>
      <c r="O997" s="2728"/>
      <c r="P997" s="2728"/>
      <c r="Q997" s="2748"/>
      <c r="R997" s="2748"/>
      <c r="S997" s="2748"/>
      <c r="T997" s="2748"/>
      <c r="U997" s="2748"/>
      <c r="V997" s="2748"/>
      <c r="W997" s="2748"/>
      <c r="X997" s="2748"/>
      <c r="Y997" s="2748"/>
      <c r="Z997" s="2748"/>
      <c r="AA997" s="2748"/>
      <c r="AB997" s="2748"/>
      <c r="AC997" s="2748"/>
      <c r="AD997" s="2748"/>
      <c r="AE997" s="2748"/>
      <c r="AF997" s="2748"/>
      <c r="AG997" s="2748"/>
      <c r="AH997" s="2748"/>
      <c r="AI997" s="2748"/>
      <c r="AK997" s="2748"/>
      <c r="AL997" s="2748"/>
      <c r="AN997" s="2748"/>
      <c r="AO997" s="2748"/>
      <c r="AP997" s="2748"/>
    </row>
    <row r="998" spans="2:42" ht="18" customHeight="1">
      <c r="B998" s="2728"/>
      <c r="C998" s="2728"/>
      <c r="D998" s="2728"/>
      <c r="E998" s="2728"/>
      <c r="G998" s="2512"/>
      <c r="I998" s="2748"/>
      <c r="J998" s="2728"/>
      <c r="L998" s="2728"/>
      <c r="M998" s="2748"/>
      <c r="N998" s="2728"/>
      <c r="O998" s="2728"/>
      <c r="P998" s="2728"/>
      <c r="Q998" s="2748"/>
      <c r="R998" s="2748"/>
      <c r="S998" s="2748"/>
      <c r="T998" s="2748"/>
      <c r="U998" s="2748"/>
      <c r="V998" s="2748"/>
      <c r="W998" s="2748"/>
      <c r="X998" s="2748"/>
      <c r="Y998" s="2748"/>
      <c r="Z998" s="2748"/>
      <c r="AA998" s="2748"/>
      <c r="AB998" s="2748"/>
      <c r="AC998" s="2748"/>
      <c r="AD998" s="2748"/>
      <c r="AE998" s="2748"/>
      <c r="AF998" s="2748"/>
      <c r="AG998" s="2748"/>
      <c r="AH998" s="2748"/>
      <c r="AI998" s="2748"/>
      <c r="AK998" s="2748"/>
      <c r="AL998" s="2748"/>
      <c r="AN998" s="2748"/>
      <c r="AO998" s="2748"/>
      <c r="AP998" s="2748"/>
    </row>
    <row r="999" spans="2:42" ht="18" customHeight="1">
      <c r="B999" s="2728"/>
      <c r="C999" s="2728"/>
      <c r="D999" s="2728"/>
      <c r="E999" s="2728"/>
      <c r="G999" s="2512"/>
      <c r="I999" s="2748"/>
      <c r="J999" s="2728"/>
      <c r="L999" s="2728"/>
      <c r="M999" s="2748"/>
      <c r="N999" s="2728"/>
      <c r="O999" s="2728"/>
      <c r="P999" s="2728"/>
      <c r="Q999" s="2748"/>
      <c r="R999" s="2748"/>
      <c r="S999" s="2748"/>
      <c r="T999" s="2748"/>
      <c r="U999" s="2748"/>
      <c r="V999" s="2748"/>
      <c r="W999" s="2748"/>
      <c r="X999" s="2748"/>
      <c r="Y999" s="2748"/>
      <c r="Z999" s="2748"/>
      <c r="AA999" s="2748"/>
      <c r="AB999" s="2748"/>
      <c r="AC999" s="2748"/>
      <c r="AD999" s="2748"/>
      <c r="AE999" s="2748"/>
      <c r="AF999" s="2748"/>
      <c r="AG999" s="2748"/>
      <c r="AH999" s="2748"/>
      <c r="AI999" s="2748"/>
      <c r="AK999" s="2748"/>
      <c r="AL999" s="2748"/>
      <c r="AN999" s="2748"/>
      <c r="AO999" s="2748"/>
      <c r="AP999" s="2748"/>
    </row>
    <row r="1000" spans="2:42" ht="18" customHeight="1">
      <c r="B1000" s="2728"/>
      <c r="C1000" s="2728"/>
      <c r="D1000" s="2728"/>
      <c r="E1000" s="2728"/>
      <c r="G1000" s="2512"/>
      <c r="I1000" s="2748"/>
      <c r="J1000" s="2728"/>
      <c r="L1000" s="2728"/>
      <c r="M1000" s="2748"/>
      <c r="N1000" s="2728"/>
      <c r="O1000" s="2728"/>
      <c r="P1000" s="2728"/>
      <c r="Q1000" s="2748"/>
      <c r="R1000" s="2748"/>
      <c r="S1000" s="2748"/>
      <c r="T1000" s="2748"/>
      <c r="U1000" s="2748"/>
      <c r="V1000" s="2748"/>
      <c r="W1000" s="2748"/>
      <c r="X1000" s="2748"/>
      <c r="Y1000" s="2748"/>
      <c r="Z1000" s="2748"/>
      <c r="AA1000" s="2748"/>
      <c r="AB1000" s="2748"/>
      <c r="AC1000" s="2748"/>
      <c r="AD1000" s="2748"/>
      <c r="AE1000" s="2748"/>
      <c r="AF1000" s="2748"/>
      <c r="AG1000" s="2748"/>
      <c r="AH1000" s="2748"/>
      <c r="AI1000" s="2748"/>
      <c r="AK1000" s="2748"/>
      <c r="AL1000" s="2748"/>
      <c r="AN1000" s="2748"/>
      <c r="AO1000" s="2748"/>
      <c r="AP1000" s="2748"/>
    </row>
    <row r="1001" spans="2:42" ht="18" customHeight="1">
      <c r="B1001" s="2728"/>
      <c r="C1001" s="2728"/>
      <c r="D1001" s="2728"/>
      <c r="E1001" s="2728"/>
      <c r="G1001" s="2512"/>
      <c r="I1001" s="2748"/>
      <c r="J1001" s="2728"/>
      <c r="L1001" s="2728"/>
      <c r="M1001" s="2748"/>
      <c r="N1001" s="2728"/>
      <c r="O1001" s="2728"/>
      <c r="P1001" s="2728"/>
      <c r="Q1001" s="2748"/>
      <c r="R1001" s="2748"/>
      <c r="S1001" s="2748"/>
      <c r="T1001" s="2748"/>
      <c r="U1001" s="2748"/>
      <c r="V1001" s="2748"/>
      <c r="W1001" s="2748"/>
      <c r="X1001" s="2748"/>
      <c r="Y1001" s="2748"/>
      <c r="Z1001" s="2748"/>
      <c r="AA1001" s="2748"/>
      <c r="AB1001" s="2748"/>
      <c r="AC1001" s="2748"/>
      <c r="AD1001" s="2748"/>
      <c r="AE1001" s="2748"/>
      <c r="AF1001" s="2748"/>
      <c r="AG1001" s="2748"/>
      <c r="AH1001" s="2748"/>
      <c r="AI1001" s="2748"/>
      <c r="AK1001" s="2748"/>
      <c r="AL1001" s="2748"/>
      <c r="AN1001" s="2748"/>
      <c r="AO1001" s="2748"/>
      <c r="AP1001" s="2748"/>
    </row>
    <row r="1002" spans="2:42" ht="18" customHeight="1">
      <c r="B1002" s="2728"/>
      <c r="C1002" s="2728"/>
      <c r="D1002" s="2728"/>
      <c r="E1002" s="2728"/>
      <c r="G1002" s="2512"/>
      <c r="I1002" s="2748"/>
      <c r="J1002" s="2728"/>
      <c r="L1002" s="2728"/>
      <c r="M1002" s="2748"/>
      <c r="N1002" s="2728"/>
      <c r="O1002" s="2728"/>
      <c r="P1002" s="2728"/>
      <c r="Q1002" s="2748"/>
      <c r="R1002" s="2748"/>
      <c r="S1002" s="2748"/>
      <c r="T1002" s="2748"/>
      <c r="U1002" s="2748"/>
      <c r="V1002" s="2748"/>
      <c r="W1002" s="2748"/>
      <c r="X1002" s="2748"/>
      <c r="Y1002" s="2748"/>
      <c r="Z1002" s="2748"/>
      <c r="AA1002" s="2748"/>
      <c r="AB1002" s="2748"/>
      <c r="AC1002" s="2748"/>
      <c r="AD1002" s="2748"/>
      <c r="AE1002" s="2748"/>
      <c r="AF1002" s="2748"/>
      <c r="AG1002" s="2748"/>
      <c r="AH1002" s="2748"/>
      <c r="AI1002" s="2748"/>
      <c r="AK1002" s="2748"/>
      <c r="AL1002" s="2748"/>
      <c r="AN1002" s="2748"/>
      <c r="AO1002" s="2748"/>
      <c r="AP1002" s="2748"/>
    </row>
    <row r="1003" spans="2:42" ht="18" customHeight="1">
      <c r="B1003" s="2728"/>
      <c r="C1003" s="2728"/>
      <c r="D1003" s="2728"/>
      <c r="E1003" s="2728"/>
      <c r="G1003" s="2512"/>
      <c r="I1003" s="2748"/>
      <c r="J1003" s="2728"/>
      <c r="L1003" s="2728"/>
      <c r="M1003" s="2748"/>
      <c r="N1003" s="2728"/>
      <c r="O1003" s="2728"/>
      <c r="P1003" s="2728"/>
      <c r="Q1003" s="2748"/>
      <c r="R1003" s="2748"/>
      <c r="S1003" s="2748"/>
      <c r="T1003" s="2748"/>
      <c r="U1003" s="2748"/>
      <c r="V1003" s="2748"/>
      <c r="W1003" s="2748"/>
      <c r="X1003" s="2748"/>
      <c r="Y1003" s="2748"/>
      <c r="Z1003" s="2748"/>
      <c r="AA1003" s="2748"/>
      <c r="AB1003" s="2748"/>
      <c r="AC1003" s="2748"/>
      <c r="AD1003" s="2748"/>
      <c r="AE1003" s="2748"/>
      <c r="AF1003" s="2748"/>
      <c r="AG1003" s="2748"/>
      <c r="AH1003" s="2748"/>
      <c r="AI1003" s="2748"/>
      <c r="AK1003" s="2748"/>
      <c r="AL1003" s="2748"/>
      <c r="AN1003" s="2748"/>
      <c r="AO1003" s="2748"/>
      <c r="AP1003" s="2748"/>
    </row>
    <row r="1004" spans="2:42" ht="18" customHeight="1">
      <c r="B1004" s="2728"/>
      <c r="C1004" s="2728"/>
      <c r="D1004" s="2728"/>
      <c r="E1004" s="2728"/>
      <c r="G1004" s="2512"/>
      <c r="I1004" s="2748"/>
      <c r="J1004" s="2728"/>
      <c r="L1004" s="2728"/>
      <c r="M1004" s="2748"/>
      <c r="N1004" s="2728"/>
      <c r="O1004" s="2728"/>
      <c r="P1004" s="2728"/>
      <c r="Q1004" s="2748"/>
      <c r="R1004" s="2748"/>
      <c r="S1004" s="2748"/>
      <c r="T1004" s="2748"/>
      <c r="U1004" s="2748"/>
      <c r="V1004" s="2748"/>
      <c r="W1004" s="2748"/>
      <c r="X1004" s="2748"/>
      <c r="Y1004" s="2748"/>
      <c r="Z1004" s="2748"/>
      <c r="AA1004" s="2748"/>
      <c r="AB1004" s="2748"/>
      <c r="AC1004" s="2748"/>
      <c r="AD1004" s="2748"/>
      <c r="AE1004" s="2748"/>
      <c r="AF1004" s="2748"/>
      <c r="AG1004" s="2748"/>
      <c r="AH1004" s="2748"/>
      <c r="AI1004" s="2748"/>
      <c r="AK1004" s="2748"/>
      <c r="AL1004" s="2748"/>
      <c r="AN1004" s="2748"/>
      <c r="AO1004" s="2748"/>
      <c r="AP1004" s="2748"/>
    </row>
    <row r="1005" spans="2:42" ht="18" customHeight="1">
      <c r="B1005" s="2728"/>
      <c r="C1005" s="2728"/>
      <c r="D1005" s="2728"/>
      <c r="E1005" s="2728"/>
      <c r="G1005" s="2512"/>
      <c r="I1005" s="2748"/>
      <c r="J1005" s="2728"/>
      <c r="L1005" s="2728"/>
      <c r="M1005" s="2748"/>
      <c r="N1005" s="2728"/>
      <c r="O1005" s="2728"/>
      <c r="P1005" s="2728"/>
      <c r="Q1005" s="2748"/>
      <c r="R1005" s="2748"/>
      <c r="S1005" s="2748"/>
      <c r="T1005" s="2748"/>
      <c r="U1005" s="2748"/>
      <c r="V1005" s="2748"/>
      <c r="W1005" s="2748"/>
      <c r="X1005" s="2748"/>
      <c r="Y1005" s="2748"/>
      <c r="Z1005" s="2748"/>
      <c r="AA1005" s="2748"/>
      <c r="AB1005" s="2748"/>
      <c r="AC1005" s="2748"/>
      <c r="AD1005" s="2748"/>
      <c r="AE1005" s="2748"/>
      <c r="AF1005" s="2748"/>
      <c r="AG1005" s="2748"/>
      <c r="AH1005" s="2748"/>
      <c r="AI1005" s="2748"/>
      <c r="AK1005" s="2748"/>
      <c r="AL1005" s="2748"/>
      <c r="AN1005" s="2748"/>
      <c r="AO1005" s="2748"/>
      <c r="AP1005" s="2748"/>
    </row>
    <row r="1006" spans="2:42" ht="18" customHeight="1">
      <c r="B1006" s="2728"/>
      <c r="C1006" s="2728"/>
      <c r="D1006" s="2728"/>
      <c r="E1006" s="2728"/>
      <c r="G1006" s="2512"/>
      <c r="I1006" s="2748"/>
      <c r="J1006" s="2728"/>
      <c r="L1006" s="2728"/>
      <c r="M1006" s="2748"/>
      <c r="N1006" s="2728"/>
      <c r="O1006" s="2728"/>
      <c r="P1006" s="2728"/>
      <c r="Q1006" s="2748"/>
      <c r="R1006" s="2748"/>
      <c r="S1006" s="2748"/>
      <c r="T1006" s="2748"/>
      <c r="U1006" s="2748"/>
      <c r="V1006" s="2748"/>
      <c r="W1006" s="2748"/>
      <c r="X1006" s="2748"/>
      <c r="Y1006" s="2748"/>
      <c r="Z1006" s="2748"/>
      <c r="AA1006" s="2748"/>
      <c r="AB1006" s="2748"/>
      <c r="AC1006" s="2748"/>
      <c r="AD1006" s="2748"/>
      <c r="AE1006" s="2748"/>
      <c r="AF1006" s="2748"/>
      <c r="AG1006" s="2748"/>
      <c r="AH1006" s="2748"/>
      <c r="AI1006" s="2748"/>
      <c r="AK1006" s="2748"/>
      <c r="AL1006" s="2748"/>
      <c r="AN1006" s="2748"/>
      <c r="AO1006" s="2748"/>
      <c r="AP1006" s="2748"/>
    </row>
    <row r="1007" spans="2:42" ht="18" customHeight="1">
      <c r="B1007" s="2728"/>
      <c r="C1007" s="2728"/>
      <c r="D1007" s="2728"/>
      <c r="E1007" s="2728"/>
      <c r="G1007" s="2512"/>
      <c r="I1007" s="2748"/>
      <c r="J1007" s="2728"/>
      <c r="L1007" s="2728"/>
      <c r="M1007" s="2748"/>
      <c r="N1007" s="2728"/>
      <c r="O1007" s="2728"/>
      <c r="P1007" s="2728"/>
      <c r="Q1007" s="2748"/>
      <c r="R1007" s="2748"/>
      <c r="S1007" s="2748"/>
      <c r="T1007" s="2748"/>
      <c r="U1007" s="2748"/>
      <c r="V1007" s="2748"/>
      <c r="W1007" s="2748"/>
      <c r="X1007" s="2748"/>
      <c r="Y1007" s="2748"/>
      <c r="Z1007" s="2748"/>
      <c r="AA1007" s="2748"/>
      <c r="AB1007" s="2748"/>
      <c r="AC1007" s="2748"/>
      <c r="AD1007" s="2748"/>
      <c r="AE1007" s="2748"/>
      <c r="AF1007" s="2748"/>
      <c r="AG1007" s="2748"/>
      <c r="AH1007" s="2748"/>
      <c r="AI1007" s="2748"/>
      <c r="AK1007" s="2748"/>
      <c r="AL1007" s="2748"/>
      <c r="AN1007" s="2748"/>
      <c r="AO1007" s="2748"/>
      <c r="AP1007" s="2748"/>
    </row>
    <row r="1008" spans="2:42" ht="18" customHeight="1">
      <c r="B1008" s="2728"/>
      <c r="C1008" s="2728"/>
      <c r="D1008" s="2728"/>
      <c r="E1008" s="2728"/>
      <c r="G1008" s="2512"/>
      <c r="I1008" s="2748"/>
      <c r="J1008" s="2728"/>
      <c r="L1008" s="2728"/>
      <c r="M1008" s="2748"/>
      <c r="N1008" s="2728"/>
      <c r="O1008" s="2728"/>
      <c r="P1008" s="2728"/>
      <c r="Q1008" s="2748"/>
      <c r="R1008" s="2748"/>
      <c r="S1008" s="2748"/>
      <c r="T1008" s="2748"/>
      <c r="U1008" s="2748"/>
      <c r="V1008" s="2748"/>
      <c r="W1008" s="2748"/>
      <c r="X1008" s="2748"/>
      <c r="Y1008" s="2748"/>
      <c r="Z1008" s="2748"/>
      <c r="AA1008" s="2748"/>
      <c r="AB1008" s="2748"/>
      <c r="AC1008" s="2748"/>
      <c r="AD1008" s="2748"/>
      <c r="AE1008" s="2748"/>
      <c r="AF1008" s="2748"/>
      <c r="AG1008" s="2748"/>
      <c r="AH1008" s="2748"/>
      <c r="AI1008" s="2748"/>
      <c r="AK1008" s="2748"/>
      <c r="AL1008" s="2748"/>
      <c r="AN1008" s="2748"/>
      <c r="AO1008" s="2748"/>
      <c r="AP1008" s="2748"/>
    </row>
    <row r="1009" spans="2:42" ht="18" customHeight="1">
      <c r="B1009" s="2728"/>
      <c r="C1009" s="2728"/>
      <c r="D1009" s="2728"/>
      <c r="E1009" s="2728"/>
      <c r="G1009" s="2512"/>
      <c r="I1009" s="2748"/>
      <c r="J1009" s="2728"/>
      <c r="L1009" s="2728"/>
      <c r="M1009" s="2748"/>
      <c r="N1009" s="2728"/>
      <c r="O1009" s="2728"/>
      <c r="P1009" s="2728"/>
      <c r="Q1009" s="2748"/>
      <c r="R1009" s="2748"/>
      <c r="S1009" s="2748"/>
      <c r="T1009" s="2748"/>
      <c r="U1009" s="2748"/>
      <c r="V1009" s="2748"/>
      <c r="W1009" s="2748"/>
      <c r="X1009" s="2748"/>
      <c r="Y1009" s="2748"/>
      <c r="Z1009" s="2748"/>
      <c r="AA1009" s="2748"/>
      <c r="AB1009" s="2748"/>
      <c r="AC1009" s="2748"/>
      <c r="AD1009" s="2748"/>
      <c r="AE1009" s="2748"/>
      <c r="AF1009" s="2748"/>
      <c r="AG1009" s="2748"/>
      <c r="AH1009" s="2748"/>
      <c r="AI1009" s="2748"/>
      <c r="AK1009" s="2748"/>
      <c r="AL1009" s="2748"/>
      <c r="AN1009" s="2748"/>
      <c r="AO1009" s="2748"/>
      <c r="AP1009" s="2748"/>
    </row>
    <row r="1010" spans="2:42" ht="18" customHeight="1">
      <c r="B1010" s="2728"/>
      <c r="C1010" s="2728"/>
      <c r="D1010" s="2728"/>
      <c r="E1010" s="2728"/>
      <c r="G1010" s="2512"/>
      <c r="I1010" s="2748"/>
      <c r="J1010" s="2728"/>
      <c r="L1010" s="2728"/>
      <c r="M1010" s="2748"/>
      <c r="N1010" s="2728"/>
      <c r="O1010" s="2728"/>
      <c r="P1010" s="2728"/>
      <c r="Q1010" s="2748"/>
      <c r="R1010" s="2748"/>
      <c r="S1010" s="2748"/>
      <c r="T1010" s="2748"/>
      <c r="U1010" s="2748"/>
      <c r="V1010" s="2748"/>
      <c r="W1010" s="2748"/>
      <c r="X1010" s="2748"/>
      <c r="Y1010" s="2748"/>
      <c r="Z1010" s="2748"/>
      <c r="AA1010" s="2748"/>
      <c r="AB1010" s="2748"/>
      <c r="AC1010" s="2748"/>
      <c r="AD1010" s="2748"/>
      <c r="AE1010" s="2748"/>
      <c r="AF1010" s="2748"/>
      <c r="AG1010" s="2748"/>
      <c r="AH1010" s="2748"/>
      <c r="AI1010" s="2748"/>
      <c r="AK1010" s="2748"/>
      <c r="AL1010" s="2748"/>
      <c r="AN1010" s="2748"/>
      <c r="AO1010" s="2748"/>
      <c r="AP1010" s="2748"/>
    </row>
    <row r="1011" spans="2:42" ht="18" customHeight="1">
      <c r="B1011" s="2728"/>
      <c r="C1011" s="2728"/>
      <c r="D1011" s="2728"/>
      <c r="E1011" s="2728"/>
      <c r="G1011" s="2512"/>
      <c r="I1011" s="2748"/>
      <c r="J1011" s="2728"/>
      <c r="L1011" s="2728"/>
      <c r="M1011" s="2748"/>
      <c r="N1011" s="2728"/>
      <c r="O1011" s="2728"/>
      <c r="P1011" s="2728"/>
      <c r="Q1011" s="2748"/>
      <c r="R1011" s="2748"/>
      <c r="S1011" s="2748"/>
      <c r="T1011" s="2748"/>
      <c r="U1011" s="2748"/>
      <c r="V1011" s="2748"/>
      <c r="W1011" s="2748"/>
      <c r="X1011" s="2748"/>
      <c r="Y1011" s="2748"/>
      <c r="Z1011" s="2748"/>
      <c r="AA1011" s="2748"/>
      <c r="AB1011" s="2748"/>
      <c r="AC1011" s="2748"/>
      <c r="AD1011" s="2748"/>
      <c r="AE1011" s="2748"/>
      <c r="AF1011" s="2748"/>
      <c r="AG1011" s="2748"/>
      <c r="AH1011" s="2748"/>
      <c r="AI1011" s="2748"/>
      <c r="AK1011" s="2748"/>
      <c r="AL1011" s="2748"/>
      <c r="AN1011" s="2748"/>
      <c r="AO1011" s="2748"/>
      <c r="AP1011" s="2748"/>
    </row>
    <row r="1012" spans="2:42" ht="18" customHeight="1">
      <c r="B1012" s="2728"/>
      <c r="C1012" s="2728"/>
      <c r="D1012" s="2728"/>
      <c r="E1012" s="2728"/>
      <c r="G1012" s="2512"/>
      <c r="I1012" s="2748"/>
      <c r="J1012" s="2728"/>
      <c r="L1012" s="2728"/>
      <c r="M1012" s="2748"/>
      <c r="N1012" s="2728"/>
      <c r="O1012" s="2728"/>
      <c r="P1012" s="2728"/>
      <c r="Q1012" s="2748"/>
      <c r="R1012" s="2748"/>
      <c r="S1012" s="2748"/>
      <c r="T1012" s="2748"/>
      <c r="U1012" s="2748"/>
      <c r="V1012" s="2748"/>
      <c r="W1012" s="2748"/>
      <c r="X1012" s="2748"/>
      <c r="Y1012" s="2748"/>
      <c r="Z1012" s="2748"/>
      <c r="AA1012" s="2748"/>
      <c r="AB1012" s="2748"/>
      <c r="AC1012" s="2748"/>
      <c r="AD1012" s="2748"/>
      <c r="AE1012" s="2748"/>
      <c r="AF1012" s="2748"/>
      <c r="AG1012" s="2748"/>
      <c r="AH1012" s="2748"/>
      <c r="AI1012" s="2748"/>
      <c r="AK1012" s="2748"/>
      <c r="AL1012" s="2748"/>
      <c r="AN1012" s="2748"/>
      <c r="AO1012" s="2748"/>
      <c r="AP1012" s="2748"/>
    </row>
    <row r="1013" spans="2:42" ht="18" customHeight="1">
      <c r="B1013" s="2728"/>
      <c r="C1013" s="2728"/>
      <c r="D1013" s="2728"/>
      <c r="E1013" s="2728"/>
      <c r="G1013" s="2512"/>
      <c r="I1013" s="2748"/>
      <c r="J1013" s="2728"/>
      <c r="L1013" s="2728"/>
      <c r="M1013" s="2748"/>
      <c r="N1013" s="2728"/>
      <c r="O1013" s="2728"/>
      <c r="P1013" s="2728"/>
      <c r="Q1013" s="2748"/>
      <c r="R1013" s="2748"/>
      <c r="S1013" s="2748"/>
      <c r="T1013" s="2748"/>
      <c r="U1013" s="2748"/>
      <c r="V1013" s="2748"/>
      <c r="W1013" s="2748"/>
      <c r="X1013" s="2748"/>
      <c r="Y1013" s="2748"/>
      <c r="Z1013" s="2748"/>
      <c r="AA1013" s="2748"/>
      <c r="AB1013" s="2748"/>
      <c r="AC1013" s="2748"/>
      <c r="AD1013" s="2748"/>
      <c r="AE1013" s="2748"/>
      <c r="AF1013" s="2748"/>
      <c r="AG1013" s="2748"/>
      <c r="AH1013" s="2748"/>
      <c r="AI1013" s="2748"/>
      <c r="AK1013" s="2748"/>
      <c r="AL1013" s="2748"/>
      <c r="AN1013" s="2748"/>
      <c r="AO1013" s="2748"/>
      <c r="AP1013" s="2748"/>
    </row>
    <row r="1014" spans="2:42" ht="18" customHeight="1">
      <c r="B1014" s="2728"/>
      <c r="C1014" s="2728"/>
      <c r="D1014" s="2728"/>
      <c r="E1014" s="2728"/>
      <c r="G1014" s="2512"/>
      <c r="I1014" s="2748"/>
      <c r="J1014" s="2728"/>
      <c r="L1014" s="2728"/>
      <c r="M1014" s="2748"/>
      <c r="N1014" s="2728"/>
      <c r="O1014" s="2728"/>
      <c r="P1014" s="2728"/>
      <c r="Q1014" s="2748"/>
      <c r="R1014" s="2748"/>
      <c r="S1014" s="2748"/>
      <c r="T1014" s="2748"/>
      <c r="U1014" s="2748"/>
      <c r="V1014" s="2748"/>
      <c r="W1014" s="2748"/>
      <c r="X1014" s="2748"/>
      <c r="Y1014" s="2748"/>
      <c r="Z1014" s="2748"/>
      <c r="AA1014" s="2748"/>
      <c r="AB1014" s="2748"/>
      <c r="AC1014" s="2748"/>
      <c r="AD1014" s="2748"/>
      <c r="AE1014" s="2748"/>
      <c r="AF1014" s="2748"/>
      <c r="AG1014" s="2748"/>
      <c r="AH1014" s="2748"/>
      <c r="AI1014" s="2748"/>
      <c r="AK1014" s="2748"/>
      <c r="AL1014" s="2748"/>
      <c r="AN1014" s="2748"/>
      <c r="AO1014" s="2748"/>
      <c r="AP1014" s="2748"/>
    </row>
    <row r="1015" spans="2:42" ht="18" customHeight="1">
      <c r="B1015" s="2728"/>
      <c r="C1015" s="2728"/>
      <c r="D1015" s="2728"/>
      <c r="E1015" s="2728"/>
      <c r="G1015" s="2512"/>
      <c r="I1015" s="2748"/>
      <c r="J1015" s="2728"/>
      <c r="L1015" s="2728"/>
      <c r="M1015" s="2748"/>
      <c r="N1015" s="2728"/>
      <c r="O1015" s="2728"/>
      <c r="P1015" s="2728"/>
      <c r="Q1015" s="2748"/>
      <c r="R1015" s="2748"/>
      <c r="S1015" s="2748"/>
      <c r="T1015" s="2748"/>
      <c r="U1015" s="2748"/>
      <c r="V1015" s="2748"/>
      <c r="W1015" s="2748"/>
      <c r="X1015" s="2748"/>
      <c r="Y1015" s="2748"/>
      <c r="Z1015" s="2748"/>
      <c r="AA1015" s="2748"/>
      <c r="AB1015" s="2748"/>
      <c r="AC1015" s="2748"/>
      <c r="AD1015" s="2748"/>
      <c r="AE1015" s="2748"/>
      <c r="AF1015" s="2748"/>
      <c r="AG1015" s="2748"/>
      <c r="AH1015" s="2748"/>
      <c r="AI1015" s="2748"/>
      <c r="AK1015" s="2748"/>
      <c r="AL1015" s="2748"/>
      <c r="AN1015" s="2748"/>
      <c r="AO1015" s="2748"/>
      <c r="AP1015" s="2748"/>
    </row>
    <row r="1016" spans="2:42" ht="18" customHeight="1">
      <c r="B1016" s="2728"/>
      <c r="C1016" s="2728"/>
      <c r="D1016" s="2728"/>
      <c r="E1016" s="2728"/>
      <c r="G1016" s="2512"/>
      <c r="I1016" s="2748"/>
      <c r="J1016" s="2728"/>
      <c r="L1016" s="2728"/>
      <c r="M1016" s="2748"/>
      <c r="N1016" s="2728"/>
      <c r="O1016" s="2728"/>
      <c r="P1016" s="2728"/>
      <c r="Q1016" s="2748"/>
      <c r="R1016" s="2748"/>
      <c r="S1016" s="2748"/>
      <c r="T1016" s="2748"/>
      <c r="U1016" s="2748"/>
      <c r="V1016" s="2748"/>
      <c r="W1016" s="2748"/>
      <c r="X1016" s="2748"/>
      <c r="Y1016" s="2748"/>
      <c r="Z1016" s="2748"/>
      <c r="AA1016" s="2748"/>
      <c r="AB1016" s="2748"/>
      <c r="AC1016" s="2748"/>
      <c r="AD1016" s="2748"/>
      <c r="AE1016" s="2748"/>
      <c r="AF1016" s="2748"/>
      <c r="AG1016" s="2748"/>
      <c r="AH1016" s="2748"/>
      <c r="AI1016" s="2748"/>
      <c r="AK1016" s="2748"/>
      <c r="AL1016" s="2748"/>
      <c r="AN1016" s="2748"/>
      <c r="AO1016" s="2748"/>
      <c r="AP1016" s="2748"/>
    </row>
    <row r="1017" spans="2:42" ht="18" customHeight="1">
      <c r="B1017" s="2728"/>
      <c r="C1017" s="2728"/>
      <c r="D1017" s="2728"/>
      <c r="E1017" s="2728"/>
      <c r="G1017" s="2512"/>
      <c r="I1017" s="2748"/>
      <c r="J1017" s="2728"/>
      <c r="L1017" s="2728"/>
      <c r="M1017" s="2748"/>
      <c r="N1017" s="2728"/>
      <c r="O1017" s="2728"/>
      <c r="P1017" s="2728"/>
      <c r="Q1017" s="2748"/>
      <c r="R1017" s="2748"/>
      <c r="S1017" s="2748"/>
      <c r="T1017" s="2748"/>
      <c r="U1017" s="2748"/>
      <c r="V1017" s="2748"/>
      <c r="W1017" s="2748"/>
      <c r="X1017" s="2748"/>
      <c r="Y1017" s="2748"/>
      <c r="Z1017" s="2748"/>
      <c r="AA1017" s="2748"/>
      <c r="AB1017" s="2748"/>
      <c r="AC1017" s="2748"/>
      <c r="AD1017" s="2748"/>
      <c r="AE1017" s="2748"/>
      <c r="AF1017" s="2748"/>
      <c r="AG1017" s="2748"/>
      <c r="AH1017" s="2748"/>
      <c r="AI1017" s="2748"/>
      <c r="AK1017" s="2748"/>
      <c r="AL1017" s="2748"/>
      <c r="AN1017" s="2748"/>
      <c r="AO1017" s="2748"/>
      <c r="AP1017" s="2748"/>
    </row>
    <row r="1018" spans="2:42" ht="18" customHeight="1">
      <c r="B1018" s="2728"/>
      <c r="C1018" s="2728"/>
      <c r="D1018" s="2728"/>
      <c r="E1018" s="2728"/>
      <c r="G1018" s="2512"/>
      <c r="I1018" s="2748"/>
      <c r="J1018" s="2728"/>
      <c r="L1018" s="2728"/>
      <c r="M1018" s="2748"/>
      <c r="N1018" s="2728"/>
      <c r="O1018" s="2728"/>
      <c r="P1018" s="2728"/>
      <c r="Q1018" s="2748"/>
      <c r="R1018" s="2748"/>
      <c r="S1018" s="2748"/>
      <c r="T1018" s="2748"/>
      <c r="U1018" s="2748"/>
      <c r="V1018" s="2748"/>
      <c r="W1018" s="2748"/>
      <c r="X1018" s="2748"/>
      <c r="Y1018" s="2748"/>
      <c r="Z1018" s="2748"/>
      <c r="AA1018" s="2748"/>
      <c r="AB1018" s="2748"/>
      <c r="AC1018" s="2748"/>
      <c r="AD1018" s="2748"/>
      <c r="AE1018" s="2748"/>
      <c r="AF1018" s="2748"/>
      <c r="AG1018" s="2748"/>
      <c r="AH1018" s="2748"/>
      <c r="AI1018" s="2748"/>
      <c r="AK1018" s="2748"/>
      <c r="AL1018" s="2748"/>
      <c r="AN1018" s="2748"/>
      <c r="AO1018" s="2748"/>
      <c r="AP1018" s="2748"/>
    </row>
    <row r="1019" spans="2:42" ht="18" customHeight="1">
      <c r="B1019" s="2728"/>
      <c r="C1019" s="2728"/>
      <c r="D1019" s="2728"/>
      <c r="E1019" s="2728"/>
      <c r="G1019" s="2512"/>
      <c r="I1019" s="2748"/>
      <c r="J1019" s="2728"/>
      <c r="L1019" s="2728"/>
      <c r="M1019" s="2748"/>
      <c r="N1019" s="2728"/>
      <c r="O1019" s="2728"/>
      <c r="P1019" s="2728"/>
      <c r="Q1019" s="2748"/>
      <c r="R1019" s="2748"/>
      <c r="S1019" s="2748"/>
      <c r="T1019" s="2748"/>
      <c r="U1019" s="2748"/>
      <c r="V1019" s="2748"/>
      <c r="W1019" s="2748"/>
      <c r="X1019" s="2748"/>
      <c r="Y1019" s="2748"/>
      <c r="Z1019" s="2748"/>
      <c r="AA1019" s="2748"/>
      <c r="AB1019" s="2748"/>
      <c r="AC1019" s="2748"/>
      <c r="AD1019" s="2748"/>
      <c r="AE1019" s="2748"/>
      <c r="AF1019" s="2748"/>
      <c r="AG1019" s="2748"/>
      <c r="AH1019" s="2748"/>
      <c r="AI1019" s="2748"/>
      <c r="AK1019" s="2748"/>
      <c r="AL1019" s="2748"/>
      <c r="AN1019" s="2748"/>
      <c r="AO1019" s="2748"/>
      <c r="AP1019" s="2748"/>
    </row>
    <row r="1020" spans="2:42" ht="18" customHeight="1">
      <c r="B1020" s="2728"/>
      <c r="C1020" s="2728"/>
      <c r="D1020" s="2728"/>
      <c r="E1020" s="2728"/>
      <c r="G1020" s="2512"/>
      <c r="I1020" s="2748"/>
      <c r="J1020" s="2728"/>
      <c r="L1020" s="2728"/>
      <c r="M1020" s="2748"/>
      <c r="N1020" s="2728"/>
      <c r="O1020" s="2728"/>
      <c r="P1020" s="2728"/>
      <c r="Q1020" s="2748"/>
      <c r="R1020" s="2748"/>
      <c r="S1020" s="2748"/>
      <c r="T1020" s="2748"/>
      <c r="U1020" s="2748"/>
      <c r="V1020" s="2748"/>
      <c r="W1020" s="2748"/>
      <c r="X1020" s="2748"/>
      <c r="Y1020" s="2748"/>
      <c r="Z1020" s="2748"/>
      <c r="AA1020" s="2748"/>
      <c r="AB1020" s="2748"/>
      <c r="AC1020" s="2748"/>
      <c r="AD1020" s="2748"/>
      <c r="AE1020" s="2748"/>
      <c r="AF1020" s="2748"/>
      <c r="AG1020" s="2748"/>
      <c r="AH1020" s="2748"/>
      <c r="AI1020" s="2748"/>
      <c r="AK1020" s="2748"/>
      <c r="AL1020" s="2748"/>
      <c r="AN1020" s="2748"/>
      <c r="AO1020" s="2748"/>
      <c r="AP1020" s="2748"/>
    </row>
    <row r="1021" spans="2:42" ht="18" customHeight="1">
      <c r="B1021" s="2728"/>
      <c r="C1021" s="2728"/>
      <c r="D1021" s="2728"/>
      <c r="E1021" s="2728"/>
      <c r="G1021" s="2512"/>
      <c r="I1021" s="2748"/>
      <c r="J1021" s="2728"/>
      <c r="L1021" s="2728"/>
      <c r="M1021" s="2748"/>
      <c r="N1021" s="2728"/>
      <c r="O1021" s="2728"/>
      <c r="P1021" s="2728"/>
      <c r="Q1021" s="2748"/>
      <c r="R1021" s="2748"/>
      <c r="S1021" s="2748"/>
      <c r="T1021" s="2748"/>
      <c r="U1021" s="2748"/>
      <c r="V1021" s="2748"/>
      <c r="W1021" s="2748"/>
      <c r="X1021" s="2748"/>
      <c r="Y1021" s="2748"/>
      <c r="Z1021" s="2748"/>
      <c r="AA1021" s="2748"/>
      <c r="AB1021" s="2748"/>
      <c r="AC1021" s="2748"/>
      <c r="AD1021" s="2748"/>
      <c r="AE1021" s="2748"/>
      <c r="AF1021" s="2748"/>
      <c r="AG1021" s="2748"/>
      <c r="AH1021" s="2748"/>
      <c r="AI1021" s="2748"/>
      <c r="AK1021" s="2748"/>
      <c r="AL1021" s="2748"/>
      <c r="AN1021" s="2748"/>
      <c r="AO1021" s="2748"/>
      <c r="AP1021" s="2748"/>
    </row>
    <row r="1022" spans="2:42" ht="18" customHeight="1">
      <c r="B1022" s="2728"/>
      <c r="C1022" s="2728"/>
      <c r="D1022" s="2728"/>
      <c r="E1022" s="2728"/>
      <c r="G1022" s="2512"/>
      <c r="I1022" s="2748"/>
      <c r="J1022" s="2728"/>
      <c r="L1022" s="2728"/>
      <c r="M1022" s="2748"/>
      <c r="N1022" s="2728"/>
      <c r="O1022" s="2728"/>
      <c r="P1022" s="2728"/>
      <c r="Q1022" s="2748"/>
      <c r="R1022" s="2748"/>
      <c r="S1022" s="2748"/>
      <c r="T1022" s="2748"/>
      <c r="U1022" s="2748"/>
      <c r="V1022" s="2748"/>
      <c r="W1022" s="2748"/>
      <c r="X1022" s="2748"/>
      <c r="Y1022" s="2748"/>
      <c r="Z1022" s="2748"/>
      <c r="AA1022" s="2748"/>
      <c r="AB1022" s="2748"/>
      <c r="AC1022" s="2748"/>
      <c r="AD1022" s="2748"/>
      <c r="AE1022" s="2748"/>
      <c r="AF1022" s="2748"/>
      <c r="AG1022" s="2748"/>
      <c r="AH1022" s="2748"/>
      <c r="AI1022" s="2748"/>
      <c r="AK1022" s="2748"/>
      <c r="AL1022" s="2748"/>
      <c r="AN1022" s="2748"/>
      <c r="AO1022" s="2748"/>
      <c r="AP1022" s="2748"/>
    </row>
    <row r="1023" spans="2:42" ht="18" customHeight="1">
      <c r="B1023" s="2728"/>
      <c r="C1023" s="2728"/>
      <c r="D1023" s="2728"/>
      <c r="E1023" s="2728"/>
      <c r="G1023" s="2512"/>
      <c r="I1023" s="2748"/>
      <c r="J1023" s="2728"/>
      <c r="L1023" s="2728"/>
      <c r="M1023" s="2748"/>
      <c r="N1023" s="2728"/>
      <c r="O1023" s="2728"/>
      <c r="P1023" s="2728"/>
      <c r="Q1023" s="2748"/>
      <c r="R1023" s="2748"/>
      <c r="S1023" s="2748"/>
      <c r="T1023" s="2748"/>
      <c r="U1023" s="2748"/>
      <c r="V1023" s="2748"/>
      <c r="W1023" s="2748"/>
      <c r="X1023" s="2748"/>
      <c r="Y1023" s="2748"/>
      <c r="Z1023" s="2748"/>
      <c r="AA1023" s="2748"/>
      <c r="AB1023" s="2748"/>
      <c r="AC1023" s="2748"/>
      <c r="AD1023" s="2748"/>
      <c r="AE1023" s="2748"/>
      <c r="AF1023" s="2748"/>
      <c r="AG1023" s="2748"/>
      <c r="AH1023" s="2748"/>
      <c r="AI1023" s="2748"/>
      <c r="AK1023" s="2748"/>
      <c r="AL1023" s="2748"/>
      <c r="AN1023" s="2748"/>
      <c r="AO1023" s="2748"/>
      <c r="AP1023" s="2748"/>
    </row>
    <row r="1024" spans="2:42" ht="18" customHeight="1">
      <c r="B1024" s="2728"/>
      <c r="C1024" s="2728"/>
      <c r="D1024" s="2728"/>
      <c r="E1024" s="2728"/>
      <c r="G1024" s="2512"/>
      <c r="I1024" s="2748"/>
      <c r="J1024" s="2728"/>
      <c r="L1024" s="2728"/>
      <c r="M1024" s="2748"/>
      <c r="N1024" s="2728"/>
      <c r="O1024" s="2728"/>
      <c r="P1024" s="2728"/>
      <c r="Q1024" s="2748"/>
      <c r="R1024" s="2748"/>
      <c r="S1024" s="2748"/>
      <c r="T1024" s="2748"/>
      <c r="U1024" s="2748"/>
      <c r="V1024" s="2748"/>
      <c r="W1024" s="2748"/>
      <c r="X1024" s="2748"/>
      <c r="Y1024" s="2748"/>
      <c r="Z1024" s="2748"/>
      <c r="AA1024" s="2748"/>
      <c r="AB1024" s="2748"/>
      <c r="AC1024" s="2748"/>
      <c r="AD1024" s="2748"/>
      <c r="AE1024" s="2748"/>
      <c r="AF1024" s="2748"/>
      <c r="AG1024" s="2748"/>
      <c r="AH1024" s="2748"/>
      <c r="AI1024" s="2748"/>
      <c r="AK1024" s="2748"/>
      <c r="AL1024" s="2748"/>
      <c r="AN1024" s="2748"/>
      <c r="AO1024" s="2748"/>
      <c r="AP1024" s="2748"/>
    </row>
    <row r="1025" spans="2:42" ht="18" customHeight="1">
      <c r="B1025" s="2728"/>
      <c r="C1025" s="2728"/>
      <c r="D1025" s="2728"/>
      <c r="E1025" s="2728"/>
      <c r="G1025" s="2512"/>
      <c r="I1025" s="2748"/>
      <c r="J1025" s="2728"/>
      <c r="L1025" s="2728"/>
      <c r="M1025" s="2748"/>
      <c r="N1025" s="2728"/>
      <c r="O1025" s="2728"/>
      <c r="P1025" s="2728"/>
      <c r="Q1025" s="2748"/>
      <c r="R1025" s="2748"/>
      <c r="S1025" s="2748"/>
      <c r="T1025" s="2748"/>
      <c r="U1025" s="2748"/>
      <c r="V1025" s="2748"/>
      <c r="W1025" s="2748"/>
      <c r="X1025" s="2748"/>
      <c r="Y1025" s="2748"/>
      <c r="Z1025" s="2748"/>
      <c r="AA1025" s="2748"/>
      <c r="AB1025" s="2748"/>
      <c r="AC1025" s="2748"/>
      <c r="AD1025" s="2748"/>
      <c r="AE1025" s="2748"/>
      <c r="AF1025" s="2748"/>
      <c r="AG1025" s="2748"/>
      <c r="AH1025" s="2748"/>
      <c r="AI1025" s="2748"/>
      <c r="AK1025" s="2748"/>
      <c r="AL1025" s="2748"/>
      <c r="AN1025" s="2748"/>
      <c r="AO1025" s="2748"/>
      <c r="AP1025" s="2748"/>
    </row>
    <row r="1026" spans="2:42" ht="18" customHeight="1">
      <c r="B1026" s="2728"/>
      <c r="C1026" s="2728"/>
      <c r="D1026" s="2728"/>
      <c r="E1026" s="2728"/>
      <c r="G1026" s="2512"/>
      <c r="I1026" s="2748"/>
      <c r="J1026" s="2728"/>
      <c r="L1026" s="2728"/>
      <c r="M1026" s="2748"/>
      <c r="N1026" s="2728"/>
      <c r="O1026" s="2728"/>
      <c r="P1026" s="2728"/>
      <c r="Q1026" s="2748"/>
      <c r="R1026" s="2748"/>
      <c r="S1026" s="2748"/>
      <c r="T1026" s="2748"/>
      <c r="U1026" s="2748"/>
      <c r="V1026" s="2748"/>
      <c r="W1026" s="2748"/>
      <c r="X1026" s="2748"/>
      <c r="Y1026" s="2748"/>
      <c r="Z1026" s="2748"/>
      <c r="AA1026" s="2748"/>
      <c r="AB1026" s="2748"/>
      <c r="AC1026" s="2748"/>
      <c r="AD1026" s="2748"/>
      <c r="AE1026" s="2748"/>
      <c r="AF1026" s="2748"/>
      <c r="AG1026" s="2748"/>
      <c r="AH1026" s="2748"/>
      <c r="AI1026" s="2748"/>
      <c r="AK1026" s="2748"/>
      <c r="AL1026" s="2748"/>
      <c r="AN1026" s="2748"/>
      <c r="AO1026" s="2748"/>
      <c r="AP1026" s="2748"/>
    </row>
    <row r="1027" spans="2:42" ht="18" customHeight="1">
      <c r="B1027" s="2728"/>
      <c r="C1027" s="2728"/>
      <c r="D1027" s="2728"/>
      <c r="E1027" s="2728"/>
      <c r="G1027" s="2512"/>
      <c r="I1027" s="2748"/>
      <c r="J1027" s="2728"/>
      <c r="L1027" s="2728"/>
      <c r="M1027" s="2748"/>
      <c r="N1027" s="2728"/>
      <c r="O1027" s="2728"/>
      <c r="P1027" s="2728"/>
      <c r="Q1027" s="2748"/>
      <c r="R1027" s="2748"/>
      <c r="S1027" s="2748"/>
      <c r="T1027" s="2748"/>
      <c r="U1027" s="2748"/>
      <c r="V1027" s="2748"/>
      <c r="W1027" s="2748"/>
      <c r="X1027" s="2748"/>
      <c r="Y1027" s="2748"/>
      <c r="Z1027" s="2748"/>
      <c r="AA1027" s="2748"/>
      <c r="AB1027" s="2748"/>
      <c r="AC1027" s="2748"/>
      <c r="AD1027" s="2748"/>
      <c r="AE1027" s="2748"/>
      <c r="AF1027" s="2748"/>
      <c r="AG1027" s="2748"/>
      <c r="AH1027" s="2748"/>
      <c r="AI1027" s="2748"/>
      <c r="AK1027" s="2748"/>
      <c r="AL1027" s="2748"/>
      <c r="AN1027" s="2748"/>
      <c r="AO1027" s="2748"/>
      <c r="AP1027" s="2748"/>
    </row>
    <row r="1028" spans="2:42" ht="18" customHeight="1">
      <c r="B1028" s="2728"/>
      <c r="C1028" s="2728"/>
      <c r="D1028" s="2728"/>
      <c r="E1028" s="2728"/>
      <c r="G1028" s="2512"/>
      <c r="I1028" s="2748"/>
      <c r="J1028" s="2728"/>
      <c r="L1028" s="2728"/>
      <c r="M1028" s="2748"/>
      <c r="N1028" s="2728"/>
      <c r="O1028" s="2728"/>
      <c r="P1028" s="2728"/>
      <c r="Q1028" s="2748"/>
      <c r="R1028" s="2748"/>
      <c r="S1028" s="2748"/>
      <c r="T1028" s="2748"/>
      <c r="U1028" s="2748"/>
      <c r="V1028" s="2748"/>
      <c r="W1028" s="2748"/>
      <c r="X1028" s="2748"/>
      <c r="Y1028" s="2748"/>
      <c r="Z1028" s="2748"/>
      <c r="AA1028" s="2748"/>
      <c r="AB1028" s="2748"/>
      <c r="AC1028" s="2748"/>
      <c r="AD1028" s="2748"/>
      <c r="AE1028" s="2748"/>
      <c r="AF1028" s="2748"/>
      <c r="AG1028" s="2748"/>
      <c r="AH1028" s="2748"/>
      <c r="AI1028" s="2748"/>
      <c r="AK1028" s="2748"/>
      <c r="AL1028" s="2748"/>
      <c r="AN1028" s="2748"/>
      <c r="AO1028" s="2748"/>
      <c r="AP1028" s="2748"/>
    </row>
    <row r="1029" spans="2:42" ht="18" customHeight="1">
      <c r="B1029" s="2728"/>
      <c r="C1029" s="2728"/>
      <c r="D1029" s="2728"/>
      <c r="E1029" s="2728"/>
      <c r="G1029" s="2512"/>
      <c r="I1029" s="2748"/>
      <c r="J1029" s="2728"/>
      <c r="L1029" s="2728"/>
      <c r="M1029" s="2748"/>
      <c r="N1029" s="2728"/>
      <c r="O1029" s="2728"/>
      <c r="P1029" s="2728"/>
      <c r="Q1029" s="2748"/>
      <c r="R1029" s="2748"/>
      <c r="S1029" s="2748"/>
      <c r="T1029" s="2748"/>
      <c r="U1029" s="2748"/>
      <c r="V1029" s="2748"/>
      <c r="W1029" s="2748"/>
      <c r="X1029" s="2748"/>
      <c r="Y1029" s="2748"/>
      <c r="Z1029" s="2748"/>
      <c r="AA1029" s="2748"/>
      <c r="AB1029" s="2748"/>
      <c r="AC1029" s="2748"/>
      <c r="AD1029" s="2748"/>
      <c r="AE1029" s="2748"/>
      <c r="AF1029" s="2748"/>
      <c r="AG1029" s="2748"/>
      <c r="AH1029" s="2748"/>
      <c r="AI1029" s="2748"/>
      <c r="AK1029" s="2748"/>
      <c r="AL1029" s="2748"/>
      <c r="AN1029" s="2748"/>
      <c r="AO1029" s="2748"/>
      <c r="AP1029" s="2748"/>
    </row>
    <row r="1030" spans="2:42" ht="18" customHeight="1">
      <c r="B1030" s="2728"/>
      <c r="C1030" s="2728"/>
      <c r="D1030" s="2728"/>
      <c r="E1030" s="2728"/>
      <c r="G1030" s="2512"/>
      <c r="I1030" s="2748"/>
      <c r="J1030" s="2728"/>
      <c r="L1030" s="2728"/>
      <c r="M1030" s="2748"/>
      <c r="N1030" s="2728"/>
      <c r="O1030" s="2728"/>
      <c r="P1030" s="2728"/>
      <c r="Q1030" s="2748"/>
      <c r="R1030" s="2748"/>
      <c r="S1030" s="2748"/>
      <c r="T1030" s="2748"/>
      <c r="U1030" s="2748"/>
      <c r="V1030" s="2748"/>
      <c r="W1030" s="2748"/>
      <c r="X1030" s="2748"/>
      <c r="Y1030" s="2748"/>
      <c r="Z1030" s="2748"/>
      <c r="AA1030" s="2748"/>
      <c r="AB1030" s="2748"/>
      <c r="AC1030" s="2748"/>
      <c r="AD1030" s="2748"/>
      <c r="AE1030" s="2748"/>
      <c r="AF1030" s="2748"/>
      <c r="AG1030" s="2748"/>
      <c r="AH1030" s="2748"/>
      <c r="AI1030" s="2748"/>
      <c r="AK1030" s="2748"/>
      <c r="AL1030" s="2748"/>
      <c r="AN1030" s="2748"/>
      <c r="AO1030" s="2748"/>
      <c r="AP1030" s="2748"/>
    </row>
    <row r="1031" spans="2:42" ht="18" customHeight="1">
      <c r="B1031" s="2728"/>
      <c r="C1031" s="2728"/>
      <c r="D1031" s="2728"/>
      <c r="E1031" s="2728"/>
      <c r="G1031" s="2512"/>
      <c r="I1031" s="2748"/>
      <c r="J1031" s="2728"/>
      <c r="L1031" s="2728"/>
      <c r="M1031" s="2748"/>
      <c r="N1031" s="2728"/>
      <c r="O1031" s="2728"/>
      <c r="P1031" s="2728"/>
      <c r="Q1031" s="2748"/>
      <c r="R1031" s="2748"/>
      <c r="S1031" s="2748"/>
      <c r="T1031" s="2748"/>
      <c r="U1031" s="2748"/>
      <c r="V1031" s="2748"/>
      <c r="W1031" s="2748"/>
      <c r="X1031" s="2748"/>
      <c r="Y1031" s="2748"/>
      <c r="Z1031" s="2748"/>
      <c r="AA1031" s="2748"/>
      <c r="AB1031" s="2748"/>
      <c r="AC1031" s="2748"/>
      <c r="AD1031" s="2748"/>
      <c r="AE1031" s="2748"/>
      <c r="AF1031" s="2748"/>
      <c r="AG1031" s="2748"/>
      <c r="AH1031" s="2748"/>
      <c r="AI1031" s="2748"/>
      <c r="AK1031" s="2748"/>
      <c r="AL1031" s="2748"/>
      <c r="AN1031" s="2748"/>
      <c r="AO1031" s="2748"/>
      <c r="AP1031" s="2748"/>
    </row>
    <row r="1032" spans="2:42" ht="18" customHeight="1">
      <c r="B1032" s="2728"/>
      <c r="C1032" s="2728"/>
      <c r="D1032" s="2728"/>
      <c r="E1032" s="2728"/>
      <c r="G1032" s="2512"/>
      <c r="I1032" s="2748"/>
      <c r="J1032" s="2728"/>
      <c r="L1032" s="2728"/>
      <c r="M1032" s="2748"/>
      <c r="N1032" s="2728"/>
      <c r="O1032" s="2728"/>
      <c r="P1032" s="2728"/>
      <c r="Q1032" s="2748"/>
      <c r="R1032" s="2748"/>
      <c r="S1032" s="2748"/>
      <c r="T1032" s="2748"/>
      <c r="U1032" s="2748"/>
      <c r="V1032" s="2748"/>
      <c r="W1032" s="2748"/>
      <c r="X1032" s="2748"/>
      <c r="Y1032" s="2748"/>
      <c r="Z1032" s="2748"/>
      <c r="AA1032" s="2748"/>
      <c r="AB1032" s="2748"/>
      <c r="AC1032" s="2748"/>
      <c r="AD1032" s="2748"/>
      <c r="AE1032" s="2748"/>
      <c r="AF1032" s="2748"/>
      <c r="AG1032" s="2748"/>
      <c r="AH1032" s="2748"/>
      <c r="AI1032" s="2748"/>
      <c r="AK1032" s="2748"/>
      <c r="AL1032" s="2748"/>
      <c r="AN1032" s="2748"/>
      <c r="AO1032" s="2748"/>
      <c r="AP1032" s="2748"/>
    </row>
    <row r="1033" spans="2:42" ht="18" customHeight="1">
      <c r="B1033" s="2728"/>
      <c r="C1033" s="2728"/>
      <c r="D1033" s="2728"/>
      <c r="E1033" s="2728"/>
      <c r="G1033" s="2512"/>
      <c r="I1033" s="2748"/>
      <c r="J1033" s="2728"/>
      <c r="L1033" s="2728"/>
      <c r="M1033" s="2748"/>
      <c r="N1033" s="2728"/>
      <c r="O1033" s="2728"/>
      <c r="P1033" s="2728"/>
      <c r="Q1033" s="2748"/>
      <c r="R1033" s="2748"/>
      <c r="S1033" s="2748"/>
      <c r="T1033" s="2748"/>
      <c r="U1033" s="2748"/>
      <c r="V1033" s="2748"/>
      <c r="W1033" s="2748"/>
      <c r="X1033" s="2748"/>
      <c r="Y1033" s="2748"/>
      <c r="Z1033" s="2748"/>
      <c r="AA1033" s="2748"/>
      <c r="AB1033" s="2748"/>
      <c r="AC1033" s="2748"/>
      <c r="AD1033" s="2748"/>
      <c r="AE1033" s="2748"/>
      <c r="AF1033" s="2748"/>
      <c r="AG1033" s="2748"/>
      <c r="AH1033" s="2748"/>
      <c r="AI1033" s="2748"/>
      <c r="AK1033" s="2748"/>
      <c r="AL1033" s="2748"/>
      <c r="AN1033" s="2748"/>
      <c r="AO1033" s="2748"/>
      <c r="AP1033" s="2748"/>
    </row>
    <row r="1034" spans="2:42" ht="18" customHeight="1">
      <c r="B1034" s="2728"/>
      <c r="C1034" s="2728"/>
      <c r="D1034" s="2728"/>
      <c r="E1034" s="2728"/>
      <c r="G1034" s="2512"/>
      <c r="I1034" s="2748"/>
      <c r="J1034" s="2728"/>
      <c r="L1034" s="2728"/>
      <c r="M1034" s="2748"/>
      <c r="N1034" s="2728"/>
      <c r="O1034" s="2728"/>
      <c r="P1034" s="2728"/>
      <c r="Q1034" s="2748"/>
      <c r="R1034" s="2748"/>
      <c r="S1034" s="2748"/>
      <c r="T1034" s="2748"/>
      <c r="U1034" s="2748"/>
      <c r="V1034" s="2748"/>
      <c r="W1034" s="2748"/>
      <c r="X1034" s="2748"/>
      <c r="Y1034" s="2748"/>
      <c r="Z1034" s="2748"/>
      <c r="AA1034" s="2748"/>
      <c r="AB1034" s="2748"/>
      <c r="AC1034" s="2748"/>
      <c r="AD1034" s="2748"/>
      <c r="AE1034" s="2748"/>
      <c r="AF1034" s="2748"/>
      <c r="AG1034" s="2748"/>
      <c r="AH1034" s="2748"/>
      <c r="AI1034" s="2748"/>
      <c r="AK1034" s="2748"/>
      <c r="AL1034" s="2748"/>
      <c r="AN1034" s="2748"/>
      <c r="AO1034" s="2748"/>
      <c r="AP1034" s="2748"/>
    </row>
    <row r="1035" spans="2:42" ht="18" customHeight="1">
      <c r="B1035" s="2728"/>
      <c r="C1035" s="2728"/>
      <c r="D1035" s="2728"/>
      <c r="E1035" s="2728"/>
      <c r="G1035" s="2512"/>
      <c r="I1035" s="2748"/>
      <c r="J1035" s="2728"/>
      <c r="L1035" s="2728"/>
      <c r="M1035" s="2748"/>
      <c r="N1035" s="2728"/>
      <c r="O1035" s="2728"/>
      <c r="P1035" s="2728"/>
      <c r="Q1035" s="2748"/>
      <c r="R1035" s="2748"/>
      <c r="S1035" s="2748"/>
      <c r="T1035" s="2748"/>
      <c r="U1035" s="2748"/>
      <c r="V1035" s="2748"/>
      <c r="W1035" s="2748"/>
      <c r="X1035" s="2748"/>
      <c r="Y1035" s="2748"/>
      <c r="Z1035" s="2748"/>
      <c r="AA1035" s="2748"/>
      <c r="AB1035" s="2748"/>
      <c r="AC1035" s="2748"/>
      <c r="AD1035" s="2748"/>
      <c r="AE1035" s="2748"/>
      <c r="AF1035" s="2748"/>
      <c r="AG1035" s="2748"/>
      <c r="AH1035" s="2748"/>
      <c r="AI1035" s="2748"/>
      <c r="AK1035" s="2748"/>
      <c r="AL1035" s="2748"/>
      <c r="AN1035" s="2748"/>
      <c r="AO1035" s="2748"/>
      <c r="AP1035" s="2748"/>
    </row>
    <row r="1036" spans="2:42" ht="18" customHeight="1">
      <c r="B1036" s="2728"/>
      <c r="C1036" s="2728"/>
      <c r="D1036" s="2728"/>
      <c r="E1036" s="2728"/>
      <c r="G1036" s="2512"/>
      <c r="I1036" s="2748"/>
      <c r="J1036" s="2728"/>
      <c r="L1036" s="2728"/>
      <c r="M1036" s="2748"/>
      <c r="N1036" s="2728"/>
      <c r="O1036" s="2728"/>
      <c r="P1036" s="2728"/>
      <c r="Q1036" s="2748"/>
      <c r="R1036" s="2748"/>
      <c r="S1036" s="2748"/>
      <c r="T1036" s="2748"/>
      <c r="U1036" s="2748"/>
      <c r="V1036" s="2748"/>
      <c r="W1036" s="2748"/>
      <c r="X1036" s="2748"/>
      <c r="Y1036" s="2748"/>
      <c r="Z1036" s="2748"/>
      <c r="AA1036" s="2748"/>
      <c r="AB1036" s="2748"/>
      <c r="AC1036" s="2748"/>
      <c r="AD1036" s="2748"/>
      <c r="AE1036" s="2748"/>
      <c r="AF1036" s="2748"/>
      <c r="AG1036" s="2748"/>
      <c r="AH1036" s="2748"/>
      <c r="AI1036" s="2748"/>
      <c r="AK1036" s="2748"/>
      <c r="AL1036" s="2748"/>
      <c r="AN1036" s="2748"/>
      <c r="AO1036" s="2748"/>
      <c r="AP1036" s="2748"/>
    </row>
    <row r="1037" spans="2:42" ht="18" customHeight="1">
      <c r="B1037" s="2728"/>
      <c r="C1037" s="2728"/>
      <c r="D1037" s="2728"/>
      <c r="E1037" s="2728"/>
      <c r="G1037" s="2512"/>
      <c r="I1037" s="2748"/>
      <c r="J1037" s="2728"/>
      <c r="L1037" s="2728"/>
      <c r="M1037" s="2748"/>
      <c r="N1037" s="2728"/>
      <c r="O1037" s="2728"/>
      <c r="P1037" s="2728"/>
      <c r="Q1037" s="2748"/>
      <c r="R1037" s="2748"/>
      <c r="S1037" s="2748"/>
      <c r="T1037" s="2748"/>
      <c r="U1037" s="2748"/>
      <c r="V1037" s="2748"/>
      <c r="W1037" s="2748"/>
      <c r="X1037" s="2748"/>
      <c r="Y1037" s="2748"/>
      <c r="Z1037" s="2748"/>
      <c r="AA1037" s="2748"/>
      <c r="AB1037" s="2748"/>
      <c r="AC1037" s="2748"/>
      <c r="AD1037" s="2748"/>
      <c r="AE1037" s="2748"/>
      <c r="AF1037" s="2748"/>
      <c r="AG1037" s="2748"/>
      <c r="AH1037" s="2748"/>
      <c r="AI1037" s="2748"/>
      <c r="AK1037" s="2748"/>
      <c r="AL1037" s="2748"/>
      <c r="AN1037" s="2748"/>
      <c r="AO1037" s="2748"/>
      <c r="AP1037" s="2748"/>
    </row>
    <row r="1038" spans="2:42" ht="18" customHeight="1">
      <c r="B1038" s="2728"/>
      <c r="C1038" s="2728"/>
      <c r="D1038" s="2728"/>
      <c r="E1038" s="2728"/>
      <c r="G1038" s="2512"/>
      <c r="I1038" s="2748"/>
      <c r="J1038" s="2728"/>
      <c r="L1038" s="2728"/>
      <c r="M1038" s="2748"/>
      <c r="N1038" s="2728"/>
      <c r="O1038" s="2728"/>
      <c r="P1038" s="2728"/>
      <c r="Q1038" s="2748"/>
      <c r="R1038" s="2748"/>
      <c r="S1038" s="2748"/>
      <c r="T1038" s="2748"/>
      <c r="U1038" s="2748"/>
      <c r="V1038" s="2748"/>
      <c r="W1038" s="2748"/>
      <c r="X1038" s="2748"/>
      <c r="Y1038" s="2748"/>
      <c r="Z1038" s="2748"/>
      <c r="AA1038" s="2748"/>
      <c r="AB1038" s="2748"/>
      <c r="AC1038" s="2748"/>
      <c r="AD1038" s="2748"/>
      <c r="AE1038" s="2748"/>
      <c r="AF1038" s="2748"/>
      <c r="AG1038" s="2748"/>
      <c r="AH1038" s="2748"/>
      <c r="AI1038" s="2748"/>
      <c r="AK1038" s="2748"/>
      <c r="AL1038" s="2748"/>
      <c r="AN1038" s="2748"/>
      <c r="AO1038" s="2748"/>
      <c r="AP1038" s="2748"/>
    </row>
    <row r="1039" spans="2:42" ht="18" customHeight="1">
      <c r="B1039" s="2728"/>
      <c r="C1039" s="2728"/>
      <c r="D1039" s="2728"/>
      <c r="E1039" s="2728"/>
      <c r="G1039" s="2512"/>
      <c r="I1039" s="2748"/>
      <c r="J1039" s="2728"/>
      <c r="L1039" s="2728"/>
      <c r="M1039" s="2748"/>
      <c r="N1039" s="2728"/>
      <c r="O1039" s="2728"/>
      <c r="P1039" s="2728"/>
      <c r="Q1039" s="2748"/>
      <c r="R1039" s="2748"/>
      <c r="S1039" s="2748"/>
      <c r="T1039" s="2748"/>
      <c r="U1039" s="2748"/>
      <c r="V1039" s="2748"/>
      <c r="W1039" s="2748"/>
      <c r="X1039" s="2748"/>
      <c r="Y1039" s="2748"/>
      <c r="Z1039" s="2748"/>
      <c r="AA1039" s="2748"/>
      <c r="AB1039" s="2748"/>
      <c r="AC1039" s="2748"/>
      <c r="AD1039" s="2748"/>
      <c r="AE1039" s="2748"/>
      <c r="AF1039" s="2748"/>
      <c r="AG1039" s="2748"/>
      <c r="AH1039" s="2748"/>
      <c r="AI1039" s="2748"/>
      <c r="AK1039" s="2748"/>
      <c r="AL1039" s="2748"/>
      <c r="AN1039" s="2748"/>
      <c r="AO1039" s="2748"/>
      <c r="AP1039" s="2748"/>
    </row>
    <row r="1040" spans="2:42" ht="18" customHeight="1">
      <c r="B1040" s="2728"/>
      <c r="C1040" s="2728"/>
      <c r="D1040" s="2728"/>
      <c r="E1040" s="2728"/>
      <c r="G1040" s="2512"/>
      <c r="I1040" s="2748"/>
      <c r="J1040" s="2728"/>
      <c r="L1040" s="2728"/>
      <c r="M1040" s="2748"/>
      <c r="N1040" s="2728"/>
      <c r="O1040" s="2728"/>
      <c r="P1040" s="2728"/>
      <c r="Q1040" s="2748"/>
      <c r="R1040" s="2748"/>
      <c r="S1040" s="2748"/>
      <c r="T1040" s="2748"/>
      <c r="U1040" s="2748"/>
      <c r="V1040" s="2748"/>
      <c r="W1040" s="2748"/>
      <c r="X1040" s="2748"/>
      <c r="Y1040" s="2748"/>
      <c r="Z1040" s="2748"/>
      <c r="AA1040" s="2748"/>
      <c r="AB1040" s="2748"/>
      <c r="AC1040" s="2748"/>
      <c r="AD1040" s="2748"/>
      <c r="AE1040" s="2748"/>
      <c r="AF1040" s="2748"/>
      <c r="AG1040" s="2748"/>
      <c r="AH1040" s="2748"/>
      <c r="AI1040" s="2748"/>
      <c r="AK1040" s="2748"/>
      <c r="AL1040" s="2748"/>
      <c r="AN1040" s="2748"/>
      <c r="AO1040" s="2748"/>
      <c r="AP1040" s="2748"/>
    </row>
    <row r="1041" spans="2:42" ht="18" customHeight="1">
      <c r="B1041" s="2728"/>
      <c r="C1041" s="2728"/>
      <c r="D1041" s="2728"/>
      <c r="E1041" s="2728"/>
      <c r="G1041" s="2512"/>
      <c r="I1041" s="2748"/>
      <c r="J1041" s="2728"/>
      <c r="L1041" s="2728"/>
      <c r="M1041" s="2748"/>
      <c r="N1041" s="2728"/>
      <c r="O1041" s="2728"/>
      <c r="P1041" s="2728"/>
      <c r="Q1041" s="2748"/>
      <c r="R1041" s="2748"/>
      <c r="S1041" s="2748"/>
      <c r="T1041" s="2748"/>
      <c r="U1041" s="2748"/>
      <c r="V1041" s="2748"/>
      <c r="W1041" s="2748"/>
      <c r="X1041" s="2748"/>
      <c r="Y1041" s="2748"/>
      <c r="Z1041" s="2748"/>
      <c r="AA1041" s="2748"/>
      <c r="AB1041" s="2748"/>
      <c r="AC1041" s="2748"/>
      <c r="AD1041" s="2748"/>
      <c r="AE1041" s="2748"/>
      <c r="AF1041" s="2748"/>
      <c r="AG1041" s="2748"/>
      <c r="AH1041" s="2748"/>
      <c r="AI1041" s="2748"/>
      <c r="AK1041" s="2748"/>
      <c r="AL1041" s="2748"/>
      <c r="AN1041" s="2748"/>
      <c r="AO1041" s="2748"/>
      <c r="AP1041" s="2748"/>
    </row>
    <row r="1042" spans="2:42" ht="18" customHeight="1">
      <c r="B1042" s="2728"/>
      <c r="C1042" s="2728"/>
      <c r="D1042" s="2728"/>
      <c r="E1042" s="2728"/>
      <c r="G1042" s="2512"/>
      <c r="I1042" s="2748"/>
      <c r="J1042" s="2728"/>
      <c r="L1042" s="2728"/>
      <c r="M1042" s="2748"/>
      <c r="N1042" s="2728"/>
      <c r="O1042" s="2728"/>
      <c r="P1042" s="2728"/>
      <c r="Q1042" s="2748"/>
      <c r="R1042" s="2748"/>
      <c r="S1042" s="2748"/>
      <c r="T1042" s="2748"/>
      <c r="U1042" s="2748"/>
      <c r="V1042" s="2748"/>
      <c r="W1042" s="2748"/>
      <c r="X1042" s="2748"/>
      <c r="Y1042" s="2748"/>
      <c r="Z1042" s="2748"/>
      <c r="AA1042" s="2748"/>
      <c r="AB1042" s="2748"/>
      <c r="AC1042" s="2748"/>
      <c r="AD1042" s="2748"/>
      <c r="AE1042" s="2748"/>
      <c r="AF1042" s="2748"/>
      <c r="AG1042" s="2748"/>
      <c r="AH1042" s="2748"/>
      <c r="AI1042" s="2748"/>
      <c r="AK1042" s="2748"/>
      <c r="AL1042" s="2748"/>
      <c r="AN1042" s="2748"/>
      <c r="AO1042" s="2748"/>
      <c r="AP1042" s="2748"/>
    </row>
    <row r="1043" spans="2:42" ht="18" customHeight="1">
      <c r="B1043" s="2728"/>
      <c r="C1043" s="2728"/>
      <c r="D1043" s="2728"/>
      <c r="E1043" s="2728"/>
      <c r="G1043" s="2512"/>
      <c r="I1043" s="2748"/>
      <c r="J1043" s="2728"/>
      <c r="L1043" s="2728"/>
      <c r="M1043" s="2748"/>
      <c r="N1043" s="2728"/>
      <c r="O1043" s="2728"/>
      <c r="P1043" s="2728"/>
      <c r="Q1043" s="2748"/>
      <c r="R1043" s="2748"/>
      <c r="S1043" s="2748"/>
      <c r="T1043" s="2748"/>
      <c r="U1043" s="2748"/>
      <c r="V1043" s="2748"/>
      <c r="W1043" s="2748"/>
      <c r="X1043" s="2748"/>
      <c r="Y1043" s="2748"/>
      <c r="Z1043" s="2748"/>
      <c r="AA1043" s="2748"/>
      <c r="AB1043" s="2748"/>
      <c r="AC1043" s="2748"/>
      <c r="AD1043" s="2748"/>
      <c r="AE1043" s="2748"/>
      <c r="AF1043" s="2748"/>
      <c r="AG1043" s="2748"/>
      <c r="AH1043" s="2748"/>
      <c r="AI1043" s="2748"/>
      <c r="AK1043" s="2748"/>
      <c r="AL1043" s="2748"/>
      <c r="AN1043" s="2748"/>
      <c r="AO1043" s="2748"/>
      <c r="AP1043" s="2748"/>
    </row>
    <row r="1044" spans="2:42" ht="18" customHeight="1">
      <c r="B1044" s="2728"/>
      <c r="C1044" s="2728"/>
      <c r="D1044" s="2728"/>
      <c r="E1044" s="2728"/>
      <c r="G1044" s="2512"/>
      <c r="I1044" s="2748"/>
      <c r="J1044" s="2728"/>
      <c r="L1044" s="2728"/>
      <c r="M1044" s="2748"/>
      <c r="N1044" s="2728"/>
      <c r="O1044" s="2728"/>
      <c r="P1044" s="2728"/>
      <c r="Q1044" s="2748"/>
      <c r="R1044" s="2748"/>
      <c r="S1044" s="2748"/>
      <c r="T1044" s="2748"/>
      <c r="U1044" s="2748"/>
      <c r="V1044" s="2748"/>
      <c r="W1044" s="2748"/>
      <c r="X1044" s="2748"/>
      <c r="Y1044" s="2748"/>
      <c r="Z1044" s="2748"/>
      <c r="AA1044" s="2748"/>
      <c r="AB1044" s="2748"/>
      <c r="AC1044" s="2748"/>
      <c r="AD1044" s="2748"/>
      <c r="AE1044" s="2748"/>
      <c r="AF1044" s="2748"/>
      <c r="AG1044" s="2748"/>
      <c r="AH1044" s="2748"/>
      <c r="AI1044" s="2748"/>
      <c r="AK1044" s="2748"/>
      <c r="AL1044" s="2748"/>
      <c r="AN1044" s="2748"/>
      <c r="AO1044" s="2748"/>
      <c r="AP1044" s="2748"/>
    </row>
    <row r="1045" spans="2:42" ht="18" customHeight="1">
      <c r="B1045" s="2728"/>
      <c r="C1045" s="2728"/>
      <c r="D1045" s="2728"/>
      <c r="E1045" s="2728"/>
      <c r="G1045" s="2512"/>
      <c r="I1045" s="2748"/>
      <c r="J1045" s="2728"/>
      <c r="L1045" s="2728"/>
      <c r="M1045" s="2748"/>
      <c r="N1045" s="2728"/>
      <c r="O1045" s="2728"/>
      <c r="P1045" s="2728"/>
      <c r="Q1045" s="2748"/>
      <c r="R1045" s="2748"/>
      <c r="S1045" s="2748"/>
      <c r="T1045" s="2748"/>
      <c r="U1045" s="2748"/>
      <c r="V1045" s="2748"/>
      <c r="W1045" s="2748"/>
      <c r="X1045" s="2748"/>
      <c r="Y1045" s="2748"/>
      <c r="Z1045" s="2748"/>
      <c r="AA1045" s="2748"/>
      <c r="AB1045" s="2748"/>
      <c r="AC1045" s="2748"/>
      <c r="AD1045" s="2748"/>
      <c r="AE1045" s="2748"/>
      <c r="AF1045" s="2748"/>
      <c r="AG1045" s="2748"/>
      <c r="AH1045" s="2748"/>
      <c r="AI1045" s="2748"/>
      <c r="AK1045" s="2748"/>
      <c r="AL1045" s="2748"/>
      <c r="AN1045" s="2748"/>
      <c r="AO1045" s="2748"/>
      <c r="AP1045" s="2748"/>
    </row>
    <row r="1046" spans="2:42" ht="18" customHeight="1">
      <c r="B1046" s="2728"/>
      <c r="C1046" s="2728"/>
      <c r="D1046" s="2728"/>
      <c r="E1046" s="2728"/>
      <c r="G1046" s="2512"/>
      <c r="I1046" s="2748"/>
      <c r="J1046" s="2728"/>
      <c r="L1046" s="2728"/>
      <c r="M1046" s="2748"/>
      <c r="N1046" s="2728"/>
      <c r="O1046" s="2728"/>
      <c r="P1046" s="2728"/>
      <c r="Q1046" s="2748"/>
      <c r="R1046" s="2748"/>
      <c r="S1046" s="2748"/>
      <c r="T1046" s="2748"/>
      <c r="U1046" s="2748"/>
      <c r="V1046" s="2748"/>
      <c r="W1046" s="2748"/>
      <c r="X1046" s="2748"/>
      <c r="Y1046" s="2748"/>
      <c r="Z1046" s="2748"/>
      <c r="AA1046" s="2748"/>
      <c r="AB1046" s="2748"/>
      <c r="AC1046" s="2748"/>
      <c r="AD1046" s="2748"/>
      <c r="AE1046" s="2748"/>
      <c r="AF1046" s="2748"/>
      <c r="AG1046" s="2748"/>
      <c r="AH1046" s="2748"/>
      <c r="AI1046" s="2748"/>
      <c r="AK1046" s="2748"/>
      <c r="AL1046" s="2748"/>
      <c r="AN1046" s="2748"/>
      <c r="AO1046" s="2748"/>
      <c r="AP1046" s="2748"/>
    </row>
    <row r="1047" spans="2:42" ht="18" customHeight="1">
      <c r="B1047" s="2728"/>
      <c r="C1047" s="2728"/>
      <c r="D1047" s="2728"/>
      <c r="E1047" s="2728"/>
      <c r="G1047" s="2512"/>
      <c r="I1047" s="2748"/>
      <c r="J1047" s="2728"/>
      <c r="L1047" s="2728"/>
      <c r="M1047" s="2748"/>
      <c r="N1047" s="2728"/>
      <c r="O1047" s="2728"/>
      <c r="P1047" s="2728"/>
      <c r="Q1047" s="2748"/>
      <c r="R1047" s="2748"/>
      <c r="S1047" s="2748"/>
      <c r="T1047" s="2748"/>
      <c r="U1047" s="2748"/>
      <c r="V1047" s="2748"/>
      <c r="W1047" s="2748"/>
      <c r="X1047" s="2748"/>
      <c r="Y1047" s="2748"/>
      <c r="Z1047" s="2748"/>
      <c r="AA1047" s="2748"/>
      <c r="AB1047" s="2748"/>
      <c r="AC1047" s="2748"/>
      <c r="AD1047" s="2748"/>
      <c r="AE1047" s="2748"/>
      <c r="AF1047" s="2748"/>
      <c r="AG1047" s="2748"/>
      <c r="AH1047" s="2748"/>
      <c r="AI1047" s="2748"/>
      <c r="AK1047" s="2748"/>
      <c r="AL1047" s="2748"/>
      <c r="AN1047" s="2748"/>
      <c r="AO1047" s="2748"/>
      <c r="AP1047" s="2748"/>
    </row>
    <row r="1048" spans="2:42" ht="18" customHeight="1">
      <c r="B1048" s="2728"/>
      <c r="C1048" s="2728"/>
      <c r="D1048" s="2728"/>
      <c r="E1048" s="2728"/>
      <c r="G1048" s="2512"/>
      <c r="I1048" s="2748"/>
      <c r="J1048" s="2728"/>
      <c r="L1048" s="2728"/>
      <c r="M1048" s="2748"/>
      <c r="N1048" s="2728"/>
      <c r="O1048" s="2728"/>
      <c r="P1048" s="2728"/>
      <c r="Q1048" s="2748"/>
      <c r="R1048" s="2748"/>
      <c r="S1048" s="2748"/>
      <c r="T1048" s="2748"/>
      <c r="U1048" s="2748"/>
      <c r="V1048" s="2748"/>
      <c r="W1048" s="2748"/>
      <c r="X1048" s="2748"/>
      <c r="Y1048" s="2748"/>
      <c r="Z1048" s="2748"/>
      <c r="AA1048" s="2748"/>
      <c r="AB1048" s="2748"/>
      <c r="AC1048" s="2748"/>
      <c r="AD1048" s="2748"/>
      <c r="AE1048" s="2748"/>
      <c r="AF1048" s="2748"/>
      <c r="AG1048" s="2748"/>
      <c r="AH1048" s="2748"/>
      <c r="AI1048" s="2748"/>
      <c r="AK1048" s="2748"/>
      <c r="AL1048" s="2748"/>
      <c r="AN1048" s="2748"/>
      <c r="AO1048" s="2748"/>
      <c r="AP1048" s="2748"/>
    </row>
    <row r="1049" spans="2:42" ht="18" customHeight="1">
      <c r="B1049" s="2728"/>
      <c r="C1049" s="2728"/>
      <c r="D1049" s="2728"/>
      <c r="E1049" s="2728"/>
      <c r="G1049" s="2512"/>
      <c r="I1049" s="2748"/>
      <c r="J1049" s="2728"/>
      <c r="L1049" s="2728"/>
      <c r="M1049" s="2748"/>
      <c r="N1049" s="2728"/>
      <c r="O1049" s="2728"/>
      <c r="P1049" s="2728"/>
      <c r="Q1049" s="2748"/>
      <c r="R1049" s="2748"/>
      <c r="S1049" s="2748"/>
      <c r="T1049" s="2748"/>
      <c r="U1049" s="2748"/>
      <c r="V1049" s="2748"/>
      <c r="W1049" s="2748"/>
      <c r="X1049" s="2748"/>
      <c r="Y1049" s="2748"/>
      <c r="Z1049" s="2748"/>
      <c r="AA1049" s="2748"/>
      <c r="AB1049" s="2748"/>
      <c r="AC1049" s="2748"/>
      <c r="AD1049" s="2748"/>
      <c r="AE1049" s="2748"/>
      <c r="AF1049" s="2748"/>
      <c r="AG1049" s="2748"/>
      <c r="AH1049" s="2748"/>
      <c r="AI1049" s="2748"/>
      <c r="AK1049" s="2748"/>
      <c r="AL1049" s="2748"/>
      <c r="AN1049" s="2748"/>
      <c r="AO1049" s="2748"/>
      <c r="AP1049" s="2748"/>
    </row>
    <row r="1050" spans="2:42" ht="18" customHeight="1">
      <c r="B1050" s="2728"/>
      <c r="C1050" s="2728"/>
      <c r="D1050" s="2728"/>
      <c r="E1050" s="2728"/>
      <c r="G1050" s="2512"/>
      <c r="I1050" s="2748"/>
      <c r="J1050" s="2728"/>
      <c r="L1050" s="2728"/>
      <c r="M1050" s="2748"/>
      <c r="N1050" s="2728"/>
      <c r="O1050" s="2728"/>
      <c r="P1050" s="2728"/>
      <c r="Q1050" s="2748"/>
      <c r="R1050" s="2748"/>
      <c r="S1050" s="2748"/>
      <c r="T1050" s="2748"/>
      <c r="U1050" s="2748"/>
      <c r="V1050" s="2748"/>
      <c r="W1050" s="2748"/>
      <c r="X1050" s="2748"/>
      <c r="Y1050" s="2748"/>
      <c r="Z1050" s="2748"/>
      <c r="AA1050" s="2748"/>
      <c r="AB1050" s="2748"/>
      <c r="AC1050" s="2748"/>
      <c r="AD1050" s="2748"/>
      <c r="AE1050" s="2748"/>
      <c r="AF1050" s="2748"/>
      <c r="AG1050" s="2748"/>
      <c r="AH1050" s="2748"/>
      <c r="AI1050" s="2748"/>
      <c r="AK1050" s="2748"/>
      <c r="AL1050" s="2748"/>
      <c r="AN1050" s="2748"/>
      <c r="AO1050" s="2748"/>
      <c r="AP1050" s="2748"/>
    </row>
    <row r="1051" spans="2:42" ht="18" customHeight="1">
      <c r="B1051" s="2728"/>
      <c r="C1051" s="2728"/>
      <c r="D1051" s="2728"/>
      <c r="E1051" s="2728"/>
      <c r="G1051" s="2512"/>
      <c r="I1051" s="2748"/>
      <c r="J1051" s="2728"/>
      <c r="L1051" s="2728"/>
      <c r="M1051" s="2748"/>
      <c r="N1051" s="2728"/>
      <c r="O1051" s="2728"/>
      <c r="P1051" s="2728"/>
      <c r="Q1051" s="2748"/>
      <c r="R1051" s="2748"/>
      <c r="S1051" s="2748"/>
      <c r="T1051" s="2748"/>
      <c r="U1051" s="2748"/>
      <c r="V1051" s="2748"/>
      <c r="W1051" s="2748"/>
      <c r="X1051" s="2748"/>
      <c r="Y1051" s="2748"/>
      <c r="Z1051" s="2748"/>
      <c r="AA1051" s="2748"/>
      <c r="AB1051" s="2748"/>
      <c r="AC1051" s="2748"/>
      <c r="AD1051" s="2748"/>
      <c r="AE1051" s="2748"/>
      <c r="AF1051" s="2748"/>
      <c r="AG1051" s="2748"/>
      <c r="AH1051" s="2748"/>
      <c r="AI1051" s="2748"/>
      <c r="AK1051" s="2748"/>
      <c r="AL1051" s="2748"/>
      <c r="AN1051" s="2748"/>
      <c r="AO1051" s="2748"/>
      <c r="AP1051" s="2748"/>
    </row>
    <row r="1052" spans="2:42" ht="18" customHeight="1">
      <c r="B1052" s="2728"/>
      <c r="C1052" s="2728"/>
      <c r="D1052" s="2728"/>
      <c r="E1052" s="2728"/>
      <c r="G1052" s="2512"/>
      <c r="I1052" s="2748"/>
      <c r="J1052" s="2728"/>
      <c r="L1052" s="2728"/>
      <c r="M1052" s="2748"/>
      <c r="N1052" s="2728"/>
      <c r="O1052" s="2728"/>
      <c r="P1052" s="2728"/>
      <c r="Q1052" s="2748"/>
      <c r="R1052" s="2748"/>
      <c r="S1052" s="2748"/>
      <c r="T1052" s="2748"/>
      <c r="U1052" s="2748"/>
      <c r="V1052" s="2748"/>
      <c r="W1052" s="2748"/>
      <c r="X1052" s="2748"/>
      <c r="Y1052" s="2748"/>
      <c r="Z1052" s="2748"/>
      <c r="AA1052" s="2748"/>
      <c r="AB1052" s="2748"/>
      <c r="AC1052" s="2748"/>
      <c r="AD1052" s="2748"/>
      <c r="AE1052" s="2748"/>
      <c r="AF1052" s="2748"/>
      <c r="AG1052" s="2748"/>
      <c r="AH1052" s="2748"/>
      <c r="AI1052" s="2748"/>
      <c r="AK1052" s="2748"/>
      <c r="AL1052" s="2748"/>
      <c r="AN1052" s="2748"/>
      <c r="AO1052" s="2748"/>
      <c r="AP1052" s="2748"/>
    </row>
    <row r="1053" spans="2:42" ht="18" customHeight="1">
      <c r="B1053" s="2728"/>
      <c r="C1053" s="2728"/>
      <c r="D1053" s="2728"/>
      <c r="E1053" s="2728"/>
      <c r="G1053" s="2512"/>
      <c r="I1053" s="2748"/>
      <c r="J1053" s="2728"/>
      <c r="L1053" s="2728"/>
      <c r="M1053" s="2748"/>
      <c r="N1053" s="2728"/>
      <c r="O1053" s="2728"/>
      <c r="P1053" s="2728"/>
      <c r="Q1053" s="2748"/>
      <c r="R1053" s="2748"/>
      <c r="S1053" s="2748"/>
      <c r="T1053" s="2748"/>
      <c r="U1053" s="2748"/>
      <c r="V1053" s="2748"/>
      <c r="W1053" s="2748"/>
      <c r="X1053" s="2748"/>
      <c r="Y1053" s="2748"/>
      <c r="Z1053" s="2748"/>
      <c r="AA1053" s="2748"/>
      <c r="AB1053" s="2748"/>
      <c r="AC1053" s="2748"/>
      <c r="AD1053" s="2748"/>
      <c r="AE1053" s="2748"/>
      <c r="AF1053" s="2748"/>
      <c r="AG1053" s="2748"/>
      <c r="AH1053" s="2748"/>
      <c r="AI1053" s="2748"/>
      <c r="AK1053" s="2748"/>
      <c r="AL1053" s="2748"/>
      <c r="AN1053" s="2748"/>
      <c r="AO1053" s="2748"/>
      <c r="AP1053" s="2748"/>
    </row>
    <row r="1054" spans="2:42" ht="18" customHeight="1">
      <c r="B1054" s="2728"/>
      <c r="C1054" s="2728"/>
      <c r="D1054" s="2728"/>
      <c r="E1054" s="2728"/>
      <c r="G1054" s="2512"/>
      <c r="I1054" s="2748"/>
      <c r="J1054" s="2728"/>
      <c r="L1054" s="2728"/>
      <c r="M1054" s="2748"/>
      <c r="N1054" s="2728"/>
      <c r="O1054" s="2728"/>
      <c r="P1054" s="2728"/>
      <c r="Q1054" s="2748"/>
      <c r="R1054" s="2748"/>
      <c r="S1054" s="2748"/>
      <c r="T1054" s="2748"/>
      <c r="U1054" s="2748"/>
      <c r="V1054" s="2748"/>
      <c r="W1054" s="2748"/>
      <c r="X1054" s="2748"/>
      <c r="Y1054" s="2748"/>
      <c r="Z1054" s="2748"/>
      <c r="AA1054" s="2748"/>
      <c r="AB1054" s="2748"/>
      <c r="AC1054" s="2748"/>
      <c r="AD1054" s="2748"/>
      <c r="AE1054" s="2748"/>
      <c r="AF1054" s="2748"/>
      <c r="AG1054" s="2748"/>
      <c r="AH1054" s="2748"/>
      <c r="AI1054" s="2748"/>
      <c r="AK1054" s="2748"/>
      <c r="AL1054" s="2748"/>
      <c r="AN1054" s="2748"/>
      <c r="AO1054" s="2748"/>
      <c r="AP1054" s="2748"/>
    </row>
    <row r="1055" spans="2:42" ht="18" customHeight="1">
      <c r="B1055" s="2728"/>
      <c r="C1055" s="2728"/>
      <c r="D1055" s="2728"/>
      <c r="E1055" s="2728"/>
      <c r="G1055" s="2512"/>
      <c r="I1055" s="2748"/>
      <c r="J1055" s="2728"/>
      <c r="L1055" s="2728"/>
      <c r="M1055" s="2748"/>
      <c r="N1055" s="2728"/>
      <c r="O1055" s="2728"/>
      <c r="P1055" s="2728"/>
      <c r="Q1055" s="2748"/>
      <c r="R1055" s="2748"/>
      <c r="S1055" s="2748"/>
      <c r="T1055" s="2748"/>
      <c r="U1055" s="2748"/>
      <c r="V1055" s="2748"/>
      <c r="W1055" s="2748"/>
      <c r="X1055" s="2748"/>
      <c r="Y1055" s="2748"/>
      <c r="Z1055" s="2748"/>
      <c r="AA1055" s="2748"/>
      <c r="AB1055" s="2748"/>
      <c r="AC1055" s="2748"/>
      <c r="AD1055" s="2748"/>
      <c r="AE1055" s="2748"/>
      <c r="AF1055" s="2748"/>
      <c r="AG1055" s="2748"/>
      <c r="AH1055" s="2748"/>
      <c r="AI1055" s="2748"/>
      <c r="AK1055" s="2748"/>
      <c r="AL1055" s="2748"/>
      <c r="AN1055" s="2748"/>
      <c r="AO1055" s="2748"/>
      <c r="AP1055" s="2748"/>
    </row>
    <row r="1056" spans="2:42" ht="18" customHeight="1">
      <c r="B1056" s="2728"/>
      <c r="C1056" s="2728"/>
      <c r="D1056" s="2728"/>
      <c r="E1056" s="2728"/>
      <c r="G1056" s="2512"/>
      <c r="I1056" s="2748"/>
      <c r="J1056" s="2728"/>
      <c r="L1056" s="2728"/>
      <c r="M1056" s="2748"/>
      <c r="N1056" s="2728"/>
      <c r="O1056" s="2728"/>
      <c r="P1056" s="2728"/>
      <c r="Q1056" s="2748"/>
      <c r="R1056" s="2748"/>
      <c r="S1056" s="2748"/>
      <c r="T1056" s="2748"/>
      <c r="U1056" s="2748"/>
      <c r="V1056" s="2748"/>
      <c r="W1056" s="2748"/>
      <c r="X1056" s="2748"/>
      <c r="Y1056" s="2748"/>
      <c r="Z1056" s="2748"/>
      <c r="AA1056" s="2748"/>
      <c r="AB1056" s="2748"/>
      <c r="AC1056" s="2748"/>
      <c r="AD1056" s="2748"/>
      <c r="AE1056" s="2748"/>
      <c r="AF1056" s="2748"/>
      <c r="AG1056" s="2748"/>
      <c r="AH1056" s="2748"/>
      <c r="AI1056" s="2748"/>
      <c r="AK1056" s="2748"/>
      <c r="AL1056" s="2748"/>
      <c r="AN1056" s="2748"/>
      <c r="AO1056" s="2748"/>
      <c r="AP1056" s="2748"/>
    </row>
    <row r="1057" spans="2:42" ht="18" customHeight="1">
      <c r="B1057" s="2728"/>
      <c r="C1057" s="2728"/>
      <c r="D1057" s="2728"/>
      <c r="E1057" s="2728"/>
      <c r="G1057" s="2512"/>
      <c r="I1057" s="2748"/>
      <c r="J1057" s="2728"/>
      <c r="L1057" s="2728"/>
      <c r="M1057" s="2748"/>
      <c r="N1057" s="2728"/>
      <c r="O1057" s="2728"/>
      <c r="P1057" s="2728"/>
      <c r="Q1057" s="2748"/>
      <c r="R1057" s="2748"/>
      <c r="S1057" s="2748"/>
      <c r="T1057" s="2748"/>
      <c r="U1057" s="2748"/>
      <c r="V1057" s="2748"/>
      <c r="W1057" s="2748"/>
      <c r="X1057" s="2748"/>
      <c r="Y1057" s="2748"/>
      <c r="Z1057" s="2748"/>
      <c r="AA1057" s="2748"/>
      <c r="AB1057" s="2748"/>
      <c r="AC1057" s="2748"/>
      <c r="AD1057" s="2748"/>
      <c r="AE1057" s="2748"/>
      <c r="AF1057" s="2748"/>
      <c r="AG1057" s="2748"/>
      <c r="AH1057" s="2748"/>
      <c r="AI1057" s="2748"/>
      <c r="AK1057" s="2748"/>
      <c r="AL1057" s="2748"/>
      <c r="AN1057" s="2748"/>
      <c r="AO1057" s="2748"/>
      <c r="AP1057" s="2748"/>
    </row>
    <row r="1058" spans="2:42" ht="18" customHeight="1">
      <c r="B1058" s="2728"/>
      <c r="C1058" s="2728"/>
      <c r="D1058" s="2728"/>
      <c r="E1058" s="2728"/>
      <c r="G1058" s="2512"/>
      <c r="I1058" s="2748"/>
      <c r="J1058" s="2728"/>
      <c r="L1058" s="2728"/>
      <c r="M1058" s="2748"/>
      <c r="N1058" s="2728"/>
      <c r="O1058" s="2728"/>
      <c r="P1058" s="2728"/>
      <c r="Q1058" s="2748"/>
      <c r="R1058" s="2748"/>
      <c r="S1058" s="2748"/>
      <c r="T1058" s="2748"/>
      <c r="U1058" s="2748"/>
      <c r="V1058" s="2748"/>
      <c r="W1058" s="2748"/>
      <c r="X1058" s="2748"/>
      <c r="Y1058" s="2748"/>
      <c r="Z1058" s="2748"/>
      <c r="AA1058" s="2748"/>
      <c r="AB1058" s="2748"/>
      <c r="AC1058" s="2748"/>
      <c r="AD1058" s="2748"/>
      <c r="AE1058" s="2748"/>
      <c r="AF1058" s="2748"/>
      <c r="AG1058" s="2748"/>
      <c r="AH1058" s="2748"/>
      <c r="AI1058" s="2748"/>
      <c r="AK1058" s="2748"/>
      <c r="AL1058" s="2748"/>
      <c r="AN1058" s="2748"/>
      <c r="AO1058" s="2748"/>
      <c r="AP1058" s="2748"/>
    </row>
    <row r="1059" spans="2:42" ht="18" customHeight="1">
      <c r="B1059" s="2728"/>
      <c r="C1059" s="2728"/>
      <c r="D1059" s="2728"/>
      <c r="E1059" s="2728"/>
      <c r="G1059" s="2512"/>
      <c r="I1059" s="2748"/>
      <c r="J1059" s="2728"/>
      <c r="L1059" s="2728"/>
      <c r="M1059" s="2748"/>
      <c r="N1059" s="2728"/>
      <c r="O1059" s="2728"/>
      <c r="P1059" s="2728"/>
      <c r="Q1059" s="2748"/>
      <c r="R1059" s="2748"/>
      <c r="S1059" s="2748"/>
      <c r="T1059" s="2748"/>
      <c r="U1059" s="2748"/>
      <c r="V1059" s="2748"/>
      <c r="W1059" s="2748"/>
      <c r="X1059" s="2748"/>
      <c r="Y1059" s="2748"/>
      <c r="Z1059" s="2748"/>
      <c r="AA1059" s="2748"/>
      <c r="AB1059" s="2748"/>
      <c r="AC1059" s="2748"/>
      <c r="AD1059" s="2748"/>
      <c r="AE1059" s="2748"/>
      <c r="AF1059" s="2748"/>
      <c r="AG1059" s="2748"/>
      <c r="AH1059" s="2748"/>
      <c r="AI1059" s="2748"/>
      <c r="AK1059" s="2748"/>
      <c r="AL1059" s="2748"/>
      <c r="AN1059" s="2748"/>
      <c r="AO1059" s="2748"/>
      <c r="AP1059" s="2748"/>
    </row>
    <row r="1060" spans="2:42" ht="18" customHeight="1">
      <c r="B1060" s="2728"/>
      <c r="C1060" s="2728"/>
      <c r="D1060" s="2728"/>
      <c r="E1060" s="2728"/>
      <c r="G1060" s="2512"/>
      <c r="I1060" s="2748"/>
      <c r="J1060" s="2728"/>
      <c r="L1060" s="2728"/>
      <c r="M1060" s="2748"/>
      <c r="N1060" s="2728"/>
      <c r="O1060" s="2728"/>
      <c r="P1060" s="2728"/>
      <c r="Q1060" s="2748"/>
      <c r="R1060" s="2748"/>
      <c r="S1060" s="2748"/>
      <c r="T1060" s="2748"/>
      <c r="U1060" s="2748"/>
      <c r="V1060" s="2748"/>
      <c r="W1060" s="2748"/>
      <c r="X1060" s="2748"/>
      <c r="Y1060" s="2748"/>
      <c r="Z1060" s="2748"/>
      <c r="AA1060" s="2748"/>
      <c r="AB1060" s="2748"/>
      <c r="AC1060" s="2748"/>
      <c r="AD1060" s="2748"/>
      <c r="AE1060" s="2748"/>
      <c r="AF1060" s="2748"/>
      <c r="AG1060" s="2748"/>
      <c r="AH1060" s="2748"/>
      <c r="AI1060" s="2748"/>
      <c r="AK1060" s="2748"/>
      <c r="AL1060" s="2748"/>
      <c r="AN1060" s="2748"/>
      <c r="AO1060" s="2748"/>
      <c r="AP1060" s="2748"/>
    </row>
    <row r="1061" spans="2:42" ht="18" customHeight="1">
      <c r="B1061" s="2728"/>
      <c r="C1061" s="2728"/>
      <c r="D1061" s="2728"/>
      <c r="E1061" s="2728"/>
      <c r="G1061" s="2512"/>
      <c r="I1061" s="2748"/>
      <c r="J1061" s="2728"/>
      <c r="L1061" s="2728"/>
      <c r="M1061" s="2748"/>
      <c r="N1061" s="2728"/>
      <c r="O1061" s="2728"/>
      <c r="P1061" s="2728"/>
      <c r="Q1061" s="2748"/>
      <c r="R1061" s="2748"/>
      <c r="S1061" s="2748"/>
      <c r="T1061" s="2748"/>
      <c r="U1061" s="2748"/>
      <c r="V1061" s="2748"/>
      <c r="W1061" s="2748"/>
      <c r="X1061" s="2748"/>
      <c r="Y1061" s="2748"/>
      <c r="Z1061" s="2748"/>
      <c r="AA1061" s="2748"/>
      <c r="AB1061" s="2748"/>
      <c r="AC1061" s="2748"/>
      <c r="AD1061" s="2748"/>
      <c r="AE1061" s="2748"/>
      <c r="AF1061" s="2748"/>
      <c r="AG1061" s="2748"/>
      <c r="AH1061" s="2748"/>
      <c r="AI1061" s="2748"/>
      <c r="AK1061" s="2748"/>
      <c r="AL1061" s="2748"/>
      <c r="AN1061" s="2748"/>
      <c r="AO1061" s="2748"/>
      <c r="AP1061" s="2748"/>
    </row>
    <row r="1062" spans="2:42" ht="18" customHeight="1">
      <c r="B1062" s="2728"/>
      <c r="C1062" s="2728"/>
      <c r="D1062" s="2728"/>
      <c r="E1062" s="2728"/>
      <c r="G1062" s="2512"/>
      <c r="I1062" s="2748"/>
      <c r="J1062" s="2728"/>
      <c r="L1062" s="2728"/>
      <c r="M1062" s="2748"/>
      <c r="N1062" s="2728"/>
      <c r="O1062" s="2728"/>
      <c r="P1062" s="2728"/>
      <c r="Q1062" s="2748"/>
      <c r="R1062" s="2748"/>
      <c r="S1062" s="2748"/>
      <c r="T1062" s="2748"/>
      <c r="U1062" s="2748"/>
      <c r="V1062" s="2748"/>
      <c r="W1062" s="2748"/>
      <c r="X1062" s="2748"/>
      <c r="Y1062" s="2748"/>
      <c r="Z1062" s="2748"/>
      <c r="AA1062" s="2748"/>
      <c r="AB1062" s="2748"/>
      <c r="AC1062" s="2748"/>
      <c r="AD1062" s="2748"/>
      <c r="AE1062" s="2748"/>
      <c r="AF1062" s="2748"/>
      <c r="AG1062" s="2748"/>
      <c r="AH1062" s="2748"/>
      <c r="AI1062" s="2748"/>
      <c r="AK1062" s="2748"/>
      <c r="AL1062" s="2748"/>
      <c r="AN1062" s="2748"/>
      <c r="AO1062" s="2748"/>
      <c r="AP1062" s="2748"/>
    </row>
    <row r="1063" spans="2:42" ht="18" customHeight="1">
      <c r="B1063" s="2728"/>
      <c r="C1063" s="2728"/>
      <c r="D1063" s="2728"/>
      <c r="E1063" s="2728"/>
      <c r="G1063" s="2512"/>
      <c r="I1063" s="2748"/>
      <c r="J1063" s="2728"/>
      <c r="L1063" s="2728"/>
      <c r="M1063" s="2748"/>
      <c r="N1063" s="2728"/>
      <c r="O1063" s="2728"/>
      <c r="P1063" s="2728"/>
      <c r="Q1063" s="2748"/>
      <c r="R1063" s="2748"/>
      <c r="S1063" s="2748"/>
      <c r="T1063" s="2748"/>
      <c r="U1063" s="2748"/>
      <c r="V1063" s="2748"/>
      <c r="W1063" s="2748"/>
      <c r="X1063" s="2748"/>
      <c r="Y1063" s="2748"/>
      <c r="Z1063" s="2748"/>
      <c r="AA1063" s="2748"/>
      <c r="AB1063" s="2748"/>
      <c r="AC1063" s="2748"/>
      <c r="AD1063" s="2748"/>
      <c r="AE1063" s="2748"/>
      <c r="AF1063" s="2748"/>
      <c r="AG1063" s="2748"/>
      <c r="AH1063" s="2748"/>
      <c r="AI1063" s="2748"/>
      <c r="AK1063" s="2748"/>
      <c r="AL1063" s="2748"/>
      <c r="AN1063" s="2748"/>
      <c r="AO1063" s="2748"/>
      <c r="AP1063" s="2748"/>
    </row>
    <row r="1064" spans="2:42" ht="18" customHeight="1">
      <c r="B1064" s="2728"/>
      <c r="C1064" s="2728"/>
      <c r="D1064" s="2728"/>
      <c r="E1064" s="2728"/>
      <c r="G1064" s="2512"/>
      <c r="I1064" s="2748"/>
      <c r="J1064" s="2728"/>
      <c r="L1064" s="2728"/>
      <c r="M1064" s="2748"/>
      <c r="N1064" s="2728"/>
      <c r="O1064" s="2728"/>
      <c r="P1064" s="2728"/>
      <c r="Q1064" s="2748"/>
      <c r="R1064" s="2748"/>
      <c r="S1064" s="2748"/>
      <c r="T1064" s="2748"/>
      <c r="U1064" s="2748"/>
      <c r="V1064" s="2748"/>
      <c r="W1064" s="2748"/>
      <c r="X1064" s="2748"/>
      <c r="Y1064" s="2748"/>
      <c r="Z1064" s="2748"/>
      <c r="AA1064" s="2748"/>
      <c r="AB1064" s="2748"/>
      <c r="AC1064" s="2748"/>
      <c r="AD1064" s="2748"/>
      <c r="AE1064" s="2748"/>
      <c r="AF1064" s="2748"/>
      <c r="AG1064" s="2748"/>
      <c r="AH1064" s="2748"/>
      <c r="AI1064" s="2748"/>
      <c r="AK1064" s="2748"/>
      <c r="AL1064" s="2748"/>
      <c r="AN1064" s="2748"/>
      <c r="AO1064" s="2748"/>
      <c r="AP1064" s="2748"/>
    </row>
    <row r="1065" spans="2:42" ht="18" customHeight="1">
      <c r="B1065" s="2728"/>
      <c r="C1065" s="2728"/>
      <c r="D1065" s="2728"/>
      <c r="E1065" s="2728"/>
      <c r="G1065" s="2512"/>
      <c r="I1065" s="2748"/>
      <c r="J1065" s="2728"/>
      <c r="L1065" s="2728"/>
      <c r="M1065" s="2748"/>
      <c r="N1065" s="2728"/>
      <c r="O1065" s="2728"/>
      <c r="P1065" s="2728"/>
      <c r="Q1065" s="2748"/>
      <c r="R1065" s="2748"/>
      <c r="S1065" s="2748"/>
      <c r="T1065" s="2748"/>
      <c r="U1065" s="2748"/>
      <c r="V1065" s="2748"/>
      <c r="W1065" s="2748"/>
      <c r="X1065" s="2748"/>
      <c r="Y1065" s="2748"/>
      <c r="Z1065" s="2748"/>
      <c r="AA1065" s="2748"/>
      <c r="AB1065" s="2748"/>
      <c r="AC1065" s="2748"/>
      <c r="AD1065" s="2748"/>
      <c r="AE1065" s="2748"/>
      <c r="AF1065" s="2748"/>
      <c r="AG1065" s="2748"/>
      <c r="AH1065" s="2748"/>
      <c r="AI1065" s="2748"/>
      <c r="AK1065" s="2748"/>
      <c r="AL1065" s="2748"/>
      <c r="AN1065" s="2748"/>
      <c r="AO1065" s="2748"/>
      <c r="AP1065" s="2748"/>
    </row>
    <row r="1066" spans="2:42" ht="18" customHeight="1">
      <c r="B1066" s="2728"/>
      <c r="C1066" s="2728"/>
      <c r="D1066" s="2728"/>
      <c r="E1066" s="2728"/>
      <c r="G1066" s="2512"/>
      <c r="I1066" s="2748"/>
      <c r="J1066" s="2728"/>
      <c r="L1066" s="2728"/>
      <c r="M1066" s="2748"/>
      <c r="N1066" s="2728"/>
      <c r="O1066" s="2728"/>
      <c r="P1066" s="2728"/>
      <c r="Q1066" s="2748"/>
      <c r="R1066" s="2748"/>
      <c r="S1066" s="2748"/>
      <c r="T1066" s="2748"/>
      <c r="U1066" s="2748"/>
      <c r="V1066" s="2748"/>
      <c r="W1066" s="2748"/>
      <c r="X1066" s="2748"/>
      <c r="Y1066" s="2748"/>
      <c r="Z1066" s="2748"/>
      <c r="AA1066" s="2748"/>
      <c r="AB1066" s="2748"/>
      <c r="AC1066" s="2748"/>
      <c r="AD1066" s="2748"/>
      <c r="AE1066" s="2748"/>
      <c r="AF1066" s="2748"/>
      <c r="AG1066" s="2748"/>
      <c r="AH1066" s="2748"/>
      <c r="AI1066" s="2748"/>
      <c r="AK1066" s="2748"/>
      <c r="AL1066" s="2748"/>
      <c r="AN1066" s="2748"/>
      <c r="AO1066" s="2748"/>
      <c r="AP1066" s="2748"/>
    </row>
    <row r="1067" spans="2:42" ht="18" customHeight="1">
      <c r="B1067" s="2728"/>
      <c r="C1067" s="2728"/>
      <c r="D1067" s="2728"/>
      <c r="E1067" s="2728"/>
      <c r="G1067" s="2512"/>
      <c r="I1067" s="2748"/>
      <c r="J1067" s="2728"/>
      <c r="L1067" s="2728"/>
      <c r="M1067" s="2748"/>
      <c r="N1067" s="2728"/>
      <c r="O1067" s="2728"/>
      <c r="P1067" s="2728"/>
      <c r="Q1067" s="2748"/>
      <c r="R1067" s="2748"/>
      <c r="S1067" s="2748"/>
      <c r="T1067" s="2748"/>
      <c r="U1067" s="2748"/>
      <c r="V1067" s="2748"/>
      <c r="W1067" s="2748"/>
      <c r="X1067" s="2748"/>
      <c r="Y1067" s="2748"/>
      <c r="Z1067" s="2748"/>
      <c r="AA1067" s="2748"/>
      <c r="AB1067" s="2748"/>
      <c r="AC1067" s="2748"/>
      <c r="AD1067" s="2748"/>
      <c r="AE1067" s="2748"/>
      <c r="AF1067" s="2748"/>
      <c r="AG1067" s="2748"/>
      <c r="AH1067" s="2748"/>
      <c r="AI1067" s="2748"/>
      <c r="AK1067" s="2748"/>
      <c r="AL1067" s="2748"/>
      <c r="AN1067" s="2748"/>
      <c r="AO1067" s="2748"/>
      <c r="AP1067" s="2748"/>
    </row>
    <row r="1068" spans="2:42" ht="18" customHeight="1">
      <c r="B1068" s="2728"/>
      <c r="C1068" s="2728"/>
      <c r="D1068" s="2728"/>
      <c r="E1068" s="2728"/>
      <c r="G1068" s="2512"/>
      <c r="I1068" s="2748"/>
      <c r="J1068" s="2728"/>
      <c r="L1068" s="2728"/>
      <c r="M1068" s="2748"/>
      <c r="N1068" s="2728"/>
      <c r="O1068" s="2728"/>
      <c r="P1068" s="2728"/>
      <c r="Q1068" s="2748"/>
      <c r="R1068" s="2748"/>
      <c r="S1068" s="2748"/>
      <c r="T1068" s="2748"/>
      <c r="U1068" s="2748"/>
      <c r="V1068" s="2748"/>
      <c r="W1068" s="2748"/>
      <c r="X1068" s="2748"/>
      <c r="Y1068" s="2748"/>
      <c r="Z1068" s="2748"/>
      <c r="AA1068" s="2748"/>
      <c r="AB1068" s="2748"/>
      <c r="AC1068" s="2748"/>
      <c r="AD1068" s="2748"/>
      <c r="AE1068" s="2748"/>
      <c r="AF1068" s="2748"/>
      <c r="AG1068" s="2748"/>
      <c r="AH1068" s="2748"/>
      <c r="AI1068" s="2748"/>
      <c r="AK1068" s="2748"/>
      <c r="AL1068" s="2748"/>
      <c r="AN1068" s="2748"/>
      <c r="AO1068" s="2748"/>
      <c r="AP1068" s="2748"/>
    </row>
    <row r="1069" spans="2:42" ht="18" customHeight="1">
      <c r="B1069" s="2728"/>
      <c r="C1069" s="2728"/>
      <c r="D1069" s="2728"/>
      <c r="E1069" s="2728"/>
      <c r="G1069" s="2512"/>
      <c r="I1069" s="2748"/>
      <c r="J1069" s="2728"/>
      <c r="L1069" s="2728"/>
      <c r="M1069" s="2748"/>
      <c r="N1069" s="2728"/>
      <c r="O1069" s="2728"/>
      <c r="P1069" s="2728"/>
      <c r="Q1069" s="2748"/>
      <c r="R1069" s="2748"/>
      <c r="S1069" s="2748"/>
      <c r="T1069" s="2748"/>
      <c r="U1069" s="2748"/>
      <c r="V1069" s="2748"/>
      <c r="W1069" s="2748"/>
      <c r="X1069" s="2748"/>
      <c r="Y1069" s="2748"/>
      <c r="Z1069" s="2748"/>
      <c r="AA1069" s="2748"/>
      <c r="AB1069" s="2748"/>
      <c r="AC1069" s="2748"/>
      <c r="AD1069" s="2748"/>
      <c r="AE1069" s="2748"/>
      <c r="AF1069" s="2748"/>
      <c r="AG1069" s="2748"/>
      <c r="AH1069" s="2748"/>
      <c r="AI1069" s="2748"/>
      <c r="AK1069" s="2748"/>
      <c r="AL1069" s="2748"/>
      <c r="AN1069" s="2748"/>
      <c r="AO1069" s="2748"/>
      <c r="AP1069" s="2748"/>
    </row>
    <row r="1070" spans="2:42" ht="18" customHeight="1">
      <c r="B1070" s="2728"/>
      <c r="C1070" s="2728"/>
      <c r="D1070" s="2728"/>
      <c r="E1070" s="2728"/>
      <c r="G1070" s="2512"/>
      <c r="I1070" s="2748"/>
      <c r="J1070" s="2728"/>
      <c r="L1070" s="2728"/>
      <c r="M1070" s="2748"/>
      <c r="N1070" s="2728"/>
      <c r="O1070" s="2728"/>
      <c r="P1070" s="2728"/>
      <c r="Q1070" s="2748"/>
      <c r="R1070" s="2748"/>
      <c r="S1070" s="2748"/>
      <c r="T1070" s="2748"/>
      <c r="U1070" s="2748"/>
      <c r="V1070" s="2748"/>
      <c r="W1070" s="2748"/>
      <c r="X1070" s="2748"/>
      <c r="Y1070" s="2748"/>
      <c r="Z1070" s="2748"/>
      <c r="AA1070" s="2748"/>
      <c r="AB1070" s="2748"/>
      <c r="AC1070" s="2748"/>
      <c r="AD1070" s="2748"/>
      <c r="AE1070" s="2748"/>
      <c r="AF1070" s="2748"/>
      <c r="AG1070" s="2748"/>
      <c r="AH1070" s="2748"/>
      <c r="AI1070" s="2748"/>
      <c r="AK1070" s="2748"/>
      <c r="AL1070" s="2748"/>
      <c r="AN1070" s="2748"/>
      <c r="AO1070" s="2748"/>
      <c r="AP1070" s="2748"/>
    </row>
    <row r="1071" spans="2:42" ht="18" customHeight="1">
      <c r="B1071" s="2728"/>
      <c r="C1071" s="2728"/>
      <c r="D1071" s="2728"/>
      <c r="E1071" s="2728"/>
      <c r="G1071" s="2512"/>
      <c r="I1071" s="2748"/>
      <c r="J1071" s="2728"/>
      <c r="L1071" s="2728"/>
      <c r="M1071" s="2748"/>
      <c r="N1071" s="2728"/>
      <c r="O1071" s="2728"/>
      <c r="P1071" s="2728"/>
      <c r="Q1071" s="2748"/>
      <c r="R1071" s="2748"/>
      <c r="S1071" s="2748"/>
      <c r="T1071" s="2748"/>
      <c r="U1071" s="2748"/>
      <c r="V1071" s="2748"/>
      <c r="W1071" s="2748"/>
      <c r="X1071" s="2748"/>
      <c r="Y1071" s="2748"/>
      <c r="Z1071" s="2748"/>
      <c r="AA1071" s="2748"/>
      <c r="AB1071" s="2748"/>
      <c r="AC1071" s="2748"/>
      <c r="AD1071" s="2748"/>
      <c r="AE1071" s="2748"/>
      <c r="AF1071" s="2748"/>
      <c r="AG1071" s="2748"/>
      <c r="AH1071" s="2748"/>
      <c r="AI1071" s="2748"/>
      <c r="AK1071" s="2748"/>
      <c r="AL1071" s="2748"/>
      <c r="AN1071" s="2748"/>
      <c r="AO1071" s="2748"/>
      <c r="AP1071" s="2748"/>
    </row>
    <row r="1072" spans="2:42" ht="18" customHeight="1">
      <c r="B1072" s="2728"/>
      <c r="C1072" s="2728"/>
      <c r="D1072" s="2728"/>
      <c r="E1072" s="2728"/>
      <c r="G1072" s="2512"/>
      <c r="I1072" s="2748"/>
      <c r="J1072" s="2728"/>
      <c r="L1072" s="2728"/>
      <c r="M1072" s="2748"/>
      <c r="N1072" s="2728"/>
      <c r="O1072" s="2728"/>
      <c r="P1072" s="2728"/>
      <c r="Q1072" s="2748"/>
      <c r="R1072" s="2748"/>
      <c r="S1072" s="2748"/>
      <c r="T1072" s="2748"/>
      <c r="U1072" s="2748"/>
      <c r="V1072" s="2748"/>
      <c r="W1072" s="2748"/>
      <c r="X1072" s="2748"/>
      <c r="Y1072" s="2748"/>
      <c r="Z1072" s="2748"/>
      <c r="AA1072" s="2748"/>
      <c r="AB1072" s="2748"/>
      <c r="AC1072" s="2748"/>
      <c r="AD1072" s="2748"/>
      <c r="AE1072" s="2748"/>
      <c r="AF1072" s="2748"/>
      <c r="AG1072" s="2748"/>
      <c r="AH1072" s="2748"/>
      <c r="AI1072" s="2748"/>
      <c r="AK1072" s="2748"/>
      <c r="AL1072" s="2748"/>
      <c r="AN1072" s="2748"/>
      <c r="AO1072" s="2748"/>
      <c r="AP1072" s="2748"/>
    </row>
    <row r="1073" spans="2:42" ht="18" customHeight="1">
      <c r="B1073" s="2728"/>
      <c r="C1073" s="2728"/>
      <c r="D1073" s="2728"/>
      <c r="E1073" s="2728"/>
      <c r="G1073" s="2512"/>
      <c r="I1073" s="2748"/>
      <c r="J1073" s="2728"/>
      <c r="L1073" s="2728"/>
      <c r="M1073" s="2748"/>
      <c r="N1073" s="2728"/>
      <c r="O1073" s="2728"/>
      <c r="P1073" s="2728"/>
      <c r="Q1073" s="2748"/>
      <c r="R1073" s="2748"/>
      <c r="S1073" s="2748"/>
      <c r="T1073" s="2748"/>
      <c r="U1073" s="2748"/>
      <c r="V1073" s="2748"/>
      <c r="W1073" s="2748"/>
      <c r="X1073" s="2748"/>
      <c r="Y1073" s="2748"/>
      <c r="Z1073" s="2748"/>
      <c r="AA1073" s="2748"/>
      <c r="AB1073" s="2748"/>
      <c r="AC1073" s="2748"/>
      <c r="AD1073" s="2748"/>
      <c r="AE1073" s="2748"/>
      <c r="AF1073" s="2748"/>
      <c r="AG1073" s="2748"/>
      <c r="AH1073" s="2748"/>
      <c r="AI1073" s="2748"/>
      <c r="AK1073" s="2748"/>
      <c r="AL1073" s="2748"/>
      <c r="AN1073" s="2748"/>
      <c r="AO1073" s="2748"/>
      <c r="AP1073" s="2748"/>
    </row>
    <row r="1074" spans="2:42" ht="18" customHeight="1">
      <c r="B1074" s="2728"/>
      <c r="C1074" s="2728"/>
      <c r="D1074" s="2728"/>
      <c r="E1074" s="2728"/>
      <c r="G1074" s="2512"/>
      <c r="I1074" s="2748"/>
      <c r="J1074" s="2728"/>
      <c r="L1074" s="2728"/>
      <c r="M1074" s="2748"/>
      <c r="N1074" s="2728"/>
      <c r="O1074" s="2728"/>
      <c r="P1074" s="2728"/>
      <c r="Q1074" s="2748"/>
      <c r="R1074" s="2748"/>
      <c r="S1074" s="2748"/>
      <c r="T1074" s="2748"/>
      <c r="U1074" s="2748"/>
      <c r="V1074" s="2748"/>
      <c r="W1074" s="2748"/>
      <c r="X1074" s="2748"/>
      <c r="Y1074" s="2748"/>
      <c r="Z1074" s="2748"/>
      <c r="AA1074" s="2748"/>
      <c r="AB1074" s="2748"/>
      <c r="AC1074" s="2748"/>
      <c r="AD1074" s="2748"/>
      <c r="AE1074" s="2748"/>
      <c r="AF1074" s="2748"/>
      <c r="AG1074" s="2748"/>
      <c r="AH1074" s="2748"/>
      <c r="AI1074" s="2748"/>
      <c r="AK1074" s="2748"/>
      <c r="AL1074" s="2748"/>
      <c r="AN1074" s="2748"/>
      <c r="AO1074" s="2748"/>
      <c r="AP1074" s="2748"/>
    </row>
    <row r="1075" spans="2:42" ht="18" customHeight="1">
      <c r="B1075" s="2728"/>
      <c r="C1075" s="2728"/>
      <c r="D1075" s="2728"/>
      <c r="E1075" s="2728"/>
      <c r="G1075" s="2512"/>
      <c r="I1075" s="2748"/>
      <c r="J1075" s="2728"/>
      <c r="L1075" s="2728"/>
      <c r="M1075" s="2748"/>
      <c r="N1075" s="2728"/>
      <c r="O1075" s="2728"/>
      <c r="P1075" s="2728"/>
      <c r="Q1075" s="2748"/>
      <c r="R1075" s="2748"/>
      <c r="S1075" s="2748"/>
      <c r="T1075" s="2748"/>
      <c r="U1075" s="2748"/>
      <c r="V1075" s="2748"/>
      <c r="W1075" s="2748"/>
      <c r="X1075" s="2748"/>
      <c r="Y1075" s="2748"/>
      <c r="Z1075" s="2748"/>
      <c r="AA1075" s="2748"/>
      <c r="AB1075" s="2748"/>
      <c r="AC1075" s="2748"/>
      <c r="AD1075" s="2748"/>
      <c r="AE1075" s="2748"/>
      <c r="AF1075" s="2748"/>
      <c r="AG1075" s="2748"/>
      <c r="AH1075" s="2748"/>
      <c r="AI1075" s="2748"/>
      <c r="AK1075" s="2748"/>
      <c r="AL1075" s="2748"/>
      <c r="AN1075" s="2748"/>
      <c r="AO1075" s="2748"/>
      <c r="AP1075" s="2748"/>
    </row>
    <row r="1076" spans="2:42" ht="18" customHeight="1">
      <c r="B1076" s="2728"/>
      <c r="C1076" s="2728"/>
      <c r="D1076" s="2728"/>
      <c r="E1076" s="2728"/>
      <c r="G1076" s="2512"/>
      <c r="I1076" s="2748"/>
      <c r="J1076" s="2728"/>
      <c r="L1076" s="2728"/>
      <c r="M1076" s="2748"/>
      <c r="N1076" s="2728"/>
      <c r="O1076" s="2728"/>
      <c r="P1076" s="2728"/>
      <c r="Q1076" s="2748"/>
      <c r="R1076" s="2748"/>
      <c r="S1076" s="2748"/>
      <c r="T1076" s="2748"/>
      <c r="U1076" s="2748"/>
      <c r="V1076" s="2748"/>
      <c r="W1076" s="2748"/>
      <c r="X1076" s="2748"/>
      <c r="Y1076" s="2748"/>
      <c r="Z1076" s="2748"/>
      <c r="AA1076" s="2748"/>
      <c r="AB1076" s="2748"/>
      <c r="AC1076" s="2748"/>
      <c r="AD1076" s="2748"/>
      <c r="AE1076" s="2748"/>
      <c r="AF1076" s="2748"/>
      <c r="AG1076" s="2748"/>
      <c r="AH1076" s="2748"/>
      <c r="AI1076" s="2748"/>
      <c r="AK1076" s="2748"/>
      <c r="AL1076" s="2748"/>
      <c r="AN1076" s="2748"/>
      <c r="AO1076" s="2748"/>
      <c r="AP1076" s="2748"/>
    </row>
    <row r="1077" spans="2:42" ht="18" customHeight="1">
      <c r="B1077" s="2728"/>
      <c r="C1077" s="2728"/>
      <c r="D1077" s="2728"/>
      <c r="E1077" s="2728"/>
      <c r="G1077" s="2512"/>
      <c r="I1077" s="2748"/>
      <c r="J1077" s="2728"/>
      <c r="L1077" s="2728"/>
      <c r="M1077" s="2748"/>
      <c r="N1077" s="2728"/>
      <c r="O1077" s="2728"/>
      <c r="P1077" s="2728"/>
      <c r="Q1077" s="2748"/>
      <c r="R1077" s="2748"/>
      <c r="S1077" s="2748"/>
      <c r="T1077" s="2748"/>
      <c r="U1077" s="2748"/>
      <c r="V1077" s="2748"/>
      <c r="W1077" s="2748"/>
      <c r="X1077" s="2748"/>
      <c r="Y1077" s="2748"/>
      <c r="Z1077" s="2748"/>
      <c r="AA1077" s="2748"/>
      <c r="AB1077" s="2748"/>
      <c r="AC1077" s="2748"/>
      <c r="AD1077" s="2748"/>
      <c r="AE1077" s="2748"/>
      <c r="AF1077" s="2748"/>
      <c r="AG1077" s="2748"/>
      <c r="AH1077" s="2748"/>
      <c r="AI1077" s="2748"/>
      <c r="AK1077" s="2748"/>
      <c r="AL1077" s="2748"/>
      <c r="AN1077" s="2748"/>
      <c r="AO1077" s="2748"/>
      <c r="AP1077" s="2748"/>
    </row>
    <row r="1078" spans="2:42" ht="18" customHeight="1">
      <c r="B1078" s="2728"/>
      <c r="C1078" s="2728"/>
      <c r="D1078" s="2728"/>
      <c r="E1078" s="2728"/>
      <c r="G1078" s="2512"/>
      <c r="I1078" s="2748"/>
      <c r="J1078" s="2728"/>
      <c r="L1078" s="2728"/>
      <c r="M1078" s="2748"/>
      <c r="N1078" s="2728"/>
      <c r="O1078" s="2728"/>
      <c r="P1078" s="2728"/>
      <c r="Q1078" s="2748"/>
      <c r="R1078" s="2748"/>
      <c r="S1078" s="2748"/>
      <c r="T1078" s="2748"/>
      <c r="U1078" s="2748"/>
      <c r="V1078" s="2748"/>
      <c r="W1078" s="2748"/>
      <c r="X1078" s="2748"/>
      <c r="Y1078" s="2748"/>
      <c r="Z1078" s="2748"/>
      <c r="AA1078" s="2748"/>
      <c r="AB1078" s="2748"/>
      <c r="AC1078" s="2748"/>
      <c r="AD1078" s="2748"/>
      <c r="AE1078" s="2748"/>
      <c r="AF1078" s="2748"/>
      <c r="AG1078" s="2748"/>
      <c r="AH1078" s="2748"/>
      <c r="AI1078" s="2748"/>
      <c r="AK1078" s="2748"/>
      <c r="AL1078" s="2748"/>
      <c r="AN1078" s="2748"/>
      <c r="AO1078" s="2748"/>
      <c r="AP1078" s="2748"/>
    </row>
    <row r="1079" spans="2:42" ht="18" customHeight="1">
      <c r="B1079" s="2728"/>
      <c r="C1079" s="2728"/>
      <c r="D1079" s="2728"/>
      <c r="E1079" s="2728"/>
      <c r="G1079" s="2512"/>
      <c r="I1079" s="2748"/>
      <c r="J1079" s="2728"/>
      <c r="L1079" s="2728"/>
      <c r="M1079" s="2748"/>
      <c r="N1079" s="2728"/>
      <c r="O1079" s="2728"/>
      <c r="P1079" s="2728"/>
      <c r="Q1079" s="2748"/>
      <c r="R1079" s="2748"/>
      <c r="S1079" s="2748"/>
      <c r="T1079" s="2748"/>
      <c r="U1079" s="2748"/>
      <c r="V1079" s="2748"/>
      <c r="W1079" s="2748"/>
      <c r="X1079" s="2748"/>
      <c r="Y1079" s="2748"/>
      <c r="Z1079" s="2748"/>
      <c r="AA1079" s="2748"/>
      <c r="AB1079" s="2748"/>
      <c r="AC1079" s="2748"/>
      <c r="AD1079" s="2748"/>
      <c r="AE1079" s="2748"/>
      <c r="AF1079" s="2748"/>
      <c r="AG1079" s="2748"/>
      <c r="AH1079" s="2748"/>
      <c r="AI1079" s="2748"/>
      <c r="AK1079" s="2748"/>
      <c r="AL1079" s="2748"/>
      <c r="AN1079" s="2748"/>
      <c r="AO1079" s="2748"/>
      <c r="AP1079" s="2748"/>
    </row>
    <row r="1080" spans="2:42" ht="18" customHeight="1">
      <c r="B1080" s="2728"/>
      <c r="C1080" s="2728"/>
      <c r="D1080" s="2728"/>
      <c r="E1080" s="2728"/>
      <c r="G1080" s="2512"/>
      <c r="I1080" s="2748"/>
      <c r="J1080" s="2728"/>
      <c r="L1080" s="2728"/>
      <c r="M1080" s="2748"/>
      <c r="N1080" s="2728"/>
      <c r="O1080" s="2728"/>
      <c r="P1080" s="2728"/>
      <c r="Q1080" s="2748"/>
      <c r="R1080" s="2748"/>
      <c r="S1080" s="2748"/>
      <c r="T1080" s="2748"/>
      <c r="U1080" s="2748"/>
      <c r="V1080" s="2748"/>
      <c r="W1080" s="2748"/>
      <c r="X1080" s="2748"/>
      <c r="Y1080" s="2748"/>
      <c r="Z1080" s="2748"/>
      <c r="AA1080" s="2748"/>
      <c r="AB1080" s="2748"/>
      <c r="AC1080" s="2748"/>
      <c r="AD1080" s="2748"/>
      <c r="AE1080" s="2748"/>
      <c r="AF1080" s="2748"/>
      <c r="AG1080" s="2748"/>
      <c r="AH1080" s="2748"/>
      <c r="AI1080" s="2748"/>
      <c r="AK1080" s="2748"/>
      <c r="AL1080" s="2748"/>
      <c r="AN1080" s="2748"/>
      <c r="AO1080" s="2748"/>
      <c r="AP1080" s="2748"/>
    </row>
    <row r="1081" spans="2:42" ht="18" customHeight="1">
      <c r="B1081" s="2728"/>
      <c r="C1081" s="2728"/>
      <c r="D1081" s="2728"/>
      <c r="E1081" s="2728"/>
      <c r="G1081" s="2512"/>
      <c r="I1081" s="2748"/>
      <c r="J1081" s="2728"/>
      <c r="L1081" s="2728"/>
      <c r="M1081" s="2748"/>
      <c r="N1081" s="2728"/>
      <c r="O1081" s="2728"/>
      <c r="P1081" s="2728"/>
      <c r="Q1081" s="2748"/>
      <c r="R1081" s="2748"/>
      <c r="S1081" s="2748"/>
      <c r="T1081" s="2748"/>
      <c r="U1081" s="2748"/>
      <c r="V1081" s="2748"/>
      <c r="W1081" s="2748"/>
      <c r="X1081" s="2748"/>
      <c r="Y1081" s="2748"/>
      <c r="Z1081" s="2748"/>
      <c r="AA1081" s="2748"/>
      <c r="AB1081" s="2748"/>
      <c r="AC1081" s="2748"/>
      <c r="AD1081" s="2748"/>
      <c r="AE1081" s="2748"/>
      <c r="AF1081" s="2748"/>
      <c r="AG1081" s="2748"/>
      <c r="AH1081" s="2748"/>
      <c r="AI1081" s="2748"/>
      <c r="AK1081" s="2748"/>
      <c r="AL1081" s="2748"/>
      <c r="AN1081" s="2748"/>
      <c r="AO1081" s="2748"/>
      <c r="AP1081" s="2748"/>
    </row>
    <row r="1082" spans="2:42" ht="18" customHeight="1">
      <c r="B1082" s="2728"/>
      <c r="C1082" s="2728"/>
      <c r="D1082" s="2728"/>
      <c r="E1082" s="2728"/>
      <c r="G1082" s="2512"/>
      <c r="I1082" s="2748"/>
      <c r="J1082" s="2728"/>
      <c r="L1082" s="2728"/>
      <c r="M1082" s="2748"/>
      <c r="N1082" s="2728"/>
      <c r="O1082" s="2728"/>
      <c r="P1082" s="2728"/>
      <c r="Q1082" s="2748"/>
      <c r="R1082" s="2748"/>
      <c r="S1082" s="2748"/>
      <c r="T1082" s="2748"/>
      <c r="U1082" s="2748"/>
      <c r="V1082" s="2748"/>
      <c r="W1082" s="2748"/>
      <c r="X1082" s="2748"/>
      <c r="Y1082" s="2748"/>
      <c r="Z1082" s="2748"/>
      <c r="AA1082" s="2748"/>
      <c r="AB1082" s="2748"/>
      <c r="AC1082" s="2748"/>
      <c r="AD1082" s="2748"/>
      <c r="AE1082" s="2748"/>
      <c r="AF1082" s="2748"/>
      <c r="AG1082" s="2748"/>
      <c r="AH1082" s="2748"/>
      <c r="AI1082" s="2748"/>
      <c r="AK1082" s="2748"/>
      <c r="AL1082" s="2748"/>
      <c r="AN1082" s="2748"/>
      <c r="AO1082" s="2748"/>
      <c r="AP1082" s="2748"/>
    </row>
    <row r="1083" spans="2:42" ht="18" customHeight="1">
      <c r="B1083" s="2728"/>
      <c r="C1083" s="2728"/>
      <c r="D1083" s="2728"/>
      <c r="E1083" s="2728"/>
      <c r="G1083" s="2512"/>
      <c r="I1083" s="2748"/>
      <c r="J1083" s="2728"/>
      <c r="L1083" s="2728"/>
      <c r="M1083" s="2748"/>
      <c r="N1083" s="2728"/>
      <c r="O1083" s="2728"/>
      <c r="P1083" s="2728"/>
      <c r="Q1083" s="2748"/>
      <c r="R1083" s="2748"/>
      <c r="S1083" s="2748"/>
      <c r="T1083" s="2748"/>
      <c r="U1083" s="2748"/>
      <c r="V1083" s="2748"/>
      <c r="W1083" s="2748"/>
      <c r="X1083" s="2748"/>
      <c r="Y1083" s="2748"/>
      <c r="Z1083" s="2748"/>
      <c r="AA1083" s="2748"/>
      <c r="AB1083" s="2748"/>
      <c r="AC1083" s="2748"/>
      <c r="AD1083" s="2748"/>
      <c r="AE1083" s="2748"/>
      <c r="AF1083" s="2748"/>
      <c r="AG1083" s="2748"/>
      <c r="AH1083" s="2748"/>
      <c r="AI1083" s="2748"/>
      <c r="AK1083" s="2748"/>
      <c r="AL1083" s="2748"/>
      <c r="AN1083" s="2748"/>
      <c r="AO1083" s="2748"/>
      <c r="AP1083" s="2748"/>
    </row>
    <row r="1084" spans="2:42" ht="18" customHeight="1">
      <c r="B1084" s="2728"/>
      <c r="C1084" s="2728"/>
      <c r="D1084" s="2728"/>
      <c r="E1084" s="2728"/>
      <c r="G1084" s="2512"/>
      <c r="I1084" s="2748"/>
      <c r="J1084" s="2728"/>
      <c r="L1084" s="2728"/>
      <c r="M1084" s="2748"/>
      <c r="N1084" s="2728"/>
      <c r="O1084" s="2728"/>
      <c r="P1084" s="2728"/>
      <c r="Q1084" s="2748"/>
      <c r="R1084" s="2748"/>
      <c r="S1084" s="2748"/>
      <c r="T1084" s="2748"/>
      <c r="U1084" s="2748"/>
      <c r="V1084" s="2748"/>
      <c r="W1084" s="2748"/>
      <c r="X1084" s="2748"/>
      <c r="Y1084" s="2748"/>
      <c r="Z1084" s="2748"/>
      <c r="AA1084" s="2748"/>
      <c r="AB1084" s="2748"/>
      <c r="AC1084" s="2748"/>
      <c r="AD1084" s="2748"/>
      <c r="AE1084" s="2748"/>
      <c r="AF1084" s="2748"/>
      <c r="AG1084" s="2748"/>
      <c r="AH1084" s="2748"/>
      <c r="AI1084" s="2748"/>
      <c r="AK1084" s="2748"/>
      <c r="AL1084" s="2748"/>
      <c r="AN1084" s="2748"/>
      <c r="AO1084" s="2748"/>
      <c r="AP1084" s="2748"/>
    </row>
    <row r="1085" spans="2:42" ht="18" customHeight="1">
      <c r="B1085" s="2728"/>
      <c r="C1085" s="2728"/>
      <c r="D1085" s="2728"/>
      <c r="E1085" s="2728"/>
      <c r="G1085" s="2512"/>
      <c r="I1085" s="2748"/>
      <c r="J1085" s="2728"/>
      <c r="L1085" s="2728"/>
      <c r="M1085" s="2748"/>
      <c r="N1085" s="2728"/>
      <c r="O1085" s="2728"/>
      <c r="P1085" s="2728"/>
      <c r="Q1085" s="2748"/>
      <c r="R1085" s="2748"/>
      <c r="S1085" s="2748"/>
      <c r="T1085" s="2748"/>
      <c r="U1085" s="2748"/>
      <c r="V1085" s="2748"/>
      <c r="W1085" s="2748"/>
      <c r="X1085" s="2748"/>
      <c r="Y1085" s="2748"/>
      <c r="Z1085" s="2748"/>
      <c r="AA1085" s="2748"/>
      <c r="AB1085" s="2748"/>
      <c r="AC1085" s="2748"/>
      <c r="AD1085" s="2748"/>
      <c r="AE1085" s="2748"/>
      <c r="AF1085" s="2748"/>
      <c r="AG1085" s="2748"/>
      <c r="AH1085" s="2748"/>
      <c r="AI1085" s="2748"/>
      <c r="AK1085" s="2748"/>
      <c r="AL1085" s="2748"/>
      <c r="AN1085" s="2748"/>
      <c r="AO1085" s="2748"/>
      <c r="AP1085" s="2748"/>
    </row>
    <row r="1086" spans="2:42" ht="18" customHeight="1">
      <c r="B1086" s="2728"/>
      <c r="C1086" s="2728"/>
      <c r="D1086" s="2728"/>
      <c r="E1086" s="2728"/>
      <c r="G1086" s="2512"/>
      <c r="I1086" s="2748"/>
      <c r="J1086" s="2728"/>
      <c r="L1086" s="2728"/>
      <c r="M1086" s="2748"/>
      <c r="N1086" s="2728"/>
      <c r="O1086" s="2728"/>
      <c r="P1086" s="2728"/>
      <c r="Q1086" s="2748"/>
      <c r="R1086" s="2748"/>
      <c r="S1086" s="2748"/>
      <c r="T1086" s="2748"/>
      <c r="U1086" s="2748"/>
      <c r="V1086" s="2748"/>
      <c r="W1086" s="2748"/>
      <c r="X1086" s="2748"/>
      <c r="Y1086" s="2748"/>
      <c r="Z1086" s="2748"/>
      <c r="AA1086" s="2748"/>
      <c r="AB1086" s="2748"/>
      <c r="AC1086" s="2748"/>
      <c r="AD1086" s="2748"/>
      <c r="AE1086" s="2748"/>
      <c r="AF1086" s="2748"/>
      <c r="AG1086" s="2748"/>
      <c r="AH1086" s="2748"/>
      <c r="AI1086" s="2748"/>
      <c r="AK1086" s="2748"/>
      <c r="AL1086" s="2748"/>
      <c r="AN1086" s="2748"/>
      <c r="AO1086" s="2748"/>
      <c r="AP1086" s="2748"/>
    </row>
    <row r="1087" spans="2:42" ht="18" customHeight="1">
      <c r="B1087" s="2728"/>
      <c r="C1087" s="2728"/>
      <c r="D1087" s="2728"/>
      <c r="E1087" s="2728"/>
      <c r="G1087" s="2512"/>
      <c r="I1087" s="2748"/>
      <c r="J1087" s="2728"/>
      <c r="L1087" s="2728"/>
      <c r="M1087" s="2748"/>
      <c r="N1087" s="2728"/>
      <c r="O1087" s="2728"/>
      <c r="P1087" s="2728"/>
      <c r="Q1087" s="2748"/>
      <c r="R1087" s="2748"/>
      <c r="S1087" s="2748"/>
      <c r="T1087" s="2748"/>
      <c r="U1087" s="2748"/>
      <c r="V1087" s="2748"/>
      <c r="W1087" s="2748"/>
      <c r="X1087" s="2748"/>
      <c r="Y1087" s="2748"/>
      <c r="Z1087" s="2748"/>
      <c r="AA1087" s="2748"/>
      <c r="AB1087" s="2748"/>
      <c r="AC1087" s="2748"/>
      <c r="AD1087" s="2748"/>
      <c r="AE1087" s="2748"/>
      <c r="AF1087" s="2748"/>
      <c r="AG1087" s="2748"/>
      <c r="AH1087" s="2748"/>
      <c r="AI1087" s="2748"/>
      <c r="AK1087" s="2748"/>
      <c r="AL1087" s="2748"/>
      <c r="AN1087" s="2748"/>
      <c r="AO1087" s="2748"/>
      <c r="AP1087" s="2748"/>
    </row>
    <row r="1088" spans="2:42" ht="18" customHeight="1">
      <c r="B1088" s="2728"/>
      <c r="C1088" s="2728"/>
      <c r="D1088" s="2728"/>
      <c r="E1088" s="2728"/>
      <c r="G1088" s="2512"/>
      <c r="I1088" s="2748"/>
      <c r="J1088" s="2728"/>
      <c r="L1088" s="2728"/>
      <c r="M1088" s="2748"/>
      <c r="N1088" s="2728"/>
      <c r="O1088" s="2728"/>
      <c r="P1088" s="2728"/>
      <c r="Q1088" s="2748"/>
      <c r="R1088" s="2748"/>
      <c r="S1088" s="2748"/>
      <c r="T1088" s="2748"/>
      <c r="U1088" s="2748"/>
      <c r="V1088" s="2748"/>
      <c r="W1088" s="2748"/>
      <c r="X1088" s="2748"/>
      <c r="Y1088" s="2748"/>
      <c r="Z1088" s="2748"/>
      <c r="AA1088" s="2748"/>
      <c r="AB1088" s="2748"/>
      <c r="AC1088" s="2748"/>
      <c r="AD1088" s="2748"/>
      <c r="AE1088" s="2748"/>
      <c r="AF1088" s="2748"/>
      <c r="AG1088" s="2748"/>
      <c r="AH1088" s="2748"/>
      <c r="AI1088" s="2748"/>
      <c r="AK1088" s="2748"/>
      <c r="AL1088" s="2748"/>
      <c r="AN1088" s="2748"/>
      <c r="AO1088" s="2748"/>
      <c r="AP1088" s="2748"/>
    </row>
    <row r="1089" spans="2:42" ht="18" customHeight="1">
      <c r="B1089" s="2728"/>
      <c r="C1089" s="2728"/>
      <c r="D1089" s="2728"/>
      <c r="E1089" s="2728"/>
      <c r="G1089" s="2512"/>
      <c r="I1089" s="2748"/>
      <c r="J1089" s="2728"/>
      <c r="L1089" s="2728"/>
      <c r="M1089" s="2748"/>
      <c r="N1089" s="2728"/>
      <c r="O1089" s="2728"/>
      <c r="P1089" s="2728"/>
      <c r="Q1089" s="2748"/>
      <c r="R1089" s="2748"/>
      <c r="S1089" s="2748"/>
      <c r="T1089" s="2748"/>
      <c r="U1089" s="2748"/>
      <c r="V1089" s="2748"/>
      <c r="W1089" s="2748"/>
      <c r="X1089" s="2748"/>
      <c r="Y1089" s="2748"/>
      <c r="Z1089" s="2748"/>
      <c r="AA1089" s="2748"/>
      <c r="AB1089" s="2748"/>
      <c r="AC1089" s="2748"/>
      <c r="AD1089" s="2748"/>
      <c r="AE1089" s="2748"/>
      <c r="AF1089" s="2748"/>
      <c r="AG1089" s="2748"/>
      <c r="AH1089" s="2748"/>
      <c r="AI1089" s="2748"/>
      <c r="AK1089" s="2748"/>
      <c r="AL1089" s="2748"/>
      <c r="AN1089" s="2748"/>
      <c r="AO1089" s="2748"/>
      <c r="AP1089" s="2748"/>
    </row>
    <row r="1090" spans="2:42" ht="18" customHeight="1">
      <c r="B1090" s="2728"/>
      <c r="C1090" s="2728"/>
      <c r="D1090" s="2728"/>
      <c r="E1090" s="2728"/>
      <c r="G1090" s="2512"/>
      <c r="I1090" s="2748"/>
      <c r="J1090" s="2728"/>
      <c r="L1090" s="2728"/>
      <c r="M1090" s="2748"/>
      <c r="N1090" s="2728"/>
      <c r="O1090" s="2728"/>
      <c r="P1090" s="2728"/>
      <c r="Q1090" s="2748"/>
      <c r="R1090" s="2748"/>
      <c r="S1090" s="2748"/>
      <c r="T1090" s="2748"/>
      <c r="U1090" s="2748"/>
      <c r="V1090" s="2748"/>
      <c r="W1090" s="2748"/>
      <c r="X1090" s="2748"/>
      <c r="Y1090" s="2748"/>
      <c r="Z1090" s="2748"/>
      <c r="AA1090" s="2748"/>
      <c r="AB1090" s="2748"/>
      <c r="AC1090" s="2748"/>
      <c r="AD1090" s="2748"/>
      <c r="AE1090" s="2748"/>
      <c r="AF1090" s="2748"/>
      <c r="AG1090" s="2748"/>
      <c r="AH1090" s="2748"/>
      <c r="AI1090" s="2748"/>
      <c r="AK1090" s="2748"/>
      <c r="AL1090" s="2748"/>
      <c r="AN1090" s="2748"/>
      <c r="AO1090" s="2748"/>
      <c r="AP1090" s="2748"/>
    </row>
    <row r="1091" spans="2:42" ht="18" customHeight="1">
      <c r="B1091" s="2728"/>
      <c r="C1091" s="2728"/>
      <c r="D1091" s="2728"/>
      <c r="E1091" s="2728"/>
      <c r="G1091" s="2512"/>
      <c r="I1091" s="2748"/>
      <c r="J1091" s="2728"/>
      <c r="L1091" s="2728"/>
      <c r="M1091" s="2748"/>
      <c r="N1091" s="2728"/>
      <c r="O1091" s="2728"/>
      <c r="P1091" s="2728"/>
      <c r="Q1091" s="2748"/>
      <c r="R1091" s="2748"/>
      <c r="S1091" s="2748"/>
      <c r="T1091" s="2748"/>
      <c r="U1091" s="2748"/>
      <c r="V1091" s="2748"/>
      <c r="W1091" s="2748"/>
      <c r="X1091" s="2748"/>
      <c r="Y1091" s="2748"/>
      <c r="Z1091" s="2748"/>
      <c r="AA1091" s="2748"/>
      <c r="AB1091" s="2748"/>
      <c r="AC1091" s="2748"/>
      <c r="AD1091" s="2748"/>
      <c r="AE1091" s="2748"/>
      <c r="AF1091" s="2748"/>
      <c r="AG1091" s="2748"/>
      <c r="AH1091" s="2748"/>
      <c r="AI1091" s="2748"/>
      <c r="AK1091" s="2748"/>
      <c r="AL1091" s="2748"/>
      <c r="AN1091" s="2748"/>
      <c r="AO1091" s="2748"/>
      <c r="AP1091" s="2748"/>
    </row>
    <row r="1092" spans="2:42" ht="18" customHeight="1">
      <c r="B1092" s="2728"/>
      <c r="C1092" s="2728"/>
      <c r="D1092" s="2728"/>
      <c r="E1092" s="2728"/>
      <c r="G1092" s="2512"/>
      <c r="I1092" s="2748"/>
      <c r="J1092" s="2728"/>
      <c r="L1092" s="2728"/>
      <c r="M1092" s="2748"/>
      <c r="N1092" s="2728"/>
      <c r="O1092" s="2728"/>
      <c r="P1092" s="2728"/>
      <c r="Q1092" s="2748"/>
      <c r="R1092" s="2748"/>
      <c r="S1092" s="2748"/>
      <c r="T1092" s="2748"/>
      <c r="U1092" s="2748"/>
      <c r="V1092" s="2748"/>
      <c r="W1092" s="2748"/>
      <c r="X1092" s="2748"/>
      <c r="Y1092" s="2748"/>
      <c r="Z1092" s="2748"/>
      <c r="AA1092" s="2748"/>
      <c r="AB1092" s="2748"/>
      <c r="AC1092" s="2748"/>
      <c r="AD1092" s="2748"/>
      <c r="AE1092" s="2748"/>
      <c r="AF1092" s="2748"/>
      <c r="AG1092" s="2748"/>
      <c r="AH1092" s="2748"/>
      <c r="AI1092" s="2748"/>
      <c r="AK1092" s="2748"/>
      <c r="AL1092" s="2748"/>
      <c r="AN1092" s="2748"/>
      <c r="AO1092" s="2748"/>
      <c r="AP1092" s="2748"/>
    </row>
    <row r="1093" spans="2:42" ht="18" customHeight="1">
      <c r="B1093" s="2728"/>
      <c r="C1093" s="2728"/>
      <c r="D1093" s="2728"/>
      <c r="E1093" s="2728"/>
      <c r="G1093" s="2512"/>
      <c r="I1093" s="2748"/>
      <c r="J1093" s="2728"/>
      <c r="L1093" s="2728"/>
      <c r="M1093" s="2748"/>
      <c r="N1093" s="2728"/>
      <c r="O1093" s="2728"/>
      <c r="P1093" s="2728"/>
      <c r="Q1093" s="2748"/>
      <c r="R1093" s="2748"/>
      <c r="S1093" s="2748"/>
      <c r="T1093" s="2748"/>
      <c r="U1093" s="2748"/>
      <c r="V1093" s="2748"/>
      <c r="W1093" s="2748"/>
      <c r="X1093" s="2748"/>
      <c r="Y1093" s="2748"/>
      <c r="Z1093" s="2748"/>
      <c r="AA1093" s="2748"/>
      <c r="AB1093" s="2748"/>
      <c r="AC1093" s="2748"/>
      <c r="AD1093" s="2748"/>
      <c r="AE1093" s="2748"/>
      <c r="AF1093" s="2748"/>
      <c r="AG1093" s="2748"/>
      <c r="AH1093" s="2748"/>
      <c r="AI1093" s="2748"/>
      <c r="AK1093" s="2748"/>
      <c r="AL1093" s="2748"/>
      <c r="AN1093" s="2748"/>
      <c r="AO1093" s="2748"/>
      <c r="AP1093" s="2748"/>
    </row>
    <row r="1094" spans="2:42" ht="18" customHeight="1">
      <c r="B1094" s="2728"/>
      <c r="C1094" s="2728"/>
      <c r="D1094" s="2728"/>
      <c r="E1094" s="2728"/>
      <c r="G1094" s="2512"/>
      <c r="I1094" s="2748"/>
      <c r="J1094" s="2728"/>
      <c r="L1094" s="2728"/>
      <c r="M1094" s="2748"/>
      <c r="N1094" s="2728"/>
      <c r="O1094" s="2728"/>
      <c r="P1094" s="2728"/>
      <c r="Q1094" s="2748"/>
      <c r="R1094" s="2748"/>
      <c r="S1094" s="2748"/>
      <c r="T1094" s="2748"/>
      <c r="U1094" s="2748"/>
      <c r="V1094" s="2748"/>
      <c r="W1094" s="2748"/>
      <c r="X1094" s="2748"/>
      <c r="Y1094" s="2748"/>
      <c r="Z1094" s="2748"/>
      <c r="AA1094" s="2748"/>
      <c r="AB1094" s="2748"/>
      <c r="AC1094" s="2748"/>
      <c r="AD1094" s="2748"/>
      <c r="AE1094" s="2748"/>
      <c r="AF1094" s="2748"/>
      <c r="AG1094" s="2748"/>
      <c r="AH1094" s="2748"/>
      <c r="AI1094" s="2748"/>
      <c r="AK1094" s="2748"/>
      <c r="AL1094" s="2748"/>
      <c r="AN1094" s="2748"/>
      <c r="AO1094" s="2748"/>
      <c r="AP1094" s="2748"/>
    </row>
    <row r="1095" spans="2:42" ht="18" customHeight="1">
      <c r="B1095" s="2728"/>
      <c r="C1095" s="2728"/>
      <c r="D1095" s="2728"/>
      <c r="E1095" s="2728"/>
      <c r="G1095" s="2512"/>
      <c r="I1095" s="2748"/>
      <c r="J1095" s="2728"/>
      <c r="L1095" s="2728"/>
      <c r="M1095" s="2748"/>
      <c r="N1095" s="2728"/>
      <c r="O1095" s="2728"/>
      <c r="P1095" s="2728"/>
      <c r="Q1095" s="2748"/>
      <c r="R1095" s="2748"/>
      <c r="S1095" s="2748"/>
      <c r="T1095" s="2748"/>
      <c r="U1095" s="2748"/>
      <c r="V1095" s="2748"/>
      <c r="W1095" s="2748"/>
      <c r="X1095" s="2748"/>
      <c r="Y1095" s="2748"/>
      <c r="Z1095" s="2748"/>
      <c r="AA1095" s="2748"/>
      <c r="AB1095" s="2748"/>
      <c r="AC1095" s="2748"/>
      <c r="AD1095" s="2748"/>
      <c r="AE1095" s="2748"/>
      <c r="AF1095" s="2748"/>
      <c r="AG1095" s="2748"/>
      <c r="AH1095" s="2748"/>
      <c r="AI1095" s="2748"/>
      <c r="AK1095" s="2748"/>
      <c r="AL1095" s="2748"/>
      <c r="AN1095" s="2748"/>
      <c r="AO1095" s="2748"/>
      <c r="AP1095" s="2748"/>
    </row>
    <row r="1096" spans="2:42" ht="18" customHeight="1">
      <c r="B1096" s="2728"/>
      <c r="C1096" s="2728"/>
      <c r="D1096" s="2728"/>
      <c r="E1096" s="2728"/>
      <c r="G1096" s="2512"/>
      <c r="I1096" s="2748"/>
      <c r="J1096" s="2728"/>
      <c r="L1096" s="2728"/>
      <c r="M1096" s="2748"/>
      <c r="N1096" s="2728"/>
      <c r="O1096" s="2728"/>
      <c r="P1096" s="2728"/>
      <c r="Q1096" s="2748"/>
      <c r="R1096" s="2748"/>
      <c r="S1096" s="2748"/>
      <c r="T1096" s="2748"/>
      <c r="U1096" s="2748"/>
      <c r="V1096" s="2748"/>
      <c r="W1096" s="2748"/>
      <c r="X1096" s="2748"/>
      <c r="Y1096" s="2748"/>
      <c r="Z1096" s="2748"/>
      <c r="AA1096" s="2748"/>
      <c r="AB1096" s="2748"/>
      <c r="AC1096" s="2748"/>
      <c r="AD1096" s="2748"/>
      <c r="AE1096" s="2748"/>
      <c r="AF1096" s="2748"/>
      <c r="AG1096" s="2748"/>
      <c r="AH1096" s="2748"/>
      <c r="AI1096" s="2748"/>
      <c r="AK1096" s="2748"/>
      <c r="AL1096" s="2748"/>
      <c r="AN1096" s="2748"/>
      <c r="AO1096" s="2748"/>
      <c r="AP1096" s="2748"/>
    </row>
    <row r="1097" spans="2:42" ht="18" customHeight="1">
      <c r="B1097" s="2728"/>
      <c r="C1097" s="2728"/>
      <c r="D1097" s="2728"/>
      <c r="E1097" s="2728"/>
      <c r="G1097" s="2512"/>
      <c r="I1097" s="2748"/>
      <c r="J1097" s="2728"/>
      <c r="L1097" s="2728"/>
      <c r="M1097" s="2748"/>
      <c r="N1097" s="2728"/>
      <c r="O1097" s="2728"/>
      <c r="P1097" s="2728"/>
      <c r="Q1097" s="2748"/>
      <c r="R1097" s="2748"/>
      <c r="S1097" s="2748"/>
      <c r="T1097" s="2748"/>
      <c r="U1097" s="2748"/>
      <c r="V1097" s="2748"/>
      <c r="W1097" s="2748"/>
      <c r="X1097" s="2748"/>
      <c r="Y1097" s="2748"/>
      <c r="Z1097" s="2748"/>
      <c r="AA1097" s="2748"/>
      <c r="AB1097" s="2748"/>
      <c r="AC1097" s="2748"/>
      <c r="AD1097" s="2748"/>
      <c r="AE1097" s="2748"/>
      <c r="AF1097" s="2748"/>
      <c r="AG1097" s="2748"/>
      <c r="AH1097" s="2748"/>
      <c r="AI1097" s="2748"/>
      <c r="AK1097" s="2748"/>
      <c r="AL1097" s="2748"/>
      <c r="AN1097" s="2748"/>
      <c r="AO1097" s="2748"/>
      <c r="AP1097" s="2748"/>
    </row>
    <row r="1098" spans="2:42" ht="18" customHeight="1">
      <c r="B1098" s="2728"/>
      <c r="C1098" s="2728"/>
      <c r="D1098" s="2728"/>
      <c r="E1098" s="2728"/>
      <c r="G1098" s="2512"/>
      <c r="I1098" s="2748"/>
      <c r="J1098" s="2728"/>
      <c r="L1098" s="2728"/>
      <c r="M1098" s="2748"/>
      <c r="N1098" s="2728"/>
      <c r="O1098" s="2728"/>
      <c r="P1098" s="2728"/>
      <c r="Q1098" s="2748"/>
      <c r="R1098" s="2748"/>
      <c r="S1098" s="2748"/>
      <c r="T1098" s="2748"/>
      <c r="U1098" s="2748"/>
      <c r="V1098" s="2748"/>
      <c r="W1098" s="2748"/>
      <c r="X1098" s="2748"/>
      <c r="Y1098" s="2748"/>
      <c r="Z1098" s="2748"/>
      <c r="AA1098" s="2748"/>
      <c r="AB1098" s="2748"/>
      <c r="AC1098" s="2748"/>
      <c r="AD1098" s="2748"/>
      <c r="AE1098" s="2748"/>
      <c r="AF1098" s="2748"/>
      <c r="AG1098" s="2748"/>
      <c r="AH1098" s="2748"/>
      <c r="AI1098" s="2748"/>
      <c r="AK1098" s="2748"/>
      <c r="AL1098" s="2748"/>
      <c r="AN1098" s="2748"/>
      <c r="AO1098" s="2748"/>
      <c r="AP1098" s="2748"/>
    </row>
    <row r="1099" spans="2:42" ht="18" customHeight="1">
      <c r="B1099" s="2728"/>
      <c r="C1099" s="2728"/>
      <c r="D1099" s="2728"/>
      <c r="E1099" s="2728"/>
      <c r="G1099" s="2512"/>
      <c r="I1099" s="2748"/>
      <c r="J1099" s="2728"/>
      <c r="L1099" s="2728"/>
      <c r="M1099" s="2748"/>
      <c r="N1099" s="2728"/>
      <c r="O1099" s="2728"/>
      <c r="P1099" s="2728"/>
      <c r="Q1099" s="2748"/>
      <c r="R1099" s="2748"/>
      <c r="S1099" s="2748"/>
      <c r="T1099" s="2748"/>
      <c r="U1099" s="2748"/>
      <c r="V1099" s="2748"/>
      <c r="W1099" s="2748"/>
      <c r="X1099" s="2748"/>
      <c r="Y1099" s="2748"/>
      <c r="Z1099" s="2748"/>
      <c r="AA1099" s="2748"/>
      <c r="AB1099" s="2748"/>
      <c r="AC1099" s="2748"/>
      <c r="AD1099" s="2748"/>
      <c r="AE1099" s="2748"/>
      <c r="AF1099" s="2748"/>
      <c r="AG1099" s="2748"/>
      <c r="AH1099" s="2748"/>
      <c r="AI1099" s="2748"/>
      <c r="AK1099" s="2748"/>
      <c r="AL1099" s="2748"/>
      <c r="AN1099" s="2748"/>
      <c r="AO1099" s="2748"/>
      <c r="AP1099" s="2748"/>
    </row>
    <row r="1100" spans="2:42" ht="18" customHeight="1">
      <c r="B1100" s="2728"/>
      <c r="C1100" s="2728"/>
      <c r="D1100" s="2728"/>
      <c r="E1100" s="2728"/>
      <c r="G1100" s="2512"/>
      <c r="I1100" s="2748"/>
      <c r="J1100" s="2728"/>
      <c r="L1100" s="2728"/>
      <c r="M1100" s="2748"/>
      <c r="N1100" s="2728"/>
      <c r="O1100" s="2728"/>
      <c r="P1100" s="2728"/>
      <c r="Q1100" s="2748"/>
      <c r="R1100" s="2748"/>
      <c r="S1100" s="2748"/>
      <c r="T1100" s="2748"/>
      <c r="U1100" s="2748"/>
      <c r="V1100" s="2748"/>
      <c r="W1100" s="2748"/>
      <c r="X1100" s="2748"/>
      <c r="Y1100" s="2748"/>
      <c r="Z1100" s="2748"/>
      <c r="AA1100" s="2748"/>
      <c r="AB1100" s="2748"/>
      <c r="AC1100" s="2748"/>
      <c r="AD1100" s="2748"/>
      <c r="AE1100" s="2748"/>
      <c r="AF1100" s="2748"/>
      <c r="AG1100" s="2748"/>
      <c r="AH1100" s="2748"/>
      <c r="AI1100" s="2748"/>
      <c r="AK1100" s="2748"/>
      <c r="AL1100" s="2748"/>
      <c r="AN1100" s="2748"/>
      <c r="AO1100" s="2748"/>
      <c r="AP1100" s="2748"/>
    </row>
    <row r="1101" spans="2:42" ht="18" customHeight="1">
      <c r="B1101" s="2728"/>
      <c r="C1101" s="2728"/>
      <c r="D1101" s="2728"/>
      <c r="E1101" s="2728"/>
      <c r="G1101" s="2512"/>
      <c r="I1101" s="2748"/>
      <c r="J1101" s="2728"/>
      <c r="L1101" s="2728"/>
      <c r="M1101" s="2748"/>
      <c r="N1101" s="2728"/>
      <c r="O1101" s="2728"/>
      <c r="P1101" s="2728"/>
      <c r="Q1101" s="2748"/>
      <c r="R1101" s="2748"/>
      <c r="S1101" s="2748"/>
      <c r="T1101" s="2748"/>
      <c r="U1101" s="2748"/>
      <c r="V1101" s="2748"/>
      <c r="W1101" s="2748"/>
      <c r="X1101" s="2748"/>
      <c r="Y1101" s="2748"/>
      <c r="Z1101" s="2748"/>
      <c r="AA1101" s="2748"/>
      <c r="AB1101" s="2748"/>
      <c r="AC1101" s="2748"/>
      <c r="AD1101" s="2748"/>
      <c r="AE1101" s="2748"/>
      <c r="AF1101" s="2748"/>
      <c r="AG1101" s="2748"/>
      <c r="AH1101" s="2748"/>
      <c r="AI1101" s="2748"/>
      <c r="AK1101" s="2748"/>
      <c r="AL1101" s="2748"/>
      <c r="AN1101" s="2748"/>
      <c r="AO1101" s="2748"/>
      <c r="AP1101" s="2748"/>
    </row>
    <row r="1102" spans="2:42" ht="18" customHeight="1">
      <c r="B1102" s="2728"/>
      <c r="C1102" s="2728"/>
      <c r="D1102" s="2728"/>
      <c r="E1102" s="2728"/>
      <c r="G1102" s="2512"/>
      <c r="I1102" s="2748"/>
      <c r="J1102" s="2728"/>
      <c r="L1102" s="2728"/>
      <c r="M1102" s="2748"/>
      <c r="N1102" s="2728"/>
      <c r="O1102" s="2728"/>
      <c r="P1102" s="2728"/>
      <c r="Q1102" s="2748"/>
      <c r="R1102" s="2748"/>
      <c r="S1102" s="2748"/>
      <c r="T1102" s="2748"/>
      <c r="U1102" s="2748"/>
      <c r="V1102" s="2748"/>
      <c r="W1102" s="2748"/>
      <c r="X1102" s="2748"/>
      <c r="Y1102" s="2748"/>
      <c r="Z1102" s="2748"/>
      <c r="AA1102" s="2748"/>
      <c r="AB1102" s="2748"/>
      <c r="AC1102" s="2748"/>
      <c r="AD1102" s="2748"/>
      <c r="AE1102" s="2748"/>
      <c r="AF1102" s="2748"/>
      <c r="AG1102" s="2748"/>
      <c r="AH1102" s="2748"/>
      <c r="AI1102" s="2748"/>
      <c r="AK1102" s="2748"/>
      <c r="AL1102" s="2748"/>
      <c r="AN1102" s="2748"/>
      <c r="AO1102" s="2748"/>
      <c r="AP1102" s="2748"/>
    </row>
    <row r="1103" spans="2:42" ht="18" customHeight="1">
      <c r="B1103" s="2728"/>
      <c r="C1103" s="2728"/>
      <c r="D1103" s="2728"/>
      <c r="E1103" s="2728"/>
      <c r="G1103" s="2512"/>
      <c r="I1103" s="2748"/>
      <c r="J1103" s="2728"/>
      <c r="L1103" s="2728"/>
      <c r="M1103" s="2748"/>
      <c r="N1103" s="2728"/>
      <c r="O1103" s="2728"/>
      <c r="P1103" s="2728"/>
      <c r="Q1103" s="2748"/>
      <c r="R1103" s="2748"/>
      <c r="S1103" s="2748"/>
      <c r="T1103" s="2748"/>
      <c r="U1103" s="2748"/>
      <c r="V1103" s="2748"/>
      <c r="W1103" s="2748"/>
      <c r="X1103" s="2748"/>
      <c r="Y1103" s="2748"/>
      <c r="Z1103" s="2748"/>
      <c r="AA1103" s="2748"/>
      <c r="AB1103" s="2748"/>
      <c r="AC1103" s="2748"/>
      <c r="AD1103" s="2748"/>
      <c r="AE1103" s="2748"/>
      <c r="AF1103" s="2748"/>
      <c r="AG1103" s="2748"/>
      <c r="AH1103" s="2748"/>
      <c r="AI1103" s="2748"/>
      <c r="AK1103" s="2748"/>
      <c r="AL1103" s="2748"/>
      <c r="AN1103" s="2748"/>
      <c r="AO1103" s="2748"/>
      <c r="AP1103" s="2748"/>
    </row>
    <row r="1104" spans="2:42" ht="18" customHeight="1">
      <c r="B1104" s="2728"/>
      <c r="C1104" s="2728"/>
      <c r="D1104" s="2728"/>
      <c r="E1104" s="2728"/>
      <c r="G1104" s="2512"/>
      <c r="I1104" s="2748"/>
      <c r="J1104" s="2728"/>
      <c r="L1104" s="2728"/>
      <c r="M1104" s="2748"/>
      <c r="N1104" s="2728"/>
      <c r="O1104" s="2728"/>
      <c r="P1104" s="2728"/>
      <c r="Q1104" s="2748"/>
      <c r="R1104" s="2748"/>
      <c r="S1104" s="2748"/>
      <c r="T1104" s="2748"/>
      <c r="U1104" s="2748"/>
      <c r="V1104" s="2748"/>
      <c r="W1104" s="2748"/>
      <c r="X1104" s="2748"/>
      <c r="Y1104" s="2748"/>
      <c r="Z1104" s="2748"/>
      <c r="AA1104" s="2748"/>
      <c r="AB1104" s="2748"/>
      <c r="AC1104" s="2748"/>
      <c r="AD1104" s="2748"/>
      <c r="AE1104" s="2748"/>
      <c r="AF1104" s="2748"/>
      <c r="AG1104" s="2748"/>
      <c r="AH1104" s="2748"/>
      <c r="AI1104" s="2748"/>
      <c r="AK1104" s="2748"/>
      <c r="AL1104" s="2748"/>
      <c r="AN1104" s="2748"/>
      <c r="AO1104" s="2748"/>
      <c r="AP1104" s="2748"/>
    </row>
    <row r="1105" spans="2:42" ht="18" customHeight="1">
      <c r="B1105" s="2728"/>
      <c r="C1105" s="2728"/>
      <c r="D1105" s="2728"/>
      <c r="E1105" s="2728"/>
      <c r="G1105" s="2512"/>
      <c r="I1105" s="2748"/>
      <c r="J1105" s="2728"/>
      <c r="L1105" s="2728"/>
      <c r="M1105" s="2748"/>
      <c r="N1105" s="2728"/>
      <c r="O1105" s="2728"/>
      <c r="P1105" s="2728"/>
      <c r="Q1105" s="2748"/>
      <c r="R1105" s="2748"/>
      <c r="S1105" s="2748"/>
      <c r="T1105" s="2748"/>
      <c r="U1105" s="2748"/>
      <c r="V1105" s="2748"/>
      <c r="W1105" s="2748"/>
      <c r="X1105" s="2748"/>
      <c r="Y1105" s="2748"/>
      <c r="Z1105" s="2748"/>
      <c r="AA1105" s="2748"/>
      <c r="AB1105" s="2748"/>
      <c r="AC1105" s="2748"/>
      <c r="AD1105" s="2748"/>
      <c r="AE1105" s="2748"/>
      <c r="AF1105" s="2748"/>
      <c r="AG1105" s="2748"/>
      <c r="AH1105" s="2748"/>
      <c r="AI1105" s="2748"/>
      <c r="AK1105" s="2748"/>
      <c r="AL1105" s="2748"/>
      <c r="AN1105" s="2748"/>
      <c r="AO1105" s="2748"/>
      <c r="AP1105" s="2748"/>
    </row>
    <row r="1106" spans="2:42" ht="18" customHeight="1">
      <c r="B1106" s="2728"/>
      <c r="C1106" s="2728"/>
      <c r="D1106" s="2728"/>
      <c r="E1106" s="2728"/>
      <c r="G1106" s="2512"/>
      <c r="I1106" s="2748"/>
      <c r="J1106" s="2728"/>
      <c r="L1106" s="2728"/>
      <c r="M1106" s="2748"/>
      <c r="N1106" s="2728"/>
      <c r="O1106" s="2728"/>
      <c r="P1106" s="2728"/>
      <c r="Q1106" s="2748"/>
      <c r="R1106" s="2748"/>
      <c r="S1106" s="2748"/>
      <c r="T1106" s="2748"/>
      <c r="U1106" s="2748"/>
      <c r="V1106" s="2748"/>
      <c r="W1106" s="2748"/>
      <c r="X1106" s="2748"/>
      <c r="Y1106" s="2748"/>
      <c r="Z1106" s="2748"/>
      <c r="AA1106" s="2748"/>
      <c r="AB1106" s="2748"/>
      <c r="AC1106" s="2748"/>
      <c r="AD1106" s="2748"/>
      <c r="AE1106" s="2748"/>
      <c r="AF1106" s="2748"/>
      <c r="AG1106" s="2748"/>
      <c r="AH1106" s="2748"/>
      <c r="AI1106" s="2748"/>
      <c r="AK1106" s="2748"/>
      <c r="AL1106" s="2748"/>
      <c r="AN1106" s="2748"/>
      <c r="AO1106" s="2748"/>
      <c r="AP1106" s="2748"/>
    </row>
    <row r="1107" spans="2:42" ht="18" customHeight="1">
      <c r="B1107" s="2728"/>
      <c r="C1107" s="2728"/>
      <c r="D1107" s="2728"/>
      <c r="E1107" s="2728"/>
      <c r="G1107" s="2512"/>
      <c r="I1107" s="2748"/>
      <c r="J1107" s="2728"/>
      <c r="L1107" s="2728"/>
      <c r="M1107" s="2748"/>
      <c r="N1107" s="2728"/>
      <c r="O1107" s="2728"/>
      <c r="P1107" s="2728"/>
      <c r="Q1107" s="2748"/>
      <c r="R1107" s="2748"/>
      <c r="S1107" s="2748"/>
      <c r="T1107" s="2748"/>
      <c r="U1107" s="2748"/>
      <c r="V1107" s="2748"/>
      <c r="W1107" s="2748"/>
      <c r="X1107" s="2748"/>
      <c r="Y1107" s="2748"/>
      <c r="Z1107" s="2748"/>
      <c r="AA1107" s="2748"/>
      <c r="AB1107" s="2748"/>
      <c r="AC1107" s="2748"/>
      <c r="AD1107" s="2748"/>
      <c r="AE1107" s="2748"/>
      <c r="AF1107" s="2748"/>
      <c r="AG1107" s="2748"/>
      <c r="AH1107" s="2748"/>
      <c r="AI1107" s="2748"/>
      <c r="AK1107" s="2748"/>
      <c r="AL1107" s="2748"/>
      <c r="AN1107" s="2748"/>
      <c r="AO1107" s="2748"/>
      <c r="AP1107" s="2748"/>
    </row>
    <row r="1108" spans="2:42" ht="18" customHeight="1">
      <c r="B1108" s="2728"/>
      <c r="C1108" s="2728"/>
      <c r="D1108" s="2728"/>
      <c r="E1108" s="2728"/>
      <c r="G1108" s="2512"/>
      <c r="I1108" s="2748"/>
      <c r="J1108" s="2728"/>
      <c r="L1108" s="2728"/>
      <c r="M1108" s="2748"/>
      <c r="N1108" s="2728"/>
      <c r="O1108" s="2728"/>
      <c r="P1108" s="2728"/>
      <c r="Q1108" s="2748"/>
      <c r="R1108" s="2748"/>
      <c r="S1108" s="2748"/>
      <c r="T1108" s="2748"/>
      <c r="U1108" s="2748"/>
      <c r="V1108" s="2748"/>
      <c r="W1108" s="2748"/>
      <c r="X1108" s="2748"/>
      <c r="Y1108" s="2748"/>
      <c r="Z1108" s="2748"/>
      <c r="AA1108" s="2748"/>
      <c r="AB1108" s="2748"/>
      <c r="AC1108" s="2748"/>
      <c r="AD1108" s="2748"/>
      <c r="AE1108" s="2748"/>
      <c r="AF1108" s="2748"/>
      <c r="AG1108" s="2748"/>
      <c r="AH1108" s="2748"/>
      <c r="AI1108" s="2748"/>
      <c r="AK1108" s="2748"/>
      <c r="AL1108" s="2748"/>
      <c r="AN1108" s="2748"/>
      <c r="AO1108" s="2748"/>
      <c r="AP1108" s="2748"/>
    </row>
    <row r="1109" spans="2:42" ht="18" customHeight="1">
      <c r="B1109" s="2728"/>
      <c r="C1109" s="2728"/>
      <c r="D1109" s="2728"/>
      <c r="E1109" s="2728"/>
      <c r="G1109" s="2512"/>
      <c r="I1109" s="2748"/>
      <c r="J1109" s="2728"/>
      <c r="L1109" s="2728"/>
      <c r="M1109" s="2748"/>
      <c r="N1109" s="2728"/>
      <c r="O1109" s="2728"/>
      <c r="P1109" s="2728"/>
      <c r="Q1109" s="2748"/>
      <c r="R1109" s="2748"/>
      <c r="S1109" s="2748"/>
      <c r="T1109" s="2748"/>
      <c r="U1109" s="2748"/>
      <c r="V1109" s="2748"/>
      <c r="W1109" s="2748"/>
      <c r="X1109" s="2748"/>
      <c r="Y1109" s="2748"/>
      <c r="Z1109" s="2748"/>
      <c r="AA1109" s="2748"/>
      <c r="AB1109" s="2748"/>
      <c r="AC1109" s="2748"/>
      <c r="AD1109" s="2748"/>
      <c r="AE1109" s="2748"/>
      <c r="AF1109" s="2748"/>
      <c r="AG1109" s="2748"/>
      <c r="AH1109" s="2748"/>
      <c r="AI1109" s="2748"/>
      <c r="AK1109" s="2748"/>
      <c r="AL1109" s="2748"/>
      <c r="AN1109" s="2748"/>
      <c r="AO1109" s="2748"/>
      <c r="AP1109" s="2748"/>
    </row>
    <row r="1110" spans="2:42" ht="18" customHeight="1">
      <c r="B1110" s="2728"/>
      <c r="C1110" s="2728"/>
      <c r="D1110" s="2728"/>
      <c r="E1110" s="2728"/>
      <c r="G1110" s="2512"/>
      <c r="I1110" s="2748"/>
      <c r="J1110" s="2728"/>
      <c r="L1110" s="2728"/>
      <c r="M1110" s="2748"/>
      <c r="N1110" s="2728"/>
      <c r="O1110" s="2728"/>
      <c r="P1110" s="2728"/>
      <c r="Q1110" s="2748"/>
      <c r="R1110" s="2748"/>
      <c r="S1110" s="2748"/>
      <c r="T1110" s="2748"/>
      <c r="U1110" s="2748"/>
      <c r="V1110" s="2748"/>
      <c r="W1110" s="2748"/>
      <c r="X1110" s="2748"/>
      <c r="Y1110" s="2748"/>
      <c r="Z1110" s="2748"/>
      <c r="AA1110" s="2748"/>
      <c r="AB1110" s="2748"/>
      <c r="AC1110" s="2748"/>
      <c r="AD1110" s="2748"/>
      <c r="AE1110" s="2748"/>
      <c r="AF1110" s="2748"/>
      <c r="AG1110" s="2748"/>
      <c r="AH1110" s="2748"/>
      <c r="AI1110" s="2748"/>
      <c r="AK1110" s="2748"/>
      <c r="AL1110" s="2748"/>
      <c r="AN1110" s="2748"/>
      <c r="AO1110" s="2748"/>
      <c r="AP1110" s="2748"/>
    </row>
    <row r="1111" spans="2:42" ht="18" customHeight="1">
      <c r="B1111" s="2728"/>
      <c r="C1111" s="2728"/>
      <c r="D1111" s="2728"/>
      <c r="E1111" s="2728"/>
      <c r="G1111" s="2512"/>
      <c r="I1111" s="2748"/>
      <c r="J1111" s="2728"/>
      <c r="L1111" s="2728"/>
      <c r="M1111" s="2748"/>
      <c r="N1111" s="2728"/>
      <c r="O1111" s="2728"/>
      <c r="P1111" s="2728"/>
      <c r="Q1111" s="2748"/>
      <c r="R1111" s="2748"/>
      <c r="S1111" s="2748"/>
      <c r="T1111" s="2748"/>
      <c r="U1111" s="2748"/>
      <c r="V1111" s="2748"/>
      <c r="W1111" s="2748"/>
      <c r="X1111" s="2748"/>
      <c r="Y1111" s="2748"/>
      <c r="Z1111" s="2748"/>
      <c r="AA1111" s="2748"/>
      <c r="AB1111" s="2748"/>
      <c r="AC1111" s="2748"/>
      <c r="AD1111" s="2748"/>
      <c r="AE1111" s="2748"/>
      <c r="AF1111" s="2748"/>
      <c r="AG1111" s="2748"/>
      <c r="AH1111" s="2748"/>
      <c r="AI1111" s="2748"/>
      <c r="AK1111" s="2748"/>
      <c r="AL1111" s="2748"/>
      <c r="AN1111" s="2748"/>
      <c r="AO1111" s="2748"/>
      <c r="AP1111" s="2748"/>
    </row>
    <row r="1112" spans="2:42" ht="18" customHeight="1">
      <c r="B1112" s="2728"/>
      <c r="C1112" s="2728"/>
      <c r="D1112" s="2728"/>
      <c r="E1112" s="2728"/>
      <c r="G1112" s="2512"/>
      <c r="I1112" s="2748"/>
      <c r="J1112" s="2728"/>
      <c r="L1112" s="2728"/>
      <c r="M1112" s="2748"/>
      <c r="N1112" s="2728"/>
      <c r="O1112" s="2728"/>
      <c r="P1112" s="2728"/>
      <c r="Q1112" s="2748"/>
      <c r="R1112" s="2748"/>
      <c r="S1112" s="2748"/>
      <c r="T1112" s="2748"/>
      <c r="U1112" s="2748"/>
      <c r="V1112" s="2748"/>
      <c r="W1112" s="2748"/>
      <c r="X1112" s="2748"/>
      <c r="Y1112" s="2748"/>
      <c r="Z1112" s="2748"/>
      <c r="AA1112" s="2748"/>
      <c r="AB1112" s="2748"/>
      <c r="AC1112" s="2748"/>
      <c r="AD1112" s="2748"/>
      <c r="AE1112" s="2748"/>
      <c r="AF1112" s="2748"/>
      <c r="AG1112" s="2748"/>
      <c r="AH1112" s="2748"/>
      <c r="AI1112" s="2748"/>
      <c r="AK1112" s="2748"/>
      <c r="AL1112" s="2748"/>
      <c r="AN1112" s="2748"/>
      <c r="AO1112" s="2748"/>
      <c r="AP1112" s="2748"/>
    </row>
    <row r="1113" spans="2:42" ht="18" customHeight="1">
      <c r="B1113" s="2728"/>
      <c r="C1113" s="2728"/>
      <c r="D1113" s="2728"/>
      <c r="E1113" s="2728"/>
      <c r="G1113" s="2512"/>
      <c r="I1113" s="2748"/>
      <c r="J1113" s="2728"/>
      <c r="L1113" s="2728"/>
      <c r="M1113" s="2748"/>
      <c r="N1113" s="2728"/>
      <c r="O1113" s="2728"/>
      <c r="P1113" s="2728"/>
      <c r="Q1113" s="2748"/>
      <c r="R1113" s="2748"/>
      <c r="S1113" s="2748"/>
      <c r="T1113" s="2748"/>
      <c r="U1113" s="2748"/>
      <c r="V1113" s="2748"/>
      <c r="W1113" s="2748"/>
      <c r="X1113" s="2748"/>
      <c r="Y1113" s="2748"/>
      <c r="Z1113" s="2748"/>
      <c r="AA1113" s="2748"/>
      <c r="AB1113" s="2748"/>
      <c r="AC1113" s="2748"/>
      <c r="AD1113" s="2748"/>
      <c r="AE1113" s="2748"/>
      <c r="AF1113" s="2748"/>
      <c r="AG1113" s="2748"/>
      <c r="AH1113" s="2748"/>
      <c r="AI1113" s="2748"/>
      <c r="AK1113" s="2748"/>
      <c r="AL1113" s="2748"/>
      <c r="AN1113" s="2748"/>
      <c r="AO1113" s="2748"/>
      <c r="AP1113" s="2748"/>
    </row>
    <row r="1114" spans="2:42" ht="18" customHeight="1">
      <c r="B1114" s="2728"/>
      <c r="C1114" s="2728"/>
      <c r="D1114" s="2728"/>
      <c r="E1114" s="2728"/>
      <c r="G1114" s="2512"/>
      <c r="I1114" s="2748"/>
      <c r="J1114" s="2728"/>
      <c r="L1114" s="2728"/>
      <c r="M1114" s="2748"/>
      <c r="N1114" s="2728"/>
      <c r="O1114" s="2728"/>
      <c r="P1114" s="2728"/>
      <c r="Q1114" s="2748"/>
      <c r="R1114" s="2748"/>
      <c r="S1114" s="2748"/>
      <c r="T1114" s="2748"/>
      <c r="U1114" s="2748"/>
      <c r="V1114" s="2748"/>
      <c r="W1114" s="2748"/>
      <c r="X1114" s="2748"/>
      <c r="Y1114" s="2748"/>
      <c r="Z1114" s="2748"/>
      <c r="AA1114" s="2748"/>
      <c r="AB1114" s="2748"/>
      <c r="AC1114" s="2748"/>
      <c r="AD1114" s="2748"/>
      <c r="AE1114" s="2748"/>
      <c r="AF1114" s="2748"/>
      <c r="AG1114" s="2748"/>
      <c r="AH1114" s="2748"/>
      <c r="AI1114" s="2748"/>
      <c r="AK1114" s="2748"/>
      <c r="AL1114" s="2748"/>
      <c r="AN1114" s="2748"/>
      <c r="AO1114" s="2748"/>
      <c r="AP1114" s="2748"/>
    </row>
    <row r="1115" spans="2:42" ht="18" customHeight="1">
      <c r="B1115" s="2728"/>
      <c r="C1115" s="2728"/>
      <c r="D1115" s="2728"/>
      <c r="E1115" s="2728"/>
      <c r="G1115" s="2512"/>
      <c r="I1115" s="2748"/>
      <c r="J1115" s="2728"/>
      <c r="L1115" s="2728"/>
      <c r="M1115" s="2748"/>
      <c r="N1115" s="2728"/>
      <c r="O1115" s="2728"/>
      <c r="P1115" s="2728"/>
      <c r="Q1115" s="2748"/>
      <c r="R1115" s="2748"/>
      <c r="S1115" s="2748"/>
      <c r="T1115" s="2748"/>
      <c r="U1115" s="2748"/>
      <c r="V1115" s="2748"/>
      <c r="W1115" s="2748"/>
      <c r="X1115" s="2748"/>
      <c r="Y1115" s="2748"/>
      <c r="Z1115" s="2748"/>
      <c r="AA1115" s="2748"/>
      <c r="AB1115" s="2748"/>
      <c r="AC1115" s="2748"/>
      <c r="AD1115" s="2748"/>
      <c r="AE1115" s="2748"/>
      <c r="AF1115" s="2748"/>
      <c r="AG1115" s="2748"/>
      <c r="AH1115" s="2748"/>
      <c r="AI1115" s="2748"/>
      <c r="AK1115" s="2748"/>
      <c r="AL1115" s="2748"/>
      <c r="AN1115" s="2748"/>
      <c r="AO1115" s="2748"/>
      <c r="AP1115" s="2748"/>
    </row>
    <row r="1116" spans="2:42" ht="18" customHeight="1">
      <c r="B1116" s="2728"/>
      <c r="C1116" s="2728"/>
      <c r="D1116" s="2728"/>
      <c r="E1116" s="2728"/>
      <c r="G1116" s="2512"/>
      <c r="I1116" s="2748"/>
      <c r="J1116" s="2728"/>
      <c r="L1116" s="2728"/>
      <c r="M1116" s="2748"/>
      <c r="N1116" s="2728"/>
      <c r="O1116" s="2728"/>
      <c r="P1116" s="2728"/>
      <c r="Q1116" s="2748"/>
      <c r="R1116" s="2748"/>
      <c r="S1116" s="2748"/>
      <c r="T1116" s="2748"/>
      <c r="U1116" s="2748"/>
      <c r="V1116" s="2748"/>
      <c r="W1116" s="2748"/>
      <c r="X1116" s="2748"/>
      <c r="Y1116" s="2748"/>
      <c r="Z1116" s="2748"/>
      <c r="AA1116" s="2748"/>
      <c r="AB1116" s="2748"/>
      <c r="AC1116" s="2748"/>
      <c r="AD1116" s="2748"/>
      <c r="AE1116" s="2748"/>
      <c r="AF1116" s="2748"/>
      <c r="AG1116" s="2748"/>
      <c r="AH1116" s="2748"/>
      <c r="AI1116" s="2748"/>
      <c r="AK1116" s="2748"/>
      <c r="AL1116" s="2748"/>
      <c r="AN1116" s="2748"/>
      <c r="AO1116" s="2748"/>
      <c r="AP1116" s="2748"/>
    </row>
    <row r="1117" spans="2:42" ht="18" customHeight="1">
      <c r="B1117" s="2728"/>
      <c r="C1117" s="2728"/>
      <c r="D1117" s="2728"/>
      <c r="E1117" s="2728"/>
      <c r="G1117" s="2512"/>
      <c r="I1117" s="2748"/>
      <c r="J1117" s="2728"/>
      <c r="L1117" s="2728"/>
      <c r="M1117" s="2748"/>
      <c r="N1117" s="2728"/>
      <c r="O1117" s="2728"/>
      <c r="P1117" s="2728"/>
      <c r="Q1117" s="2748"/>
      <c r="R1117" s="2748"/>
      <c r="S1117" s="2748"/>
      <c r="T1117" s="2748"/>
      <c r="U1117" s="2748"/>
      <c r="V1117" s="2748"/>
      <c r="W1117" s="2748"/>
      <c r="X1117" s="2748"/>
      <c r="Y1117" s="2748"/>
      <c r="Z1117" s="2748"/>
      <c r="AA1117" s="2748"/>
      <c r="AB1117" s="2748"/>
      <c r="AC1117" s="2748"/>
      <c r="AD1117" s="2748"/>
      <c r="AE1117" s="2748"/>
      <c r="AF1117" s="2748"/>
      <c r="AG1117" s="2748"/>
      <c r="AH1117" s="2748"/>
      <c r="AI1117" s="2748"/>
      <c r="AK1117" s="2748"/>
      <c r="AL1117" s="2748"/>
      <c r="AN1117" s="2748"/>
      <c r="AO1117" s="2748"/>
      <c r="AP1117" s="2748"/>
    </row>
    <row r="1118" spans="2:42" ht="18" customHeight="1">
      <c r="B1118" s="2728"/>
      <c r="C1118" s="2728"/>
      <c r="D1118" s="2728"/>
      <c r="E1118" s="2728"/>
      <c r="G1118" s="2512"/>
      <c r="I1118" s="2748"/>
      <c r="J1118" s="2728"/>
      <c r="L1118" s="2728"/>
      <c r="M1118" s="2748"/>
      <c r="N1118" s="2728"/>
      <c r="O1118" s="2728"/>
      <c r="P1118" s="2728"/>
      <c r="Q1118" s="2748"/>
      <c r="R1118" s="2748"/>
      <c r="S1118" s="2748"/>
      <c r="T1118" s="2748"/>
      <c r="U1118" s="2748"/>
      <c r="V1118" s="2748"/>
      <c r="W1118" s="2748"/>
      <c r="X1118" s="2748"/>
      <c r="Y1118" s="2748"/>
      <c r="Z1118" s="2748"/>
      <c r="AA1118" s="2748"/>
      <c r="AB1118" s="2748"/>
      <c r="AC1118" s="2748"/>
      <c r="AD1118" s="2748"/>
      <c r="AE1118" s="2748"/>
      <c r="AF1118" s="2748"/>
      <c r="AG1118" s="2748"/>
      <c r="AH1118" s="2748"/>
      <c r="AI1118" s="2748"/>
      <c r="AK1118" s="2748"/>
      <c r="AL1118" s="2748"/>
      <c r="AN1118" s="2748"/>
      <c r="AO1118" s="2748"/>
      <c r="AP1118" s="2748"/>
    </row>
    <row r="1119" spans="2:42" ht="18" customHeight="1">
      <c r="B1119" s="2728"/>
      <c r="C1119" s="2728"/>
      <c r="D1119" s="2728"/>
      <c r="E1119" s="2728"/>
      <c r="G1119" s="2512"/>
      <c r="I1119" s="2748"/>
      <c r="J1119" s="2728"/>
      <c r="L1119" s="2728"/>
      <c r="M1119" s="2748"/>
      <c r="N1119" s="2728"/>
      <c r="O1119" s="2728"/>
      <c r="P1119" s="2728"/>
      <c r="Q1119" s="2748"/>
      <c r="R1119" s="2748"/>
      <c r="S1119" s="2748"/>
      <c r="T1119" s="2748"/>
      <c r="U1119" s="2748"/>
      <c r="V1119" s="2748"/>
      <c r="W1119" s="2748"/>
      <c r="X1119" s="2748"/>
      <c r="Y1119" s="2748"/>
      <c r="Z1119" s="2748"/>
      <c r="AA1119" s="2748"/>
      <c r="AB1119" s="2748"/>
      <c r="AC1119" s="2748"/>
      <c r="AD1119" s="2748"/>
      <c r="AE1119" s="2748"/>
      <c r="AF1119" s="2748"/>
      <c r="AG1119" s="2748"/>
      <c r="AH1119" s="2748"/>
      <c r="AI1119" s="2748"/>
      <c r="AK1119" s="2748"/>
      <c r="AL1119" s="2748"/>
      <c r="AN1119" s="2748"/>
      <c r="AO1119" s="2748"/>
      <c r="AP1119" s="2748"/>
    </row>
    <row r="1120" spans="2:42" ht="18" customHeight="1">
      <c r="B1120" s="2728"/>
      <c r="C1120" s="2728"/>
      <c r="D1120" s="2728"/>
      <c r="E1120" s="2728"/>
      <c r="G1120" s="2512"/>
      <c r="I1120" s="2748"/>
      <c r="J1120" s="2728"/>
      <c r="L1120" s="2728"/>
      <c r="M1120" s="2748"/>
      <c r="N1120" s="2728"/>
      <c r="O1120" s="2728"/>
      <c r="P1120" s="2728"/>
      <c r="Q1120" s="2748"/>
      <c r="R1120" s="2748"/>
      <c r="S1120" s="2748"/>
      <c r="T1120" s="2748"/>
      <c r="U1120" s="2748"/>
      <c r="V1120" s="2748"/>
      <c r="W1120" s="2748"/>
      <c r="X1120" s="2748"/>
      <c r="Y1120" s="2748"/>
      <c r="Z1120" s="2748"/>
      <c r="AA1120" s="2748"/>
      <c r="AB1120" s="2748"/>
      <c r="AC1120" s="2748"/>
      <c r="AD1120" s="2748"/>
      <c r="AE1120" s="2748"/>
      <c r="AF1120" s="2748"/>
      <c r="AG1120" s="2748"/>
      <c r="AH1120" s="2748"/>
      <c r="AI1120" s="2748"/>
      <c r="AK1120" s="2748"/>
      <c r="AL1120" s="2748"/>
      <c r="AN1120" s="2748"/>
      <c r="AO1120" s="2748"/>
      <c r="AP1120" s="2748"/>
    </row>
    <row r="1121" spans="2:42" ht="18" customHeight="1">
      <c r="B1121" s="2728"/>
      <c r="C1121" s="2728"/>
      <c r="D1121" s="2728"/>
      <c r="E1121" s="2728"/>
      <c r="G1121" s="2512"/>
      <c r="I1121" s="2748"/>
      <c r="J1121" s="2728"/>
      <c r="L1121" s="2728"/>
      <c r="M1121" s="2748"/>
      <c r="N1121" s="2728"/>
      <c r="O1121" s="2728"/>
      <c r="P1121" s="2728"/>
      <c r="Q1121" s="2748"/>
      <c r="R1121" s="2748"/>
      <c r="S1121" s="2748"/>
      <c r="T1121" s="2748"/>
      <c r="U1121" s="2748"/>
      <c r="V1121" s="2748"/>
      <c r="W1121" s="2748"/>
      <c r="X1121" s="2748"/>
      <c r="Y1121" s="2748"/>
      <c r="Z1121" s="2748"/>
      <c r="AA1121" s="2748"/>
      <c r="AB1121" s="2748"/>
      <c r="AC1121" s="2748"/>
      <c r="AD1121" s="2748"/>
      <c r="AE1121" s="2748"/>
      <c r="AF1121" s="2748"/>
      <c r="AG1121" s="2748"/>
      <c r="AH1121" s="2748"/>
      <c r="AI1121" s="2748"/>
      <c r="AK1121" s="2748"/>
      <c r="AL1121" s="2748"/>
      <c r="AN1121" s="2748"/>
      <c r="AO1121" s="2748"/>
      <c r="AP1121" s="2748"/>
    </row>
    <row r="1122" spans="2:42" ht="18" customHeight="1">
      <c r="B1122" s="2728"/>
      <c r="C1122" s="2728"/>
      <c r="D1122" s="2728"/>
      <c r="E1122" s="2728"/>
      <c r="G1122" s="2512"/>
      <c r="I1122" s="2748"/>
      <c r="J1122" s="2728"/>
      <c r="L1122" s="2728"/>
      <c r="M1122" s="2748"/>
      <c r="N1122" s="2728"/>
      <c r="O1122" s="2728"/>
      <c r="P1122" s="2728"/>
      <c r="Q1122" s="2748"/>
      <c r="R1122" s="2748"/>
      <c r="S1122" s="2748"/>
      <c r="T1122" s="2748"/>
      <c r="U1122" s="2748"/>
      <c r="V1122" s="2748"/>
      <c r="W1122" s="2748"/>
      <c r="X1122" s="2748"/>
      <c r="Y1122" s="2748"/>
      <c r="Z1122" s="2748"/>
      <c r="AA1122" s="2748"/>
      <c r="AB1122" s="2748"/>
      <c r="AC1122" s="2748"/>
      <c r="AD1122" s="2748"/>
      <c r="AE1122" s="2748"/>
      <c r="AF1122" s="2748"/>
      <c r="AG1122" s="2748"/>
      <c r="AH1122" s="2748"/>
      <c r="AI1122" s="2748"/>
      <c r="AK1122" s="2748"/>
      <c r="AL1122" s="2748"/>
      <c r="AN1122" s="2748"/>
      <c r="AO1122" s="2748"/>
      <c r="AP1122" s="2748"/>
    </row>
    <row r="1123" spans="2:42" ht="18" customHeight="1">
      <c r="B1123" s="2728"/>
      <c r="C1123" s="2728"/>
      <c r="D1123" s="2728"/>
      <c r="E1123" s="2728"/>
      <c r="G1123" s="2512"/>
      <c r="I1123" s="2748"/>
      <c r="J1123" s="2728"/>
      <c r="L1123" s="2728"/>
      <c r="M1123" s="2748"/>
      <c r="N1123" s="2728"/>
      <c r="O1123" s="2728"/>
      <c r="P1123" s="2728"/>
      <c r="Q1123" s="2748"/>
      <c r="R1123" s="2748"/>
      <c r="S1123" s="2748"/>
      <c r="T1123" s="2748"/>
      <c r="U1123" s="2748"/>
      <c r="V1123" s="2748"/>
      <c r="W1123" s="2748"/>
      <c r="X1123" s="2748"/>
      <c r="Y1123" s="2748"/>
      <c r="Z1123" s="2748"/>
      <c r="AA1123" s="2748"/>
      <c r="AB1123" s="2748"/>
      <c r="AC1123" s="2748"/>
      <c r="AD1123" s="2748"/>
      <c r="AE1123" s="2748"/>
      <c r="AF1123" s="2748"/>
      <c r="AG1123" s="2748"/>
      <c r="AH1123" s="2748"/>
      <c r="AI1123" s="2748"/>
      <c r="AK1123" s="2748"/>
      <c r="AL1123" s="2748"/>
      <c r="AN1123" s="2748"/>
      <c r="AO1123" s="2748"/>
      <c r="AP1123" s="2748"/>
    </row>
    <row r="1124" spans="2:42" ht="18" customHeight="1">
      <c r="B1124" s="2728"/>
      <c r="C1124" s="2728"/>
      <c r="D1124" s="2728"/>
      <c r="E1124" s="2728"/>
      <c r="G1124" s="2512"/>
      <c r="I1124" s="2748"/>
      <c r="J1124" s="2728"/>
      <c r="L1124" s="2728"/>
      <c r="M1124" s="2748"/>
      <c r="N1124" s="2728"/>
      <c r="O1124" s="2728"/>
      <c r="P1124" s="2728"/>
      <c r="Q1124" s="2748"/>
      <c r="R1124" s="2748"/>
      <c r="S1124" s="2748"/>
      <c r="T1124" s="2748"/>
      <c r="U1124" s="2748"/>
      <c r="V1124" s="2748"/>
      <c r="W1124" s="2748"/>
      <c r="X1124" s="2748"/>
      <c r="Y1124" s="2748"/>
      <c r="Z1124" s="2748"/>
      <c r="AA1124" s="2748"/>
      <c r="AB1124" s="2748"/>
      <c r="AC1124" s="2748"/>
      <c r="AD1124" s="2748"/>
      <c r="AE1124" s="2748"/>
      <c r="AF1124" s="2748"/>
      <c r="AG1124" s="2748"/>
      <c r="AH1124" s="2748"/>
      <c r="AI1124" s="2748"/>
      <c r="AK1124" s="2748"/>
      <c r="AL1124" s="2748"/>
      <c r="AN1124" s="2748"/>
      <c r="AO1124" s="2748"/>
      <c r="AP1124" s="2748"/>
    </row>
    <row r="1125" spans="2:42" ht="18" customHeight="1">
      <c r="B1125" s="2728"/>
      <c r="C1125" s="2728"/>
      <c r="D1125" s="2728"/>
      <c r="E1125" s="2728"/>
      <c r="G1125" s="2512"/>
      <c r="I1125" s="2748"/>
      <c r="J1125" s="2728"/>
      <c r="L1125" s="2728"/>
      <c r="M1125" s="2748"/>
      <c r="N1125" s="2728"/>
      <c r="O1125" s="2728"/>
      <c r="P1125" s="2728"/>
      <c r="Q1125" s="2748"/>
      <c r="R1125" s="2748"/>
      <c r="S1125" s="2748"/>
      <c r="T1125" s="2748"/>
      <c r="U1125" s="2748"/>
      <c r="V1125" s="2748"/>
      <c r="W1125" s="2748"/>
      <c r="X1125" s="2748"/>
      <c r="Y1125" s="2748"/>
      <c r="Z1125" s="2748"/>
      <c r="AA1125" s="2748"/>
      <c r="AB1125" s="2748"/>
      <c r="AC1125" s="2748"/>
      <c r="AD1125" s="2748"/>
      <c r="AE1125" s="2748"/>
      <c r="AF1125" s="2748"/>
      <c r="AG1125" s="2748"/>
      <c r="AH1125" s="2748"/>
      <c r="AI1125" s="2748"/>
      <c r="AK1125" s="2748"/>
      <c r="AL1125" s="2748"/>
      <c r="AN1125" s="2748"/>
      <c r="AO1125" s="2748"/>
      <c r="AP1125" s="2748"/>
    </row>
    <row r="1126" spans="2:42" ht="18" customHeight="1">
      <c r="B1126" s="2728"/>
      <c r="C1126" s="2728"/>
      <c r="D1126" s="2728"/>
      <c r="E1126" s="2728"/>
      <c r="G1126" s="2512"/>
      <c r="I1126" s="2748"/>
      <c r="J1126" s="2728"/>
      <c r="L1126" s="2728"/>
      <c r="M1126" s="2748"/>
      <c r="N1126" s="2728"/>
      <c r="O1126" s="2728"/>
      <c r="P1126" s="2728"/>
      <c r="Q1126" s="2748"/>
      <c r="R1126" s="2748"/>
      <c r="S1126" s="2748"/>
      <c r="T1126" s="2748"/>
      <c r="U1126" s="2748"/>
      <c r="V1126" s="2748"/>
      <c r="W1126" s="2748"/>
      <c r="X1126" s="2748"/>
      <c r="Y1126" s="2748"/>
      <c r="Z1126" s="2748"/>
      <c r="AA1126" s="2748"/>
      <c r="AB1126" s="2748"/>
      <c r="AC1126" s="2748"/>
      <c r="AD1126" s="2748"/>
      <c r="AE1126" s="2748"/>
      <c r="AF1126" s="2748"/>
      <c r="AG1126" s="2748"/>
      <c r="AH1126" s="2748"/>
      <c r="AI1126" s="2748"/>
      <c r="AK1126" s="2748"/>
      <c r="AL1126" s="2748"/>
      <c r="AN1126" s="2748"/>
      <c r="AO1126" s="2748"/>
      <c r="AP1126" s="2748"/>
    </row>
    <row r="1127" spans="2:42" ht="18" customHeight="1">
      <c r="B1127" s="2728"/>
      <c r="C1127" s="2728"/>
      <c r="D1127" s="2728"/>
      <c r="E1127" s="2728"/>
      <c r="G1127" s="2512"/>
      <c r="I1127" s="2748"/>
      <c r="J1127" s="2728"/>
      <c r="L1127" s="2728"/>
      <c r="M1127" s="2748"/>
      <c r="N1127" s="2728"/>
      <c r="O1127" s="2728"/>
      <c r="P1127" s="2728"/>
      <c r="Q1127" s="2748"/>
      <c r="R1127" s="2748"/>
      <c r="S1127" s="2748"/>
      <c r="T1127" s="2748"/>
      <c r="U1127" s="2748"/>
      <c r="V1127" s="2748"/>
      <c r="W1127" s="2748"/>
      <c r="X1127" s="2748"/>
      <c r="Y1127" s="2748"/>
      <c r="Z1127" s="2748"/>
      <c r="AA1127" s="2748"/>
      <c r="AB1127" s="2748"/>
      <c r="AC1127" s="2748"/>
      <c r="AD1127" s="2748"/>
      <c r="AE1127" s="2748"/>
      <c r="AF1127" s="2748"/>
      <c r="AG1127" s="2748"/>
      <c r="AH1127" s="2748"/>
      <c r="AI1127" s="2748"/>
      <c r="AK1127" s="2748"/>
      <c r="AL1127" s="2748"/>
      <c r="AN1127" s="2748"/>
      <c r="AO1127" s="2748"/>
      <c r="AP1127" s="2748"/>
    </row>
    <row r="1128" spans="2:42" ht="18" customHeight="1">
      <c r="B1128" s="2728"/>
      <c r="C1128" s="2728"/>
      <c r="D1128" s="2728"/>
      <c r="E1128" s="2728"/>
      <c r="G1128" s="2512"/>
      <c r="I1128" s="2748"/>
      <c r="J1128" s="2728"/>
      <c r="L1128" s="2728"/>
      <c r="M1128" s="2748"/>
      <c r="N1128" s="2728"/>
      <c r="O1128" s="2728"/>
      <c r="P1128" s="2728"/>
      <c r="Q1128" s="2748"/>
      <c r="R1128" s="2748"/>
      <c r="S1128" s="2748"/>
      <c r="T1128" s="2748"/>
      <c r="U1128" s="2748"/>
      <c r="V1128" s="2748"/>
      <c r="W1128" s="2748"/>
      <c r="X1128" s="2748"/>
      <c r="Y1128" s="2748"/>
      <c r="Z1128" s="2748"/>
      <c r="AA1128" s="2748"/>
      <c r="AB1128" s="2748"/>
      <c r="AC1128" s="2748"/>
      <c r="AD1128" s="2748"/>
      <c r="AE1128" s="2748"/>
      <c r="AF1128" s="2748"/>
      <c r="AG1128" s="2748"/>
      <c r="AH1128" s="2748"/>
      <c r="AI1128" s="2748"/>
      <c r="AK1128" s="2748"/>
      <c r="AL1128" s="2748"/>
      <c r="AN1128" s="2748"/>
      <c r="AO1128" s="2748"/>
      <c r="AP1128" s="2748"/>
    </row>
    <row r="1129" spans="2:42" ht="18" customHeight="1">
      <c r="B1129" s="2728"/>
      <c r="C1129" s="2728"/>
      <c r="D1129" s="2728"/>
      <c r="E1129" s="2728"/>
      <c r="G1129" s="2512"/>
      <c r="I1129" s="2748"/>
      <c r="J1129" s="2728"/>
      <c r="L1129" s="2728"/>
      <c r="M1129" s="2748"/>
      <c r="N1129" s="2728"/>
      <c r="O1129" s="2728"/>
      <c r="P1129" s="2728"/>
      <c r="Q1129" s="2748"/>
      <c r="R1129" s="2748"/>
      <c r="S1129" s="2748"/>
      <c r="T1129" s="2748"/>
      <c r="U1129" s="2748"/>
      <c r="V1129" s="2748"/>
      <c r="W1129" s="2748"/>
      <c r="X1129" s="2748"/>
      <c r="Y1129" s="2748"/>
      <c r="Z1129" s="2748"/>
      <c r="AA1129" s="2748"/>
      <c r="AB1129" s="2748"/>
      <c r="AC1129" s="2748"/>
      <c r="AD1129" s="2748"/>
      <c r="AE1129" s="2748"/>
      <c r="AF1129" s="2748"/>
      <c r="AG1129" s="2748"/>
      <c r="AH1129" s="2748"/>
      <c r="AI1129" s="2748"/>
      <c r="AK1129" s="2748"/>
      <c r="AL1129" s="2748"/>
      <c r="AN1129" s="2748"/>
      <c r="AO1129" s="2748"/>
      <c r="AP1129" s="2748"/>
    </row>
    <row r="1130" spans="2:42" ht="18" customHeight="1">
      <c r="B1130" s="2728"/>
      <c r="C1130" s="2728"/>
      <c r="D1130" s="2728"/>
      <c r="E1130" s="2728"/>
      <c r="G1130" s="2512"/>
      <c r="I1130" s="2748"/>
      <c r="J1130" s="2728"/>
      <c r="L1130" s="2728"/>
      <c r="M1130" s="2748"/>
      <c r="N1130" s="2728"/>
      <c r="O1130" s="2728"/>
      <c r="P1130" s="2728"/>
      <c r="Q1130" s="2748"/>
      <c r="R1130" s="2748"/>
      <c r="S1130" s="2748"/>
      <c r="T1130" s="2748"/>
      <c r="U1130" s="2748"/>
      <c r="V1130" s="2748"/>
      <c r="W1130" s="2748"/>
      <c r="X1130" s="2748"/>
      <c r="Y1130" s="2748"/>
      <c r="Z1130" s="2748"/>
      <c r="AA1130" s="2748"/>
      <c r="AB1130" s="2748"/>
      <c r="AC1130" s="2748"/>
      <c r="AD1130" s="2748"/>
      <c r="AE1130" s="2748"/>
      <c r="AF1130" s="2748"/>
      <c r="AG1130" s="2748"/>
      <c r="AH1130" s="2748"/>
      <c r="AI1130" s="2748"/>
      <c r="AK1130" s="2748"/>
      <c r="AL1130" s="2748"/>
      <c r="AN1130" s="2748"/>
      <c r="AO1130" s="2748"/>
      <c r="AP1130" s="2748"/>
    </row>
    <row r="1131" spans="2:42" ht="18" customHeight="1">
      <c r="B1131" s="2728"/>
      <c r="C1131" s="2728"/>
      <c r="D1131" s="2728"/>
      <c r="E1131" s="2728"/>
      <c r="G1131" s="2512"/>
      <c r="I1131" s="2748"/>
      <c r="J1131" s="2728"/>
      <c r="L1131" s="2728"/>
      <c r="M1131" s="2748"/>
      <c r="N1131" s="2728"/>
      <c r="O1131" s="2728"/>
      <c r="P1131" s="2728"/>
      <c r="Q1131" s="2748"/>
      <c r="R1131" s="2748"/>
      <c r="S1131" s="2748"/>
      <c r="T1131" s="2748"/>
      <c r="U1131" s="2748"/>
      <c r="V1131" s="2748"/>
      <c r="W1131" s="2748"/>
      <c r="X1131" s="2748"/>
      <c r="Y1131" s="2748"/>
      <c r="Z1131" s="2748"/>
      <c r="AA1131" s="2748"/>
      <c r="AB1131" s="2748"/>
      <c r="AC1131" s="2748"/>
      <c r="AD1131" s="2748"/>
      <c r="AE1131" s="2748"/>
      <c r="AF1131" s="2748"/>
      <c r="AG1131" s="2748"/>
      <c r="AH1131" s="2748"/>
      <c r="AI1131" s="2748"/>
      <c r="AK1131" s="2748"/>
      <c r="AL1131" s="2748"/>
      <c r="AN1131" s="2748"/>
      <c r="AO1131" s="2748"/>
      <c r="AP1131" s="2748"/>
    </row>
    <row r="1132" spans="2:42" ht="18" customHeight="1">
      <c r="B1132" s="2728"/>
      <c r="C1132" s="2728"/>
      <c r="D1132" s="2728"/>
      <c r="E1132" s="2728"/>
      <c r="G1132" s="2512"/>
      <c r="I1132" s="2748"/>
      <c r="J1132" s="2728"/>
      <c r="L1132" s="2728"/>
      <c r="M1132" s="2748"/>
      <c r="N1132" s="2728"/>
      <c r="O1132" s="2728"/>
      <c r="P1132" s="2728"/>
      <c r="Q1132" s="2748"/>
      <c r="R1132" s="2748"/>
      <c r="S1132" s="2748"/>
      <c r="T1132" s="2748"/>
      <c r="U1132" s="2748"/>
      <c r="V1132" s="2748"/>
      <c r="W1132" s="2748"/>
      <c r="X1132" s="2748"/>
      <c r="Y1132" s="2748"/>
      <c r="Z1132" s="2748"/>
      <c r="AA1132" s="2748"/>
      <c r="AB1132" s="2748"/>
      <c r="AC1132" s="2748"/>
      <c r="AD1132" s="2748"/>
      <c r="AE1132" s="2748"/>
      <c r="AF1132" s="2748"/>
      <c r="AG1132" s="2748"/>
      <c r="AH1132" s="2748"/>
      <c r="AI1132" s="2748"/>
      <c r="AK1132" s="2748"/>
      <c r="AL1132" s="2748"/>
      <c r="AN1132" s="2748"/>
      <c r="AO1132" s="2748"/>
      <c r="AP1132" s="2748"/>
    </row>
    <row r="1133" spans="2:42" ht="18" customHeight="1">
      <c r="B1133" s="2728"/>
      <c r="C1133" s="2728"/>
      <c r="D1133" s="2728"/>
      <c r="E1133" s="2728"/>
      <c r="G1133" s="2512"/>
      <c r="I1133" s="2748"/>
      <c r="J1133" s="2728"/>
      <c r="L1133" s="2728"/>
      <c r="M1133" s="2748"/>
      <c r="N1133" s="2728"/>
      <c r="O1133" s="2728"/>
      <c r="P1133" s="2728"/>
      <c r="Q1133" s="2748"/>
      <c r="R1133" s="2748"/>
      <c r="S1133" s="2748"/>
      <c r="T1133" s="2748"/>
      <c r="U1133" s="2748"/>
      <c r="V1133" s="2748"/>
      <c r="W1133" s="2748"/>
      <c r="X1133" s="2748"/>
      <c r="Y1133" s="2748"/>
      <c r="Z1133" s="2748"/>
      <c r="AA1133" s="2748"/>
      <c r="AB1133" s="2748"/>
      <c r="AC1133" s="2748"/>
      <c r="AD1133" s="2748"/>
      <c r="AE1133" s="2748"/>
      <c r="AF1133" s="2748"/>
      <c r="AG1133" s="2748"/>
      <c r="AH1133" s="2748"/>
      <c r="AI1133" s="2748"/>
      <c r="AK1133" s="2748"/>
      <c r="AL1133" s="2748"/>
      <c r="AN1133" s="2748"/>
      <c r="AO1133" s="2748"/>
      <c r="AP1133" s="2748"/>
    </row>
    <row r="1134" spans="2:42" ht="18" customHeight="1">
      <c r="B1134" s="2728"/>
      <c r="C1134" s="2728"/>
      <c r="D1134" s="2728"/>
      <c r="E1134" s="2728"/>
      <c r="G1134" s="2512"/>
      <c r="I1134" s="2748"/>
      <c r="J1134" s="2728"/>
      <c r="L1134" s="2728"/>
      <c r="M1134" s="2748"/>
      <c r="N1134" s="2728"/>
      <c r="O1134" s="2728"/>
      <c r="P1134" s="2728"/>
      <c r="Q1134" s="2748"/>
      <c r="R1134" s="2748"/>
      <c r="S1134" s="2748"/>
      <c r="T1134" s="2748"/>
      <c r="U1134" s="2748"/>
      <c r="V1134" s="2748"/>
      <c r="W1134" s="2748"/>
      <c r="X1134" s="2748"/>
      <c r="Y1134" s="2748"/>
      <c r="Z1134" s="2748"/>
      <c r="AA1134" s="2748"/>
      <c r="AB1134" s="2748"/>
      <c r="AC1134" s="2748"/>
      <c r="AD1134" s="2748"/>
      <c r="AE1134" s="2748"/>
      <c r="AF1134" s="2748"/>
      <c r="AG1134" s="2748"/>
      <c r="AH1134" s="2748"/>
      <c r="AI1134" s="2748"/>
      <c r="AK1134" s="2748"/>
      <c r="AL1134" s="2748"/>
      <c r="AN1134" s="2748"/>
      <c r="AO1134" s="2748"/>
      <c r="AP1134" s="2748"/>
    </row>
    <row r="1135" spans="2:42" ht="18" customHeight="1">
      <c r="B1135" s="2728"/>
      <c r="C1135" s="2728"/>
      <c r="D1135" s="2728"/>
      <c r="E1135" s="2728"/>
      <c r="G1135" s="2512"/>
      <c r="I1135" s="2748"/>
      <c r="J1135" s="2728"/>
      <c r="L1135" s="2728"/>
      <c r="M1135" s="2748"/>
      <c r="N1135" s="2728"/>
      <c r="O1135" s="2728"/>
      <c r="P1135" s="2728"/>
      <c r="Q1135" s="2748"/>
      <c r="R1135" s="2748"/>
      <c r="S1135" s="2748"/>
      <c r="T1135" s="2748"/>
      <c r="U1135" s="2748"/>
      <c r="V1135" s="2748"/>
      <c r="W1135" s="2748"/>
      <c r="X1135" s="2748"/>
      <c r="Y1135" s="2748"/>
      <c r="Z1135" s="2748"/>
      <c r="AA1135" s="2748"/>
      <c r="AB1135" s="2748"/>
      <c r="AC1135" s="2748"/>
      <c r="AD1135" s="2748"/>
      <c r="AE1135" s="2748"/>
      <c r="AF1135" s="2748"/>
      <c r="AG1135" s="2748"/>
      <c r="AH1135" s="2748"/>
      <c r="AI1135" s="2748"/>
      <c r="AK1135" s="2748"/>
      <c r="AL1135" s="2748"/>
      <c r="AN1135" s="2748"/>
      <c r="AO1135" s="2748"/>
      <c r="AP1135" s="2748"/>
    </row>
    <row r="1136" spans="2:42" ht="18" customHeight="1">
      <c r="B1136" s="2728"/>
      <c r="C1136" s="2728"/>
      <c r="D1136" s="2728"/>
      <c r="E1136" s="2728"/>
      <c r="G1136" s="2512"/>
      <c r="I1136" s="2748"/>
      <c r="J1136" s="2728"/>
      <c r="L1136" s="2728"/>
      <c r="M1136" s="2748"/>
      <c r="N1136" s="2728"/>
      <c r="O1136" s="2728"/>
      <c r="P1136" s="2728"/>
      <c r="Q1136" s="2748"/>
      <c r="R1136" s="2748"/>
      <c r="S1136" s="2748"/>
      <c r="T1136" s="2748"/>
      <c r="U1136" s="2748"/>
      <c r="V1136" s="2748"/>
      <c r="W1136" s="2748"/>
      <c r="X1136" s="2748"/>
      <c r="Y1136" s="2748"/>
      <c r="Z1136" s="2748"/>
      <c r="AA1136" s="2748"/>
      <c r="AB1136" s="2748"/>
      <c r="AC1136" s="2748"/>
      <c r="AD1136" s="2748"/>
      <c r="AE1136" s="2748"/>
      <c r="AF1136" s="2748"/>
      <c r="AG1136" s="2748"/>
      <c r="AH1136" s="2748"/>
      <c r="AI1136" s="2748"/>
      <c r="AK1136" s="2748"/>
      <c r="AL1136" s="2748"/>
      <c r="AN1136" s="2748"/>
      <c r="AO1136" s="2748"/>
      <c r="AP1136" s="2748"/>
    </row>
    <row r="1137" spans="2:42" ht="18" customHeight="1">
      <c r="B1137" s="2728"/>
      <c r="C1137" s="2728"/>
      <c r="D1137" s="2728"/>
      <c r="E1137" s="2728"/>
      <c r="G1137" s="2512"/>
      <c r="I1137" s="2748"/>
      <c r="J1137" s="2728"/>
      <c r="L1137" s="2728"/>
      <c r="M1137" s="2748"/>
      <c r="N1137" s="2728"/>
      <c r="O1137" s="2728"/>
      <c r="P1137" s="2728"/>
      <c r="Q1137" s="2748"/>
      <c r="R1137" s="2748"/>
      <c r="S1137" s="2748"/>
      <c r="T1137" s="2748"/>
      <c r="U1137" s="2748"/>
      <c r="V1137" s="2748"/>
      <c r="W1137" s="2748"/>
      <c r="X1137" s="2748"/>
      <c r="Y1137" s="2748"/>
      <c r="Z1137" s="2748"/>
      <c r="AA1137" s="2748"/>
      <c r="AB1137" s="2748"/>
      <c r="AC1137" s="2748"/>
      <c r="AD1137" s="2748"/>
      <c r="AE1137" s="2748"/>
      <c r="AF1137" s="2748"/>
      <c r="AG1137" s="2748"/>
      <c r="AH1137" s="2748"/>
      <c r="AI1137" s="2748"/>
      <c r="AK1137" s="2748"/>
      <c r="AL1137" s="2748"/>
      <c r="AN1137" s="2748"/>
      <c r="AO1137" s="2748"/>
      <c r="AP1137" s="2748"/>
    </row>
    <row r="1138" spans="2:42" ht="18" customHeight="1">
      <c r="B1138" s="2728"/>
      <c r="C1138" s="2728"/>
      <c r="D1138" s="2728"/>
      <c r="E1138" s="2728"/>
      <c r="G1138" s="2512"/>
      <c r="I1138" s="2748"/>
      <c r="J1138" s="2728"/>
      <c r="L1138" s="2728"/>
      <c r="M1138" s="2748"/>
      <c r="N1138" s="2728"/>
      <c r="O1138" s="2728"/>
      <c r="P1138" s="2728"/>
      <c r="Q1138" s="2748"/>
      <c r="R1138" s="2748"/>
      <c r="S1138" s="2748"/>
      <c r="T1138" s="2748"/>
      <c r="U1138" s="2748"/>
      <c r="V1138" s="2748"/>
      <c r="W1138" s="2748"/>
      <c r="X1138" s="2748"/>
      <c r="Y1138" s="2748"/>
      <c r="Z1138" s="2748"/>
      <c r="AA1138" s="2748"/>
      <c r="AB1138" s="2748"/>
      <c r="AC1138" s="2748"/>
      <c r="AD1138" s="2748"/>
      <c r="AE1138" s="2748"/>
      <c r="AF1138" s="2748"/>
      <c r="AG1138" s="2748"/>
      <c r="AH1138" s="2748"/>
      <c r="AI1138" s="2748"/>
      <c r="AK1138" s="2748"/>
      <c r="AL1138" s="2748"/>
      <c r="AN1138" s="2748"/>
      <c r="AO1138" s="2748"/>
      <c r="AP1138" s="2748"/>
    </row>
    <row r="1139" spans="2:42" ht="18" customHeight="1">
      <c r="B1139" s="2728"/>
      <c r="C1139" s="2728"/>
      <c r="D1139" s="2728"/>
      <c r="E1139" s="2728"/>
      <c r="G1139" s="2512"/>
      <c r="I1139" s="2748"/>
      <c r="J1139" s="2728"/>
      <c r="L1139" s="2728"/>
      <c r="M1139" s="2748"/>
      <c r="N1139" s="2728"/>
      <c r="O1139" s="2728"/>
      <c r="P1139" s="2728"/>
      <c r="Q1139" s="2748"/>
      <c r="R1139" s="2748"/>
      <c r="S1139" s="2748"/>
      <c r="T1139" s="2748"/>
      <c r="U1139" s="2748"/>
      <c r="V1139" s="2748"/>
      <c r="W1139" s="2748"/>
      <c r="X1139" s="2748"/>
      <c r="Y1139" s="2748"/>
      <c r="Z1139" s="2748"/>
      <c r="AA1139" s="2748"/>
      <c r="AB1139" s="2748"/>
      <c r="AC1139" s="2748"/>
      <c r="AD1139" s="2748"/>
      <c r="AE1139" s="2748"/>
      <c r="AF1139" s="2748"/>
      <c r="AG1139" s="2748"/>
      <c r="AH1139" s="2748"/>
      <c r="AI1139" s="2748"/>
      <c r="AK1139" s="2748"/>
      <c r="AL1139" s="2748"/>
      <c r="AN1139" s="2748"/>
      <c r="AO1139" s="2748"/>
      <c r="AP1139" s="2748"/>
    </row>
    <row r="1140" spans="2:42" ht="18" customHeight="1">
      <c r="B1140" s="2728"/>
      <c r="C1140" s="2728"/>
      <c r="D1140" s="2728"/>
      <c r="E1140" s="2728"/>
      <c r="G1140" s="2512"/>
      <c r="I1140" s="2748"/>
      <c r="J1140" s="2728"/>
      <c r="L1140" s="2728"/>
      <c r="M1140" s="2748"/>
      <c r="N1140" s="2728"/>
      <c r="O1140" s="2728"/>
      <c r="P1140" s="2728"/>
      <c r="Q1140" s="2748"/>
      <c r="R1140" s="2748"/>
      <c r="S1140" s="2748"/>
      <c r="T1140" s="2748"/>
      <c r="U1140" s="2748"/>
      <c r="V1140" s="2748"/>
      <c r="W1140" s="2748"/>
      <c r="X1140" s="2748"/>
      <c r="Y1140" s="2748"/>
      <c r="Z1140" s="2748"/>
      <c r="AA1140" s="2748"/>
      <c r="AB1140" s="2748"/>
      <c r="AC1140" s="2748"/>
      <c r="AD1140" s="2748"/>
      <c r="AE1140" s="2748"/>
      <c r="AF1140" s="2748"/>
      <c r="AG1140" s="2748"/>
      <c r="AH1140" s="2748"/>
      <c r="AI1140" s="2748"/>
      <c r="AK1140" s="2748"/>
      <c r="AL1140" s="2748"/>
      <c r="AN1140" s="2748"/>
      <c r="AO1140" s="2748"/>
      <c r="AP1140" s="2748"/>
    </row>
    <row r="1141" spans="2:42" ht="18" customHeight="1">
      <c r="B1141" s="2728"/>
      <c r="C1141" s="2728"/>
      <c r="D1141" s="2728"/>
      <c r="E1141" s="2728"/>
      <c r="G1141" s="2512"/>
      <c r="I1141" s="2748"/>
      <c r="J1141" s="2728"/>
      <c r="L1141" s="2728"/>
      <c r="M1141" s="2748"/>
      <c r="N1141" s="2728"/>
      <c r="O1141" s="2728"/>
      <c r="P1141" s="2728"/>
      <c r="Q1141" s="2748"/>
      <c r="R1141" s="2748"/>
      <c r="S1141" s="2748"/>
      <c r="T1141" s="2748"/>
      <c r="U1141" s="2748"/>
      <c r="V1141" s="2748"/>
      <c r="W1141" s="2748"/>
      <c r="X1141" s="2748"/>
      <c r="Y1141" s="2748"/>
      <c r="Z1141" s="2748"/>
      <c r="AA1141" s="2748"/>
      <c r="AB1141" s="2748"/>
      <c r="AC1141" s="2748"/>
      <c r="AD1141" s="2748"/>
      <c r="AE1141" s="2748"/>
      <c r="AF1141" s="2748"/>
      <c r="AG1141" s="2748"/>
      <c r="AH1141" s="2748"/>
      <c r="AI1141" s="2748"/>
      <c r="AK1141" s="2748"/>
      <c r="AL1141" s="2748"/>
      <c r="AN1141" s="2748"/>
      <c r="AO1141" s="2748"/>
      <c r="AP1141" s="2748"/>
    </row>
    <row r="1142" spans="2:42" ht="18" customHeight="1">
      <c r="B1142" s="2728"/>
      <c r="C1142" s="2728"/>
      <c r="D1142" s="2728"/>
      <c r="E1142" s="2728"/>
      <c r="G1142" s="2512"/>
      <c r="I1142" s="2748"/>
      <c r="J1142" s="2728"/>
      <c r="L1142" s="2728"/>
      <c r="M1142" s="2748"/>
      <c r="N1142" s="2728"/>
      <c r="O1142" s="2728"/>
      <c r="P1142" s="2728"/>
      <c r="Q1142" s="2748"/>
      <c r="R1142" s="2748"/>
      <c r="S1142" s="2748"/>
      <c r="T1142" s="2748"/>
      <c r="U1142" s="2748"/>
      <c r="V1142" s="2748"/>
      <c r="W1142" s="2748"/>
      <c r="X1142" s="2748"/>
      <c r="Y1142" s="2748"/>
      <c r="Z1142" s="2748"/>
      <c r="AA1142" s="2748"/>
      <c r="AB1142" s="2748"/>
      <c r="AC1142" s="2748"/>
      <c r="AD1142" s="2748"/>
      <c r="AE1142" s="2748"/>
      <c r="AF1142" s="2748"/>
      <c r="AG1142" s="2748"/>
      <c r="AH1142" s="2748"/>
      <c r="AI1142" s="2748"/>
      <c r="AK1142" s="2748"/>
      <c r="AL1142" s="2748"/>
      <c r="AN1142" s="2748"/>
      <c r="AO1142" s="2748"/>
      <c r="AP1142" s="2748"/>
    </row>
    <row r="1143" spans="2:42" ht="18" customHeight="1">
      <c r="B1143" s="2728"/>
      <c r="C1143" s="2728"/>
      <c r="D1143" s="2728"/>
      <c r="E1143" s="2728"/>
      <c r="G1143" s="2512"/>
      <c r="I1143" s="2748"/>
      <c r="J1143" s="2728"/>
      <c r="L1143" s="2728"/>
      <c r="M1143" s="2748"/>
      <c r="N1143" s="2728"/>
      <c r="O1143" s="2728"/>
      <c r="P1143" s="2728"/>
      <c r="Q1143" s="2748"/>
      <c r="R1143" s="2748"/>
      <c r="S1143" s="2748"/>
      <c r="T1143" s="2748"/>
      <c r="U1143" s="2748"/>
      <c r="V1143" s="2748"/>
      <c r="W1143" s="2748"/>
      <c r="X1143" s="2748"/>
      <c r="Y1143" s="2748"/>
      <c r="Z1143" s="2748"/>
      <c r="AA1143" s="2748"/>
      <c r="AB1143" s="2748"/>
      <c r="AC1143" s="2748"/>
      <c r="AD1143" s="2748"/>
      <c r="AE1143" s="2748"/>
      <c r="AF1143" s="2748"/>
      <c r="AG1143" s="2748"/>
      <c r="AH1143" s="2748"/>
      <c r="AI1143" s="2748"/>
      <c r="AK1143" s="2748"/>
      <c r="AL1143" s="2748"/>
      <c r="AN1143" s="2748"/>
      <c r="AO1143" s="2748"/>
      <c r="AP1143" s="2748"/>
    </row>
    <row r="1144" spans="2:42" ht="18" customHeight="1">
      <c r="B1144" s="2728"/>
      <c r="C1144" s="2728"/>
      <c r="D1144" s="2728"/>
      <c r="E1144" s="2728"/>
      <c r="G1144" s="2512"/>
      <c r="I1144" s="2748"/>
      <c r="J1144" s="2728"/>
      <c r="L1144" s="2728"/>
      <c r="M1144" s="2748"/>
      <c r="N1144" s="2728"/>
      <c r="O1144" s="2728"/>
      <c r="P1144" s="2728"/>
      <c r="Q1144" s="2748"/>
      <c r="R1144" s="2748"/>
      <c r="S1144" s="2748"/>
      <c r="T1144" s="2748"/>
      <c r="U1144" s="2748"/>
      <c r="V1144" s="2748"/>
      <c r="W1144" s="2748"/>
      <c r="X1144" s="2748"/>
      <c r="Y1144" s="2748"/>
      <c r="Z1144" s="2748"/>
      <c r="AA1144" s="2748"/>
      <c r="AB1144" s="2748"/>
      <c r="AC1144" s="2748"/>
      <c r="AD1144" s="2748"/>
      <c r="AE1144" s="2748"/>
      <c r="AF1144" s="2748"/>
      <c r="AG1144" s="2748"/>
      <c r="AH1144" s="2748"/>
      <c r="AI1144" s="2748"/>
      <c r="AK1144" s="2748"/>
      <c r="AL1144" s="2748"/>
      <c r="AN1144" s="2748"/>
      <c r="AO1144" s="2748"/>
      <c r="AP1144" s="2748"/>
    </row>
    <row r="1145" spans="2:42" ht="18" customHeight="1">
      <c r="B1145" s="2728"/>
      <c r="C1145" s="2728"/>
      <c r="D1145" s="2728"/>
      <c r="E1145" s="2728"/>
      <c r="G1145" s="2512"/>
      <c r="I1145" s="2748"/>
      <c r="J1145" s="2728"/>
      <c r="L1145" s="2728"/>
      <c r="M1145" s="2748"/>
      <c r="N1145" s="2728"/>
      <c r="O1145" s="2728"/>
      <c r="P1145" s="2728"/>
      <c r="Q1145" s="2748"/>
      <c r="R1145" s="2748"/>
      <c r="S1145" s="2748"/>
      <c r="T1145" s="2748"/>
      <c r="U1145" s="2748"/>
      <c r="V1145" s="2748"/>
      <c r="W1145" s="2748"/>
      <c r="X1145" s="2748"/>
      <c r="Y1145" s="2748"/>
      <c r="Z1145" s="2748"/>
      <c r="AA1145" s="2748"/>
      <c r="AB1145" s="2748"/>
      <c r="AC1145" s="2748"/>
      <c r="AD1145" s="2748"/>
      <c r="AE1145" s="2748"/>
      <c r="AF1145" s="2748"/>
      <c r="AG1145" s="2748"/>
      <c r="AH1145" s="2748"/>
      <c r="AI1145" s="2748"/>
      <c r="AK1145" s="2748"/>
      <c r="AL1145" s="2748"/>
      <c r="AN1145" s="2748"/>
      <c r="AO1145" s="2748"/>
      <c r="AP1145" s="2748"/>
    </row>
    <row r="1146" spans="2:42" ht="18" customHeight="1">
      <c r="B1146" s="2728"/>
      <c r="C1146" s="2728"/>
      <c r="D1146" s="2728"/>
      <c r="E1146" s="2728"/>
      <c r="G1146" s="2512"/>
      <c r="I1146" s="2748"/>
      <c r="J1146" s="2728"/>
      <c r="L1146" s="2728"/>
      <c r="M1146" s="2748"/>
      <c r="N1146" s="2728"/>
      <c r="O1146" s="2728"/>
      <c r="P1146" s="2728"/>
      <c r="Q1146" s="2748"/>
      <c r="R1146" s="2748"/>
      <c r="S1146" s="2748"/>
      <c r="T1146" s="2748"/>
      <c r="U1146" s="2748"/>
      <c r="V1146" s="2748"/>
      <c r="W1146" s="2748"/>
      <c r="X1146" s="2748"/>
      <c r="Y1146" s="2748"/>
      <c r="Z1146" s="2748"/>
      <c r="AA1146" s="2748"/>
      <c r="AB1146" s="2748"/>
      <c r="AC1146" s="2748"/>
      <c r="AD1146" s="2748"/>
      <c r="AE1146" s="2748"/>
      <c r="AF1146" s="2748"/>
      <c r="AG1146" s="2748"/>
      <c r="AH1146" s="2748"/>
      <c r="AI1146" s="2748"/>
      <c r="AK1146" s="2748"/>
      <c r="AL1146" s="2748"/>
      <c r="AN1146" s="2748"/>
      <c r="AO1146" s="2748"/>
      <c r="AP1146" s="2748"/>
    </row>
    <row r="1147" spans="2:42" ht="18" customHeight="1">
      <c r="B1147" s="2728"/>
      <c r="C1147" s="2728"/>
      <c r="D1147" s="2728"/>
      <c r="E1147" s="2728"/>
      <c r="G1147" s="2512"/>
      <c r="I1147" s="2748"/>
      <c r="J1147" s="2728"/>
      <c r="L1147" s="2728"/>
      <c r="M1147" s="2748"/>
      <c r="N1147" s="2728"/>
      <c r="O1147" s="2728"/>
      <c r="P1147" s="2728"/>
      <c r="Q1147" s="2748"/>
      <c r="R1147" s="2748"/>
      <c r="S1147" s="2748"/>
      <c r="T1147" s="2748"/>
      <c r="U1147" s="2748"/>
      <c r="V1147" s="2748"/>
      <c r="W1147" s="2748"/>
      <c r="X1147" s="2748"/>
      <c r="Y1147" s="2748"/>
      <c r="Z1147" s="2748"/>
      <c r="AA1147" s="2748"/>
      <c r="AB1147" s="2748"/>
      <c r="AC1147" s="2748"/>
      <c r="AD1147" s="2748"/>
      <c r="AE1147" s="2748"/>
      <c r="AF1147" s="2748"/>
      <c r="AG1147" s="2748"/>
      <c r="AH1147" s="2748"/>
      <c r="AI1147" s="2748"/>
      <c r="AK1147" s="2748"/>
      <c r="AL1147" s="2748"/>
      <c r="AN1147" s="2748"/>
      <c r="AO1147" s="2748"/>
      <c r="AP1147" s="2748"/>
    </row>
    <row r="1148" spans="2:42" ht="18" customHeight="1">
      <c r="B1148" s="2728"/>
      <c r="C1148" s="2728"/>
      <c r="D1148" s="2728"/>
      <c r="E1148" s="2728"/>
      <c r="G1148" s="2512"/>
      <c r="I1148" s="2748"/>
      <c r="J1148" s="2728"/>
      <c r="L1148" s="2728"/>
      <c r="M1148" s="2748"/>
      <c r="N1148" s="2728"/>
      <c r="O1148" s="2728"/>
      <c r="P1148" s="2728"/>
      <c r="Q1148" s="2748"/>
      <c r="R1148" s="2748"/>
      <c r="S1148" s="2748"/>
      <c r="T1148" s="2748"/>
      <c r="U1148" s="2748"/>
      <c r="V1148" s="2748"/>
      <c r="W1148" s="2748"/>
      <c r="X1148" s="2748"/>
      <c r="Y1148" s="2748"/>
      <c r="Z1148" s="2748"/>
      <c r="AA1148" s="2748"/>
      <c r="AB1148" s="2748"/>
      <c r="AC1148" s="2748"/>
      <c r="AD1148" s="2748"/>
      <c r="AE1148" s="2748"/>
      <c r="AF1148" s="2748"/>
      <c r="AG1148" s="2748"/>
      <c r="AH1148" s="2748"/>
      <c r="AI1148" s="2748"/>
      <c r="AK1148" s="2748"/>
      <c r="AL1148" s="2748"/>
      <c r="AN1148" s="2748"/>
      <c r="AO1148" s="2748"/>
      <c r="AP1148" s="2748"/>
    </row>
    <row r="1149" spans="2:42" ht="18" customHeight="1">
      <c r="B1149" s="2728"/>
      <c r="C1149" s="2728"/>
      <c r="D1149" s="2728"/>
      <c r="E1149" s="2728"/>
      <c r="G1149" s="2512"/>
      <c r="I1149" s="2748"/>
      <c r="J1149" s="2728"/>
      <c r="L1149" s="2728"/>
      <c r="M1149" s="2748"/>
      <c r="N1149" s="2728"/>
      <c r="O1149" s="2728"/>
      <c r="P1149" s="2728"/>
      <c r="Q1149" s="2748"/>
      <c r="R1149" s="2748"/>
      <c r="S1149" s="2748"/>
      <c r="T1149" s="2748"/>
      <c r="U1149" s="2748"/>
      <c r="V1149" s="2748"/>
      <c r="W1149" s="2748"/>
      <c r="X1149" s="2748"/>
      <c r="Y1149" s="2748"/>
      <c r="Z1149" s="2748"/>
      <c r="AA1149" s="2748"/>
      <c r="AB1149" s="2748"/>
      <c r="AC1149" s="2748"/>
      <c r="AD1149" s="2748"/>
      <c r="AE1149" s="2748"/>
      <c r="AF1149" s="2748"/>
      <c r="AG1149" s="2748"/>
      <c r="AH1149" s="2748"/>
      <c r="AI1149" s="2748"/>
      <c r="AK1149" s="2748"/>
      <c r="AL1149" s="2748"/>
      <c r="AN1149" s="2748"/>
      <c r="AO1149" s="2748"/>
      <c r="AP1149" s="2748"/>
    </row>
    <row r="1150" spans="2:42" ht="18" customHeight="1">
      <c r="B1150" s="2728"/>
      <c r="C1150" s="2728"/>
      <c r="D1150" s="2728"/>
      <c r="E1150" s="2728"/>
      <c r="G1150" s="2512"/>
      <c r="I1150" s="2748"/>
      <c r="J1150" s="2728"/>
      <c r="L1150" s="2728"/>
      <c r="M1150" s="2748"/>
      <c r="N1150" s="2728"/>
      <c r="O1150" s="2728"/>
      <c r="P1150" s="2728"/>
      <c r="Q1150" s="2748"/>
      <c r="R1150" s="2748"/>
      <c r="S1150" s="2748"/>
      <c r="T1150" s="2748"/>
      <c r="U1150" s="2748"/>
      <c r="V1150" s="2748"/>
      <c r="W1150" s="2748"/>
      <c r="X1150" s="2748"/>
      <c r="Y1150" s="2748"/>
      <c r="Z1150" s="2748"/>
      <c r="AA1150" s="2748"/>
      <c r="AB1150" s="2748"/>
      <c r="AC1150" s="2748"/>
      <c r="AD1150" s="2748"/>
      <c r="AE1150" s="2748"/>
      <c r="AF1150" s="2748"/>
      <c r="AG1150" s="2748"/>
      <c r="AH1150" s="2748"/>
      <c r="AI1150" s="2748"/>
      <c r="AK1150" s="2748"/>
      <c r="AL1150" s="2748"/>
      <c r="AN1150" s="2748"/>
      <c r="AO1150" s="2748"/>
      <c r="AP1150" s="2748"/>
    </row>
    <row r="1151" spans="2:42" ht="18" customHeight="1">
      <c r="B1151" s="2728"/>
      <c r="C1151" s="2728"/>
      <c r="D1151" s="2728"/>
      <c r="E1151" s="2728"/>
      <c r="G1151" s="2512"/>
      <c r="I1151" s="2748"/>
      <c r="J1151" s="2728"/>
      <c r="L1151" s="2728"/>
      <c r="M1151" s="2748"/>
      <c r="N1151" s="2728"/>
      <c r="O1151" s="2728"/>
      <c r="P1151" s="2728"/>
      <c r="Q1151" s="2748"/>
      <c r="R1151" s="2748"/>
      <c r="S1151" s="2748"/>
      <c r="T1151" s="2748"/>
      <c r="U1151" s="2748"/>
      <c r="V1151" s="2748"/>
      <c r="W1151" s="2748"/>
      <c r="X1151" s="2748"/>
      <c r="Y1151" s="2748"/>
      <c r="Z1151" s="2748"/>
      <c r="AA1151" s="2748"/>
      <c r="AB1151" s="2748"/>
      <c r="AC1151" s="2748"/>
      <c r="AD1151" s="2748"/>
      <c r="AE1151" s="2748"/>
      <c r="AF1151" s="2748"/>
      <c r="AG1151" s="2748"/>
      <c r="AH1151" s="2748"/>
      <c r="AI1151" s="2748"/>
      <c r="AK1151" s="2748"/>
      <c r="AL1151" s="2748"/>
      <c r="AN1151" s="2748"/>
      <c r="AO1151" s="2748"/>
      <c r="AP1151" s="2748"/>
    </row>
    <row r="1152" spans="2:42" ht="18" customHeight="1">
      <c r="B1152" s="2728"/>
      <c r="C1152" s="2728"/>
      <c r="D1152" s="2728"/>
      <c r="E1152" s="2728"/>
      <c r="G1152" s="2512"/>
      <c r="I1152" s="2748"/>
      <c r="J1152" s="2728"/>
      <c r="L1152" s="2728"/>
      <c r="M1152" s="2748"/>
      <c r="N1152" s="2728"/>
      <c r="O1152" s="2728"/>
      <c r="P1152" s="2728"/>
      <c r="Q1152" s="2748"/>
      <c r="R1152" s="2748"/>
      <c r="S1152" s="2748"/>
      <c r="T1152" s="2748"/>
      <c r="U1152" s="2748"/>
      <c r="V1152" s="2748"/>
      <c r="W1152" s="2748"/>
      <c r="X1152" s="2748"/>
      <c r="Y1152" s="2748"/>
      <c r="Z1152" s="2748"/>
      <c r="AA1152" s="2748"/>
      <c r="AB1152" s="2748"/>
      <c r="AC1152" s="2748"/>
      <c r="AD1152" s="2748"/>
      <c r="AE1152" s="2748"/>
      <c r="AF1152" s="2748"/>
      <c r="AG1152" s="2748"/>
      <c r="AH1152" s="2748"/>
      <c r="AI1152" s="2748"/>
      <c r="AK1152" s="2748"/>
      <c r="AL1152" s="2748"/>
      <c r="AN1152" s="2748"/>
      <c r="AO1152" s="2748"/>
      <c r="AP1152" s="2748"/>
    </row>
    <row r="1153" spans="2:42" ht="18" customHeight="1">
      <c r="B1153" s="2728"/>
      <c r="C1153" s="2728"/>
      <c r="D1153" s="2728"/>
      <c r="E1153" s="2728"/>
      <c r="G1153" s="2512"/>
      <c r="I1153" s="2748"/>
      <c r="J1153" s="2728"/>
      <c r="L1153" s="2728"/>
      <c r="M1153" s="2748"/>
      <c r="N1153" s="2728"/>
      <c r="O1153" s="2728"/>
      <c r="P1153" s="2728"/>
      <c r="Q1153" s="2748"/>
      <c r="R1153" s="2748"/>
      <c r="S1153" s="2748"/>
      <c r="T1153" s="2748"/>
      <c r="U1153" s="2748"/>
      <c r="V1153" s="2748"/>
      <c r="W1153" s="2748"/>
      <c r="X1153" s="2748"/>
      <c r="Y1153" s="2748"/>
      <c r="Z1153" s="2748"/>
      <c r="AA1153" s="2748"/>
      <c r="AB1153" s="2748"/>
      <c r="AC1153" s="2748"/>
      <c r="AD1153" s="2748"/>
      <c r="AE1153" s="2748"/>
      <c r="AF1153" s="2748"/>
      <c r="AG1153" s="2748"/>
      <c r="AH1153" s="2748"/>
      <c r="AI1153" s="2748"/>
      <c r="AK1153" s="2748"/>
      <c r="AL1153" s="2748"/>
      <c r="AN1153" s="2748"/>
      <c r="AO1153" s="2748"/>
      <c r="AP1153" s="2748"/>
    </row>
    <row r="1154" spans="2:42" ht="18" customHeight="1">
      <c r="B1154" s="2728"/>
      <c r="C1154" s="2728"/>
      <c r="D1154" s="2728"/>
      <c r="E1154" s="2728"/>
      <c r="G1154" s="2512"/>
      <c r="I1154" s="2748"/>
      <c r="J1154" s="2728"/>
      <c r="L1154" s="2728"/>
      <c r="M1154" s="2748"/>
      <c r="N1154" s="2728"/>
      <c r="O1154" s="2728"/>
      <c r="P1154" s="2728"/>
      <c r="Q1154" s="2748"/>
      <c r="R1154" s="2748"/>
      <c r="S1154" s="2748"/>
      <c r="T1154" s="2748"/>
      <c r="U1154" s="2748"/>
      <c r="V1154" s="2748"/>
      <c r="W1154" s="2748"/>
      <c r="X1154" s="2748"/>
      <c r="Y1154" s="2748"/>
      <c r="Z1154" s="2748"/>
      <c r="AA1154" s="2748"/>
      <c r="AB1154" s="2748"/>
      <c r="AC1154" s="2748"/>
      <c r="AD1154" s="2748"/>
      <c r="AE1154" s="2748"/>
      <c r="AF1154" s="2748"/>
      <c r="AG1154" s="2748"/>
      <c r="AH1154" s="2748"/>
      <c r="AI1154" s="2748"/>
      <c r="AK1154" s="2748"/>
      <c r="AL1154" s="2748"/>
      <c r="AN1154" s="2748"/>
      <c r="AO1154" s="2748"/>
      <c r="AP1154" s="2748"/>
    </row>
    <row r="1155" spans="2:42" ht="18" customHeight="1">
      <c r="B1155" s="2728"/>
      <c r="C1155" s="2728"/>
      <c r="D1155" s="2728"/>
      <c r="E1155" s="2728"/>
      <c r="G1155" s="2512"/>
      <c r="I1155" s="2748"/>
      <c r="J1155" s="2728"/>
      <c r="L1155" s="2728"/>
      <c r="M1155" s="2748"/>
      <c r="N1155" s="2728"/>
      <c r="O1155" s="2728"/>
      <c r="P1155" s="2728"/>
      <c r="Q1155" s="2748"/>
      <c r="R1155" s="2748"/>
      <c r="S1155" s="2748"/>
      <c r="T1155" s="2748"/>
      <c r="U1155" s="2748"/>
      <c r="V1155" s="2748"/>
      <c r="W1155" s="2748"/>
      <c r="X1155" s="2748"/>
      <c r="Y1155" s="2748"/>
      <c r="Z1155" s="2748"/>
      <c r="AA1155" s="2748"/>
      <c r="AB1155" s="2748"/>
      <c r="AC1155" s="2748"/>
      <c r="AD1155" s="2748"/>
      <c r="AE1155" s="2748"/>
      <c r="AF1155" s="2748"/>
      <c r="AG1155" s="2748"/>
      <c r="AH1155" s="2748"/>
      <c r="AI1155" s="2748"/>
      <c r="AK1155" s="2748"/>
      <c r="AL1155" s="2748"/>
      <c r="AN1155" s="2748"/>
      <c r="AO1155" s="2748"/>
      <c r="AP1155" s="2748"/>
    </row>
    <row r="1156" spans="2:42" ht="18" customHeight="1">
      <c r="B1156" s="2728"/>
      <c r="C1156" s="2728"/>
      <c r="D1156" s="2728"/>
      <c r="E1156" s="2728"/>
      <c r="G1156" s="2512"/>
      <c r="I1156" s="2748"/>
      <c r="J1156" s="2728"/>
      <c r="L1156" s="2728"/>
      <c r="M1156" s="2748"/>
      <c r="N1156" s="2728"/>
      <c r="O1156" s="2728"/>
      <c r="P1156" s="2728"/>
      <c r="Q1156" s="2748"/>
      <c r="R1156" s="2748"/>
      <c r="S1156" s="2748"/>
      <c r="T1156" s="2748"/>
      <c r="U1156" s="2748"/>
      <c r="V1156" s="2748"/>
      <c r="W1156" s="2748"/>
      <c r="X1156" s="2748"/>
      <c r="Y1156" s="2748"/>
      <c r="Z1156" s="2748"/>
      <c r="AA1156" s="2748"/>
      <c r="AB1156" s="2748"/>
      <c r="AC1156" s="2748"/>
      <c r="AD1156" s="2748"/>
      <c r="AE1156" s="2748"/>
      <c r="AF1156" s="2748"/>
      <c r="AG1156" s="2748"/>
      <c r="AH1156" s="2748"/>
      <c r="AI1156" s="2748"/>
      <c r="AK1156" s="2748"/>
      <c r="AL1156" s="2748"/>
      <c r="AN1156" s="2748"/>
      <c r="AO1156" s="2748"/>
      <c r="AP1156" s="2748"/>
    </row>
    <row r="1157" spans="2:42" ht="18" customHeight="1">
      <c r="B1157" s="2728"/>
      <c r="C1157" s="2728"/>
      <c r="D1157" s="2728"/>
      <c r="E1157" s="2728"/>
      <c r="G1157" s="2512"/>
      <c r="I1157" s="2748"/>
      <c r="J1157" s="2728"/>
      <c r="L1157" s="2728"/>
      <c r="M1157" s="2748"/>
      <c r="N1157" s="2728"/>
      <c r="O1157" s="2728"/>
      <c r="P1157" s="2728"/>
      <c r="Q1157" s="2748"/>
      <c r="R1157" s="2748"/>
      <c r="S1157" s="2748"/>
      <c r="T1157" s="2748"/>
      <c r="U1157" s="2748"/>
      <c r="V1157" s="2748"/>
      <c r="W1157" s="2748"/>
      <c r="X1157" s="2748"/>
      <c r="Y1157" s="2748"/>
      <c r="Z1157" s="2748"/>
      <c r="AA1157" s="2748"/>
      <c r="AB1157" s="2748"/>
      <c r="AC1157" s="2748"/>
      <c r="AD1157" s="2748"/>
      <c r="AE1157" s="2748"/>
      <c r="AF1157" s="2748"/>
      <c r="AG1157" s="2748"/>
      <c r="AH1157" s="2748"/>
      <c r="AI1157" s="2748"/>
      <c r="AK1157" s="2748"/>
      <c r="AL1157" s="2748"/>
      <c r="AN1157" s="2748"/>
      <c r="AO1157" s="2748"/>
      <c r="AP1157" s="2748"/>
    </row>
    <row r="1158" spans="2:42" ht="18" customHeight="1">
      <c r="B1158" s="2728"/>
      <c r="C1158" s="2728"/>
      <c r="D1158" s="2728"/>
      <c r="E1158" s="2728"/>
      <c r="G1158" s="2512"/>
      <c r="I1158" s="2748"/>
      <c r="J1158" s="2728"/>
      <c r="L1158" s="2728"/>
      <c r="M1158" s="2748"/>
      <c r="N1158" s="2728"/>
      <c r="O1158" s="2728"/>
      <c r="P1158" s="2728"/>
      <c r="Q1158" s="2748"/>
      <c r="R1158" s="2748"/>
      <c r="S1158" s="2748"/>
      <c r="T1158" s="2748"/>
      <c r="U1158" s="2748"/>
      <c r="V1158" s="2748"/>
      <c r="W1158" s="2748"/>
      <c r="X1158" s="2748"/>
      <c r="Y1158" s="2748"/>
      <c r="Z1158" s="2748"/>
      <c r="AA1158" s="2748"/>
      <c r="AB1158" s="2748"/>
      <c r="AC1158" s="2748"/>
      <c r="AD1158" s="2748"/>
      <c r="AE1158" s="2748"/>
      <c r="AF1158" s="2748"/>
      <c r="AG1158" s="2748"/>
      <c r="AH1158" s="2748"/>
      <c r="AI1158" s="2748"/>
      <c r="AK1158" s="2748"/>
      <c r="AL1158" s="2748"/>
      <c r="AN1158" s="2748"/>
      <c r="AO1158" s="2748"/>
      <c r="AP1158" s="2748"/>
    </row>
    <row r="1159" spans="2:42" ht="18" customHeight="1">
      <c r="B1159" s="2728"/>
      <c r="C1159" s="2728"/>
      <c r="D1159" s="2728"/>
      <c r="E1159" s="2728"/>
      <c r="G1159" s="2512"/>
      <c r="I1159" s="2748"/>
      <c r="J1159" s="2728"/>
      <c r="L1159" s="2728"/>
      <c r="M1159" s="2748"/>
      <c r="N1159" s="2728"/>
      <c r="O1159" s="2728"/>
      <c r="P1159" s="2728"/>
      <c r="Q1159" s="2748"/>
      <c r="R1159" s="2748"/>
      <c r="S1159" s="2748"/>
      <c r="T1159" s="2748"/>
      <c r="U1159" s="2748"/>
      <c r="V1159" s="2748"/>
      <c r="W1159" s="2748"/>
      <c r="X1159" s="2748"/>
      <c r="Y1159" s="2748"/>
      <c r="Z1159" s="2748"/>
      <c r="AA1159" s="2748"/>
      <c r="AB1159" s="2748"/>
      <c r="AC1159" s="2748"/>
      <c r="AD1159" s="2748"/>
      <c r="AE1159" s="2748"/>
      <c r="AF1159" s="2748"/>
      <c r="AG1159" s="2748"/>
      <c r="AH1159" s="2748"/>
      <c r="AI1159" s="2748"/>
      <c r="AK1159" s="2748"/>
      <c r="AL1159" s="2748"/>
      <c r="AN1159" s="2748"/>
      <c r="AO1159" s="2748"/>
      <c r="AP1159" s="2748"/>
    </row>
    <row r="1160" spans="2:42" ht="18" customHeight="1">
      <c r="B1160" s="2728"/>
      <c r="C1160" s="2728"/>
      <c r="D1160" s="2728"/>
      <c r="E1160" s="2728"/>
      <c r="G1160" s="2512"/>
      <c r="I1160" s="2748"/>
      <c r="J1160" s="2728"/>
      <c r="L1160" s="2728"/>
      <c r="M1160" s="2748"/>
      <c r="N1160" s="2728"/>
      <c r="O1160" s="2728"/>
      <c r="P1160" s="2728"/>
      <c r="Q1160" s="2748"/>
      <c r="R1160" s="2748"/>
      <c r="S1160" s="2748"/>
      <c r="T1160" s="2748"/>
      <c r="U1160" s="2748"/>
      <c r="V1160" s="2748"/>
      <c r="W1160" s="2748"/>
      <c r="X1160" s="2748"/>
      <c r="Y1160" s="2748"/>
      <c r="Z1160" s="2748"/>
      <c r="AA1160" s="2748"/>
      <c r="AB1160" s="2748"/>
      <c r="AC1160" s="2748"/>
      <c r="AD1160" s="2748"/>
      <c r="AE1160" s="2748"/>
      <c r="AF1160" s="2748"/>
      <c r="AG1160" s="2748"/>
      <c r="AH1160" s="2748"/>
      <c r="AI1160" s="2748"/>
      <c r="AK1160" s="2748"/>
      <c r="AL1160" s="2748"/>
      <c r="AN1160" s="2748"/>
      <c r="AO1160" s="2748"/>
      <c r="AP1160" s="2748"/>
    </row>
    <row r="1161" spans="2:42" ht="18" customHeight="1">
      <c r="B1161" s="2728"/>
      <c r="C1161" s="2728"/>
      <c r="D1161" s="2728"/>
      <c r="E1161" s="2728"/>
      <c r="G1161" s="2512"/>
      <c r="I1161" s="2748"/>
      <c r="J1161" s="2728"/>
      <c r="L1161" s="2728"/>
      <c r="M1161" s="2748"/>
      <c r="N1161" s="2728"/>
      <c r="O1161" s="2728"/>
      <c r="P1161" s="2728"/>
      <c r="Q1161" s="2748"/>
      <c r="R1161" s="2748"/>
      <c r="S1161" s="2748"/>
      <c r="T1161" s="2748"/>
      <c r="U1161" s="2748"/>
      <c r="V1161" s="2748"/>
      <c r="W1161" s="2748"/>
      <c r="X1161" s="2748"/>
      <c r="Y1161" s="2748"/>
      <c r="Z1161" s="2748"/>
      <c r="AA1161" s="2748"/>
      <c r="AB1161" s="2748"/>
      <c r="AC1161" s="2748"/>
      <c r="AD1161" s="2748"/>
      <c r="AE1161" s="2748"/>
      <c r="AF1161" s="2748"/>
      <c r="AG1161" s="2748"/>
      <c r="AH1161" s="2748"/>
      <c r="AI1161" s="2748"/>
      <c r="AK1161" s="2748"/>
      <c r="AL1161" s="2748"/>
      <c r="AN1161" s="2748"/>
      <c r="AO1161" s="2748"/>
      <c r="AP1161" s="2748"/>
    </row>
    <row r="1162" spans="2:42" ht="18" customHeight="1">
      <c r="B1162" s="2728"/>
      <c r="C1162" s="2728"/>
      <c r="D1162" s="2728"/>
      <c r="E1162" s="2728"/>
      <c r="G1162" s="2512"/>
      <c r="I1162" s="2748"/>
      <c r="J1162" s="2728"/>
      <c r="L1162" s="2728"/>
      <c r="M1162" s="2748"/>
      <c r="N1162" s="2728"/>
      <c r="O1162" s="2728"/>
      <c r="P1162" s="2728"/>
      <c r="Q1162" s="2748"/>
      <c r="R1162" s="2748"/>
      <c r="S1162" s="2748"/>
      <c r="T1162" s="2748"/>
      <c r="U1162" s="2748"/>
      <c r="V1162" s="2748"/>
      <c r="W1162" s="2748"/>
      <c r="X1162" s="2748"/>
      <c r="Y1162" s="2748"/>
      <c r="Z1162" s="2748"/>
      <c r="AA1162" s="2748"/>
      <c r="AB1162" s="2748"/>
      <c r="AC1162" s="2748"/>
      <c r="AD1162" s="2748"/>
      <c r="AE1162" s="2748"/>
      <c r="AF1162" s="2748"/>
      <c r="AG1162" s="2748"/>
      <c r="AH1162" s="2748"/>
      <c r="AI1162" s="2748"/>
      <c r="AK1162" s="2748"/>
      <c r="AL1162" s="2748"/>
      <c r="AN1162" s="2748"/>
      <c r="AO1162" s="2748"/>
      <c r="AP1162" s="2748"/>
    </row>
    <row r="1163" spans="2:42" ht="18" customHeight="1">
      <c r="B1163" s="2728"/>
      <c r="C1163" s="2728"/>
      <c r="D1163" s="2728"/>
      <c r="E1163" s="2728"/>
      <c r="G1163" s="2512"/>
      <c r="I1163" s="2748"/>
      <c r="J1163" s="2728"/>
      <c r="L1163" s="2728"/>
      <c r="M1163" s="2748"/>
      <c r="N1163" s="2728"/>
      <c r="O1163" s="2728"/>
      <c r="P1163" s="2728"/>
      <c r="Q1163" s="2748"/>
      <c r="R1163" s="2748"/>
      <c r="S1163" s="2748"/>
      <c r="T1163" s="2748"/>
      <c r="U1163" s="2748"/>
      <c r="V1163" s="2748"/>
      <c r="W1163" s="2748"/>
      <c r="X1163" s="2748"/>
      <c r="Y1163" s="2748"/>
      <c r="Z1163" s="2748"/>
      <c r="AA1163" s="2748"/>
      <c r="AB1163" s="2748"/>
      <c r="AC1163" s="2748"/>
      <c r="AD1163" s="2748"/>
      <c r="AE1163" s="2748"/>
      <c r="AF1163" s="2748"/>
      <c r="AG1163" s="2748"/>
      <c r="AH1163" s="2748"/>
      <c r="AI1163" s="2748"/>
      <c r="AK1163" s="2748"/>
      <c r="AL1163" s="2748"/>
      <c r="AN1163" s="2748"/>
      <c r="AO1163" s="2748"/>
      <c r="AP1163" s="2748"/>
    </row>
    <row r="1164" spans="2:42" ht="18" customHeight="1">
      <c r="B1164" s="2728"/>
      <c r="C1164" s="2728"/>
      <c r="D1164" s="2728"/>
      <c r="E1164" s="2728"/>
      <c r="G1164" s="2512"/>
      <c r="I1164" s="2748"/>
      <c r="J1164" s="2728"/>
      <c r="L1164" s="2728"/>
      <c r="M1164" s="2748"/>
      <c r="N1164" s="2728"/>
      <c r="O1164" s="2728"/>
      <c r="P1164" s="2728"/>
      <c r="Q1164" s="2748"/>
      <c r="R1164" s="2748"/>
      <c r="S1164" s="2748"/>
      <c r="T1164" s="2748"/>
      <c r="U1164" s="2748"/>
      <c r="V1164" s="2748"/>
      <c r="W1164" s="2748"/>
      <c r="X1164" s="2748"/>
      <c r="Y1164" s="2748"/>
      <c r="Z1164" s="2748"/>
      <c r="AA1164" s="2748"/>
      <c r="AB1164" s="2748"/>
      <c r="AC1164" s="2748"/>
      <c r="AD1164" s="2748"/>
      <c r="AE1164" s="2748"/>
      <c r="AF1164" s="2748"/>
      <c r="AG1164" s="2748"/>
      <c r="AH1164" s="2748"/>
      <c r="AI1164" s="2748"/>
      <c r="AK1164" s="2748"/>
      <c r="AL1164" s="2748"/>
      <c r="AN1164" s="2748"/>
      <c r="AO1164" s="2748"/>
      <c r="AP1164" s="2748"/>
    </row>
    <row r="1165" spans="2:42" ht="18" customHeight="1">
      <c r="B1165" s="2728"/>
      <c r="C1165" s="2728"/>
      <c r="D1165" s="2728"/>
      <c r="E1165" s="2728"/>
      <c r="G1165" s="2512"/>
      <c r="I1165" s="2748"/>
      <c r="J1165" s="2728"/>
      <c r="L1165" s="2728"/>
      <c r="M1165" s="2748"/>
      <c r="N1165" s="2728"/>
      <c r="O1165" s="2728"/>
      <c r="P1165" s="2728"/>
      <c r="Q1165" s="2748"/>
      <c r="R1165" s="2748"/>
      <c r="S1165" s="2748"/>
      <c r="T1165" s="2748"/>
      <c r="U1165" s="2748"/>
      <c r="V1165" s="2748"/>
      <c r="W1165" s="2748"/>
      <c r="X1165" s="2748"/>
      <c r="Y1165" s="2748"/>
      <c r="Z1165" s="2748"/>
      <c r="AA1165" s="2748"/>
      <c r="AB1165" s="2748"/>
      <c r="AC1165" s="2748"/>
      <c r="AD1165" s="2748"/>
      <c r="AE1165" s="2748"/>
      <c r="AF1165" s="2748"/>
      <c r="AG1165" s="2748"/>
      <c r="AH1165" s="2748"/>
      <c r="AI1165" s="2748"/>
      <c r="AK1165" s="2748"/>
      <c r="AL1165" s="2748"/>
      <c r="AN1165" s="2748"/>
      <c r="AO1165" s="2748"/>
      <c r="AP1165" s="2748"/>
    </row>
    <row r="1166" spans="2:42" ht="18" customHeight="1">
      <c r="B1166" s="2728"/>
      <c r="C1166" s="2728"/>
      <c r="D1166" s="2728"/>
      <c r="E1166" s="2728"/>
      <c r="G1166" s="2512"/>
      <c r="I1166" s="2748"/>
      <c r="J1166" s="2728"/>
      <c r="L1166" s="2728"/>
      <c r="M1166" s="2748"/>
      <c r="N1166" s="2728"/>
      <c r="O1166" s="2728"/>
      <c r="P1166" s="2728"/>
      <c r="Q1166" s="2748"/>
      <c r="R1166" s="2748"/>
      <c r="S1166" s="2748"/>
      <c r="T1166" s="2748"/>
      <c r="U1166" s="2748"/>
      <c r="V1166" s="2748"/>
      <c r="W1166" s="2748"/>
      <c r="X1166" s="2748"/>
      <c r="Y1166" s="2748"/>
      <c r="Z1166" s="2748"/>
      <c r="AA1166" s="2748"/>
      <c r="AB1166" s="2748"/>
      <c r="AC1166" s="2748"/>
      <c r="AD1166" s="2748"/>
      <c r="AE1166" s="2748"/>
      <c r="AF1166" s="2748"/>
      <c r="AG1166" s="2748"/>
      <c r="AH1166" s="2748"/>
      <c r="AI1166" s="2748"/>
      <c r="AK1166" s="2748"/>
      <c r="AL1166" s="2748"/>
      <c r="AN1166" s="2748"/>
      <c r="AO1166" s="2748"/>
      <c r="AP1166" s="2748"/>
    </row>
    <row r="1167" spans="2:42" ht="18" customHeight="1">
      <c r="B1167" s="2728"/>
      <c r="C1167" s="2728"/>
      <c r="D1167" s="2728"/>
      <c r="E1167" s="2728"/>
      <c r="G1167" s="2512"/>
      <c r="I1167" s="2748"/>
      <c r="J1167" s="2728"/>
      <c r="L1167" s="2728"/>
      <c r="M1167" s="2748"/>
      <c r="N1167" s="2728"/>
      <c r="O1167" s="2728"/>
      <c r="P1167" s="2728"/>
      <c r="Q1167" s="2748"/>
      <c r="R1167" s="2748"/>
      <c r="S1167" s="2748"/>
      <c r="T1167" s="2748"/>
      <c r="U1167" s="2748"/>
      <c r="V1167" s="2748"/>
      <c r="W1167" s="2748"/>
      <c r="X1167" s="2748"/>
      <c r="Y1167" s="2748"/>
      <c r="Z1167" s="2748"/>
      <c r="AA1167" s="2748"/>
      <c r="AB1167" s="2748"/>
      <c r="AC1167" s="2748"/>
      <c r="AD1167" s="2748"/>
      <c r="AE1167" s="2748"/>
      <c r="AF1167" s="2748"/>
      <c r="AG1167" s="2748"/>
      <c r="AH1167" s="2748"/>
      <c r="AI1167" s="2748"/>
      <c r="AK1167" s="2748"/>
      <c r="AL1167" s="2748"/>
      <c r="AN1167" s="2748"/>
      <c r="AO1167" s="2748"/>
      <c r="AP1167" s="2748"/>
    </row>
    <row r="1168" spans="2:42" ht="18" customHeight="1">
      <c r="B1168" s="2728"/>
      <c r="C1168" s="2728"/>
      <c r="D1168" s="2728"/>
      <c r="E1168" s="2728"/>
      <c r="G1168" s="2512"/>
      <c r="I1168" s="2748"/>
      <c r="J1168" s="2728"/>
      <c r="L1168" s="2728"/>
      <c r="M1168" s="2748"/>
      <c r="N1168" s="2728"/>
      <c r="O1168" s="2728"/>
      <c r="P1168" s="2728"/>
      <c r="Q1168" s="2748"/>
      <c r="R1168" s="2748"/>
      <c r="S1168" s="2748"/>
      <c r="T1168" s="2748"/>
      <c r="U1168" s="2748"/>
      <c r="V1168" s="2748"/>
      <c r="W1168" s="2748"/>
      <c r="X1168" s="2748"/>
      <c r="Y1168" s="2748"/>
      <c r="Z1168" s="2748"/>
      <c r="AA1168" s="2748"/>
      <c r="AB1168" s="2748"/>
      <c r="AC1168" s="2748"/>
      <c r="AD1168" s="2748"/>
      <c r="AE1168" s="2748"/>
      <c r="AF1168" s="2748"/>
      <c r="AG1168" s="2748"/>
      <c r="AH1168" s="2748"/>
      <c r="AI1168" s="2748"/>
      <c r="AK1168" s="2748"/>
      <c r="AL1168" s="2748"/>
      <c r="AN1168" s="2748"/>
      <c r="AO1168" s="2748"/>
      <c r="AP1168" s="2748"/>
    </row>
    <row r="1169" spans="2:42" ht="18" customHeight="1">
      <c r="B1169" s="2728"/>
      <c r="C1169" s="2728"/>
      <c r="D1169" s="2728"/>
      <c r="E1169" s="2728"/>
      <c r="G1169" s="2512"/>
      <c r="I1169" s="2748"/>
      <c r="J1169" s="2728"/>
      <c r="L1169" s="2728"/>
      <c r="M1169" s="2748"/>
      <c r="N1169" s="2728"/>
      <c r="O1169" s="2728"/>
      <c r="P1169" s="2728"/>
      <c r="Q1169" s="2748"/>
      <c r="R1169" s="2748"/>
      <c r="S1169" s="2748"/>
      <c r="T1169" s="2748"/>
      <c r="U1169" s="2748"/>
      <c r="V1169" s="2748"/>
      <c r="W1169" s="2748"/>
      <c r="X1169" s="2748"/>
      <c r="Y1169" s="2748"/>
      <c r="Z1169" s="2748"/>
      <c r="AA1169" s="2748"/>
      <c r="AB1169" s="2748"/>
      <c r="AC1169" s="2748"/>
      <c r="AD1169" s="2748"/>
      <c r="AE1169" s="2748"/>
      <c r="AF1169" s="2748"/>
      <c r="AG1169" s="2748"/>
      <c r="AH1169" s="2748"/>
      <c r="AI1169" s="2748"/>
      <c r="AK1169" s="2748"/>
      <c r="AL1169" s="2748"/>
      <c r="AN1169" s="2748"/>
      <c r="AO1169" s="2748"/>
      <c r="AP1169" s="2748"/>
    </row>
    <row r="1170" spans="2:42" ht="18" customHeight="1">
      <c r="B1170" s="2728"/>
      <c r="C1170" s="2728"/>
      <c r="D1170" s="2728"/>
      <c r="E1170" s="2728"/>
      <c r="G1170" s="2512"/>
      <c r="I1170" s="2748"/>
      <c r="J1170" s="2728"/>
      <c r="L1170" s="2728"/>
      <c r="M1170" s="2748"/>
      <c r="N1170" s="2728"/>
      <c r="O1170" s="2728"/>
      <c r="P1170" s="2728"/>
      <c r="Q1170" s="2748"/>
      <c r="R1170" s="2748"/>
      <c r="S1170" s="2748"/>
      <c r="T1170" s="2748"/>
      <c r="U1170" s="2748"/>
      <c r="V1170" s="2748"/>
      <c r="W1170" s="2748"/>
      <c r="X1170" s="2748"/>
      <c r="Y1170" s="2748"/>
      <c r="Z1170" s="2748"/>
      <c r="AA1170" s="2748"/>
      <c r="AB1170" s="2748"/>
      <c r="AC1170" s="2748"/>
      <c r="AD1170" s="2748"/>
      <c r="AE1170" s="2748"/>
      <c r="AF1170" s="2748"/>
      <c r="AG1170" s="2748"/>
      <c r="AH1170" s="2748"/>
      <c r="AI1170" s="2748"/>
      <c r="AK1170" s="2748"/>
      <c r="AL1170" s="2748"/>
      <c r="AN1170" s="2748"/>
      <c r="AO1170" s="2748"/>
      <c r="AP1170" s="2748"/>
    </row>
    <row r="1171" spans="2:42" ht="18" customHeight="1">
      <c r="B1171" s="2728"/>
      <c r="C1171" s="2728"/>
      <c r="D1171" s="2728"/>
      <c r="E1171" s="2728"/>
      <c r="G1171" s="2512"/>
      <c r="I1171" s="2748"/>
      <c r="J1171" s="2728"/>
      <c r="L1171" s="2728"/>
      <c r="M1171" s="2748"/>
      <c r="N1171" s="2728"/>
      <c r="O1171" s="2728"/>
      <c r="P1171" s="2728"/>
      <c r="Q1171" s="2748"/>
      <c r="R1171" s="2748"/>
      <c r="S1171" s="2748"/>
      <c r="T1171" s="2748"/>
      <c r="U1171" s="2748"/>
      <c r="V1171" s="2748"/>
      <c r="W1171" s="2748"/>
      <c r="X1171" s="2748"/>
      <c r="Y1171" s="2748"/>
      <c r="Z1171" s="2748"/>
      <c r="AA1171" s="2748"/>
      <c r="AB1171" s="2748"/>
      <c r="AC1171" s="2748"/>
      <c r="AD1171" s="2748"/>
      <c r="AE1171" s="2748"/>
      <c r="AF1171" s="2748"/>
      <c r="AG1171" s="2748"/>
      <c r="AH1171" s="2748"/>
      <c r="AI1171" s="2748"/>
      <c r="AK1171" s="2748"/>
      <c r="AL1171" s="2748"/>
      <c r="AN1171" s="2748"/>
      <c r="AO1171" s="2748"/>
      <c r="AP1171" s="2748"/>
    </row>
    <row r="1172" spans="2:42" ht="18" customHeight="1">
      <c r="B1172" s="2728"/>
      <c r="C1172" s="2728"/>
      <c r="D1172" s="2728"/>
      <c r="E1172" s="2728"/>
      <c r="G1172" s="2512"/>
      <c r="I1172" s="2748"/>
      <c r="J1172" s="2728"/>
      <c r="L1172" s="2728"/>
      <c r="M1172" s="2748"/>
      <c r="N1172" s="2728"/>
      <c r="O1172" s="2728"/>
      <c r="P1172" s="2728"/>
      <c r="Q1172" s="2748"/>
      <c r="R1172" s="2748"/>
      <c r="S1172" s="2748"/>
      <c r="T1172" s="2748"/>
      <c r="U1172" s="2748"/>
      <c r="V1172" s="2748"/>
      <c r="W1172" s="2748"/>
      <c r="X1172" s="2748"/>
      <c r="Y1172" s="2748"/>
      <c r="Z1172" s="2748"/>
      <c r="AA1172" s="2748"/>
      <c r="AB1172" s="2748"/>
      <c r="AC1172" s="2748"/>
      <c r="AD1172" s="2748"/>
      <c r="AE1172" s="2748"/>
      <c r="AF1172" s="2748"/>
      <c r="AG1172" s="2748"/>
      <c r="AH1172" s="2748"/>
      <c r="AI1172" s="2748"/>
      <c r="AK1172" s="2748"/>
      <c r="AL1172" s="2748"/>
      <c r="AN1172" s="2748"/>
      <c r="AO1172" s="2748"/>
      <c r="AP1172" s="2748"/>
    </row>
    <row r="1173" spans="2:42" ht="18" customHeight="1">
      <c r="B1173" s="2728"/>
      <c r="C1173" s="2728"/>
      <c r="D1173" s="2728"/>
      <c r="E1173" s="2728"/>
      <c r="G1173" s="2512"/>
      <c r="I1173" s="2748"/>
      <c r="J1173" s="2728"/>
      <c r="L1173" s="2728"/>
      <c r="M1173" s="2748"/>
      <c r="N1173" s="2728"/>
      <c r="O1173" s="2728"/>
      <c r="P1173" s="2728"/>
      <c r="Q1173" s="2748"/>
      <c r="R1173" s="2748"/>
      <c r="S1173" s="2748"/>
      <c r="T1173" s="2748"/>
      <c r="U1173" s="2748"/>
      <c r="V1173" s="2748"/>
      <c r="W1173" s="2748"/>
      <c r="X1173" s="2748"/>
      <c r="Y1173" s="2748"/>
      <c r="Z1173" s="2748"/>
      <c r="AA1173" s="2748"/>
      <c r="AB1173" s="2748"/>
      <c r="AC1173" s="2748"/>
      <c r="AD1173" s="2748"/>
      <c r="AE1173" s="2748"/>
      <c r="AF1173" s="2748"/>
      <c r="AG1173" s="2748"/>
      <c r="AH1173" s="2748"/>
      <c r="AI1173" s="2748"/>
      <c r="AK1173" s="2748"/>
      <c r="AL1173" s="2748"/>
      <c r="AN1173" s="2748"/>
      <c r="AO1173" s="2748"/>
      <c r="AP1173" s="2748"/>
    </row>
    <row r="1174" spans="2:42" ht="18" customHeight="1">
      <c r="B1174" s="2728"/>
      <c r="C1174" s="2728"/>
      <c r="D1174" s="2728"/>
      <c r="E1174" s="2728"/>
      <c r="G1174" s="2512"/>
      <c r="I1174" s="2748"/>
      <c r="J1174" s="2728"/>
      <c r="L1174" s="2728"/>
      <c r="M1174" s="2748"/>
      <c r="N1174" s="2728"/>
      <c r="O1174" s="2728"/>
      <c r="P1174" s="2728"/>
      <c r="Q1174" s="2748"/>
      <c r="R1174" s="2748"/>
      <c r="S1174" s="2748"/>
      <c r="T1174" s="2748"/>
      <c r="U1174" s="2748"/>
      <c r="V1174" s="2748"/>
      <c r="W1174" s="2748"/>
      <c r="X1174" s="2748"/>
      <c r="Y1174" s="2748"/>
      <c r="Z1174" s="2748"/>
      <c r="AA1174" s="2748"/>
      <c r="AB1174" s="2748"/>
      <c r="AC1174" s="2748"/>
      <c r="AD1174" s="2748"/>
      <c r="AE1174" s="2748"/>
      <c r="AF1174" s="2748"/>
      <c r="AG1174" s="2748"/>
      <c r="AH1174" s="2748"/>
      <c r="AI1174" s="2748"/>
      <c r="AK1174" s="2748"/>
      <c r="AL1174" s="2748"/>
      <c r="AN1174" s="2748"/>
      <c r="AO1174" s="2748"/>
      <c r="AP1174" s="2748"/>
    </row>
    <row r="1175" spans="2:42" ht="18" customHeight="1">
      <c r="B1175" s="2728"/>
      <c r="C1175" s="2728"/>
      <c r="D1175" s="2728"/>
      <c r="E1175" s="2728"/>
      <c r="G1175" s="2512"/>
      <c r="I1175" s="2748"/>
      <c r="J1175" s="2728"/>
      <c r="L1175" s="2728"/>
      <c r="M1175" s="2748"/>
      <c r="N1175" s="2728"/>
      <c r="O1175" s="2728"/>
      <c r="P1175" s="2728"/>
      <c r="Q1175" s="2748"/>
      <c r="R1175" s="2748"/>
      <c r="S1175" s="2748"/>
      <c r="T1175" s="2748"/>
      <c r="U1175" s="2748"/>
      <c r="V1175" s="2748"/>
      <c r="W1175" s="2748"/>
      <c r="X1175" s="2748"/>
      <c r="Y1175" s="2748"/>
      <c r="Z1175" s="2748"/>
      <c r="AA1175" s="2748"/>
      <c r="AB1175" s="2748"/>
      <c r="AC1175" s="2748"/>
      <c r="AD1175" s="2748"/>
      <c r="AE1175" s="2748"/>
      <c r="AF1175" s="2748"/>
      <c r="AG1175" s="2748"/>
      <c r="AH1175" s="2748"/>
      <c r="AI1175" s="2748"/>
      <c r="AK1175" s="2748"/>
      <c r="AL1175" s="2748"/>
      <c r="AN1175" s="2748"/>
      <c r="AO1175" s="2748"/>
      <c r="AP1175" s="2748"/>
    </row>
    <row r="1176" spans="2:42" ht="18" customHeight="1">
      <c r="B1176" s="2728"/>
      <c r="C1176" s="2728"/>
      <c r="D1176" s="2728"/>
      <c r="E1176" s="2728"/>
      <c r="G1176" s="2512"/>
      <c r="I1176" s="2748"/>
      <c r="J1176" s="2728"/>
      <c r="L1176" s="2728"/>
      <c r="M1176" s="2748"/>
      <c r="N1176" s="2728"/>
      <c r="O1176" s="2728"/>
      <c r="P1176" s="2728"/>
      <c r="Q1176" s="2748"/>
      <c r="R1176" s="2748"/>
      <c r="S1176" s="2748"/>
      <c r="T1176" s="2748"/>
      <c r="U1176" s="2748"/>
      <c r="V1176" s="2748"/>
      <c r="W1176" s="2748"/>
      <c r="X1176" s="2748"/>
      <c r="Y1176" s="2748"/>
      <c r="Z1176" s="2748"/>
      <c r="AA1176" s="2748"/>
      <c r="AB1176" s="2748"/>
      <c r="AC1176" s="2748"/>
      <c r="AD1176" s="2748"/>
      <c r="AE1176" s="2748"/>
      <c r="AF1176" s="2748"/>
      <c r="AG1176" s="2748"/>
      <c r="AH1176" s="2748"/>
      <c r="AI1176" s="2748"/>
      <c r="AK1176" s="2748"/>
      <c r="AL1176" s="2748"/>
      <c r="AN1176" s="2748"/>
      <c r="AO1176" s="2748"/>
      <c r="AP1176" s="2748"/>
    </row>
    <row r="1177" spans="2:42" ht="18" customHeight="1">
      <c r="B1177" s="2728"/>
      <c r="C1177" s="2728"/>
      <c r="D1177" s="2728"/>
      <c r="E1177" s="2728"/>
      <c r="G1177" s="2512"/>
      <c r="I1177" s="2748"/>
      <c r="J1177" s="2728"/>
      <c r="L1177" s="2728"/>
      <c r="M1177" s="2748"/>
      <c r="N1177" s="2728"/>
      <c r="O1177" s="2728"/>
      <c r="P1177" s="2728"/>
      <c r="Q1177" s="2748"/>
      <c r="R1177" s="2748"/>
      <c r="S1177" s="2748"/>
      <c r="T1177" s="2748"/>
      <c r="U1177" s="2748"/>
      <c r="V1177" s="2748"/>
      <c r="W1177" s="2748"/>
      <c r="X1177" s="2748"/>
      <c r="Y1177" s="2748"/>
      <c r="Z1177" s="2748"/>
      <c r="AA1177" s="2748"/>
      <c r="AB1177" s="2748"/>
      <c r="AC1177" s="2748"/>
      <c r="AD1177" s="2748"/>
      <c r="AE1177" s="2748"/>
      <c r="AF1177" s="2748"/>
      <c r="AG1177" s="2748"/>
      <c r="AH1177" s="2748"/>
      <c r="AI1177" s="2748"/>
      <c r="AK1177" s="2748"/>
      <c r="AL1177" s="2748"/>
      <c r="AN1177" s="2748"/>
      <c r="AO1177" s="2748"/>
      <c r="AP1177" s="2748"/>
    </row>
    <row r="1178" spans="2:42" ht="18" customHeight="1">
      <c r="B1178" s="2728"/>
      <c r="C1178" s="2728"/>
      <c r="D1178" s="2728"/>
      <c r="E1178" s="2728"/>
      <c r="G1178" s="2512"/>
      <c r="I1178" s="2748"/>
      <c r="J1178" s="2728"/>
      <c r="L1178" s="2728"/>
      <c r="M1178" s="2748"/>
      <c r="N1178" s="2728"/>
      <c r="O1178" s="2728"/>
      <c r="P1178" s="2728"/>
      <c r="Q1178" s="2748"/>
      <c r="R1178" s="2748"/>
      <c r="S1178" s="2748"/>
      <c r="T1178" s="2748"/>
      <c r="U1178" s="2748"/>
      <c r="V1178" s="2748"/>
      <c r="W1178" s="2748"/>
      <c r="X1178" s="2748"/>
      <c r="Y1178" s="2748"/>
      <c r="Z1178" s="2748"/>
      <c r="AA1178" s="2748"/>
      <c r="AB1178" s="2748"/>
      <c r="AC1178" s="2748"/>
      <c r="AD1178" s="2748"/>
      <c r="AE1178" s="2748"/>
      <c r="AF1178" s="2748"/>
      <c r="AG1178" s="2748"/>
      <c r="AH1178" s="2748"/>
      <c r="AI1178" s="2748"/>
      <c r="AK1178" s="2748"/>
      <c r="AL1178" s="2748"/>
      <c r="AN1178" s="2748"/>
      <c r="AO1178" s="2748"/>
      <c r="AP1178" s="2748"/>
    </row>
    <row r="1179" spans="2:42" ht="18" customHeight="1">
      <c r="B1179" s="2728"/>
      <c r="C1179" s="2728"/>
      <c r="D1179" s="2728"/>
      <c r="E1179" s="2728"/>
      <c r="G1179" s="2512"/>
      <c r="I1179" s="2748"/>
      <c r="J1179" s="2728"/>
      <c r="L1179" s="2728"/>
      <c r="M1179" s="2748"/>
      <c r="N1179" s="2728"/>
      <c r="O1179" s="2728"/>
      <c r="P1179" s="2728"/>
      <c r="Q1179" s="2748"/>
      <c r="R1179" s="2748"/>
      <c r="S1179" s="2748"/>
      <c r="T1179" s="2748"/>
      <c r="U1179" s="2748"/>
      <c r="V1179" s="2748"/>
      <c r="W1179" s="2748"/>
      <c r="X1179" s="2748"/>
      <c r="Y1179" s="2748"/>
      <c r="Z1179" s="2748"/>
      <c r="AA1179" s="2748"/>
      <c r="AB1179" s="2748"/>
      <c r="AC1179" s="2748"/>
      <c r="AD1179" s="2748"/>
      <c r="AE1179" s="2748"/>
      <c r="AF1179" s="2748"/>
      <c r="AG1179" s="2748"/>
      <c r="AH1179" s="2748"/>
      <c r="AI1179" s="2748"/>
      <c r="AK1179" s="2748"/>
      <c r="AL1179" s="2748"/>
      <c r="AN1179" s="2748"/>
      <c r="AO1179" s="2748"/>
      <c r="AP1179" s="2748"/>
    </row>
    <row r="1180" spans="2:42" ht="18" customHeight="1">
      <c r="B1180" s="2728"/>
      <c r="C1180" s="2728"/>
      <c r="D1180" s="2728"/>
      <c r="E1180" s="2728"/>
      <c r="G1180" s="2512"/>
      <c r="I1180" s="2748"/>
      <c r="J1180" s="2728"/>
      <c r="L1180" s="2728"/>
      <c r="M1180" s="2748"/>
      <c r="N1180" s="2728"/>
      <c r="O1180" s="2728"/>
      <c r="P1180" s="2728"/>
      <c r="Q1180" s="2748"/>
      <c r="R1180" s="2748"/>
      <c r="S1180" s="2748"/>
      <c r="T1180" s="2748"/>
      <c r="U1180" s="2748"/>
      <c r="V1180" s="2748"/>
      <c r="W1180" s="2748"/>
      <c r="X1180" s="2748"/>
      <c r="Y1180" s="2748"/>
      <c r="Z1180" s="2748"/>
      <c r="AA1180" s="2748"/>
      <c r="AB1180" s="2748"/>
      <c r="AC1180" s="2748"/>
      <c r="AD1180" s="2748"/>
      <c r="AE1180" s="2748"/>
      <c r="AF1180" s="2748"/>
      <c r="AG1180" s="2748"/>
      <c r="AH1180" s="2748"/>
      <c r="AI1180" s="2748"/>
      <c r="AK1180" s="2748"/>
      <c r="AL1180" s="2748"/>
      <c r="AN1180" s="2748"/>
      <c r="AO1180" s="2748"/>
      <c r="AP1180" s="2748"/>
    </row>
    <row r="1181" spans="2:42" ht="18" customHeight="1">
      <c r="B1181" s="2728"/>
      <c r="C1181" s="2728"/>
      <c r="D1181" s="2728"/>
      <c r="E1181" s="2728"/>
      <c r="G1181" s="2512"/>
      <c r="I1181" s="2748"/>
      <c r="J1181" s="2728"/>
      <c r="L1181" s="2728"/>
      <c r="M1181" s="2748"/>
      <c r="N1181" s="2728"/>
      <c r="O1181" s="2728"/>
      <c r="P1181" s="2728"/>
      <c r="Q1181" s="2748"/>
      <c r="R1181" s="2748"/>
      <c r="S1181" s="2748"/>
      <c r="T1181" s="2748"/>
      <c r="U1181" s="2748"/>
      <c r="V1181" s="2748"/>
      <c r="W1181" s="2748"/>
      <c r="X1181" s="2748"/>
      <c r="Y1181" s="2748"/>
      <c r="Z1181" s="2748"/>
      <c r="AA1181" s="2748"/>
      <c r="AB1181" s="2748"/>
      <c r="AC1181" s="2748"/>
      <c r="AD1181" s="2748"/>
      <c r="AE1181" s="2748"/>
      <c r="AF1181" s="2748"/>
      <c r="AG1181" s="2748"/>
      <c r="AH1181" s="2748"/>
      <c r="AI1181" s="2748"/>
      <c r="AK1181" s="2748"/>
      <c r="AL1181" s="2748"/>
      <c r="AN1181" s="2748"/>
      <c r="AO1181" s="2748"/>
      <c r="AP1181" s="2748"/>
    </row>
    <row r="1182" spans="2:42" ht="18" customHeight="1">
      <c r="B1182" s="2728"/>
      <c r="C1182" s="2728"/>
      <c r="D1182" s="2728"/>
      <c r="E1182" s="2728"/>
      <c r="G1182" s="2512"/>
      <c r="I1182" s="2748"/>
      <c r="J1182" s="2728"/>
      <c r="L1182" s="2728"/>
      <c r="M1182" s="2748"/>
      <c r="N1182" s="2728"/>
      <c r="O1182" s="2728"/>
      <c r="P1182" s="2728"/>
      <c r="Q1182" s="2748"/>
      <c r="R1182" s="2748"/>
      <c r="S1182" s="2748"/>
      <c r="T1182" s="2748"/>
      <c r="U1182" s="2748"/>
      <c r="V1182" s="2748"/>
      <c r="W1182" s="2748"/>
      <c r="X1182" s="2748"/>
      <c r="Y1182" s="2748"/>
      <c r="Z1182" s="2748"/>
      <c r="AA1182" s="2748"/>
      <c r="AB1182" s="2748"/>
      <c r="AC1182" s="2748"/>
      <c r="AD1182" s="2748"/>
      <c r="AE1182" s="2748"/>
      <c r="AF1182" s="2748"/>
      <c r="AG1182" s="2748"/>
      <c r="AH1182" s="2748"/>
      <c r="AI1182" s="2748"/>
      <c r="AK1182" s="2748"/>
      <c r="AL1182" s="2748"/>
      <c r="AN1182" s="2748"/>
      <c r="AO1182" s="2748"/>
      <c r="AP1182" s="2748"/>
    </row>
    <row r="1183" spans="2:42" ht="18" customHeight="1">
      <c r="B1183" s="2728"/>
      <c r="C1183" s="2728"/>
      <c r="D1183" s="2728"/>
      <c r="E1183" s="2728"/>
      <c r="G1183" s="2512"/>
      <c r="I1183" s="2748"/>
      <c r="J1183" s="2728"/>
      <c r="L1183" s="2728"/>
      <c r="M1183" s="2748"/>
      <c r="N1183" s="2728"/>
      <c r="O1183" s="2728"/>
      <c r="P1183" s="2728"/>
      <c r="Q1183" s="2748"/>
      <c r="R1183" s="2748"/>
      <c r="S1183" s="2748"/>
      <c r="T1183" s="2748"/>
      <c r="U1183" s="2748"/>
      <c r="V1183" s="2748"/>
      <c r="W1183" s="2748"/>
      <c r="X1183" s="2748"/>
      <c r="Y1183" s="2748"/>
      <c r="Z1183" s="2748"/>
      <c r="AA1183" s="2748"/>
      <c r="AB1183" s="2748"/>
      <c r="AC1183" s="2748"/>
      <c r="AD1183" s="2748"/>
      <c r="AE1183" s="2748"/>
      <c r="AF1183" s="2748"/>
      <c r="AG1183" s="2748"/>
      <c r="AH1183" s="2748"/>
      <c r="AI1183" s="2748"/>
      <c r="AK1183" s="2748"/>
      <c r="AL1183" s="2748"/>
      <c r="AN1183" s="2748"/>
      <c r="AO1183" s="2748"/>
      <c r="AP1183" s="2748"/>
    </row>
    <row r="1184" spans="2:42" ht="18" customHeight="1">
      <c r="B1184" s="2728"/>
      <c r="C1184" s="2728"/>
      <c r="D1184" s="2728"/>
      <c r="E1184" s="2728"/>
      <c r="G1184" s="2512"/>
      <c r="I1184" s="2748"/>
      <c r="J1184" s="2728"/>
      <c r="L1184" s="2728"/>
      <c r="M1184" s="2748"/>
      <c r="N1184" s="2728"/>
      <c r="O1184" s="2728"/>
      <c r="P1184" s="2728"/>
      <c r="Q1184" s="2748"/>
      <c r="R1184" s="2748"/>
      <c r="S1184" s="2748"/>
      <c r="T1184" s="2748"/>
      <c r="U1184" s="2748"/>
      <c r="V1184" s="2748"/>
      <c r="W1184" s="2748"/>
      <c r="X1184" s="2748"/>
      <c r="Y1184" s="2748"/>
      <c r="Z1184" s="2748"/>
      <c r="AA1184" s="2748"/>
      <c r="AB1184" s="2748"/>
      <c r="AC1184" s="2748"/>
      <c r="AD1184" s="2748"/>
      <c r="AE1184" s="2748"/>
      <c r="AF1184" s="2748"/>
      <c r="AG1184" s="2748"/>
      <c r="AH1184" s="2748"/>
      <c r="AI1184" s="2748"/>
      <c r="AK1184" s="2748"/>
      <c r="AL1184" s="2748"/>
      <c r="AN1184" s="2748"/>
      <c r="AO1184" s="2748"/>
      <c r="AP1184" s="2748"/>
    </row>
    <row r="1185" spans="2:42" ht="18" customHeight="1">
      <c r="B1185" s="2728"/>
      <c r="C1185" s="2728"/>
      <c r="D1185" s="2728"/>
      <c r="E1185" s="2728"/>
      <c r="G1185" s="2512"/>
      <c r="I1185" s="2748"/>
      <c r="J1185" s="2728"/>
      <c r="L1185" s="2728"/>
      <c r="M1185" s="2748"/>
      <c r="N1185" s="2728"/>
      <c r="O1185" s="2728"/>
      <c r="P1185" s="2728"/>
      <c r="Q1185" s="2748"/>
      <c r="R1185" s="2748"/>
      <c r="S1185" s="2748"/>
      <c r="T1185" s="2748"/>
      <c r="U1185" s="2748"/>
      <c r="V1185" s="2748"/>
      <c r="W1185" s="2748"/>
      <c r="X1185" s="2748"/>
      <c r="Y1185" s="2748"/>
      <c r="Z1185" s="2748"/>
      <c r="AA1185" s="2748"/>
      <c r="AB1185" s="2748"/>
      <c r="AC1185" s="2748"/>
      <c r="AD1185" s="2748"/>
      <c r="AE1185" s="2748"/>
      <c r="AF1185" s="2748"/>
      <c r="AG1185" s="2748"/>
      <c r="AH1185" s="2748"/>
      <c r="AI1185" s="2748"/>
      <c r="AK1185" s="2748"/>
      <c r="AL1185" s="2748"/>
      <c r="AN1185" s="2748"/>
      <c r="AO1185" s="2748"/>
      <c r="AP1185" s="2748"/>
    </row>
    <row r="1186" spans="2:42" ht="18" customHeight="1">
      <c r="B1186" s="2728"/>
      <c r="C1186" s="2728"/>
      <c r="D1186" s="2728"/>
      <c r="E1186" s="2728"/>
      <c r="G1186" s="2512"/>
      <c r="I1186" s="2748"/>
      <c r="J1186" s="2728"/>
      <c r="L1186" s="2728"/>
      <c r="M1186" s="2748"/>
      <c r="N1186" s="2728"/>
      <c r="O1186" s="2728"/>
      <c r="P1186" s="2728"/>
      <c r="Q1186" s="2748"/>
      <c r="R1186" s="2748"/>
      <c r="S1186" s="2748"/>
      <c r="T1186" s="2748"/>
      <c r="U1186" s="2748"/>
      <c r="V1186" s="2748"/>
      <c r="W1186" s="2748"/>
      <c r="X1186" s="2748"/>
      <c r="Y1186" s="2748"/>
      <c r="Z1186" s="2748"/>
      <c r="AA1186" s="2748"/>
      <c r="AB1186" s="2748"/>
      <c r="AC1186" s="2748"/>
      <c r="AD1186" s="2748"/>
      <c r="AE1186" s="2748"/>
      <c r="AF1186" s="2748"/>
      <c r="AG1186" s="2748"/>
      <c r="AH1186" s="2748"/>
      <c r="AI1186" s="2748"/>
      <c r="AK1186" s="2748"/>
      <c r="AL1186" s="2748"/>
      <c r="AN1186" s="2748"/>
      <c r="AO1186" s="2748"/>
      <c r="AP1186" s="2748"/>
    </row>
    <row r="1187" spans="2:42" ht="18" customHeight="1">
      <c r="B1187" s="2728"/>
      <c r="C1187" s="2728"/>
      <c r="D1187" s="2728"/>
      <c r="E1187" s="2728"/>
      <c r="G1187" s="2512"/>
      <c r="I1187" s="2748"/>
      <c r="J1187" s="2728"/>
      <c r="L1187" s="2728"/>
      <c r="M1187" s="2748"/>
      <c r="N1187" s="2728"/>
      <c r="O1187" s="2728"/>
      <c r="P1187" s="2728"/>
      <c r="Q1187" s="2748"/>
      <c r="R1187" s="2748"/>
      <c r="S1187" s="2748"/>
      <c r="T1187" s="2748"/>
      <c r="U1187" s="2748"/>
      <c r="V1187" s="2748"/>
      <c r="W1187" s="2748"/>
      <c r="X1187" s="2748"/>
      <c r="Y1187" s="2748"/>
      <c r="Z1187" s="2748"/>
      <c r="AA1187" s="2748"/>
      <c r="AB1187" s="2748"/>
      <c r="AC1187" s="2748"/>
      <c r="AD1187" s="2748"/>
      <c r="AE1187" s="2748"/>
      <c r="AF1187" s="2748"/>
      <c r="AG1187" s="2748"/>
      <c r="AH1187" s="2748"/>
      <c r="AI1187" s="2748"/>
      <c r="AK1187" s="2748"/>
      <c r="AL1187" s="2748"/>
      <c r="AN1187" s="2748"/>
      <c r="AO1187" s="2748"/>
      <c r="AP1187" s="2748"/>
    </row>
    <row r="1188" spans="2:42" ht="18" customHeight="1">
      <c r="B1188" s="2728"/>
      <c r="C1188" s="2728"/>
      <c r="D1188" s="2728"/>
      <c r="E1188" s="2728"/>
      <c r="G1188" s="2512"/>
      <c r="I1188" s="2748"/>
      <c r="J1188" s="2728"/>
      <c r="L1188" s="2728"/>
      <c r="M1188" s="2748"/>
      <c r="N1188" s="2728"/>
      <c r="O1188" s="2728"/>
      <c r="P1188" s="2728"/>
      <c r="Q1188" s="2748"/>
      <c r="R1188" s="2748"/>
      <c r="S1188" s="2748"/>
      <c r="T1188" s="2748"/>
      <c r="U1188" s="2748"/>
      <c r="V1188" s="2748"/>
      <c r="W1188" s="2748"/>
      <c r="X1188" s="2748"/>
      <c r="Y1188" s="2748"/>
      <c r="Z1188" s="2748"/>
      <c r="AA1188" s="2748"/>
      <c r="AB1188" s="2748"/>
      <c r="AC1188" s="2748"/>
      <c r="AD1188" s="2748"/>
      <c r="AE1188" s="2748"/>
      <c r="AF1188" s="2748"/>
      <c r="AG1188" s="2748"/>
      <c r="AH1188" s="2748"/>
      <c r="AI1188" s="2748"/>
      <c r="AK1188" s="2748"/>
      <c r="AL1188" s="2748"/>
      <c r="AN1188" s="2748"/>
      <c r="AO1188" s="2748"/>
      <c r="AP1188" s="2748"/>
    </row>
    <row r="1189" spans="2:42" ht="18" customHeight="1">
      <c r="B1189" s="2728"/>
      <c r="C1189" s="2728"/>
      <c r="D1189" s="2728"/>
      <c r="E1189" s="2728"/>
      <c r="G1189" s="2512"/>
      <c r="I1189" s="2748"/>
      <c r="J1189" s="2728"/>
      <c r="L1189" s="2728"/>
      <c r="M1189" s="2748"/>
      <c r="N1189" s="2728"/>
      <c r="O1189" s="2728"/>
      <c r="P1189" s="2728"/>
      <c r="Q1189" s="2748"/>
      <c r="R1189" s="2748"/>
      <c r="S1189" s="2748"/>
      <c r="T1189" s="2748"/>
      <c r="U1189" s="2748"/>
      <c r="V1189" s="2748"/>
      <c r="W1189" s="2748"/>
      <c r="X1189" s="2748"/>
      <c r="Y1189" s="2748"/>
      <c r="Z1189" s="2748"/>
      <c r="AA1189" s="2748"/>
      <c r="AB1189" s="2748"/>
      <c r="AC1189" s="2748"/>
      <c r="AD1189" s="2748"/>
      <c r="AE1189" s="2748"/>
      <c r="AF1189" s="2748"/>
      <c r="AG1189" s="2748"/>
      <c r="AH1189" s="2748"/>
      <c r="AI1189" s="2748"/>
      <c r="AK1189" s="2748"/>
      <c r="AL1189" s="2748"/>
      <c r="AN1189" s="2748"/>
      <c r="AO1189" s="2748"/>
      <c r="AP1189" s="2748"/>
    </row>
    <row r="1190" spans="2:42" ht="18" customHeight="1">
      <c r="B1190" s="2728"/>
      <c r="C1190" s="2728"/>
      <c r="D1190" s="2728"/>
      <c r="E1190" s="2728"/>
      <c r="G1190" s="2512"/>
      <c r="I1190" s="2748"/>
      <c r="J1190" s="2728"/>
      <c r="L1190" s="2728"/>
      <c r="M1190" s="2748"/>
      <c r="N1190" s="2728"/>
      <c r="O1190" s="2728"/>
      <c r="P1190" s="2728"/>
      <c r="Q1190" s="2748"/>
      <c r="R1190" s="2748"/>
      <c r="S1190" s="2748"/>
      <c r="T1190" s="2748"/>
      <c r="U1190" s="2748"/>
      <c r="V1190" s="2748"/>
      <c r="W1190" s="2748"/>
      <c r="X1190" s="2748"/>
      <c r="Y1190" s="2748"/>
      <c r="Z1190" s="2748"/>
      <c r="AA1190" s="2748"/>
      <c r="AB1190" s="2748"/>
      <c r="AC1190" s="2748"/>
      <c r="AD1190" s="2748"/>
      <c r="AE1190" s="2748"/>
      <c r="AF1190" s="2748"/>
      <c r="AG1190" s="2748"/>
      <c r="AH1190" s="2748"/>
      <c r="AI1190" s="2748"/>
      <c r="AK1190" s="2748"/>
      <c r="AL1190" s="2748"/>
      <c r="AN1190" s="2748"/>
      <c r="AO1190" s="2748"/>
      <c r="AP1190" s="2748"/>
    </row>
    <row r="1191" spans="2:42" ht="18" customHeight="1">
      <c r="B1191" s="2728"/>
      <c r="C1191" s="2728"/>
      <c r="D1191" s="2728"/>
      <c r="E1191" s="2728"/>
      <c r="G1191" s="2512"/>
      <c r="I1191" s="2748"/>
      <c r="J1191" s="2728"/>
      <c r="L1191" s="2728"/>
      <c r="M1191" s="2748"/>
      <c r="N1191" s="2728"/>
      <c r="O1191" s="2728"/>
      <c r="P1191" s="2728"/>
      <c r="Q1191" s="2748"/>
      <c r="R1191" s="2748"/>
      <c r="S1191" s="2748"/>
      <c r="T1191" s="2748"/>
      <c r="U1191" s="2748"/>
      <c r="V1191" s="2748"/>
      <c r="W1191" s="2748"/>
      <c r="X1191" s="2748"/>
      <c r="Y1191" s="2748"/>
      <c r="Z1191" s="2748"/>
      <c r="AA1191" s="2748"/>
      <c r="AB1191" s="2748"/>
      <c r="AC1191" s="2748"/>
      <c r="AD1191" s="2748"/>
      <c r="AE1191" s="2748"/>
      <c r="AF1191" s="2748"/>
      <c r="AG1191" s="2748"/>
      <c r="AH1191" s="2748"/>
      <c r="AI1191" s="2748"/>
      <c r="AK1191" s="2748"/>
      <c r="AL1191" s="2748"/>
      <c r="AN1191" s="2748"/>
      <c r="AO1191" s="2748"/>
      <c r="AP1191" s="2748"/>
    </row>
    <row r="1192" spans="2:42" ht="18" customHeight="1">
      <c r="B1192" s="2728"/>
      <c r="C1192" s="2728"/>
      <c r="D1192" s="2728"/>
      <c r="E1192" s="2728"/>
      <c r="G1192" s="2512"/>
      <c r="I1192" s="2748"/>
      <c r="J1192" s="2728"/>
      <c r="L1192" s="2728"/>
      <c r="M1192" s="2748"/>
      <c r="N1192" s="2728"/>
      <c r="O1192" s="2728"/>
      <c r="P1192" s="2728"/>
      <c r="Q1192" s="2748"/>
      <c r="R1192" s="2748"/>
      <c r="S1192" s="2748"/>
      <c r="T1192" s="2748"/>
      <c r="U1192" s="2748"/>
      <c r="V1192" s="2748"/>
      <c r="W1192" s="2748"/>
      <c r="X1192" s="2748"/>
      <c r="Y1192" s="2748"/>
      <c r="Z1192" s="2748"/>
      <c r="AA1192" s="2748"/>
      <c r="AB1192" s="2748"/>
      <c r="AC1192" s="2748"/>
      <c r="AD1192" s="2748"/>
      <c r="AE1192" s="2748"/>
      <c r="AF1192" s="2748"/>
      <c r="AG1192" s="2748"/>
      <c r="AH1192" s="2748"/>
      <c r="AI1192" s="2748"/>
      <c r="AK1192" s="2748"/>
      <c r="AL1192" s="2748"/>
      <c r="AN1192" s="2748"/>
      <c r="AO1192" s="2748"/>
      <c r="AP1192" s="2748"/>
    </row>
    <row r="1193" spans="2:42" ht="18" customHeight="1">
      <c r="B1193" s="2728"/>
      <c r="C1193" s="2728"/>
      <c r="D1193" s="2728"/>
      <c r="E1193" s="2728"/>
      <c r="G1193" s="2512"/>
      <c r="I1193" s="2748"/>
      <c r="J1193" s="2728"/>
      <c r="L1193" s="2728"/>
      <c r="M1193" s="2748"/>
      <c r="N1193" s="2728"/>
      <c r="O1193" s="2728"/>
      <c r="P1193" s="2728"/>
      <c r="Q1193" s="2748"/>
      <c r="R1193" s="2748"/>
      <c r="S1193" s="2748"/>
      <c r="T1193" s="2748"/>
      <c r="U1193" s="2748"/>
      <c r="V1193" s="2748"/>
      <c r="W1193" s="2748"/>
      <c r="X1193" s="2748"/>
      <c r="Y1193" s="2748"/>
      <c r="Z1193" s="2748"/>
      <c r="AA1193" s="2748"/>
      <c r="AB1193" s="2748"/>
      <c r="AC1193" s="2748"/>
      <c r="AD1193" s="2748"/>
      <c r="AE1193" s="2748"/>
      <c r="AF1193" s="2748"/>
      <c r="AG1193" s="2748"/>
      <c r="AH1193" s="2748"/>
      <c r="AI1193" s="2748"/>
      <c r="AK1193" s="2748"/>
      <c r="AL1193" s="2748"/>
      <c r="AN1193" s="2748"/>
      <c r="AO1193" s="2748"/>
      <c r="AP1193" s="2748"/>
    </row>
    <row r="1194" spans="2:42" ht="18" customHeight="1">
      <c r="B1194" s="2728"/>
      <c r="C1194" s="2728"/>
      <c r="D1194" s="2728"/>
      <c r="E1194" s="2728"/>
      <c r="G1194" s="2512"/>
      <c r="I1194" s="2748"/>
      <c r="J1194" s="2728"/>
      <c r="L1194" s="2728"/>
      <c r="M1194" s="2748"/>
      <c r="N1194" s="2728"/>
      <c r="O1194" s="2728"/>
      <c r="P1194" s="2728"/>
      <c r="Q1194" s="2748"/>
      <c r="R1194" s="2748"/>
      <c r="S1194" s="2748"/>
      <c r="T1194" s="2748"/>
      <c r="U1194" s="2748"/>
      <c r="V1194" s="2748"/>
      <c r="W1194" s="2748"/>
      <c r="X1194" s="2748"/>
      <c r="Y1194" s="2748"/>
      <c r="Z1194" s="2748"/>
      <c r="AA1194" s="2748"/>
      <c r="AB1194" s="2748"/>
      <c r="AC1194" s="2748"/>
      <c r="AD1194" s="2748"/>
      <c r="AE1194" s="2748"/>
      <c r="AF1194" s="2748"/>
      <c r="AG1194" s="2748"/>
      <c r="AH1194" s="2748"/>
      <c r="AI1194" s="2748"/>
      <c r="AK1194" s="2748"/>
      <c r="AL1194" s="2748"/>
      <c r="AN1194" s="2748"/>
      <c r="AO1194" s="2748"/>
      <c r="AP1194" s="2748"/>
    </row>
    <row r="1195" spans="2:42" ht="18" customHeight="1">
      <c r="B1195" s="2728"/>
      <c r="C1195" s="2728"/>
      <c r="D1195" s="2728"/>
      <c r="E1195" s="2728"/>
      <c r="G1195" s="2512"/>
      <c r="I1195" s="2748"/>
      <c r="J1195" s="2728"/>
      <c r="L1195" s="2728"/>
      <c r="M1195" s="2748"/>
      <c r="N1195" s="2728"/>
      <c r="O1195" s="2728"/>
      <c r="P1195" s="2728"/>
      <c r="Q1195" s="2748"/>
      <c r="R1195" s="2748"/>
      <c r="S1195" s="2748"/>
      <c r="T1195" s="2748"/>
      <c r="U1195" s="2748"/>
      <c r="V1195" s="2748"/>
      <c r="W1195" s="2748"/>
      <c r="X1195" s="2748"/>
      <c r="Y1195" s="2748"/>
      <c r="Z1195" s="2748"/>
      <c r="AA1195" s="2748"/>
      <c r="AB1195" s="2748"/>
      <c r="AC1195" s="2748"/>
      <c r="AD1195" s="2748"/>
      <c r="AE1195" s="2748"/>
      <c r="AF1195" s="2748"/>
      <c r="AG1195" s="2748"/>
      <c r="AH1195" s="2748"/>
      <c r="AI1195" s="2748"/>
      <c r="AK1195" s="2748"/>
      <c r="AL1195" s="2748"/>
      <c r="AN1195" s="2748"/>
      <c r="AO1195" s="2748"/>
      <c r="AP1195" s="2748"/>
    </row>
    <row r="1196" spans="2:42" ht="18" customHeight="1">
      <c r="B1196" s="2728"/>
      <c r="C1196" s="2728"/>
      <c r="D1196" s="2728"/>
      <c r="E1196" s="2728"/>
      <c r="G1196" s="2512"/>
      <c r="I1196" s="2748"/>
      <c r="J1196" s="2728"/>
      <c r="L1196" s="2728"/>
      <c r="M1196" s="2748"/>
      <c r="N1196" s="2728"/>
      <c r="O1196" s="2728"/>
      <c r="P1196" s="2728"/>
      <c r="Q1196" s="2748"/>
      <c r="R1196" s="2748"/>
      <c r="S1196" s="2748"/>
      <c r="T1196" s="2748"/>
      <c r="U1196" s="2748"/>
      <c r="V1196" s="2748"/>
      <c r="W1196" s="2748"/>
      <c r="X1196" s="2748"/>
      <c r="Y1196" s="2748"/>
      <c r="Z1196" s="2748"/>
      <c r="AA1196" s="2748"/>
      <c r="AB1196" s="2748"/>
      <c r="AC1196" s="2748"/>
      <c r="AD1196" s="2748"/>
      <c r="AE1196" s="2748"/>
      <c r="AF1196" s="2748"/>
      <c r="AG1196" s="2748"/>
      <c r="AH1196" s="2748"/>
      <c r="AI1196" s="2748"/>
      <c r="AK1196" s="2748"/>
      <c r="AL1196" s="2748"/>
      <c r="AN1196" s="2748"/>
      <c r="AO1196" s="2748"/>
      <c r="AP1196" s="2748"/>
    </row>
    <row r="1197" spans="2:42" ht="18" customHeight="1">
      <c r="B1197" s="2728"/>
      <c r="C1197" s="2728"/>
      <c r="D1197" s="2728"/>
      <c r="E1197" s="2728"/>
      <c r="G1197" s="2512"/>
      <c r="I1197" s="2748"/>
      <c r="J1197" s="2728"/>
      <c r="L1197" s="2728"/>
      <c r="M1197" s="2748"/>
      <c r="N1197" s="2728"/>
      <c r="O1197" s="2728"/>
      <c r="P1197" s="2728"/>
      <c r="Q1197" s="2748"/>
      <c r="R1197" s="2748"/>
      <c r="S1197" s="2748"/>
      <c r="T1197" s="2748"/>
      <c r="U1197" s="2748"/>
      <c r="V1197" s="2748"/>
      <c r="W1197" s="2748"/>
      <c r="X1197" s="2748"/>
      <c r="Y1197" s="2748"/>
      <c r="Z1197" s="2748"/>
      <c r="AA1197" s="2748"/>
      <c r="AB1197" s="2748"/>
      <c r="AC1197" s="2748"/>
      <c r="AD1197" s="2748"/>
      <c r="AE1197" s="2748"/>
      <c r="AF1197" s="2748"/>
      <c r="AG1197" s="2748"/>
      <c r="AH1197" s="2748"/>
      <c r="AI1197" s="2748"/>
      <c r="AK1197" s="2748"/>
      <c r="AL1197" s="2748"/>
      <c r="AN1197" s="2748"/>
      <c r="AO1197" s="2748"/>
      <c r="AP1197" s="2748"/>
    </row>
    <row r="1198" spans="2:42" ht="18" customHeight="1">
      <c r="B1198" s="2728"/>
      <c r="C1198" s="2728"/>
      <c r="D1198" s="2728"/>
      <c r="E1198" s="2728"/>
      <c r="G1198" s="2512"/>
      <c r="I1198" s="2748"/>
      <c r="J1198" s="2728"/>
      <c r="L1198" s="2728"/>
      <c r="M1198" s="2748"/>
      <c r="N1198" s="2728"/>
      <c r="O1198" s="2728"/>
      <c r="P1198" s="2728"/>
      <c r="Q1198" s="2748"/>
      <c r="R1198" s="2748"/>
      <c r="S1198" s="2748"/>
      <c r="T1198" s="2748"/>
      <c r="U1198" s="2748"/>
      <c r="V1198" s="2748"/>
      <c r="W1198" s="2748"/>
      <c r="X1198" s="2748"/>
      <c r="Y1198" s="2748"/>
      <c r="Z1198" s="2748"/>
      <c r="AA1198" s="2748"/>
      <c r="AB1198" s="2748"/>
      <c r="AC1198" s="2748"/>
      <c r="AD1198" s="2748"/>
      <c r="AE1198" s="2748"/>
      <c r="AF1198" s="2748"/>
      <c r="AG1198" s="2748"/>
      <c r="AH1198" s="2748"/>
      <c r="AI1198" s="2748"/>
      <c r="AK1198" s="2748"/>
      <c r="AL1198" s="2748"/>
      <c r="AN1198" s="2748"/>
      <c r="AO1198" s="2748"/>
      <c r="AP1198" s="2748"/>
    </row>
    <row r="1199" spans="2:42" ht="18" customHeight="1">
      <c r="B1199" s="2728"/>
      <c r="C1199" s="2728"/>
      <c r="D1199" s="2728"/>
      <c r="E1199" s="2728"/>
      <c r="G1199" s="2512"/>
      <c r="I1199" s="2748"/>
      <c r="J1199" s="2728"/>
      <c r="L1199" s="2728"/>
      <c r="M1199" s="2748"/>
      <c r="N1199" s="2728"/>
      <c r="O1199" s="2728"/>
      <c r="P1199" s="2728"/>
      <c r="Q1199" s="2748"/>
      <c r="R1199" s="2748"/>
      <c r="S1199" s="2748"/>
      <c r="T1199" s="2748"/>
      <c r="U1199" s="2748"/>
      <c r="V1199" s="2748"/>
      <c r="W1199" s="2748"/>
      <c r="X1199" s="2748"/>
      <c r="Y1199" s="2748"/>
      <c r="Z1199" s="2748"/>
      <c r="AA1199" s="2748"/>
      <c r="AB1199" s="2748"/>
      <c r="AC1199" s="2748"/>
      <c r="AD1199" s="2748"/>
      <c r="AE1199" s="2748"/>
      <c r="AF1199" s="2748"/>
      <c r="AG1199" s="2748"/>
      <c r="AH1199" s="2748"/>
      <c r="AI1199" s="2748"/>
      <c r="AK1199" s="2748"/>
      <c r="AL1199" s="2748"/>
      <c r="AN1199" s="2748"/>
      <c r="AO1199" s="2748"/>
      <c r="AP1199" s="2748"/>
    </row>
    <row r="1200" spans="2:42" ht="18" customHeight="1">
      <c r="B1200" s="2728"/>
      <c r="C1200" s="2728"/>
      <c r="D1200" s="2728"/>
      <c r="E1200" s="2728"/>
      <c r="G1200" s="2512"/>
      <c r="I1200" s="2748"/>
      <c r="J1200" s="2728"/>
      <c r="L1200" s="2728"/>
      <c r="M1200" s="2748"/>
      <c r="N1200" s="2728"/>
      <c r="O1200" s="2728"/>
      <c r="P1200" s="2728"/>
      <c r="Q1200" s="2748"/>
      <c r="R1200" s="2748"/>
      <c r="S1200" s="2748"/>
      <c r="T1200" s="2748"/>
      <c r="U1200" s="2748"/>
      <c r="V1200" s="2748"/>
      <c r="W1200" s="2748"/>
      <c r="X1200" s="2748"/>
      <c r="Y1200" s="2748"/>
      <c r="Z1200" s="2748"/>
      <c r="AA1200" s="2748"/>
      <c r="AB1200" s="2748"/>
      <c r="AC1200" s="2748"/>
      <c r="AD1200" s="2748"/>
      <c r="AE1200" s="2748"/>
      <c r="AF1200" s="2748"/>
      <c r="AG1200" s="2748"/>
      <c r="AH1200" s="2748"/>
      <c r="AI1200" s="2748"/>
      <c r="AK1200" s="2748"/>
      <c r="AL1200" s="2748"/>
      <c r="AN1200" s="2748"/>
      <c r="AO1200" s="2748"/>
      <c r="AP1200" s="2748"/>
    </row>
    <row r="1201" spans="2:42" ht="18" customHeight="1">
      <c r="B1201" s="2728"/>
      <c r="C1201" s="2728"/>
      <c r="D1201" s="2728"/>
      <c r="E1201" s="2728"/>
      <c r="G1201" s="2512"/>
      <c r="I1201" s="2748"/>
      <c r="J1201" s="2728"/>
      <c r="L1201" s="2728"/>
      <c r="M1201" s="2748"/>
      <c r="N1201" s="2728"/>
      <c r="O1201" s="2728"/>
      <c r="P1201" s="2728"/>
      <c r="Q1201" s="2748"/>
      <c r="R1201" s="2748"/>
      <c r="S1201" s="2748"/>
      <c r="T1201" s="2748"/>
      <c r="U1201" s="2748"/>
      <c r="V1201" s="2748"/>
      <c r="W1201" s="2748"/>
      <c r="X1201" s="2748"/>
      <c r="Y1201" s="2748"/>
      <c r="Z1201" s="2748"/>
      <c r="AA1201" s="2748"/>
      <c r="AB1201" s="2748"/>
      <c r="AC1201" s="2748"/>
      <c r="AD1201" s="2748"/>
      <c r="AE1201" s="2748"/>
      <c r="AF1201" s="2748"/>
      <c r="AG1201" s="2748"/>
      <c r="AH1201" s="2748"/>
      <c r="AI1201" s="2748"/>
      <c r="AK1201" s="2748"/>
      <c r="AL1201" s="2748"/>
      <c r="AN1201" s="2748"/>
      <c r="AO1201" s="2748"/>
      <c r="AP1201" s="2748"/>
    </row>
    <row r="1202" spans="2:42" ht="18" customHeight="1">
      <c r="B1202" s="2728"/>
      <c r="C1202" s="2728"/>
      <c r="D1202" s="2728"/>
      <c r="E1202" s="2728"/>
      <c r="G1202" s="2512"/>
      <c r="I1202" s="2748"/>
      <c r="J1202" s="2728"/>
      <c r="L1202" s="2728"/>
      <c r="M1202" s="2748"/>
      <c r="N1202" s="2728"/>
      <c r="O1202" s="2728"/>
      <c r="P1202" s="2728"/>
      <c r="Q1202" s="2748"/>
      <c r="R1202" s="2748"/>
      <c r="S1202" s="2748"/>
      <c r="T1202" s="2748"/>
      <c r="U1202" s="2748"/>
      <c r="V1202" s="2748"/>
      <c r="W1202" s="2748"/>
      <c r="X1202" s="2748"/>
      <c r="Y1202" s="2748"/>
      <c r="Z1202" s="2748"/>
      <c r="AA1202" s="2748"/>
      <c r="AB1202" s="2748"/>
      <c r="AC1202" s="2748"/>
      <c r="AD1202" s="2748"/>
      <c r="AE1202" s="2748"/>
      <c r="AF1202" s="2748"/>
      <c r="AG1202" s="2748"/>
      <c r="AH1202" s="2748"/>
      <c r="AI1202" s="2748"/>
      <c r="AK1202" s="2748"/>
      <c r="AL1202" s="2748"/>
      <c r="AN1202" s="2748"/>
      <c r="AO1202" s="2748"/>
      <c r="AP1202" s="2748"/>
    </row>
    <row r="1203" spans="2:42" ht="18" customHeight="1">
      <c r="B1203" s="2728"/>
      <c r="C1203" s="2728"/>
      <c r="D1203" s="2728"/>
      <c r="E1203" s="2728"/>
      <c r="G1203" s="2512"/>
      <c r="I1203" s="2748"/>
      <c r="J1203" s="2728"/>
      <c r="L1203" s="2728"/>
      <c r="M1203" s="2748"/>
      <c r="N1203" s="2728"/>
      <c r="O1203" s="2728"/>
      <c r="P1203" s="2728"/>
      <c r="Q1203" s="2748"/>
      <c r="R1203" s="2748"/>
      <c r="S1203" s="2748"/>
      <c r="T1203" s="2748"/>
      <c r="U1203" s="2748"/>
      <c r="V1203" s="2748"/>
      <c r="W1203" s="2748"/>
      <c r="X1203" s="2748"/>
      <c r="Y1203" s="2748"/>
      <c r="Z1203" s="2748"/>
      <c r="AA1203" s="2748"/>
      <c r="AB1203" s="2748"/>
      <c r="AC1203" s="2748"/>
      <c r="AD1203" s="2748"/>
      <c r="AE1203" s="2748"/>
      <c r="AF1203" s="2748"/>
      <c r="AG1203" s="2748"/>
      <c r="AH1203" s="2748"/>
      <c r="AI1203" s="2748"/>
      <c r="AK1203" s="2748"/>
      <c r="AL1203" s="2748"/>
      <c r="AN1203" s="2748"/>
      <c r="AO1203" s="2748"/>
      <c r="AP1203" s="2748"/>
    </row>
    <row r="1204" spans="2:42" ht="18" customHeight="1">
      <c r="B1204" s="2728"/>
      <c r="C1204" s="2728"/>
      <c r="D1204" s="2728"/>
      <c r="E1204" s="2728"/>
      <c r="G1204" s="2512"/>
      <c r="I1204" s="2748"/>
      <c r="J1204" s="2728"/>
      <c r="L1204" s="2728"/>
      <c r="M1204" s="2748"/>
      <c r="N1204" s="2728"/>
      <c r="O1204" s="2728"/>
      <c r="P1204" s="2728"/>
      <c r="Q1204" s="2748"/>
      <c r="R1204" s="2748"/>
      <c r="S1204" s="2748"/>
      <c r="T1204" s="2748"/>
      <c r="U1204" s="2748"/>
      <c r="V1204" s="2748"/>
      <c r="W1204" s="2748"/>
      <c r="X1204" s="2748"/>
      <c r="Y1204" s="2748"/>
      <c r="Z1204" s="2748"/>
      <c r="AA1204" s="2748"/>
      <c r="AB1204" s="2748"/>
      <c r="AC1204" s="2748"/>
      <c r="AD1204" s="2748"/>
      <c r="AE1204" s="2748"/>
      <c r="AF1204" s="2748"/>
      <c r="AG1204" s="2748"/>
      <c r="AH1204" s="2748"/>
      <c r="AI1204" s="2748"/>
      <c r="AK1204" s="2748"/>
      <c r="AL1204" s="2748"/>
      <c r="AN1204" s="2748"/>
      <c r="AO1204" s="2748"/>
      <c r="AP1204" s="2748"/>
    </row>
    <row r="1205" spans="2:42" ht="18" customHeight="1">
      <c r="B1205" s="2728"/>
      <c r="C1205" s="2728"/>
      <c r="D1205" s="2728"/>
      <c r="E1205" s="2728"/>
      <c r="G1205" s="2512"/>
      <c r="I1205" s="2748"/>
      <c r="J1205" s="2728"/>
      <c r="L1205" s="2728"/>
      <c r="M1205" s="2748"/>
      <c r="N1205" s="2728"/>
      <c r="O1205" s="2728"/>
      <c r="P1205" s="2728"/>
      <c r="Q1205" s="2748"/>
      <c r="R1205" s="2748"/>
      <c r="S1205" s="2748"/>
      <c r="T1205" s="2748"/>
      <c r="U1205" s="2748"/>
      <c r="V1205" s="2748"/>
      <c r="W1205" s="2748"/>
      <c r="X1205" s="2748"/>
      <c r="Y1205" s="2748"/>
      <c r="Z1205" s="2748"/>
      <c r="AA1205" s="2748"/>
      <c r="AB1205" s="2748"/>
      <c r="AC1205" s="2748"/>
      <c r="AD1205" s="2748"/>
      <c r="AE1205" s="2748"/>
      <c r="AF1205" s="2748"/>
      <c r="AG1205" s="2748"/>
      <c r="AH1205" s="2748"/>
      <c r="AI1205" s="2748"/>
      <c r="AK1205" s="2748"/>
      <c r="AL1205" s="2748"/>
      <c r="AN1205" s="2748"/>
      <c r="AO1205" s="2748"/>
      <c r="AP1205" s="2748"/>
    </row>
    <row r="1206" spans="2:42" ht="18" customHeight="1">
      <c r="B1206" s="2728"/>
      <c r="C1206" s="2728"/>
      <c r="D1206" s="2728"/>
      <c r="E1206" s="2728"/>
      <c r="G1206" s="2512"/>
      <c r="I1206" s="2748"/>
      <c r="J1206" s="2728"/>
      <c r="L1206" s="2728"/>
      <c r="M1206" s="2748"/>
      <c r="N1206" s="2728"/>
      <c r="O1206" s="2728"/>
      <c r="P1206" s="2728"/>
      <c r="Q1206" s="2748"/>
      <c r="R1206" s="2748"/>
      <c r="S1206" s="2748"/>
      <c r="T1206" s="2748"/>
      <c r="U1206" s="2748"/>
      <c r="V1206" s="2748"/>
      <c r="W1206" s="2748"/>
      <c r="X1206" s="2748"/>
      <c r="Y1206" s="2748"/>
      <c r="Z1206" s="2748"/>
      <c r="AA1206" s="2748"/>
      <c r="AB1206" s="2748"/>
      <c r="AC1206" s="2748"/>
      <c r="AD1206" s="2748"/>
      <c r="AE1206" s="2748"/>
      <c r="AF1206" s="2748"/>
      <c r="AG1206" s="2748"/>
      <c r="AH1206" s="2748"/>
      <c r="AI1206" s="2748"/>
      <c r="AK1206" s="2748"/>
      <c r="AL1206" s="2748"/>
      <c r="AN1206" s="2748"/>
      <c r="AO1206" s="2748"/>
      <c r="AP1206" s="2748"/>
    </row>
    <row r="1207" spans="2:42" ht="18" customHeight="1">
      <c r="B1207" s="2728"/>
      <c r="C1207" s="2728"/>
      <c r="D1207" s="2728"/>
      <c r="E1207" s="2728"/>
      <c r="G1207" s="2512"/>
      <c r="I1207" s="2748"/>
      <c r="J1207" s="2728"/>
      <c r="L1207" s="2728"/>
      <c r="M1207" s="2748"/>
      <c r="N1207" s="2728"/>
      <c r="O1207" s="2728"/>
      <c r="P1207" s="2728"/>
      <c r="Q1207" s="2748"/>
      <c r="R1207" s="2748"/>
      <c r="S1207" s="2748"/>
      <c r="T1207" s="2748"/>
      <c r="U1207" s="2748"/>
      <c r="V1207" s="2748"/>
      <c r="W1207" s="2748"/>
      <c r="X1207" s="2748"/>
      <c r="Y1207" s="2748"/>
      <c r="Z1207" s="2748"/>
      <c r="AA1207" s="2748"/>
      <c r="AB1207" s="2748"/>
      <c r="AC1207" s="2748"/>
      <c r="AD1207" s="2748"/>
      <c r="AE1207" s="2748"/>
      <c r="AF1207" s="2748"/>
      <c r="AG1207" s="2748"/>
      <c r="AH1207" s="2748"/>
      <c r="AI1207" s="2748"/>
      <c r="AK1207" s="2748"/>
      <c r="AL1207" s="2748"/>
      <c r="AN1207" s="2748"/>
      <c r="AO1207" s="2748"/>
      <c r="AP1207" s="2748"/>
    </row>
    <row r="1208" spans="2:42" ht="18" customHeight="1">
      <c r="B1208" s="2728"/>
      <c r="C1208" s="2728"/>
      <c r="D1208" s="2728"/>
      <c r="E1208" s="2728"/>
      <c r="G1208" s="2512"/>
      <c r="I1208" s="2748"/>
      <c r="J1208" s="2728"/>
      <c r="L1208" s="2728"/>
      <c r="M1208" s="2748"/>
      <c r="N1208" s="2728"/>
      <c r="O1208" s="2728"/>
      <c r="P1208" s="2728"/>
      <c r="Q1208" s="2748"/>
      <c r="R1208" s="2748"/>
      <c r="S1208" s="2748"/>
      <c r="T1208" s="2748"/>
      <c r="U1208" s="2748"/>
      <c r="V1208" s="2748"/>
      <c r="W1208" s="2748"/>
      <c r="X1208" s="2748"/>
      <c r="Y1208" s="2748"/>
      <c r="Z1208" s="2748"/>
      <c r="AA1208" s="2748"/>
      <c r="AB1208" s="2748"/>
      <c r="AC1208" s="2748"/>
      <c r="AD1208" s="2748"/>
      <c r="AE1208" s="2748"/>
      <c r="AF1208" s="2748"/>
      <c r="AG1208" s="2748"/>
      <c r="AH1208" s="2748"/>
      <c r="AI1208" s="2748"/>
      <c r="AK1208" s="2748"/>
      <c r="AL1208" s="2748"/>
      <c r="AN1208" s="2748"/>
      <c r="AO1208" s="2748"/>
      <c r="AP1208" s="2748"/>
    </row>
    <row r="1209" spans="2:42" ht="18" customHeight="1">
      <c r="B1209" s="2728"/>
      <c r="C1209" s="2728"/>
      <c r="D1209" s="2728"/>
      <c r="E1209" s="2728"/>
      <c r="G1209" s="2512"/>
      <c r="I1209" s="2748"/>
      <c r="J1209" s="2728"/>
      <c r="L1209" s="2728"/>
      <c r="M1209" s="2748"/>
      <c r="N1209" s="2728"/>
      <c r="O1209" s="2728"/>
      <c r="P1209" s="2728"/>
      <c r="Q1209" s="2748"/>
      <c r="R1209" s="2748"/>
      <c r="S1209" s="2748"/>
      <c r="T1209" s="2748"/>
      <c r="U1209" s="2748"/>
      <c r="V1209" s="2748"/>
      <c r="W1209" s="2748"/>
      <c r="X1209" s="2748"/>
      <c r="Y1209" s="2748"/>
      <c r="Z1209" s="2748"/>
      <c r="AA1209" s="2748"/>
      <c r="AB1209" s="2748"/>
      <c r="AC1209" s="2748"/>
      <c r="AD1209" s="2748"/>
      <c r="AE1209" s="2748"/>
      <c r="AF1209" s="2748"/>
      <c r="AG1209" s="2748"/>
      <c r="AH1209" s="2748"/>
      <c r="AI1209" s="2748"/>
      <c r="AK1209" s="2748"/>
      <c r="AL1209" s="2748"/>
      <c r="AN1209" s="2748"/>
      <c r="AO1209" s="2748"/>
      <c r="AP1209" s="2748"/>
    </row>
    <row r="1210" spans="2:42" ht="18" customHeight="1">
      <c r="B1210" s="2728"/>
      <c r="C1210" s="2728"/>
      <c r="D1210" s="2728"/>
      <c r="E1210" s="2728"/>
      <c r="G1210" s="2512"/>
      <c r="I1210" s="2748"/>
      <c r="J1210" s="2728"/>
      <c r="L1210" s="2728"/>
      <c r="M1210" s="2748"/>
      <c r="N1210" s="2728"/>
      <c r="O1210" s="2728"/>
      <c r="P1210" s="2728"/>
      <c r="Q1210" s="2748"/>
      <c r="R1210" s="2748"/>
      <c r="S1210" s="2748"/>
      <c r="T1210" s="2748"/>
      <c r="U1210" s="2748"/>
      <c r="V1210" s="2748"/>
      <c r="W1210" s="2748"/>
      <c r="X1210" s="2748"/>
      <c r="Y1210" s="2748"/>
      <c r="Z1210" s="2748"/>
      <c r="AA1210" s="2748"/>
      <c r="AB1210" s="2748"/>
      <c r="AC1210" s="2748"/>
      <c r="AD1210" s="2748"/>
      <c r="AE1210" s="2748"/>
      <c r="AF1210" s="2748"/>
      <c r="AG1210" s="2748"/>
      <c r="AH1210" s="2748"/>
      <c r="AI1210" s="2748"/>
      <c r="AK1210" s="2748"/>
      <c r="AL1210" s="2748"/>
      <c r="AN1210" s="2748"/>
      <c r="AO1210" s="2748"/>
      <c r="AP1210" s="2748"/>
    </row>
    <row r="1211" spans="2:42" ht="18" customHeight="1">
      <c r="B1211" s="2728"/>
      <c r="C1211" s="2728"/>
      <c r="D1211" s="2728"/>
      <c r="E1211" s="2728"/>
      <c r="G1211" s="2512"/>
      <c r="I1211" s="2748"/>
      <c r="J1211" s="2728"/>
      <c r="L1211" s="2728"/>
      <c r="M1211" s="2748"/>
      <c r="N1211" s="2728"/>
      <c r="O1211" s="2728"/>
      <c r="P1211" s="2728"/>
      <c r="Q1211" s="2748"/>
      <c r="R1211" s="2748"/>
      <c r="S1211" s="2748"/>
      <c r="T1211" s="2748"/>
      <c r="U1211" s="2748"/>
      <c r="V1211" s="2748"/>
      <c r="W1211" s="2748"/>
      <c r="X1211" s="2748"/>
      <c r="Y1211" s="2748"/>
      <c r="Z1211" s="2748"/>
      <c r="AA1211" s="2748"/>
      <c r="AB1211" s="2748"/>
      <c r="AC1211" s="2748"/>
      <c r="AD1211" s="2748"/>
      <c r="AE1211" s="2748"/>
      <c r="AF1211" s="2748"/>
      <c r="AG1211" s="2748"/>
      <c r="AH1211" s="2748"/>
      <c r="AI1211" s="2748"/>
      <c r="AK1211" s="2748"/>
      <c r="AL1211" s="2748"/>
      <c r="AN1211" s="2748"/>
      <c r="AO1211" s="2748"/>
      <c r="AP1211" s="2748"/>
    </row>
    <row r="1212" spans="2:42" ht="18" customHeight="1">
      <c r="B1212" s="2728"/>
      <c r="C1212" s="2728"/>
      <c r="D1212" s="2728"/>
      <c r="E1212" s="2728"/>
      <c r="G1212" s="2512"/>
      <c r="I1212" s="2748"/>
      <c r="J1212" s="2728"/>
      <c r="L1212" s="2728"/>
      <c r="M1212" s="2748"/>
      <c r="N1212" s="2728"/>
      <c r="O1212" s="2728"/>
      <c r="P1212" s="2728"/>
      <c r="Q1212" s="2748"/>
      <c r="R1212" s="2748"/>
      <c r="S1212" s="2748"/>
      <c r="T1212" s="2748"/>
      <c r="U1212" s="2748"/>
      <c r="V1212" s="2748"/>
      <c r="W1212" s="2748"/>
      <c r="X1212" s="2748"/>
      <c r="Y1212" s="2748"/>
      <c r="Z1212" s="2748"/>
      <c r="AA1212" s="2748"/>
      <c r="AB1212" s="2748"/>
      <c r="AC1212" s="2748"/>
      <c r="AD1212" s="2748"/>
      <c r="AE1212" s="2748"/>
      <c r="AF1212" s="2748"/>
      <c r="AG1212" s="2748"/>
      <c r="AH1212" s="2748"/>
      <c r="AI1212" s="2748"/>
      <c r="AK1212" s="2748"/>
      <c r="AL1212" s="2748"/>
      <c r="AN1212" s="2748"/>
      <c r="AO1212" s="2748"/>
      <c r="AP1212" s="2748"/>
    </row>
    <row r="1213" spans="2:42" ht="18" customHeight="1">
      <c r="B1213" s="2728"/>
      <c r="C1213" s="2728"/>
      <c r="D1213" s="2728"/>
      <c r="E1213" s="2728"/>
      <c r="G1213" s="2512"/>
      <c r="I1213" s="2748"/>
      <c r="J1213" s="2728"/>
      <c r="L1213" s="2728"/>
      <c r="M1213" s="2748"/>
      <c r="N1213" s="2728"/>
      <c r="O1213" s="2728"/>
      <c r="P1213" s="2728"/>
      <c r="Q1213" s="2748"/>
      <c r="R1213" s="2748"/>
      <c r="S1213" s="2748"/>
      <c r="T1213" s="2748"/>
      <c r="U1213" s="2748"/>
      <c r="V1213" s="2748"/>
      <c r="W1213" s="2748"/>
      <c r="X1213" s="2748"/>
      <c r="Y1213" s="2748"/>
      <c r="Z1213" s="2748"/>
      <c r="AA1213" s="2748"/>
      <c r="AB1213" s="2748"/>
      <c r="AC1213" s="2748"/>
      <c r="AD1213" s="2748"/>
      <c r="AE1213" s="2748"/>
      <c r="AF1213" s="2748"/>
      <c r="AG1213" s="2748"/>
      <c r="AH1213" s="2748"/>
      <c r="AI1213" s="2748"/>
      <c r="AK1213" s="2748"/>
      <c r="AL1213" s="2748"/>
      <c r="AN1213" s="2748"/>
      <c r="AO1213" s="2748"/>
      <c r="AP1213" s="2748"/>
    </row>
    <row r="1214" spans="2:42" ht="18" customHeight="1">
      <c r="B1214" s="2728"/>
      <c r="C1214" s="2728"/>
      <c r="D1214" s="2728"/>
      <c r="E1214" s="2728"/>
      <c r="G1214" s="2512"/>
      <c r="I1214" s="2748"/>
      <c r="J1214" s="2728"/>
      <c r="L1214" s="2728"/>
      <c r="M1214" s="2748"/>
      <c r="N1214" s="2728"/>
      <c r="O1214" s="2728"/>
      <c r="P1214" s="2728"/>
      <c r="Q1214" s="2748"/>
      <c r="R1214" s="2748"/>
      <c r="S1214" s="2748"/>
      <c r="T1214" s="2748"/>
      <c r="U1214" s="2748"/>
      <c r="V1214" s="2748"/>
      <c r="W1214" s="2748"/>
      <c r="X1214" s="2748"/>
      <c r="Y1214" s="2748"/>
      <c r="Z1214" s="2748"/>
      <c r="AA1214" s="2748"/>
      <c r="AB1214" s="2748"/>
      <c r="AC1214" s="2748"/>
      <c r="AD1214" s="2748"/>
      <c r="AE1214" s="2748"/>
      <c r="AF1214" s="2748"/>
      <c r="AG1214" s="2748"/>
      <c r="AH1214" s="2748"/>
      <c r="AI1214" s="2748"/>
      <c r="AK1214" s="2748"/>
      <c r="AL1214" s="2748"/>
      <c r="AN1214" s="2748"/>
      <c r="AO1214" s="2748"/>
      <c r="AP1214" s="2748"/>
    </row>
    <row r="1215" spans="2:42" ht="18" customHeight="1">
      <c r="B1215" s="2728"/>
      <c r="C1215" s="2728"/>
      <c r="D1215" s="2728"/>
      <c r="E1215" s="2728"/>
      <c r="G1215" s="2512"/>
      <c r="I1215" s="2748"/>
      <c r="J1215" s="2728"/>
      <c r="L1215" s="2728"/>
      <c r="M1215" s="2748"/>
      <c r="N1215" s="2728"/>
      <c r="O1215" s="2728"/>
      <c r="P1215" s="2728"/>
      <c r="Q1215" s="2748"/>
      <c r="R1215" s="2748"/>
      <c r="S1215" s="2748"/>
      <c r="T1215" s="2748"/>
      <c r="U1215" s="2748"/>
      <c r="V1215" s="2748"/>
      <c r="W1215" s="2748"/>
      <c r="X1215" s="2748"/>
      <c r="Y1215" s="2748"/>
      <c r="Z1215" s="2748"/>
      <c r="AA1215" s="2748"/>
      <c r="AB1215" s="2748"/>
      <c r="AC1215" s="2748"/>
      <c r="AD1215" s="2748"/>
      <c r="AE1215" s="2748"/>
      <c r="AF1215" s="2748"/>
      <c r="AG1215" s="2748"/>
      <c r="AH1215" s="2748"/>
      <c r="AI1215" s="2748"/>
      <c r="AK1215" s="2748"/>
      <c r="AL1215" s="2748"/>
      <c r="AN1215" s="2748"/>
      <c r="AO1215" s="2748"/>
      <c r="AP1215" s="2748"/>
    </row>
    <row r="1216" spans="2:42" ht="18" customHeight="1">
      <c r="B1216" s="2728"/>
      <c r="C1216" s="2728"/>
      <c r="D1216" s="2728"/>
      <c r="E1216" s="2728"/>
      <c r="G1216" s="2512"/>
      <c r="I1216" s="2748"/>
      <c r="J1216" s="2728"/>
      <c r="L1216" s="2728"/>
      <c r="M1216" s="2748"/>
      <c r="N1216" s="2728"/>
      <c r="O1216" s="2728"/>
      <c r="P1216" s="2728"/>
      <c r="Q1216" s="2748"/>
      <c r="R1216" s="2748"/>
      <c r="S1216" s="2748"/>
      <c r="T1216" s="2748"/>
      <c r="U1216" s="2748"/>
      <c r="V1216" s="2748"/>
      <c r="W1216" s="2748"/>
      <c r="X1216" s="2748"/>
      <c r="Y1216" s="2748"/>
      <c r="Z1216" s="2748"/>
      <c r="AA1216" s="2748"/>
      <c r="AB1216" s="2748"/>
      <c r="AC1216" s="2748"/>
      <c r="AD1216" s="2748"/>
      <c r="AE1216" s="2748"/>
      <c r="AF1216" s="2748"/>
      <c r="AG1216" s="2748"/>
      <c r="AH1216" s="2748"/>
      <c r="AI1216" s="2748"/>
      <c r="AK1216" s="2748"/>
      <c r="AL1216" s="2748"/>
      <c r="AN1216" s="2748"/>
      <c r="AO1216" s="2748"/>
      <c r="AP1216" s="2748"/>
    </row>
    <row r="1217" spans="2:42" ht="18" customHeight="1">
      <c r="B1217" s="2728"/>
      <c r="C1217" s="2728"/>
      <c r="D1217" s="2728"/>
      <c r="E1217" s="2728"/>
      <c r="G1217" s="2512"/>
      <c r="I1217" s="2748"/>
      <c r="J1217" s="2728"/>
      <c r="L1217" s="2728"/>
      <c r="M1217" s="2748"/>
      <c r="N1217" s="2728"/>
      <c r="O1217" s="2728"/>
      <c r="P1217" s="2728"/>
      <c r="Q1217" s="2748"/>
      <c r="R1217" s="2748"/>
      <c r="S1217" s="2748"/>
      <c r="T1217" s="2748"/>
      <c r="U1217" s="2748"/>
      <c r="V1217" s="2748"/>
      <c r="W1217" s="2748"/>
      <c r="X1217" s="2748"/>
      <c r="Y1217" s="2748"/>
      <c r="Z1217" s="2748"/>
      <c r="AA1217" s="2748"/>
      <c r="AB1217" s="2748"/>
      <c r="AC1217" s="2748"/>
      <c r="AD1217" s="2748"/>
      <c r="AE1217" s="2748"/>
      <c r="AF1217" s="2748"/>
      <c r="AG1217" s="2748"/>
      <c r="AH1217" s="2748"/>
      <c r="AI1217" s="2748"/>
      <c r="AK1217" s="2748"/>
      <c r="AL1217" s="2748"/>
      <c r="AN1217" s="2748"/>
      <c r="AO1217" s="2748"/>
      <c r="AP1217" s="2748"/>
    </row>
    <row r="1218" spans="2:42" ht="18" customHeight="1">
      <c r="B1218" s="2728"/>
      <c r="C1218" s="2728"/>
      <c r="D1218" s="2728"/>
      <c r="E1218" s="2728"/>
      <c r="G1218" s="2512"/>
      <c r="I1218" s="2748"/>
      <c r="J1218" s="2728"/>
      <c r="L1218" s="2728"/>
      <c r="M1218" s="2748"/>
      <c r="N1218" s="2728"/>
      <c r="O1218" s="2728"/>
      <c r="P1218" s="2728"/>
      <c r="Q1218" s="2748"/>
      <c r="R1218" s="2748"/>
      <c r="S1218" s="2748"/>
      <c r="T1218" s="2748"/>
      <c r="U1218" s="2748"/>
      <c r="V1218" s="2748"/>
      <c r="W1218" s="2748"/>
      <c r="X1218" s="2748"/>
      <c r="Y1218" s="2748"/>
      <c r="Z1218" s="2748"/>
      <c r="AA1218" s="2748"/>
      <c r="AB1218" s="2748"/>
      <c r="AC1218" s="2748"/>
      <c r="AD1218" s="2748"/>
      <c r="AE1218" s="2748"/>
      <c r="AF1218" s="2748"/>
      <c r="AG1218" s="2748"/>
      <c r="AH1218" s="2748"/>
      <c r="AI1218" s="2748"/>
      <c r="AK1218" s="2748"/>
      <c r="AL1218" s="2748"/>
      <c r="AN1218" s="2748"/>
      <c r="AO1218" s="2748"/>
      <c r="AP1218" s="2748"/>
    </row>
    <row r="1219" spans="2:42" ht="18" customHeight="1">
      <c r="B1219" s="2728"/>
      <c r="C1219" s="2728"/>
      <c r="D1219" s="2728"/>
      <c r="E1219" s="2728"/>
      <c r="G1219" s="2512"/>
      <c r="I1219" s="2748"/>
      <c r="J1219" s="2728"/>
      <c r="L1219" s="2728"/>
      <c r="M1219" s="2748"/>
      <c r="N1219" s="2728"/>
      <c r="O1219" s="2728"/>
      <c r="P1219" s="2728"/>
      <c r="Q1219" s="2748"/>
      <c r="R1219" s="2748"/>
      <c r="S1219" s="2748"/>
      <c r="T1219" s="2748"/>
      <c r="U1219" s="2748"/>
      <c r="V1219" s="2748"/>
      <c r="W1219" s="2748"/>
      <c r="X1219" s="2748"/>
      <c r="Y1219" s="2748"/>
      <c r="Z1219" s="2748"/>
      <c r="AA1219" s="2748"/>
      <c r="AB1219" s="2748"/>
      <c r="AC1219" s="2748"/>
      <c r="AD1219" s="2748"/>
      <c r="AE1219" s="2748"/>
      <c r="AF1219" s="2748"/>
      <c r="AG1219" s="2748"/>
      <c r="AH1219" s="2748"/>
      <c r="AI1219" s="2748"/>
      <c r="AK1219" s="2748"/>
      <c r="AL1219" s="2748"/>
      <c r="AN1219" s="2748"/>
      <c r="AO1219" s="2748"/>
      <c r="AP1219" s="2748"/>
    </row>
    <row r="1220" spans="2:42" ht="18" customHeight="1">
      <c r="B1220" s="2728"/>
      <c r="C1220" s="2728"/>
      <c r="D1220" s="2728"/>
      <c r="E1220" s="2728"/>
      <c r="G1220" s="2512"/>
      <c r="I1220" s="2748"/>
      <c r="J1220" s="2728"/>
      <c r="L1220" s="2728"/>
      <c r="M1220" s="2748"/>
      <c r="N1220" s="2728"/>
      <c r="O1220" s="2728"/>
      <c r="P1220" s="2728"/>
      <c r="Q1220" s="2748"/>
      <c r="R1220" s="2748"/>
      <c r="S1220" s="2748"/>
      <c r="T1220" s="2748"/>
      <c r="U1220" s="2748"/>
      <c r="V1220" s="2748"/>
      <c r="W1220" s="2748"/>
      <c r="X1220" s="2748"/>
      <c r="Y1220" s="2748"/>
      <c r="Z1220" s="2748"/>
      <c r="AA1220" s="2748"/>
      <c r="AB1220" s="2748"/>
      <c r="AC1220" s="2748"/>
      <c r="AD1220" s="2748"/>
      <c r="AE1220" s="2748"/>
      <c r="AF1220" s="2748"/>
      <c r="AG1220" s="2748"/>
      <c r="AH1220" s="2748"/>
      <c r="AI1220" s="2748"/>
      <c r="AK1220" s="2748"/>
      <c r="AL1220" s="2748"/>
      <c r="AN1220" s="2748"/>
      <c r="AO1220" s="2748"/>
      <c r="AP1220" s="2748"/>
    </row>
    <row r="1221" spans="2:42" ht="18" customHeight="1">
      <c r="B1221" s="2728"/>
      <c r="C1221" s="2728"/>
      <c r="D1221" s="2728"/>
      <c r="E1221" s="2728"/>
      <c r="G1221" s="2512"/>
      <c r="I1221" s="2748"/>
      <c r="J1221" s="2728"/>
      <c r="L1221" s="2728"/>
      <c r="M1221" s="2748"/>
      <c r="N1221" s="2728"/>
      <c r="O1221" s="2728"/>
      <c r="P1221" s="2728"/>
      <c r="Q1221" s="2748"/>
      <c r="R1221" s="2748"/>
      <c r="S1221" s="2748"/>
      <c r="T1221" s="2748"/>
      <c r="U1221" s="2748"/>
      <c r="V1221" s="2748"/>
      <c r="W1221" s="2748"/>
      <c r="X1221" s="2748"/>
      <c r="Y1221" s="2748"/>
      <c r="Z1221" s="2748"/>
      <c r="AA1221" s="2748"/>
      <c r="AB1221" s="2748"/>
      <c r="AC1221" s="2748"/>
      <c r="AD1221" s="2748"/>
      <c r="AE1221" s="2748"/>
      <c r="AF1221" s="2748"/>
      <c r="AG1221" s="2748"/>
      <c r="AH1221" s="2748"/>
      <c r="AI1221" s="2748"/>
      <c r="AK1221" s="2748"/>
      <c r="AL1221" s="2748"/>
      <c r="AN1221" s="2748"/>
      <c r="AO1221" s="2748"/>
      <c r="AP1221" s="2748"/>
    </row>
    <row r="1222" spans="2:42" ht="18" customHeight="1">
      <c r="B1222" s="2728"/>
      <c r="C1222" s="2728"/>
      <c r="D1222" s="2728"/>
      <c r="E1222" s="2728"/>
      <c r="G1222" s="2512"/>
      <c r="I1222" s="2748"/>
      <c r="J1222" s="2728"/>
      <c r="L1222" s="2728"/>
      <c r="M1222" s="2748"/>
      <c r="N1222" s="2728"/>
      <c r="O1222" s="2728"/>
      <c r="P1222" s="2728"/>
      <c r="Q1222" s="2748"/>
      <c r="R1222" s="2748"/>
      <c r="S1222" s="2748"/>
      <c r="T1222" s="2748"/>
      <c r="U1222" s="2748"/>
      <c r="V1222" s="2748"/>
      <c r="W1222" s="2748"/>
      <c r="X1222" s="2748"/>
      <c r="Y1222" s="2748"/>
      <c r="Z1222" s="2748"/>
      <c r="AA1222" s="2748"/>
      <c r="AB1222" s="2748"/>
      <c r="AC1222" s="2748"/>
      <c r="AD1222" s="2748"/>
      <c r="AE1222" s="2748"/>
      <c r="AF1222" s="2748"/>
      <c r="AG1222" s="2748"/>
      <c r="AH1222" s="2748"/>
      <c r="AI1222" s="2748"/>
      <c r="AK1222" s="2748"/>
      <c r="AL1222" s="2748"/>
      <c r="AN1222" s="2748"/>
      <c r="AO1222" s="2748"/>
      <c r="AP1222" s="2748"/>
    </row>
    <row r="1223" spans="2:42" ht="18" customHeight="1">
      <c r="B1223" s="2728"/>
      <c r="C1223" s="2728"/>
      <c r="D1223" s="2728"/>
      <c r="E1223" s="2728"/>
      <c r="G1223" s="2512"/>
      <c r="I1223" s="2748"/>
      <c r="J1223" s="2728"/>
      <c r="L1223" s="2728"/>
      <c r="M1223" s="2748"/>
      <c r="N1223" s="2728"/>
      <c r="O1223" s="2728"/>
      <c r="P1223" s="2728"/>
      <c r="Q1223" s="2748"/>
      <c r="R1223" s="2748"/>
      <c r="S1223" s="2748"/>
      <c r="T1223" s="2748"/>
      <c r="U1223" s="2748"/>
      <c r="V1223" s="2748"/>
      <c r="W1223" s="2748"/>
      <c r="X1223" s="2748"/>
      <c r="Y1223" s="2748"/>
      <c r="Z1223" s="2748"/>
      <c r="AA1223" s="2748"/>
      <c r="AB1223" s="2748"/>
      <c r="AC1223" s="2748"/>
      <c r="AD1223" s="2748"/>
      <c r="AE1223" s="2748"/>
      <c r="AF1223" s="2748"/>
      <c r="AG1223" s="2748"/>
      <c r="AH1223" s="2748"/>
      <c r="AI1223" s="2748"/>
      <c r="AK1223" s="2748"/>
      <c r="AL1223" s="2748"/>
      <c r="AN1223" s="2748"/>
      <c r="AO1223" s="2748"/>
      <c r="AP1223" s="2748"/>
    </row>
    <row r="1224" spans="2:42" ht="18" customHeight="1">
      <c r="B1224" s="2728"/>
      <c r="C1224" s="2728"/>
      <c r="D1224" s="2728"/>
      <c r="E1224" s="2728"/>
      <c r="G1224" s="2512"/>
      <c r="I1224" s="2748"/>
      <c r="J1224" s="2728"/>
      <c r="L1224" s="2728"/>
      <c r="M1224" s="2748"/>
      <c r="N1224" s="2728"/>
      <c r="O1224" s="2728"/>
      <c r="P1224" s="2728"/>
      <c r="Q1224" s="2748"/>
      <c r="R1224" s="2748"/>
      <c r="S1224" s="2748"/>
      <c r="T1224" s="2748"/>
      <c r="U1224" s="2748"/>
      <c r="V1224" s="2748"/>
      <c r="W1224" s="2748"/>
      <c r="X1224" s="2748"/>
      <c r="Y1224" s="2748"/>
      <c r="Z1224" s="2748"/>
      <c r="AA1224" s="2748"/>
      <c r="AB1224" s="2748"/>
      <c r="AC1224" s="2748"/>
      <c r="AD1224" s="2748"/>
      <c r="AE1224" s="2748"/>
      <c r="AF1224" s="2748"/>
      <c r="AG1224" s="2748"/>
      <c r="AH1224" s="2748"/>
      <c r="AI1224" s="2748"/>
      <c r="AK1224" s="2748"/>
      <c r="AL1224" s="2748"/>
      <c r="AN1224" s="2748"/>
      <c r="AO1224" s="2748"/>
      <c r="AP1224" s="2748"/>
    </row>
    <row r="1225" spans="2:42" ht="18" customHeight="1">
      <c r="B1225" s="2728"/>
      <c r="C1225" s="2728"/>
      <c r="D1225" s="2728"/>
      <c r="E1225" s="2728"/>
      <c r="G1225" s="2512"/>
      <c r="I1225" s="2748"/>
      <c r="J1225" s="2728"/>
      <c r="L1225" s="2728"/>
      <c r="M1225" s="2748"/>
      <c r="N1225" s="2728"/>
      <c r="O1225" s="2728"/>
      <c r="P1225" s="2728"/>
      <c r="Q1225" s="2748"/>
      <c r="R1225" s="2748"/>
      <c r="S1225" s="2748"/>
      <c r="T1225" s="2748"/>
      <c r="U1225" s="2748"/>
      <c r="V1225" s="2748"/>
      <c r="W1225" s="2748"/>
      <c r="X1225" s="2748"/>
      <c r="Y1225" s="2748"/>
      <c r="Z1225" s="2748"/>
      <c r="AA1225" s="2748"/>
      <c r="AB1225" s="2748"/>
      <c r="AC1225" s="2748"/>
      <c r="AD1225" s="2748"/>
      <c r="AE1225" s="2748"/>
      <c r="AF1225" s="2748"/>
      <c r="AG1225" s="2748"/>
      <c r="AH1225" s="2748"/>
      <c r="AI1225" s="2748"/>
      <c r="AK1225" s="2748"/>
      <c r="AL1225" s="2748"/>
      <c r="AN1225" s="2748"/>
      <c r="AO1225" s="2748"/>
      <c r="AP1225" s="2748"/>
    </row>
    <row r="1226" spans="2:42" ht="18" customHeight="1">
      <c r="B1226" s="2728"/>
      <c r="C1226" s="2728"/>
      <c r="D1226" s="2728"/>
      <c r="E1226" s="2728"/>
      <c r="G1226" s="2512"/>
      <c r="I1226" s="2748"/>
      <c r="J1226" s="2728"/>
      <c r="L1226" s="2728"/>
      <c r="M1226" s="2748"/>
      <c r="N1226" s="2728"/>
      <c r="O1226" s="2728"/>
      <c r="P1226" s="2728"/>
      <c r="Q1226" s="2748"/>
      <c r="R1226" s="2748"/>
      <c r="S1226" s="2748"/>
      <c r="T1226" s="2748"/>
      <c r="U1226" s="2748"/>
      <c r="V1226" s="2748"/>
      <c r="W1226" s="2748"/>
      <c r="X1226" s="2748"/>
      <c r="Y1226" s="2748"/>
      <c r="Z1226" s="2748"/>
      <c r="AA1226" s="2748"/>
      <c r="AB1226" s="2748"/>
      <c r="AC1226" s="2748"/>
      <c r="AD1226" s="2748"/>
      <c r="AE1226" s="2748"/>
      <c r="AF1226" s="2748"/>
      <c r="AG1226" s="2748"/>
      <c r="AH1226" s="2748"/>
      <c r="AI1226" s="2748"/>
      <c r="AK1226" s="2748"/>
      <c r="AL1226" s="2748"/>
      <c r="AN1226" s="2748"/>
      <c r="AO1226" s="2748"/>
      <c r="AP1226" s="2748"/>
    </row>
    <row r="1227" spans="2:42" ht="18" customHeight="1">
      <c r="B1227" s="2728"/>
      <c r="C1227" s="2728"/>
      <c r="D1227" s="2728"/>
      <c r="E1227" s="2728"/>
      <c r="G1227" s="2512"/>
      <c r="I1227" s="2748"/>
      <c r="J1227" s="2728"/>
      <c r="L1227" s="2728"/>
      <c r="M1227" s="2748"/>
      <c r="N1227" s="2728"/>
      <c r="O1227" s="2728"/>
      <c r="P1227" s="2728"/>
      <c r="Q1227" s="2748"/>
      <c r="R1227" s="2748"/>
      <c r="S1227" s="2748"/>
      <c r="T1227" s="2748"/>
      <c r="U1227" s="2748"/>
      <c r="V1227" s="2748"/>
      <c r="W1227" s="2748"/>
      <c r="X1227" s="2748"/>
      <c r="Y1227" s="2748"/>
      <c r="Z1227" s="2748"/>
      <c r="AA1227" s="2748"/>
      <c r="AB1227" s="2748"/>
      <c r="AC1227" s="2748"/>
      <c r="AD1227" s="2748"/>
      <c r="AE1227" s="2748"/>
      <c r="AF1227" s="2748"/>
      <c r="AG1227" s="2748"/>
      <c r="AH1227" s="2748"/>
      <c r="AI1227" s="2748"/>
      <c r="AK1227" s="2748"/>
      <c r="AL1227" s="2748"/>
      <c r="AN1227" s="2748"/>
      <c r="AO1227" s="2748"/>
      <c r="AP1227" s="2748"/>
    </row>
    <row r="1228" spans="2:42" ht="18" customHeight="1">
      <c r="B1228" s="2728"/>
      <c r="C1228" s="2728"/>
      <c r="D1228" s="2728"/>
      <c r="E1228" s="2728"/>
      <c r="G1228" s="2512"/>
      <c r="I1228" s="2748"/>
      <c r="J1228" s="2728"/>
      <c r="L1228" s="2728"/>
      <c r="M1228" s="2748"/>
      <c r="N1228" s="2728"/>
      <c r="O1228" s="2728"/>
      <c r="P1228" s="2728"/>
      <c r="Q1228" s="2748"/>
      <c r="R1228" s="2748"/>
      <c r="S1228" s="2748"/>
      <c r="T1228" s="2748"/>
      <c r="U1228" s="2748"/>
      <c r="V1228" s="2748"/>
      <c r="W1228" s="2748"/>
      <c r="X1228" s="2748"/>
      <c r="Y1228" s="2748"/>
      <c r="Z1228" s="2748"/>
      <c r="AA1228" s="2748"/>
      <c r="AB1228" s="2748"/>
      <c r="AC1228" s="2748"/>
      <c r="AD1228" s="2748"/>
      <c r="AE1228" s="2748"/>
      <c r="AF1228" s="2748"/>
      <c r="AG1228" s="2748"/>
      <c r="AH1228" s="2748"/>
      <c r="AI1228" s="2748"/>
      <c r="AK1228" s="2748"/>
      <c r="AL1228" s="2748"/>
      <c r="AN1228" s="2748"/>
      <c r="AO1228" s="2748"/>
      <c r="AP1228" s="2748"/>
    </row>
    <row r="1229" spans="2:42" ht="18" customHeight="1">
      <c r="B1229" s="2728"/>
      <c r="C1229" s="2728"/>
      <c r="D1229" s="2728"/>
      <c r="E1229" s="2728"/>
      <c r="G1229" s="2512"/>
      <c r="I1229" s="2748"/>
      <c r="J1229" s="2728"/>
      <c r="L1229" s="2728"/>
      <c r="M1229" s="2748"/>
      <c r="N1229" s="2728"/>
      <c r="O1229" s="2728"/>
      <c r="P1229" s="2728"/>
      <c r="Q1229" s="2748"/>
      <c r="R1229" s="2748"/>
      <c r="S1229" s="2748"/>
      <c r="T1229" s="2748"/>
      <c r="U1229" s="2748"/>
      <c r="V1229" s="2748"/>
      <c r="W1229" s="2748"/>
      <c r="X1229" s="2748"/>
      <c r="Y1229" s="2748"/>
      <c r="Z1229" s="2748"/>
      <c r="AA1229" s="2748"/>
      <c r="AB1229" s="2748"/>
      <c r="AC1229" s="2748"/>
      <c r="AD1229" s="2748"/>
      <c r="AE1229" s="2748"/>
      <c r="AF1229" s="2748"/>
      <c r="AG1229" s="2748"/>
      <c r="AH1229" s="2748"/>
      <c r="AI1229" s="2748"/>
      <c r="AK1229" s="2748"/>
      <c r="AL1229" s="2748"/>
      <c r="AN1229" s="2748"/>
      <c r="AO1229" s="2748"/>
      <c r="AP1229" s="2748"/>
    </row>
    <row r="1230" spans="2:42" ht="18" customHeight="1">
      <c r="B1230" s="2728"/>
      <c r="C1230" s="2728"/>
      <c r="D1230" s="2728"/>
      <c r="E1230" s="2728"/>
      <c r="G1230" s="2512"/>
      <c r="I1230" s="2748"/>
      <c r="J1230" s="2728"/>
      <c r="L1230" s="2728"/>
      <c r="M1230" s="2748"/>
      <c r="N1230" s="2728"/>
      <c r="O1230" s="2728"/>
      <c r="P1230" s="2728"/>
      <c r="Q1230" s="2748"/>
      <c r="R1230" s="2748"/>
      <c r="S1230" s="2748"/>
      <c r="T1230" s="2748"/>
      <c r="U1230" s="2748"/>
      <c r="V1230" s="2748"/>
      <c r="W1230" s="2748"/>
      <c r="X1230" s="2748"/>
      <c r="Y1230" s="2748"/>
      <c r="Z1230" s="2748"/>
      <c r="AA1230" s="2748"/>
      <c r="AB1230" s="2748"/>
      <c r="AC1230" s="2748"/>
      <c r="AD1230" s="2748"/>
      <c r="AE1230" s="2748"/>
      <c r="AF1230" s="2748"/>
      <c r="AG1230" s="2748"/>
      <c r="AH1230" s="2748"/>
      <c r="AI1230" s="2748"/>
      <c r="AK1230" s="2748"/>
      <c r="AL1230" s="2748"/>
      <c r="AN1230" s="2748"/>
      <c r="AO1230" s="2748"/>
      <c r="AP1230" s="2748"/>
    </row>
    <row r="1231" spans="2:42" ht="18" customHeight="1">
      <c r="B1231" s="2728"/>
      <c r="C1231" s="2728"/>
      <c r="D1231" s="2728"/>
      <c r="E1231" s="2728"/>
      <c r="G1231" s="2512"/>
      <c r="I1231" s="2748"/>
      <c r="J1231" s="2728"/>
      <c r="L1231" s="2728"/>
      <c r="M1231" s="2748"/>
      <c r="N1231" s="2728"/>
      <c r="O1231" s="2728"/>
      <c r="P1231" s="2728"/>
      <c r="Q1231" s="2748"/>
      <c r="R1231" s="2748"/>
      <c r="S1231" s="2748"/>
      <c r="T1231" s="2748"/>
      <c r="U1231" s="2748"/>
      <c r="V1231" s="2748"/>
      <c r="W1231" s="2748"/>
      <c r="X1231" s="2748"/>
      <c r="Y1231" s="2748"/>
      <c r="Z1231" s="2748"/>
      <c r="AA1231" s="2748"/>
      <c r="AB1231" s="2748"/>
      <c r="AC1231" s="2748"/>
      <c r="AD1231" s="2748"/>
      <c r="AE1231" s="2748"/>
      <c r="AF1231" s="2748"/>
      <c r="AG1231" s="2748"/>
      <c r="AH1231" s="2748"/>
      <c r="AI1231" s="2748"/>
      <c r="AK1231" s="2748"/>
      <c r="AL1231" s="2748"/>
      <c r="AN1231" s="2748"/>
      <c r="AO1231" s="2748"/>
      <c r="AP1231" s="2748"/>
    </row>
    <row r="1232" spans="2:42" ht="18" customHeight="1">
      <c r="B1232" s="2728"/>
      <c r="C1232" s="2728"/>
      <c r="D1232" s="2728"/>
      <c r="E1232" s="2728"/>
      <c r="G1232" s="2512"/>
      <c r="I1232" s="2748"/>
      <c r="J1232" s="2728"/>
      <c r="L1232" s="2728"/>
      <c r="M1232" s="2748"/>
      <c r="N1232" s="2728"/>
      <c r="O1232" s="2728"/>
      <c r="P1232" s="2728"/>
      <c r="Q1232" s="2748"/>
      <c r="R1232" s="2748"/>
      <c r="S1232" s="2748"/>
      <c r="T1232" s="2748"/>
      <c r="U1232" s="2748"/>
      <c r="V1232" s="2748"/>
      <c r="W1232" s="2748"/>
      <c r="X1232" s="2748"/>
      <c r="Y1232" s="2748"/>
      <c r="Z1232" s="2748"/>
      <c r="AA1232" s="2748"/>
      <c r="AB1232" s="2748"/>
      <c r="AC1232" s="2748"/>
      <c r="AD1232" s="2748"/>
      <c r="AE1232" s="2748"/>
      <c r="AF1232" s="2748"/>
      <c r="AG1232" s="2748"/>
      <c r="AH1232" s="2748"/>
      <c r="AI1232" s="2748"/>
      <c r="AK1232" s="2748"/>
      <c r="AL1232" s="2748"/>
      <c r="AN1232" s="2748"/>
      <c r="AO1232" s="2748"/>
      <c r="AP1232" s="2748"/>
    </row>
    <row r="1233" spans="2:42" ht="18" customHeight="1">
      <c r="B1233" s="2728"/>
      <c r="C1233" s="2728"/>
      <c r="D1233" s="2728"/>
      <c r="E1233" s="2728"/>
      <c r="G1233" s="2512"/>
      <c r="I1233" s="2748"/>
      <c r="J1233" s="2728"/>
      <c r="L1233" s="2728"/>
      <c r="M1233" s="2748"/>
      <c r="N1233" s="2728"/>
      <c r="O1233" s="2728"/>
      <c r="P1233" s="2728"/>
      <c r="Q1233" s="2748"/>
      <c r="R1233" s="2748"/>
      <c r="S1233" s="2748"/>
      <c r="T1233" s="2748"/>
      <c r="U1233" s="2748"/>
      <c r="V1233" s="2748"/>
      <c r="W1233" s="2748"/>
      <c r="X1233" s="2748"/>
      <c r="Y1233" s="2748"/>
      <c r="Z1233" s="2748"/>
      <c r="AA1233" s="2748"/>
      <c r="AB1233" s="2748"/>
      <c r="AC1233" s="2748"/>
      <c r="AD1233" s="2748"/>
      <c r="AE1233" s="2748"/>
      <c r="AF1233" s="2748"/>
      <c r="AG1233" s="2748"/>
      <c r="AH1233" s="2748"/>
      <c r="AI1233" s="2748"/>
      <c r="AK1233" s="2748"/>
      <c r="AL1233" s="2748"/>
      <c r="AN1233" s="2748"/>
      <c r="AO1233" s="2748"/>
      <c r="AP1233" s="2748"/>
    </row>
    <row r="1234" spans="2:42" ht="18" customHeight="1">
      <c r="B1234" s="2728"/>
      <c r="C1234" s="2728"/>
      <c r="D1234" s="2728"/>
      <c r="E1234" s="2728"/>
      <c r="G1234" s="2512"/>
      <c r="I1234" s="2748"/>
      <c r="J1234" s="2728"/>
      <c r="L1234" s="2728"/>
      <c r="M1234" s="2748"/>
      <c r="N1234" s="2728"/>
      <c r="O1234" s="2728"/>
      <c r="P1234" s="2728"/>
      <c r="Q1234" s="2748"/>
      <c r="R1234" s="2748"/>
      <c r="S1234" s="2748"/>
      <c r="T1234" s="2748"/>
      <c r="U1234" s="2748"/>
      <c r="V1234" s="2748"/>
      <c r="W1234" s="2748"/>
      <c r="X1234" s="2748"/>
      <c r="Y1234" s="2748"/>
      <c r="Z1234" s="2748"/>
      <c r="AA1234" s="2748"/>
      <c r="AB1234" s="2748"/>
      <c r="AC1234" s="2748"/>
      <c r="AD1234" s="2748"/>
      <c r="AE1234" s="2748"/>
      <c r="AF1234" s="2748"/>
      <c r="AG1234" s="2748"/>
      <c r="AH1234" s="2748"/>
      <c r="AI1234" s="2748"/>
      <c r="AK1234" s="2748"/>
      <c r="AL1234" s="2748"/>
      <c r="AN1234" s="2748"/>
      <c r="AO1234" s="2748"/>
      <c r="AP1234" s="2748"/>
    </row>
    <row r="1235" spans="2:42" ht="18" customHeight="1">
      <c r="B1235" s="2728"/>
      <c r="C1235" s="2728"/>
      <c r="D1235" s="2728"/>
      <c r="E1235" s="2728"/>
      <c r="G1235" s="2512"/>
      <c r="I1235" s="2748"/>
      <c r="J1235" s="2728"/>
      <c r="L1235" s="2728"/>
      <c r="M1235" s="2748"/>
      <c r="N1235" s="2728"/>
      <c r="O1235" s="2728"/>
      <c r="P1235" s="2728"/>
      <c r="Q1235" s="2748"/>
      <c r="R1235" s="2748"/>
      <c r="S1235" s="2748"/>
      <c r="T1235" s="2748"/>
      <c r="U1235" s="2748"/>
      <c r="V1235" s="2748"/>
      <c r="W1235" s="2748"/>
      <c r="X1235" s="2748"/>
      <c r="Y1235" s="2748"/>
      <c r="Z1235" s="2748"/>
      <c r="AA1235" s="2748"/>
      <c r="AB1235" s="2748"/>
      <c r="AC1235" s="2748"/>
      <c r="AD1235" s="2748"/>
      <c r="AE1235" s="2748"/>
      <c r="AF1235" s="2748"/>
      <c r="AG1235" s="2748"/>
      <c r="AH1235" s="2748"/>
      <c r="AI1235" s="2748"/>
      <c r="AK1235" s="2748"/>
      <c r="AL1235" s="2748"/>
      <c r="AN1235" s="2748"/>
      <c r="AO1235" s="2748"/>
      <c r="AP1235" s="2748"/>
    </row>
    <row r="1236" spans="2:42" ht="18" customHeight="1">
      <c r="B1236" s="2728"/>
      <c r="C1236" s="2728"/>
      <c r="D1236" s="2728"/>
      <c r="E1236" s="2728"/>
      <c r="G1236" s="2512"/>
      <c r="I1236" s="2748"/>
      <c r="J1236" s="2728"/>
      <c r="L1236" s="2728"/>
      <c r="M1236" s="2748"/>
      <c r="N1236" s="2728"/>
      <c r="O1236" s="2728"/>
      <c r="P1236" s="2728"/>
      <c r="Q1236" s="2748"/>
      <c r="R1236" s="2748"/>
      <c r="S1236" s="2748"/>
      <c r="T1236" s="2748"/>
      <c r="U1236" s="2748"/>
      <c r="V1236" s="2748"/>
      <c r="W1236" s="2748"/>
      <c r="X1236" s="2748"/>
      <c r="Y1236" s="2748"/>
      <c r="Z1236" s="2748"/>
      <c r="AA1236" s="2748"/>
      <c r="AB1236" s="2748"/>
      <c r="AC1236" s="2748"/>
      <c r="AD1236" s="2748"/>
      <c r="AE1236" s="2748"/>
      <c r="AF1236" s="2748"/>
      <c r="AG1236" s="2748"/>
      <c r="AH1236" s="2748"/>
      <c r="AI1236" s="2748"/>
      <c r="AK1236" s="2748"/>
      <c r="AL1236" s="2748"/>
      <c r="AN1236" s="2748"/>
      <c r="AO1236" s="2748"/>
      <c r="AP1236" s="2748"/>
    </row>
    <row r="1237" spans="2:42" ht="18" customHeight="1">
      <c r="B1237" s="2728"/>
      <c r="C1237" s="2728"/>
      <c r="D1237" s="2728"/>
      <c r="E1237" s="2728"/>
      <c r="G1237" s="2512"/>
      <c r="I1237" s="2748"/>
      <c r="J1237" s="2728"/>
      <c r="L1237" s="2728"/>
      <c r="M1237" s="2748"/>
      <c r="N1237" s="2728"/>
      <c r="O1237" s="2728"/>
      <c r="P1237" s="2728"/>
      <c r="Q1237" s="2748"/>
      <c r="R1237" s="2748"/>
      <c r="S1237" s="2748"/>
      <c r="T1237" s="2748"/>
      <c r="U1237" s="2748"/>
      <c r="V1237" s="2748"/>
      <c r="W1237" s="2748"/>
      <c r="X1237" s="2748"/>
      <c r="Y1237" s="2748"/>
      <c r="Z1237" s="2748"/>
      <c r="AA1237" s="2748"/>
      <c r="AB1237" s="2748"/>
      <c r="AC1237" s="2748"/>
      <c r="AD1237" s="2748"/>
      <c r="AE1237" s="2748"/>
      <c r="AF1237" s="2748"/>
      <c r="AG1237" s="2748"/>
      <c r="AH1237" s="2748"/>
      <c r="AI1237" s="2748"/>
      <c r="AK1237" s="2748"/>
      <c r="AL1237" s="2748"/>
      <c r="AN1237" s="2748"/>
      <c r="AO1237" s="2748"/>
      <c r="AP1237" s="2748"/>
    </row>
    <row r="1238" spans="2:42" ht="18" customHeight="1">
      <c r="B1238" s="2728"/>
      <c r="C1238" s="2728"/>
      <c r="D1238" s="2728"/>
      <c r="E1238" s="2728"/>
      <c r="G1238" s="2512"/>
      <c r="I1238" s="2748"/>
      <c r="J1238" s="2728"/>
      <c r="L1238" s="2728"/>
      <c r="M1238" s="2748"/>
      <c r="N1238" s="2728"/>
      <c r="O1238" s="2728"/>
      <c r="P1238" s="2728"/>
      <c r="Q1238" s="2748"/>
      <c r="R1238" s="2748"/>
      <c r="S1238" s="2748"/>
      <c r="T1238" s="2748"/>
      <c r="U1238" s="2748"/>
      <c r="V1238" s="2748"/>
      <c r="W1238" s="2748"/>
      <c r="X1238" s="2748"/>
      <c r="Y1238" s="2748"/>
      <c r="Z1238" s="2748"/>
      <c r="AA1238" s="2748"/>
      <c r="AB1238" s="2748"/>
      <c r="AC1238" s="2748"/>
      <c r="AD1238" s="2748"/>
      <c r="AE1238" s="2748"/>
      <c r="AF1238" s="2748"/>
      <c r="AG1238" s="2748"/>
      <c r="AH1238" s="2748"/>
      <c r="AI1238" s="2748"/>
      <c r="AK1238" s="2748"/>
      <c r="AL1238" s="2748"/>
      <c r="AN1238" s="2748"/>
      <c r="AO1238" s="2748"/>
      <c r="AP1238" s="2748"/>
    </row>
    <row r="1239" spans="2:42" ht="18" customHeight="1">
      <c r="B1239" s="2728"/>
      <c r="C1239" s="2728"/>
      <c r="D1239" s="2728"/>
      <c r="E1239" s="2728"/>
      <c r="G1239" s="2512"/>
      <c r="I1239" s="2748"/>
      <c r="J1239" s="2728"/>
      <c r="L1239" s="2728"/>
      <c r="M1239" s="2748"/>
      <c r="N1239" s="2728"/>
      <c r="O1239" s="2728"/>
      <c r="P1239" s="2728"/>
      <c r="Q1239" s="2748"/>
      <c r="R1239" s="2748"/>
      <c r="S1239" s="2748"/>
      <c r="T1239" s="2748"/>
      <c r="U1239" s="2748"/>
      <c r="V1239" s="2748"/>
      <c r="W1239" s="2748"/>
      <c r="X1239" s="2748"/>
      <c r="Y1239" s="2748"/>
      <c r="Z1239" s="2748"/>
      <c r="AA1239" s="2748"/>
      <c r="AB1239" s="2748"/>
      <c r="AC1239" s="2748"/>
      <c r="AD1239" s="2748"/>
      <c r="AE1239" s="2748"/>
      <c r="AF1239" s="2748"/>
      <c r="AG1239" s="2748"/>
      <c r="AH1239" s="2748"/>
      <c r="AI1239" s="2748"/>
      <c r="AK1239" s="2748"/>
      <c r="AL1239" s="2748"/>
      <c r="AN1239" s="2748"/>
      <c r="AO1239" s="2748"/>
      <c r="AP1239" s="2748"/>
    </row>
    <row r="1240" spans="2:42" ht="18" customHeight="1">
      <c r="B1240" s="2728"/>
      <c r="C1240" s="2728"/>
      <c r="D1240" s="2728"/>
      <c r="E1240" s="2728"/>
      <c r="G1240" s="2512"/>
      <c r="I1240" s="2748"/>
      <c r="J1240" s="2728"/>
      <c r="L1240" s="2728"/>
      <c r="M1240" s="2748"/>
      <c r="N1240" s="2728"/>
      <c r="O1240" s="2728"/>
      <c r="P1240" s="2728"/>
      <c r="Q1240" s="2748"/>
      <c r="R1240" s="2748"/>
      <c r="S1240" s="2748"/>
      <c r="T1240" s="2748"/>
      <c r="U1240" s="2748"/>
      <c r="V1240" s="2748"/>
      <c r="W1240" s="2748"/>
      <c r="X1240" s="2748"/>
      <c r="Y1240" s="2748"/>
      <c r="Z1240" s="2748"/>
      <c r="AA1240" s="2748"/>
      <c r="AB1240" s="2748"/>
      <c r="AC1240" s="2748"/>
      <c r="AD1240" s="2748"/>
      <c r="AE1240" s="2748"/>
      <c r="AF1240" s="2748"/>
      <c r="AG1240" s="2748"/>
      <c r="AH1240" s="2748"/>
      <c r="AI1240" s="2748"/>
      <c r="AK1240" s="2748"/>
      <c r="AL1240" s="2748"/>
      <c r="AN1240" s="2748"/>
      <c r="AO1240" s="2748"/>
      <c r="AP1240" s="2748"/>
    </row>
    <row r="1241" spans="2:42" ht="18" customHeight="1">
      <c r="B1241" s="2728"/>
      <c r="C1241" s="2728"/>
      <c r="D1241" s="2728"/>
      <c r="E1241" s="2728"/>
      <c r="G1241" s="2512"/>
      <c r="I1241" s="2748"/>
      <c r="J1241" s="2728"/>
      <c r="L1241" s="2728"/>
      <c r="M1241" s="2748"/>
      <c r="N1241" s="2728"/>
      <c r="O1241" s="2728"/>
      <c r="P1241" s="2728"/>
      <c r="Q1241" s="2748"/>
      <c r="R1241" s="2748"/>
      <c r="S1241" s="2748"/>
      <c r="T1241" s="2748"/>
      <c r="U1241" s="2748"/>
      <c r="V1241" s="2748"/>
      <c r="W1241" s="2748"/>
      <c r="X1241" s="2748"/>
      <c r="Y1241" s="2748"/>
      <c r="Z1241" s="2748"/>
      <c r="AA1241" s="2748"/>
      <c r="AB1241" s="2748"/>
      <c r="AC1241" s="2748"/>
      <c r="AD1241" s="2748"/>
      <c r="AE1241" s="2748"/>
      <c r="AF1241" s="2748"/>
      <c r="AG1241" s="2748"/>
      <c r="AH1241" s="2748"/>
      <c r="AI1241" s="2748"/>
      <c r="AK1241" s="2748"/>
      <c r="AL1241" s="2748"/>
      <c r="AN1241" s="2748"/>
      <c r="AO1241" s="2748"/>
      <c r="AP1241" s="2748"/>
    </row>
    <row r="1242" spans="2:42" ht="18" customHeight="1">
      <c r="B1242" s="2728"/>
      <c r="C1242" s="2728"/>
      <c r="D1242" s="2728"/>
      <c r="E1242" s="2728"/>
      <c r="G1242" s="2512"/>
      <c r="I1242" s="2748"/>
      <c r="J1242" s="2728"/>
      <c r="L1242" s="2728"/>
      <c r="M1242" s="2748"/>
      <c r="N1242" s="2728"/>
      <c r="O1242" s="2728"/>
      <c r="P1242" s="2728"/>
      <c r="Q1242" s="2748"/>
      <c r="R1242" s="2748"/>
      <c r="S1242" s="2748"/>
      <c r="T1242" s="2748"/>
      <c r="U1242" s="2748"/>
      <c r="V1242" s="2748"/>
      <c r="W1242" s="2748"/>
      <c r="X1242" s="2748"/>
      <c r="Y1242" s="2748"/>
      <c r="Z1242" s="2748"/>
      <c r="AA1242" s="2748"/>
      <c r="AB1242" s="2748"/>
      <c r="AC1242" s="2748"/>
      <c r="AD1242" s="2748"/>
      <c r="AE1242" s="2748"/>
      <c r="AF1242" s="2748"/>
      <c r="AG1242" s="2748"/>
      <c r="AH1242" s="2748"/>
      <c r="AI1242" s="2748"/>
      <c r="AK1242" s="2748"/>
      <c r="AL1242" s="2748"/>
      <c r="AN1242" s="2748"/>
      <c r="AO1242" s="2748"/>
      <c r="AP1242" s="2748"/>
    </row>
    <row r="1243" spans="2:42" ht="18" customHeight="1">
      <c r="B1243" s="2728"/>
      <c r="C1243" s="2728"/>
      <c r="D1243" s="2728"/>
      <c r="E1243" s="2728"/>
      <c r="G1243" s="2512"/>
      <c r="I1243" s="2748"/>
      <c r="J1243" s="2728"/>
      <c r="L1243" s="2728"/>
      <c r="M1243" s="2748"/>
      <c r="N1243" s="2728"/>
      <c r="O1243" s="2728"/>
      <c r="P1243" s="2728"/>
      <c r="Q1243" s="2748"/>
      <c r="R1243" s="2748"/>
      <c r="S1243" s="2748"/>
      <c r="T1243" s="2748"/>
      <c r="U1243" s="2748"/>
      <c r="V1243" s="2748"/>
      <c r="W1243" s="2748"/>
      <c r="X1243" s="2748"/>
      <c r="Y1243" s="2748"/>
      <c r="Z1243" s="2748"/>
      <c r="AA1243" s="2748"/>
      <c r="AB1243" s="2748"/>
      <c r="AC1243" s="2748"/>
      <c r="AD1243" s="2748"/>
      <c r="AE1243" s="2748"/>
      <c r="AF1243" s="2748"/>
      <c r="AG1243" s="2748"/>
      <c r="AH1243" s="2748"/>
      <c r="AI1243" s="2748"/>
      <c r="AK1243" s="2748"/>
      <c r="AL1243" s="2748"/>
      <c r="AN1243" s="2748"/>
      <c r="AO1243" s="2748"/>
      <c r="AP1243" s="2748"/>
    </row>
    <row r="1244" spans="2:42" ht="18" customHeight="1">
      <c r="B1244" s="2728"/>
      <c r="C1244" s="2728"/>
      <c r="D1244" s="2728"/>
      <c r="E1244" s="2728"/>
      <c r="G1244" s="2512"/>
      <c r="I1244" s="2748"/>
      <c r="J1244" s="2728"/>
      <c r="L1244" s="2728"/>
      <c r="M1244" s="2748"/>
      <c r="N1244" s="2728"/>
      <c r="O1244" s="2728"/>
      <c r="P1244" s="2728"/>
      <c r="Q1244" s="2748"/>
      <c r="R1244" s="2748"/>
      <c r="S1244" s="2748"/>
      <c r="T1244" s="2748"/>
      <c r="U1244" s="2748"/>
      <c r="V1244" s="2748"/>
      <c r="W1244" s="2748"/>
      <c r="X1244" s="2748"/>
      <c r="Y1244" s="2748"/>
      <c r="Z1244" s="2748"/>
      <c r="AA1244" s="2748"/>
      <c r="AB1244" s="2748"/>
      <c r="AC1244" s="2748"/>
      <c r="AD1244" s="2748"/>
      <c r="AE1244" s="2748"/>
      <c r="AF1244" s="2748"/>
      <c r="AG1244" s="2748"/>
      <c r="AH1244" s="2748"/>
      <c r="AI1244" s="2748"/>
      <c r="AK1244" s="2748"/>
      <c r="AL1244" s="2748"/>
      <c r="AN1244" s="2748"/>
      <c r="AO1244" s="2748"/>
      <c r="AP1244" s="2748"/>
    </row>
    <row r="1245" spans="2:42" ht="18" customHeight="1">
      <c r="B1245" s="2728"/>
      <c r="C1245" s="2728"/>
      <c r="D1245" s="2728"/>
      <c r="E1245" s="2728"/>
      <c r="G1245" s="2512"/>
      <c r="I1245" s="2748"/>
      <c r="J1245" s="2728"/>
      <c r="L1245" s="2728"/>
      <c r="M1245" s="2748"/>
      <c r="N1245" s="2728"/>
      <c r="O1245" s="2728"/>
      <c r="P1245" s="2728"/>
      <c r="Q1245" s="2748"/>
      <c r="R1245" s="2748"/>
      <c r="S1245" s="2748"/>
      <c r="T1245" s="2748"/>
      <c r="U1245" s="2748"/>
      <c r="V1245" s="2748"/>
      <c r="W1245" s="2748"/>
      <c r="X1245" s="2748"/>
      <c r="Y1245" s="2748"/>
      <c r="Z1245" s="2748"/>
      <c r="AA1245" s="2748"/>
      <c r="AB1245" s="2748"/>
      <c r="AC1245" s="2748"/>
      <c r="AD1245" s="2748"/>
      <c r="AE1245" s="2748"/>
      <c r="AF1245" s="2748"/>
      <c r="AG1245" s="2748"/>
      <c r="AH1245" s="2748"/>
      <c r="AI1245" s="2748"/>
      <c r="AK1245" s="2748"/>
      <c r="AL1245" s="2748"/>
      <c r="AN1245" s="2748"/>
      <c r="AO1245" s="2748"/>
      <c r="AP1245" s="2748"/>
    </row>
    <row r="1246" spans="2:42" ht="18" customHeight="1">
      <c r="B1246" s="2728"/>
      <c r="C1246" s="2728"/>
      <c r="D1246" s="2728"/>
      <c r="E1246" s="2728"/>
      <c r="G1246" s="2512"/>
      <c r="I1246" s="2748"/>
      <c r="J1246" s="2728"/>
      <c r="L1246" s="2728"/>
      <c r="M1246" s="2748"/>
      <c r="N1246" s="2728"/>
      <c r="O1246" s="2728"/>
      <c r="P1246" s="2728"/>
      <c r="Q1246" s="2748"/>
      <c r="R1246" s="2748"/>
      <c r="S1246" s="2748"/>
      <c r="T1246" s="2748"/>
      <c r="U1246" s="2748"/>
      <c r="V1246" s="2748"/>
      <c r="W1246" s="2748"/>
      <c r="X1246" s="2748"/>
      <c r="Y1246" s="2748"/>
      <c r="Z1246" s="2748"/>
      <c r="AA1246" s="2748"/>
      <c r="AB1246" s="2748"/>
      <c r="AC1246" s="2748"/>
      <c r="AD1246" s="2748"/>
      <c r="AE1246" s="2748"/>
      <c r="AF1246" s="2748"/>
      <c r="AG1246" s="2748"/>
      <c r="AH1246" s="2748"/>
      <c r="AI1246" s="2748"/>
      <c r="AK1246" s="2748"/>
      <c r="AL1246" s="2748"/>
      <c r="AN1246" s="2748"/>
      <c r="AO1246" s="2748"/>
      <c r="AP1246" s="2748"/>
    </row>
    <row r="1247" spans="2:42" ht="18" customHeight="1">
      <c r="B1247" s="2728"/>
      <c r="C1247" s="2728"/>
      <c r="D1247" s="2728"/>
      <c r="E1247" s="2728"/>
      <c r="G1247" s="2512"/>
      <c r="I1247" s="2748"/>
      <c r="J1247" s="2728"/>
      <c r="L1247" s="2728"/>
      <c r="M1247" s="2748"/>
      <c r="N1247" s="2728"/>
      <c r="O1247" s="2728"/>
      <c r="P1247" s="2728"/>
      <c r="Q1247" s="2748"/>
      <c r="R1247" s="2748"/>
      <c r="S1247" s="2748"/>
      <c r="T1247" s="2748"/>
      <c r="U1247" s="2748"/>
      <c r="V1247" s="2748"/>
      <c r="W1247" s="2748"/>
      <c r="X1247" s="2748"/>
      <c r="Y1247" s="2748"/>
      <c r="Z1247" s="2748"/>
      <c r="AA1247" s="2748"/>
      <c r="AB1247" s="2748"/>
      <c r="AC1247" s="2748"/>
      <c r="AD1247" s="2748"/>
      <c r="AE1247" s="2748"/>
      <c r="AF1247" s="2748"/>
      <c r="AG1247" s="2748"/>
      <c r="AH1247" s="2748"/>
      <c r="AI1247" s="2748"/>
      <c r="AK1247" s="2748"/>
      <c r="AL1247" s="2748"/>
      <c r="AN1247" s="2748"/>
      <c r="AO1247" s="2748"/>
      <c r="AP1247" s="2748"/>
    </row>
    <row r="1248" spans="2:42" ht="18" customHeight="1">
      <c r="B1248" s="2728"/>
      <c r="C1248" s="2728"/>
      <c r="D1248" s="2728"/>
      <c r="E1248" s="2728"/>
      <c r="G1248" s="2512"/>
      <c r="I1248" s="2748"/>
      <c r="J1248" s="2728"/>
      <c r="L1248" s="2728"/>
      <c r="M1248" s="2748"/>
      <c r="N1248" s="2728"/>
      <c r="O1248" s="2728"/>
      <c r="P1248" s="2728"/>
      <c r="Q1248" s="2748"/>
      <c r="R1248" s="2748"/>
      <c r="S1248" s="2748"/>
      <c r="T1248" s="2748"/>
      <c r="U1248" s="2748"/>
      <c r="V1248" s="2748"/>
      <c r="W1248" s="2748"/>
      <c r="X1248" s="2748"/>
      <c r="Y1248" s="2748"/>
      <c r="Z1248" s="2748"/>
      <c r="AA1248" s="2748"/>
      <c r="AB1248" s="2748"/>
      <c r="AC1248" s="2748"/>
      <c r="AD1248" s="2748"/>
      <c r="AE1248" s="2748"/>
      <c r="AF1248" s="2748"/>
      <c r="AG1248" s="2748"/>
      <c r="AH1248" s="2748"/>
      <c r="AI1248" s="2748"/>
      <c r="AK1248" s="2748"/>
      <c r="AL1248" s="2748"/>
      <c r="AN1248" s="2748"/>
      <c r="AO1248" s="2748"/>
      <c r="AP1248" s="2748"/>
    </row>
    <row r="1249" spans="2:42" ht="18" customHeight="1">
      <c r="B1249" s="2728"/>
      <c r="C1249" s="2728"/>
      <c r="D1249" s="2728"/>
      <c r="E1249" s="2728"/>
      <c r="G1249" s="2512"/>
      <c r="I1249" s="2748"/>
      <c r="J1249" s="2728"/>
      <c r="L1249" s="2728"/>
      <c r="M1249" s="2748"/>
      <c r="N1249" s="2728"/>
      <c r="O1249" s="2728"/>
      <c r="P1249" s="2728"/>
      <c r="Q1249" s="2748"/>
      <c r="R1249" s="2748"/>
      <c r="S1249" s="2748"/>
      <c r="T1249" s="2748"/>
      <c r="U1249" s="2748"/>
      <c r="V1249" s="2748"/>
      <c r="W1249" s="2748"/>
      <c r="X1249" s="2748"/>
      <c r="Y1249" s="2748"/>
      <c r="Z1249" s="2748"/>
      <c r="AA1249" s="2748"/>
      <c r="AB1249" s="2748"/>
      <c r="AC1249" s="2748"/>
      <c r="AD1249" s="2748"/>
      <c r="AE1249" s="2748"/>
      <c r="AF1249" s="2748"/>
      <c r="AG1249" s="2748"/>
      <c r="AH1249" s="2748"/>
      <c r="AI1249" s="2748"/>
      <c r="AK1249" s="2748"/>
      <c r="AL1249" s="2748"/>
      <c r="AN1249" s="2748"/>
      <c r="AO1249" s="2748"/>
      <c r="AP1249" s="2748"/>
    </row>
    <row r="1250" spans="2:42" ht="18" customHeight="1">
      <c r="B1250" s="2728"/>
      <c r="C1250" s="2728"/>
      <c r="D1250" s="2728"/>
      <c r="E1250" s="2728"/>
      <c r="G1250" s="2512"/>
      <c r="I1250" s="2748"/>
      <c r="J1250" s="2728"/>
      <c r="L1250" s="2728"/>
      <c r="M1250" s="2748"/>
      <c r="N1250" s="2728"/>
      <c r="O1250" s="2728"/>
      <c r="P1250" s="2728"/>
      <c r="Q1250" s="2748"/>
      <c r="R1250" s="2748"/>
      <c r="S1250" s="2748"/>
      <c r="T1250" s="2748"/>
      <c r="U1250" s="2748"/>
      <c r="V1250" s="2748"/>
      <c r="W1250" s="2748"/>
      <c r="X1250" s="2748"/>
      <c r="Y1250" s="2748"/>
      <c r="Z1250" s="2748"/>
      <c r="AA1250" s="2748"/>
      <c r="AB1250" s="2748"/>
      <c r="AC1250" s="2748"/>
      <c r="AD1250" s="2748"/>
      <c r="AE1250" s="2748"/>
      <c r="AF1250" s="2748"/>
      <c r="AG1250" s="2748"/>
      <c r="AH1250" s="2748"/>
      <c r="AI1250" s="2748"/>
      <c r="AK1250" s="2748"/>
      <c r="AL1250" s="2748"/>
      <c r="AN1250" s="2748"/>
      <c r="AO1250" s="2748"/>
      <c r="AP1250" s="2748"/>
    </row>
    <row r="1251" spans="2:42" ht="18" customHeight="1">
      <c r="B1251" s="2728"/>
      <c r="C1251" s="2728"/>
      <c r="D1251" s="2728"/>
      <c r="E1251" s="2728"/>
      <c r="G1251" s="2512"/>
      <c r="I1251" s="2748"/>
      <c r="J1251" s="2728"/>
      <c r="L1251" s="2728"/>
      <c r="M1251" s="2748"/>
      <c r="N1251" s="2728"/>
      <c r="O1251" s="2728"/>
      <c r="P1251" s="2728"/>
      <c r="Q1251" s="2748"/>
      <c r="R1251" s="2748"/>
      <c r="S1251" s="2748"/>
      <c r="T1251" s="2748"/>
      <c r="U1251" s="2748"/>
      <c r="V1251" s="2748"/>
      <c r="W1251" s="2748"/>
      <c r="X1251" s="2748"/>
      <c r="Y1251" s="2748"/>
      <c r="Z1251" s="2748"/>
      <c r="AA1251" s="2748"/>
      <c r="AB1251" s="2748"/>
      <c r="AC1251" s="2748"/>
      <c r="AD1251" s="2748"/>
      <c r="AE1251" s="2748"/>
      <c r="AF1251" s="2748"/>
      <c r="AG1251" s="2748"/>
      <c r="AH1251" s="2748"/>
      <c r="AI1251" s="2748"/>
      <c r="AK1251" s="2748"/>
      <c r="AL1251" s="2748"/>
      <c r="AN1251" s="2748"/>
      <c r="AO1251" s="2748"/>
      <c r="AP1251" s="2748"/>
    </row>
    <row r="1252" spans="2:42" ht="18" customHeight="1">
      <c r="B1252" s="2728"/>
      <c r="C1252" s="2728"/>
      <c r="D1252" s="2728"/>
      <c r="E1252" s="2728"/>
      <c r="G1252" s="2512"/>
      <c r="I1252" s="2748"/>
      <c r="J1252" s="2728"/>
      <c r="L1252" s="2728"/>
      <c r="M1252" s="2748"/>
      <c r="N1252" s="2728"/>
      <c r="O1252" s="2728"/>
      <c r="P1252" s="2728"/>
      <c r="Q1252" s="2748"/>
      <c r="R1252" s="2748"/>
      <c r="S1252" s="2748"/>
      <c r="T1252" s="2748"/>
      <c r="U1252" s="2748"/>
      <c r="V1252" s="2748"/>
      <c r="W1252" s="2748"/>
      <c r="X1252" s="2748"/>
      <c r="Y1252" s="2748"/>
      <c r="Z1252" s="2748"/>
      <c r="AA1252" s="2748"/>
      <c r="AB1252" s="2748"/>
      <c r="AC1252" s="2748"/>
      <c r="AD1252" s="2748"/>
      <c r="AE1252" s="2748"/>
      <c r="AF1252" s="2748"/>
      <c r="AG1252" s="2748"/>
      <c r="AH1252" s="2748"/>
      <c r="AI1252" s="2748"/>
      <c r="AK1252" s="2748"/>
      <c r="AL1252" s="2748"/>
      <c r="AN1252" s="2748"/>
      <c r="AO1252" s="2748"/>
      <c r="AP1252" s="2748"/>
    </row>
    <row r="1253" spans="2:42" ht="18" customHeight="1">
      <c r="B1253" s="2728"/>
      <c r="C1253" s="2728"/>
      <c r="D1253" s="2728"/>
      <c r="E1253" s="2728"/>
      <c r="G1253" s="2512"/>
      <c r="I1253" s="2748"/>
      <c r="J1253" s="2728"/>
      <c r="L1253" s="2728"/>
      <c r="M1253" s="2748"/>
      <c r="N1253" s="2728"/>
      <c r="O1253" s="2728"/>
      <c r="P1253" s="2728"/>
      <c r="Q1253" s="2748"/>
      <c r="R1253" s="2748"/>
      <c r="S1253" s="2748"/>
      <c r="T1253" s="2748"/>
      <c r="U1253" s="2748"/>
      <c r="V1253" s="2748"/>
      <c r="W1253" s="2748"/>
      <c r="X1253" s="2748"/>
      <c r="Y1253" s="2748"/>
      <c r="Z1253" s="2748"/>
      <c r="AA1253" s="2748"/>
      <c r="AB1253" s="2748"/>
      <c r="AC1253" s="2748"/>
      <c r="AD1253" s="2748"/>
      <c r="AE1253" s="2748"/>
      <c r="AF1253" s="2748"/>
      <c r="AG1253" s="2748"/>
      <c r="AH1253" s="2748"/>
      <c r="AI1253" s="2748"/>
      <c r="AK1253" s="2748"/>
      <c r="AL1253" s="2748"/>
      <c r="AN1253" s="2748"/>
      <c r="AO1253" s="2748"/>
      <c r="AP1253" s="2748"/>
    </row>
    <row r="1254" spans="2:42" ht="18" customHeight="1">
      <c r="B1254" s="2728"/>
      <c r="C1254" s="2728"/>
      <c r="D1254" s="2728"/>
      <c r="E1254" s="2728"/>
      <c r="G1254" s="2512"/>
      <c r="I1254" s="2748"/>
      <c r="J1254" s="2728"/>
      <c r="L1254" s="2728"/>
      <c r="M1254" s="2748"/>
      <c r="N1254" s="2728"/>
      <c r="O1254" s="2728"/>
      <c r="P1254" s="2728"/>
      <c r="Q1254" s="2748"/>
      <c r="R1254" s="2748"/>
      <c r="S1254" s="2748"/>
      <c r="T1254" s="2748"/>
      <c r="U1254" s="2748"/>
      <c r="V1254" s="2748"/>
      <c r="W1254" s="2748"/>
      <c r="X1254" s="2748"/>
      <c r="Y1254" s="2748"/>
      <c r="Z1254" s="2748"/>
      <c r="AA1254" s="2748"/>
      <c r="AB1254" s="2748"/>
      <c r="AC1254" s="2748"/>
      <c r="AD1254" s="2748"/>
      <c r="AE1254" s="2748"/>
      <c r="AF1254" s="2748"/>
      <c r="AG1254" s="2748"/>
      <c r="AH1254" s="2748"/>
      <c r="AI1254" s="2748"/>
      <c r="AK1254" s="2748"/>
      <c r="AL1254" s="2748"/>
      <c r="AN1254" s="2748"/>
      <c r="AO1254" s="2748"/>
      <c r="AP1254" s="2748"/>
    </row>
    <row r="1255" spans="2:42" ht="18" customHeight="1">
      <c r="B1255" s="2728"/>
      <c r="C1255" s="2728"/>
      <c r="D1255" s="2728"/>
      <c r="E1255" s="2728"/>
      <c r="G1255" s="2512"/>
      <c r="I1255" s="2748"/>
      <c r="J1255" s="2728"/>
      <c r="L1255" s="2728"/>
      <c r="M1255" s="2748"/>
      <c r="N1255" s="2728"/>
      <c r="O1255" s="2728"/>
      <c r="P1255" s="2728"/>
      <c r="Q1255" s="2748"/>
      <c r="R1255" s="2748"/>
      <c r="S1255" s="2748"/>
      <c r="T1255" s="2748"/>
      <c r="U1255" s="2748"/>
      <c r="V1255" s="2748"/>
      <c r="W1255" s="2748"/>
      <c r="X1255" s="2748"/>
      <c r="Y1255" s="2748"/>
      <c r="Z1255" s="2748"/>
      <c r="AA1255" s="2748"/>
      <c r="AB1255" s="2748"/>
      <c r="AC1255" s="2748"/>
      <c r="AD1255" s="2748"/>
      <c r="AE1255" s="2748"/>
      <c r="AF1255" s="2748"/>
      <c r="AG1255" s="2748"/>
      <c r="AH1255" s="2748"/>
      <c r="AI1255" s="2748"/>
      <c r="AK1255" s="2748"/>
      <c r="AL1255" s="2748"/>
      <c r="AN1255" s="2748"/>
      <c r="AO1255" s="2748"/>
      <c r="AP1255" s="2748"/>
    </row>
    <row r="1256" spans="2:42" ht="18" customHeight="1">
      <c r="B1256" s="2728"/>
      <c r="C1256" s="2728"/>
      <c r="D1256" s="2728"/>
      <c r="E1256" s="2728"/>
      <c r="G1256" s="2512"/>
      <c r="I1256" s="2748"/>
      <c r="J1256" s="2728"/>
      <c r="L1256" s="2728"/>
      <c r="M1256" s="2748"/>
      <c r="N1256" s="2728"/>
      <c r="O1256" s="2728"/>
      <c r="P1256" s="2728"/>
      <c r="Q1256" s="2748"/>
      <c r="R1256" s="2748"/>
      <c r="S1256" s="2748"/>
      <c r="T1256" s="2748"/>
      <c r="U1256" s="2748"/>
      <c r="V1256" s="2748"/>
      <c r="W1256" s="2748"/>
      <c r="X1256" s="2748"/>
      <c r="Y1256" s="2748"/>
      <c r="Z1256" s="2748"/>
      <c r="AA1256" s="2748"/>
      <c r="AB1256" s="2748"/>
      <c r="AC1256" s="2748"/>
      <c r="AD1256" s="2748"/>
      <c r="AE1256" s="2748"/>
      <c r="AF1256" s="2748"/>
      <c r="AG1256" s="2748"/>
      <c r="AH1256" s="2748"/>
      <c r="AI1256" s="2748"/>
      <c r="AK1256" s="2748"/>
      <c r="AL1256" s="2748"/>
      <c r="AN1256" s="2748"/>
      <c r="AO1256" s="2748"/>
      <c r="AP1256" s="2748"/>
    </row>
    <row r="1257" spans="2:42" ht="18" customHeight="1">
      <c r="B1257" s="2728"/>
      <c r="C1257" s="2728"/>
      <c r="D1257" s="2728"/>
      <c r="E1257" s="2728"/>
      <c r="G1257" s="2512"/>
      <c r="I1257" s="2748"/>
      <c r="J1257" s="2728"/>
      <c r="L1257" s="2728"/>
      <c r="M1257" s="2748"/>
      <c r="N1257" s="2728"/>
      <c r="O1257" s="2728"/>
      <c r="P1257" s="2728"/>
      <c r="Q1257" s="2748"/>
      <c r="R1257" s="2748"/>
      <c r="S1257" s="2748"/>
      <c r="T1257" s="2748"/>
      <c r="U1257" s="2748"/>
      <c r="V1257" s="2748"/>
      <c r="W1257" s="2748"/>
      <c r="X1257" s="2748"/>
      <c r="Y1257" s="2748"/>
      <c r="Z1257" s="2748"/>
      <c r="AA1257" s="2748"/>
      <c r="AB1257" s="2748"/>
      <c r="AC1257" s="2748"/>
      <c r="AD1257" s="2748"/>
      <c r="AE1257" s="2748"/>
      <c r="AF1257" s="2748"/>
      <c r="AG1257" s="2748"/>
      <c r="AH1257" s="2748"/>
      <c r="AI1257" s="2748"/>
      <c r="AK1257" s="2748"/>
      <c r="AL1257" s="2748"/>
      <c r="AN1257" s="2748"/>
      <c r="AO1257" s="2748"/>
      <c r="AP1257" s="2748"/>
    </row>
    <row r="1258" spans="2:42" ht="18" customHeight="1">
      <c r="B1258" s="2728"/>
      <c r="C1258" s="2728"/>
      <c r="D1258" s="2728"/>
      <c r="E1258" s="2728"/>
      <c r="G1258" s="2512"/>
      <c r="I1258" s="2748"/>
      <c r="J1258" s="2728"/>
      <c r="L1258" s="2728"/>
      <c r="M1258" s="2748"/>
      <c r="N1258" s="2728"/>
      <c r="O1258" s="2728"/>
      <c r="P1258" s="2728"/>
      <c r="Q1258" s="2748"/>
      <c r="R1258" s="2748"/>
      <c r="S1258" s="2748"/>
      <c r="T1258" s="2748"/>
      <c r="U1258" s="2748"/>
      <c r="V1258" s="2748"/>
      <c r="W1258" s="2748"/>
      <c r="X1258" s="2748"/>
      <c r="Y1258" s="2748"/>
      <c r="Z1258" s="2748"/>
      <c r="AA1258" s="2748"/>
      <c r="AB1258" s="2748"/>
      <c r="AC1258" s="2748"/>
      <c r="AD1258" s="2748"/>
      <c r="AE1258" s="2748"/>
      <c r="AF1258" s="2748"/>
      <c r="AG1258" s="2748"/>
      <c r="AH1258" s="2748"/>
      <c r="AI1258" s="2748"/>
      <c r="AK1258" s="2748"/>
      <c r="AL1258" s="2748"/>
      <c r="AN1258" s="2748"/>
      <c r="AO1258" s="2748"/>
      <c r="AP1258" s="2748"/>
    </row>
    <row r="1259" spans="2:42" ht="18" customHeight="1">
      <c r="B1259" s="2728"/>
      <c r="C1259" s="2728"/>
      <c r="D1259" s="2728"/>
      <c r="E1259" s="2728"/>
      <c r="G1259" s="2512"/>
      <c r="I1259" s="2748"/>
      <c r="J1259" s="2728"/>
      <c r="L1259" s="2728"/>
      <c r="M1259" s="2748"/>
      <c r="N1259" s="2728"/>
      <c r="O1259" s="2728"/>
      <c r="P1259" s="2728"/>
      <c r="Q1259" s="2748"/>
      <c r="R1259" s="2748"/>
      <c r="S1259" s="2748"/>
      <c r="T1259" s="2748"/>
      <c r="U1259" s="2748"/>
      <c r="V1259" s="2748"/>
      <c r="W1259" s="2748"/>
      <c r="X1259" s="2748"/>
      <c r="Y1259" s="2748"/>
      <c r="Z1259" s="2748"/>
      <c r="AA1259" s="2748"/>
      <c r="AB1259" s="2748"/>
      <c r="AC1259" s="2748"/>
      <c r="AD1259" s="2748"/>
      <c r="AE1259" s="2748"/>
      <c r="AF1259" s="2748"/>
      <c r="AG1259" s="2748"/>
      <c r="AH1259" s="2748"/>
      <c r="AI1259" s="2748"/>
      <c r="AK1259" s="2748"/>
      <c r="AL1259" s="2748"/>
      <c r="AN1259" s="2748"/>
      <c r="AO1259" s="2748"/>
      <c r="AP1259" s="2748"/>
    </row>
    <row r="1260" spans="2:42" ht="18" customHeight="1">
      <c r="B1260" s="2728"/>
      <c r="C1260" s="2728"/>
      <c r="D1260" s="2728"/>
      <c r="E1260" s="2728"/>
      <c r="G1260" s="2512"/>
      <c r="I1260" s="2748"/>
      <c r="J1260" s="2728"/>
      <c r="L1260" s="2728"/>
      <c r="M1260" s="2748"/>
      <c r="N1260" s="2728"/>
      <c r="O1260" s="2728"/>
      <c r="P1260" s="2728"/>
      <c r="Q1260" s="2748"/>
      <c r="R1260" s="2748"/>
      <c r="S1260" s="2748"/>
      <c r="T1260" s="2748"/>
      <c r="U1260" s="2748"/>
      <c r="V1260" s="2748"/>
      <c r="W1260" s="2748"/>
      <c r="X1260" s="2748"/>
      <c r="Y1260" s="2748"/>
      <c r="Z1260" s="2748"/>
      <c r="AA1260" s="2748"/>
      <c r="AB1260" s="2748"/>
      <c r="AC1260" s="2748"/>
      <c r="AD1260" s="2748"/>
      <c r="AE1260" s="2748"/>
      <c r="AF1260" s="2748"/>
      <c r="AG1260" s="2748"/>
      <c r="AH1260" s="2748"/>
      <c r="AI1260" s="2748"/>
      <c r="AK1260" s="2748"/>
      <c r="AL1260" s="2748"/>
      <c r="AN1260" s="2748"/>
      <c r="AO1260" s="2748"/>
      <c r="AP1260" s="2748"/>
    </row>
    <row r="1261" spans="2:42" ht="18" customHeight="1">
      <c r="B1261" s="2728"/>
      <c r="C1261" s="2728"/>
      <c r="D1261" s="2728"/>
      <c r="E1261" s="2728"/>
      <c r="G1261" s="2512"/>
      <c r="I1261" s="2748"/>
      <c r="J1261" s="2728"/>
      <c r="L1261" s="2728"/>
      <c r="M1261" s="2748"/>
      <c r="N1261" s="2728"/>
      <c r="O1261" s="2728"/>
      <c r="P1261" s="2728"/>
      <c r="Q1261" s="2748"/>
      <c r="R1261" s="2748"/>
      <c r="S1261" s="2748"/>
      <c r="T1261" s="2748"/>
      <c r="U1261" s="2748"/>
      <c r="V1261" s="2748"/>
      <c r="W1261" s="2748"/>
      <c r="X1261" s="2748"/>
      <c r="Y1261" s="2748"/>
      <c r="Z1261" s="2748"/>
      <c r="AA1261" s="2748"/>
      <c r="AB1261" s="2748"/>
      <c r="AC1261" s="2748"/>
      <c r="AD1261" s="2748"/>
      <c r="AE1261" s="2748"/>
      <c r="AF1261" s="2748"/>
      <c r="AG1261" s="2748"/>
      <c r="AH1261" s="2748"/>
      <c r="AI1261" s="2748"/>
      <c r="AK1261" s="2748"/>
      <c r="AL1261" s="2748"/>
      <c r="AN1261" s="2748"/>
      <c r="AO1261" s="2748"/>
      <c r="AP1261" s="2748"/>
    </row>
    <row r="1262" spans="2:42" ht="18" customHeight="1">
      <c r="B1262" s="2728"/>
      <c r="C1262" s="2728"/>
      <c r="D1262" s="2728"/>
      <c r="E1262" s="2728"/>
      <c r="G1262" s="2512"/>
      <c r="I1262" s="2748"/>
      <c r="J1262" s="2728"/>
      <c r="L1262" s="2728"/>
      <c r="M1262" s="2748"/>
      <c r="N1262" s="2728"/>
      <c r="O1262" s="2728"/>
      <c r="P1262" s="2728"/>
      <c r="Q1262" s="2748"/>
      <c r="R1262" s="2748"/>
      <c r="S1262" s="2748"/>
      <c r="T1262" s="2748"/>
      <c r="U1262" s="2748"/>
      <c r="V1262" s="2748"/>
      <c r="W1262" s="2748"/>
      <c r="X1262" s="2748"/>
      <c r="Y1262" s="2748"/>
      <c r="Z1262" s="2748"/>
      <c r="AA1262" s="2748"/>
      <c r="AB1262" s="2748"/>
      <c r="AC1262" s="2748"/>
      <c r="AD1262" s="2748"/>
      <c r="AE1262" s="2748"/>
      <c r="AF1262" s="2748"/>
      <c r="AG1262" s="2748"/>
      <c r="AH1262" s="2748"/>
      <c r="AI1262" s="2748"/>
      <c r="AK1262" s="2748"/>
      <c r="AL1262" s="2748"/>
      <c r="AN1262" s="2748"/>
      <c r="AO1262" s="2748"/>
      <c r="AP1262" s="2748"/>
    </row>
    <row r="1263" spans="2:42" ht="18" customHeight="1">
      <c r="B1263" s="2728"/>
      <c r="C1263" s="2728"/>
      <c r="D1263" s="2728"/>
      <c r="E1263" s="2728"/>
      <c r="G1263" s="2512"/>
      <c r="I1263" s="2748"/>
      <c r="J1263" s="2728"/>
      <c r="L1263" s="2728"/>
      <c r="M1263" s="2748"/>
      <c r="N1263" s="2728"/>
      <c r="O1263" s="2728"/>
      <c r="P1263" s="2728"/>
      <c r="Q1263" s="2748"/>
      <c r="R1263" s="2748"/>
      <c r="S1263" s="2748"/>
      <c r="T1263" s="2748"/>
      <c r="U1263" s="2748"/>
      <c r="V1263" s="2748"/>
      <c r="W1263" s="2748"/>
      <c r="X1263" s="2748"/>
      <c r="Y1263" s="2748"/>
      <c r="Z1263" s="2748"/>
      <c r="AA1263" s="2748"/>
      <c r="AB1263" s="2748"/>
      <c r="AC1263" s="2748"/>
      <c r="AD1263" s="2748"/>
      <c r="AE1263" s="2748"/>
      <c r="AF1263" s="2748"/>
      <c r="AG1263" s="2748"/>
      <c r="AH1263" s="2748"/>
      <c r="AI1263" s="2748"/>
      <c r="AK1263" s="2748"/>
      <c r="AL1263" s="2748"/>
      <c r="AN1263" s="2748"/>
      <c r="AO1263" s="2748"/>
      <c r="AP1263" s="2748"/>
    </row>
    <row r="1264" spans="2:42" ht="18" customHeight="1">
      <c r="B1264" s="2728"/>
      <c r="C1264" s="2728"/>
      <c r="D1264" s="2728"/>
      <c r="E1264" s="2728"/>
      <c r="G1264" s="2512"/>
      <c r="I1264" s="2748"/>
      <c r="J1264" s="2728"/>
      <c r="L1264" s="2728"/>
      <c r="M1264" s="2748"/>
      <c r="N1264" s="2728"/>
      <c r="O1264" s="2728"/>
      <c r="P1264" s="2728"/>
      <c r="Q1264" s="2748"/>
      <c r="R1264" s="2748"/>
      <c r="S1264" s="2748"/>
      <c r="T1264" s="2748"/>
      <c r="U1264" s="2748"/>
      <c r="V1264" s="2748"/>
      <c r="W1264" s="2748"/>
      <c r="X1264" s="2748"/>
      <c r="Y1264" s="2748"/>
      <c r="Z1264" s="2748"/>
      <c r="AA1264" s="2748"/>
      <c r="AB1264" s="2748"/>
      <c r="AC1264" s="2748"/>
      <c r="AD1264" s="2748"/>
      <c r="AE1264" s="2748"/>
      <c r="AF1264" s="2748"/>
      <c r="AG1264" s="2748"/>
      <c r="AH1264" s="2748"/>
      <c r="AI1264" s="2748"/>
      <c r="AK1264" s="2748"/>
      <c r="AL1264" s="2748"/>
      <c r="AN1264" s="2748"/>
      <c r="AO1264" s="2748"/>
      <c r="AP1264" s="2748"/>
    </row>
    <row r="1265" spans="2:42" ht="18" customHeight="1">
      <c r="B1265" s="2728"/>
      <c r="C1265" s="2728"/>
      <c r="D1265" s="2728"/>
      <c r="E1265" s="2728"/>
      <c r="G1265" s="2512"/>
      <c r="I1265" s="2748"/>
      <c r="J1265" s="2728"/>
      <c r="L1265" s="2728"/>
      <c r="M1265" s="2748"/>
      <c r="N1265" s="2728"/>
      <c r="O1265" s="2728"/>
      <c r="P1265" s="2728"/>
      <c r="Q1265" s="2748"/>
      <c r="R1265" s="2748"/>
      <c r="S1265" s="2748"/>
      <c r="T1265" s="2748"/>
      <c r="U1265" s="2748"/>
      <c r="V1265" s="2748"/>
      <c r="W1265" s="2748"/>
      <c r="X1265" s="2748"/>
      <c r="Y1265" s="2748"/>
      <c r="Z1265" s="2748"/>
      <c r="AA1265" s="2748"/>
      <c r="AB1265" s="2748"/>
      <c r="AC1265" s="2748"/>
      <c r="AD1265" s="2748"/>
      <c r="AE1265" s="2748"/>
      <c r="AF1265" s="2748"/>
      <c r="AG1265" s="2748"/>
      <c r="AH1265" s="2748"/>
      <c r="AI1265" s="2748"/>
      <c r="AK1265" s="2748"/>
      <c r="AL1265" s="2748"/>
      <c r="AN1265" s="2748"/>
      <c r="AO1265" s="2748"/>
      <c r="AP1265" s="2748"/>
    </row>
    <row r="1266" spans="2:42" ht="18" customHeight="1">
      <c r="B1266" s="2728"/>
      <c r="C1266" s="2728"/>
      <c r="D1266" s="2728"/>
      <c r="E1266" s="2728"/>
      <c r="G1266" s="2512"/>
      <c r="I1266" s="2748"/>
      <c r="J1266" s="2728"/>
      <c r="L1266" s="2728"/>
      <c r="M1266" s="2748"/>
      <c r="N1266" s="2728"/>
      <c r="O1266" s="2728"/>
      <c r="P1266" s="2728"/>
      <c r="Q1266" s="2748"/>
      <c r="R1266" s="2748"/>
      <c r="S1266" s="2748"/>
      <c r="T1266" s="2748"/>
      <c r="U1266" s="2748"/>
      <c r="V1266" s="2748"/>
      <c r="W1266" s="2748"/>
      <c r="X1266" s="2748"/>
      <c r="Y1266" s="2748"/>
      <c r="Z1266" s="2748"/>
      <c r="AA1266" s="2748"/>
      <c r="AB1266" s="2748"/>
      <c r="AC1266" s="2748"/>
      <c r="AD1266" s="2748"/>
      <c r="AE1266" s="2748"/>
      <c r="AF1266" s="2748"/>
      <c r="AG1266" s="2748"/>
      <c r="AH1266" s="2748"/>
      <c r="AI1266" s="2748"/>
      <c r="AK1266" s="2748"/>
      <c r="AL1266" s="2748"/>
      <c r="AN1266" s="2748"/>
      <c r="AO1266" s="2748"/>
      <c r="AP1266" s="2748"/>
    </row>
    <row r="1267" spans="2:42" ht="18" customHeight="1">
      <c r="B1267" s="2728"/>
      <c r="C1267" s="2728"/>
      <c r="D1267" s="2728"/>
      <c r="E1267" s="2728"/>
      <c r="G1267" s="2512"/>
      <c r="I1267" s="2748"/>
      <c r="J1267" s="2728"/>
      <c r="L1267" s="2728"/>
      <c r="M1267" s="2748"/>
      <c r="N1267" s="2728"/>
      <c r="O1267" s="2728"/>
      <c r="P1267" s="2728"/>
      <c r="Q1267" s="2748"/>
      <c r="R1267" s="2748"/>
      <c r="S1267" s="2748"/>
      <c r="T1267" s="2748"/>
      <c r="U1267" s="2748"/>
      <c r="V1267" s="2748"/>
      <c r="W1267" s="2748"/>
      <c r="X1267" s="2748"/>
      <c r="Y1267" s="2748"/>
      <c r="Z1267" s="2748"/>
      <c r="AA1267" s="2748"/>
      <c r="AB1267" s="2748"/>
      <c r="AC1267" s="2748"/>
      <c r="AD1267" s="2748"/>
      <c r="AE1267" s="2748"/>
      <c r="AF1267" s="2748"/>
      <c r="AG1267" s="2748"/>
      <c r="AH1267" s="2748"/>
      <c r="AI1267" s="2748"/>
      <c r="AK1267" s="2748"/>
      <c r="AL1267" s="2748"/>
      <c r="AN1267" s="2748"/>
      <c r="AO1267" s="2748"/>
      <c r="AP1267" s="2748"/>
    </row>
    <row r="1268" spans="2:42" ht="18" customHeight="1">
      <c r="B1268" s="2728"/>
      <c r="C1268" s="2728"/>
      <c r="D1268" s="2728"/>
      <c r="E1268" s="2728"/>
      <c r="G1268" s="2512"/>
      <c r="I1268" s="2748"/>
      <c r="J1268" s="2728"/>
      <c r="L1268" s="2728"/>
      <c r="M1268" s="2748"/>
      <c r="N1268" s="2728"/>
      <c r="O1268" s="2728"/>
      <c r="P1268" s="2728"/>
      <c r="Q1268" s="2748"/>
      <c r="R1268" s="2748"/>
      <c r="S1268" s="2748"/>
      <c r="T1268" s="2748"/>
      <c r="U1268" s="2748"/>
      <c r="V1268" s="2748"/>
      <c r="W1268" s="2748"/>
      <c r="X1268" s="2748"/>
      <c r="Y1268" s="2748"/>
      <c r="Z1268" s="2748"/>
      <c r="AA1268" s="2748"/>
      <c r="AB1268" s="2748"/>
      <c r="AC1268" s="2748"/>
      <c r="AD1268" s="2748"/>
      <c r="AE1268" s="2748"/>
      <c r="AF1268" s="2748"/>
      <c r="AG1268" s="2748"/>
      <c r="AH1268" s="2748"/>
      <c r="AI1268" s="2748"/>
      <c r="AK1268" s="2748"/>
      <c r="AL1268" s="2748"/>
      <c r="AN1268" s="2748"/>
      <c r="AO1268" s="2748"/>
      <c r="AP1268" s="2748"/>
    </row>
    <row r="1269" spans="2:42" ht="18" customHeight="1">
      <c r="B1269" s="2728"/>
      <c r="C1269" s="2728"/>
      <c r="D1269" s="2728"/>
      <c r="E1269" s="2728"/>
      <c r="G1269" s="2512"/>
      <c r="I1269" s="2748"/>
      <c r="J1269" s="2728"/>
      <c r="L1269" s="2728"/>
      <c r="M1269" s="2748"/>
      <c r="N1269" s="2728"/>
      <c r="O1269" s="2728"/>
      <c r="P1269" s="2728"/>
      <c r="Q1269" s="2748"/>
      <c r="R1269" s="2748"/>
      <c r="S1269" s="2748"/>
      <c r="T1269" s="2748"/>
      <c r="U1269" s="2748"/>
      <c r="V1269" s="2748"/>
      <c r="W1269" s="2748"/>
      <c r="X1269" s="2748"/>
      <c r="Y1269" s="2748"/>
      <c r="Z1269" s="2748"/>
      <c r="AA1269" s="2748"/>
      <c r="AB1269" s="2748"/>
      <c r="AC1269" s="2748"/>
      <c r="AD1269" s="2748"/>
      <c r="AE1269" s="2748"/>
      <c r="AF1269" s="2748"/>
      <c r="AG1269" s="2748"/>
      <c r="AH1269" s="2748"/>
      <c r="AI1269" s="2748"/>
      <c r="AK1269" s="2748"/>
      <c r="AL1269" s="2748"/>
      <c r="AN1269" s="2748"/>
      <c r="AO1269" s="2748"/>
      <c r="AP1269" s="2748"/>
    </row>
    <row r="1270" spans="2:42" ht="18" customHeight="1">
      <c r="B1270" s="2728"/>
      <c r="C1270" s="2728"/>
      <c r="D1270" s="2728"/>
      <c r="E1270" s="2728"/>
      <c r="G1270" s="2512"/>
      <c r="I1270" s="2748"/>
      <c r="J1270" s="2728"/>
      <c r="L1270" s="2728"/>
      <c r="M1270" s="2748"/>
      <c r="N1270" s="2728"/>
      <c r="O1270" s="2728"/>
      <c r="P1270" s="2728"/>
      <c r="Q1270" s="2748"/>
      <c r="R1270" s="2748"/>
      <c r="S1270" s="2748"/>
      <c r="T1270" s="2748"/>
      <c r="U1270" s="2748"/>
      <c r="V1270" s="2748"/>
      <c r="W1270" s="2748"/>
      <c r="X1270" s="2748"/>
      <c r="Y1270" s="2748"/>
      <c r="Z1270" s="2748"/>
      <c r="AA1270" s="2748"/>
      <c r="AB1270" s="2748"/>
      <c r="AC1270" s="2748"/>
      <c r="AD1270" s="2748"/>
      <c r="AE1270" s="2748"/>
      <c r="AF1270" s="2748"/>
      <c r="AG1270" s="2748"/>
      <c r="AH1270" s="2748"/>
      <c r="AI1270" s="2748"/>
      <c r="AK1270" s="2748"/>
      <c r="AL1270" s="2748"/>
      <c r="AN1270" s="2748"/>
      <c r="AO1270" s="2748"/>
      <c r="AP1270" s="2748"/>
    </row>
    <row r="1271" spans="2:42" ht="18" customHeight="1">
      <c r="B1271" s="2728"/>
      <c r="C1271" s="2728"/>
      <c r="D1271" s="2728"/>
      <c r="E1271" s="2728"/>
      <c r="G1271" s="2512"/>
      <c r="I1271" s="2748"/>
      <c r="J1271" s="2728"/>
      <c r="L1271" s="2728"/>
      <c r="M1271" s="2748"/>
      <c r="N1271" s="2728"/>
      <c r="O1271" s="2728"/>
      <c r="P1271" s="2728"/>
      <c r="Q1271" s="2748"/>
      <c r="R1271" s="2748"/>
      <c r="S1271" s="2748"/>
      <c r="T1271" s="2748"/>
      <c r="U1271" s="2748"/>
      <c r="V1271" s="2748"/>
      <c r="W1271" s="2748"/>
      <c r="X1271" s="2748"/>
      <c r="Y1271" s="2748"/>
      <c r="Z1271" s="2748"/>
      <c r="AA1271" s="2748"/>
      <c r="AB1271" s="2748"/>
      <c r="AC1271" s="2748"/>
      <c r="AD1271" s="2748"/>
      <c r="AE1271" s="2748"/>
      <c r="AF1271" s="2748"/>
      <c r="AG1271" s="2748"/>
      <c r="AH1271" s="2748"/>
      <c r="AI1271" s="2748"/>
      <c r="AK1271" s="2748"/>
      <c r="AL1271" s="2748"/>
      <c r="AN1271" s="2748"/>
      <c r="AO1271" s="2748"/>
      <c r="AP1271" s="2748"/>
    </row>
    <row r="1272" spans="2:42" ht="18" customHeight="1">
      <c r="B1272" s="2728"/>
      <c r="C1272" s="2728"/>
      <c r="D1272" s="2728"/>
      <c r="E1272" s="2728"/>
      <c r="G1272" s="2512"/>
      <c r="I1272" s="2748"/>
      <c r="J1272" s="2728"/>
      <c r="L1272" s="2728"/>
      <c r="M1272" s="2748"/>
      <c r="N1272" s="2728"/>
      <c r="O1272" s="2728"/>
      <c r="P1272" s="2728"/>
      <c r="Q1272" s="2748"/>
      <c r="R1272" s="2748"/>
      <c r="S1272" s="2748"/>
      <c r="T1272" s="2748"/>
      <c r="U1272" s="2748"/>
      <c r="V1272" s="2748"/>
      <c r="W1272" s="2748"/>
      <c r="X1272" s="2748"/>
      <c r="Y1272" s="2748"/>
      <c r="Z1272" s="2748"/>
      <c r="AA1272" s="2748"/>
      <c r="AB1272" s="2748"/>
      <c r="AC1272" s="2748"/>
      <c r="AD1272" s="2748"/>
      <c r="AE1272" s="2748"/>
      <c r="AF1272" s="2748"/>
      <c r="AG1272" s="2748"/>
      <c r="AH1272" s="2748"/>
      <c r="AI1272" s="2748"/>
      <c r="AK1272" s="2748"/>
      <c r="AL1272" s="2748"/>
      <c r="AN1272" s="2748"/>
      <c r="AO1272" s="2748"/>
      <c r="AP1272" s="2748"/>
    </row>
    <row r="1273" spans="2:42" ht="18" customHeight="1">
      <c r="B1273" s="2728"/>
      <c r="C1273" s="2728"/>
      <c r="D1273" s="2728"/>
      <c r="E1273" s="2728"/>
      <c r="G1273" s="2512"/>
      <c r="I1273" s="2748"/>
      <c r="J1273" s="2728"/>
      <c r="L1273" s="2728"/>
      <c r="M1273" s="2748"/>
      <c r="N1273" s="2728"/>
      <c r="O1273" s="2728"/>
      <c r="P1273" s="2728"/>
      <c r="Q1273" s="2748"/>
      <c r="R1273" s="2748"/>
      <c r="S1273" s="2748"/>
      <c r="T1273" s="2748"/>
      <c r="U1273" s="2748"/>
      <c r="V1273" s="2748"/>
      <c r="W1273" s="2748"/>
      <c r="X1273" s="2748"/>
      <c r="Y1273" s="2748"/>
      <c r="Z1273" s="2748"/>
      <c r="AA1273" s="2748"/>
      <c r="AB1273" s="2748"/>
      <c r="AC1273" s="2748"/>
      <c r="AD1273" s="2748"/>
      <c r="AE1273" s="2748"/>
      <c r="AF1273" s="2748"/>
      <c r="AG1273" s="2748"/>
      <c r="AH1273" s="2748"/>
      <c r="AI1273" s="2748"/>
      <c r="AK1273" s="2748"/>
      <c r="AL1273" s="2748"/>
      <c r="AN1273" s="2748"/>
      <c r="AO1273" s="2748"/>
      <c r="AP1273" s="2748"/>
    </row>
    <row r="1274" spans="2:42" ht="18" customHeight="1">
      <c r="B1274" s="2728"/>
      <c r="C1274" s="2728"/>
      <c r="D1274" s="2728"/>
      <c r="E1274" s="2728"/>
      <c r="G1274" s="2512"/>
      <c r="I1274" s="2748"/>
      <c r="J1274" s="2728"/>
      <c r="L1274" s="2728"/>
      <c r="M1274" s="2748"/>
      <c r="N1274" s="2728"/>
      <c r="O1274" s="2728"/>
      <c r="P1274" s="2728"/>
      <c r="Q1274" s="2748"/>
      <c r="R1274" s="2748"/>
      <c r="S1274" s="2748"/>
      <c r="T1274" s="2748"/>
      <c r="U1274" s="2748"/>
      <c r="V1274" s="2748"/>
      <c r="W1274" s="2748"/>
      <c r="X1274" s="2748"/>
      <c r="Y1274" s="2748"/>
      <c r="Z1274" s="2748"/>
      <c r="AA1274" s="2748"/>
      <c r="AB1274" s="2748"/>
      <c r="AC1274" s="2748"/>
      <c r="AD1274" s="2748"/>
      <c r="AE1274" s="2748"/>
      <c r="AF1274" s="2748"/>
      <c r="AG1274" s="2748"/>
      <c r="AH1274" s="2748"/>
      <c r="AI1274" s="2748"/>
      <c r="AK1274" s="2748"/>
      <c r="AL1274" s="2748"/>
      <c r="AN1274" s="2748"/>
      <c r="AO1274" s="2748"/>
      <c r="AP1274" s="2748"/>
    </row>
    <row r="1275" spans="2:42" ht="18" customHeight="1">
      <c r="B1275" s="2728"/>
      <c r="C1275" s="2728"/>
      <c r="D1275" s="2728"/>
      <c r="E1275" s="2728"/>
      <c r="G1275" s="2512"/>
      <c r="I1275" s="2748"/>
      <c r="J1275" s="2728"/>
      <c r="L1275" s="2728"/>
      <c r="M1275" s="2748"/>
      <c r="N1275" s="2728"/>
      <c r="O1275" s="2728"/>
      <c r="P1275" s="2728"/>
      <c r="Q1275" s="2748"/>
      <c r="R1275" s="2748"/>
      <c r="S1275" s="2748"/>
      <c r="T1275" s="2748"/>
      <c r="U1275" s="2748"/>
      <c r="V1275" s="2748"/>
      <c r="W1275" s="2748"/>
      <c r="X1275" s="2748"/>
      <c r="Y1275" s="2748"/>
      <c r="Z1275" s="2748"/>
      <c r="AA1275" s="2748"/>
      <c r="AB1275" s="2748"/>
      <c r="AC1275" s="2748"/>
      <c r="AD1275" s="2748"/>
      <c r="AE1275" s="2748"/>
      <c r="AF1275" s="2748"/>
      <c r="AG1275" s="2748"/>
      <c r="AH1275" s="2748"/>
      <c r="AI1275" s="2748"/>
      <c r="AK1275" s="2748"/>
      <c r="AL1275" s="2748"/>
      <c r="AN1275" s="2748"/>
      <c r="AO1275" s="2748"/>
      <c r="AP1275" s="2748"/>
    </row>
    <row r="1276" spans="2:42" ht="18" customHeight="1">
      <c r="B1276" s="2728"/>
      <c r="C1276" s="2728"/>
      <c r="D1276" s="2728"/>
      <c r="E1276" s="2728"/>
      <c r="G1276" s="2512"/>
      <c r="I1276" s="2748"/>
      <c r="J1276" s="2728"/>
      <c r="L1276" s="2728"/>
      <c r="M1276" s="2748"/>
      <c r="N1276" s="2728"/>
      <c r="O1276" s="2728"/>
      <c r="P1276" s="2728"/>
      <c r="Q1276" s="2748"/>
      <c r="R1276" s="2748"/>
      <c r="S1276" s="2748"/>
      <c r="T1276" s="2748"/>
      <c r="U1276" s="2748"/>
      <c r="V1276" s="2748"/>
      <c r="W1276" s="2748"/>
      <c r="X1276" s="2748"/>
      <c r="Y1276" s="2748"/>
      <c r="Z1276" s="2748"/>
      <c r="AA1276" s="2748"/>
      <c r="AB1276" s="2748"/>
      <c r="AC1276" s="2748"/>
      <c r="AD1276" s="2748"/>
      <c r="AE1276" s="2748"/>
      <c r="AF1276" s="2748"/>
      <c r="AG1276" s="2748"/>
      <c r="AH1276" s="2748"/>
      <c r="AI1276" s="2748"/>
      <c r="AK1276" s="2748"/>
      <c r="AL1276" s="2748"/>
      <c r="AN1276" s="2748"/>
      <c r="AO1276" s="2748"/>
      <c r="AP1276" s="2748"/>
    </row>
    <row r="1277" spans="2:42" ht="18" customHeight="1">
      <c r="B1277" s="2728"/>
      <c r="C1277" s="2728"/>
      <c r="D1277" s="2728"/>
      <c r="E1277" s="2728"/>
      <c r="G1277" s="2512"/>
      <c r="I1277" s="2748"/>
      <c r="J1277" s="2728"/>
      <c r="L1277" s="2728"/>
      <c r="M1277" s="2748"/>
      <c r="N1277" s="2728"/>
      <c r="O1277" s="2728"/>
      <c r="P1277" s="2728"/>
      <c r="Q1277" s="2748"/>
      <c r="R1277" s="2748"/>
      <c r="S1277" s="2748"/>
      <c r="T1277" s="2748"/>
      <c r="U1277" s="2748"/>
      <c r="V1277" s="2748"/>
      <c r="W1277" s="2748"/>
      <c r="X1277" s="2748"/>
      <c r="Y1277" s="2748"/>
      <c r="Z1277" s="2748"/>
      <c r="AA1277" s="2748"/>
      <c r="AB1277" s="2748"/>
      <c r="AC1277" s="2748"/>
      <c r="AD1277" s="2748"/>
      <c r="AE1277" s="2748"/>
      <c r="AF1277" s="2748"/>
      <c r="AG1277" s="2748"/>
      <c r="AH1277" s="2748"/>
      <c r="AI1277" s="2748"/>
      <c r="AK1277" s="2748"/>
      <c r="AL1277" s="2748"/>
      <c r="AN1277" s="2748"/>
      <c r="AO1277" s="2748"/>
      <c r="AP1277" s="2748"/>
    </row>
    <row r="1278" spans="2:42" ht="18" customHeight="1">
      <c r="B1278" s="2728"/>
      <c r="C1278" s="2728"/>
      <c r="D1278" s="2728"/>
      <c r="E1278" s="2728"/>
      <c r="G1278" s="2512"/>
      <c r="I1278" s="2748"/>
      <c r="J1278" s="2728"/>
      <c r="L1278" s="2728"/>
      <c r="M1278" s="2748"/>
      <c r="N1278" s="2728"/>
      <c r="O1278" s="2728"/>
      <c r="P1278" s="2728"/>
      <c r="Q1278" s="2748"/>
      <c r="R1278" s="2748"/>
      <c r="S1278" s="2748"/>
      <c r="T1278" s="2748"/>
      <c r="U1278" s="2748"/>
      <c r="V1278" s="2748"/>
      <c r="W1278" s="2748"/>
      <c r="X1278" s="2748"/>
      <c r="Y1278" s="2748"/>
      <c r="Z1278" s="2748"/>
      <c r="AA1278" s="2748"/>
      <c r="AB1278" s="2748"/>
      <c r="AC1278" s="2748"/>
      <c r="AD1278" s="2748"/>
      <c r="AE1278" s="2748"/>
      <c r="AF1278" s="2748"/>
      <c r="AG1278" s="2748"/>
      <c r="AH1278" s="2748"/>
      <c r="AI1278" s="2748"/>
      <c r="AK1278" s="2748"/>
      <c r="AL1278" s="2748"/>
      <c r="AN1278" s="2748"/>
      <c r="AO1278" s="2748"/>
      <c r="AP1278" s="2748"/>
    </row>
    <row r="1279" spans="2:42" ht="18" customHeight="1">
      <c r="B1279" s="2728"/>
      <c r="C1279" s="2728"/>
      <c r="D1279" s="2728"/>
      <c r="E1279" s="2728"/>
      <c r="G1279" s="2512"/>
      <c r="I1279" s="2748"/>
      <c r="J1279" s="2728"/>
      <c r="L1279" s="2728"/>
      <c r="M1279" s="2748"/>
      <c r="N1279" s="2728"/>
      <c r="O1279" s="2728"/>
      <c r="P1279" s="2728"/>
      <c r="Q1279" s="2748"/>
      <c r="R1279" s="2748"/>
      <c r="S1279" s="2748"/>
      <c r="T1279" s="2748"/>
      <c r="U1279" s="2748"/>
      <c r="V1279" s="2748"/>
      <c r="W1279" s="2748"/>
      <c r="X1279" s="2748"/>
      <c r="Y1279" s="2748"/>
      <c r="Z1279" s="2748"/>
      <c r="AA1279" s="2748"/>
      <c r="AB1279" s="2748"/>
      <c r="AC1279" s="2748"/>
      <c r="AD1279" s="2748"/>
      <c r="AE1279" s="2748"/>
      <c r="AF1279" s="2748"/>
      <c r="AG1279" s="2748"/>
      <c r="AH1279" s="2748"/>
      <c r="AI1279" s="2748"/>
      <c r="AK1279" s="2748"/>
      <c r="AL1279" s="2748"/>
      <c r="AN1279" s="2748"/>
      <c r="AO1279" s="2748"/>
      <c r="AP1279" s="2748"/>
    </row>
    <row r="1280" spans="2:42" ht="18" customHeight="1">
      <c r="B1280" s="2728"/>
      <c r="C1280" s="2728"/>
      <c r="D1280" s="2728"/>
      <c r="E1280" s="2728"/>
      <c r="G1280" s="2512"/>
      <c r="I1280" s="2748"/>
      <c r="J1280" s="2728"/>
      <c r="L1280" s="2728"/>
      <c r="M1280" s="2748"/>
      <c r="N1280" s="2728"/>
      <c r="O1280" s="2728"/>
      <c r="P1280" s="2728"/>
      <c r="Q1280" s="2748"/>
      <c r="R1280" s="2748"/>
      <c r="S1280" s="2748"/>
      <c r="T1280" s="2748"/>
      <c r="U1280" s="2748"/>
      <c r="V1280" s="2748"/>
      <c r="W1280" s="2748"/>
      <c r="X1280" s="2748"/>
      <c r="Y1280" s="2748"/>
      <c r="Z1280" s="2748"/>
      <c r="AA1280" s="2748"/>
      <c r="AB1280" s="2748"/>
      <c r="AC1280" s="2748"/>
      <c r="AD1280" s="2748"/>
      <c r="AE1280" s="2748"/>
      <c r="AF1280" s="2748"/>
      <c r="AG1280" s="2748"/>
      <c r="AH1280" s="2748"/>
      <c r="AI1280" s="2748"/>
      <c r="AK1280" s="2748"/>
      <c r="AL1280" s="2748"/>
      <c r="AN1280" s="2748"/>
      <c r="AO1280" s="2748"/>
      <c r="AP1280" s="2748"/>
    </row>
    <row r="1281" spans="2:42" ht="18" customHeight="1">
      <c r="B1281" s="2728"/>
      <c r="C1281" s="2728"/>
      <c r="D1281" s="2728"/>
      <c r="E1281" s="2728"/>
      <c r="G1281" s="2512"/>
      <c r="I1281" s="2748"/>
      <c r="J1281" s="2728"/>
      <c r="L1281" s="2728"/>
      <c r="M1281" s="2748"/>
      <c r="N1281" s="2728"/>
      <c r="O1281" s="2728"/>
      <c r="P1281" s="2728"/>
      <c r="Q1281" s="2748"/>
      <c r="R1281" s="2748"/>
      <c r="S1281" s="2748"/>
      <c r="T1281" s="2748"/>
      <c r="U1281" s="2748"/>
      <c r="V1281" s="2748"/>
      <c r="W1281" s="2748"/>
      <c r="X1281" s="2748"/>
      <c r="Y1281" s="2748"/>
      <c r="Z1281" s="2748"/>
      <c r="AA1281" s="2748"/>
      <c r="AB1281" s="2748"/>
      <c r="AC1281" s="2748"/>
      <c r="AD1281" s="2748"/>
      <c r="AE1281" s="2748"/>
      <c r="AF1281" s="2748"/>
      <c r="AG1281" s="2748"/>
      <c r="AH1281" s="2748"/>
      <c r="AI1281" s="2748"/>
      <c r="AK1281" s="2748"/>
      <c r="AL1281" s="2748"/>
      <c r="AN1281" s="2748"/>
      <c r="AO1281" s="2748"/>
      <c r="AP1281" s="2748"/>
    </row>
    <row r="1282" spans="2:42" ht="18" customHeight="1">
      <c r="B1282" s="2728"/>
      <c r="C1282" s="2728"/>
      <c r="D1282" s="2728"/>
      <c r="E1282" s="2728"/>
      <c r="G1282" s="2512"/>
      <c r="I1282" s="2748"/>
      <c r="J1282" s="2728"/>
      <c r="L1282" s="2728"/>
      <c r="M1282" s="2748"/>
      <c r="N1282" s="2728"/>
      <c r="O1282" s="2728"/>
      <c r="P1282" s="2728"/>
      <c r="Q1282" s="2748"/>
      <c r="R1282" s="2748"/>
      <c r="S1282" s="2748"/>
      <c r="T1282" s="2748"/>
      <c r="U1282" s="2748"/>
      <c r="V1282" s="2748"/>
      <c r="W1282" s="2748"/>
      <c r="X1282" s="2748"/>
      <c r="Y1282" s="2748"/>
      <c r="Z1282" s="2748"/>
      <c r="AA1282" s="2748"/>
      <c r="AB1282" s="2748"/>
      <c r="AC1282" s="2748"/>
      <c r="AD1282" s="2748"/>
      <c r="AE1282" s="2748"/>
      <c r="AF1282" s="2748"/>
      <c r="AG1282" s="2748"/>
      <c r="AH1282" s="2748"/>
      <c r="AI1282" s="2748"/>
      <c r="AK1282" s="2748"/>
      <c r="AL1282" s="2748"/>
      <c r="AN1282" s="2748"/>
      <c r="AO1282" s="2748"/>
      <c r="AP1282" s="2748"/>
    </row>
    <row r="1283" spans="2:42" ht="18" customHeight="1">
      <c r="B1283" s="2728"/>
      <c r="C1283" s="2728"/>
      <c r="D1283" s="2728"/>
      <c r="E1283" s="2728"/>
      <c r="G1283" s="2512"/>
      <c r="I1283" s="2748"/>
      <c r="J1283" s="2728"/>
      <c r="L1283" s="2728"/>
      <c r="M1283" s="2748"/>
      <c r="N1283" s="2728"/>
      <c r="O1283" s="2728"/>
      <c r="P1283" s="2728"/>
      <c r="Q1283" s="2748"/>
      <c r="R1283" s="2748"/>
      <c r="S1283" s="2748"/>
      <c r="T1283" s="2748"/>
      <c r="U1283" s="2748"/>
      <c r="V1283" s="2748"/>
      <c r="W1283" s="2748"/>
      <c r="X1283" s="2748"/>
      <c r="Y1283" s="2748"/>
      <c r="Z1283" s="2748"/>
      <c r="AA1283" s="2748"/>
      <c r="AB1283" s="2748"/>
      <c r="AC1283" s="2748"/>
      <c r="AD1283" s="2748"/>
      <c r="AE1283" s="2748"/>
      <c r="AF1283" s="2748"/>
      <c r="AG1283" s="2748"/>
      <c r="AH1283" s="2748"/>
      <c r="AI1283" s="2748"/>
      <c r="AK1283" s="2748"/>
      <c r="AL1283" s="2748"/>
      <c r="AN1283" s="2748"/>
      <c r="AO1283" s="2748"/>
      <c r="AP1283" s="2748"/>
    </row>
    <row r="1284" spans="2:42" ht="18" customHeight="1">
      <c r="B1284" s="2728"/>
      <c r="C1284" s="2728"/>
      <c r="D1284" s="2728"/>
      <c r="E1284" s="2728"/>
      <c r="G1284" s="2512"/>
      <c r="I1284" s="2748"/>
      <c r="J1284" s="2728"/>
      <c r="L1284" s="2728"/>
      <c r="M1284" s="2748"/>
      <c r="N1284" s="2728"/>
      <c r="O1284" s="2728"/>
      <c r="P1284" s="2728"/>
      <c r="Q1284" s="2748"/>
      <c r="R1284" s="2748"/>
      <c r="S1284" s="2748"/>
      <c r="T1284" s="2748"/>
      <c r="U1284" s="2748"/>
      <c r="V1284" s="2748"/>
      <c r="W1284" s="2748"/>
      <c r="X1284" s="2748"/>
      <c r="Y1284" s="2748"/>
      <c r="Z1284" s="2748"/>
      <c r="AA1284" s="2748"/>
      <c r="AB1284" s="2748"/>
      <c r="AC1284" s="2748"/>
      <c r="AD1284" s="2748"/>
      <c r="AE1284" s="2748"/>
      <c r="AF1284" s="2748"/>
      <c r="AG1284" s="2748"/>
      <c r="AH1284" s="2748"/>
      <c r="AI1284" s="2748"/>
      <c r="AK1284" s="2748"/>
      <c r="AL1284" s="2748"/>
      <c r="AN1284" s="2748"/>
      <c r="AO1284" s="2748"/>
      <c r="AP1284" s="2748"/>
    </row>
    <row r="1285" spans="2:42" ht="18" customHeight="1">
      <c r="B1285" s="2728"/>
      <c r="C1285" s="2728"/>
      <c r="D1285" s="2728"/>
      <c r="E1285" s="2728"/>
      <c r="G1285" s="2512"/>
      <c r="I1285" s="2748"/>
      <c r="J1285" s="2728"/>
      <c r="L1285" s="2728"/>
      <c r="M1285" s="2748"/>
      <c r="N1285" s="2728"/>
      <c r="O1285" s="2728"/>
      <c r="P1285" s="2728"/>
      <c r="Q1285" s="2748"/>
      <c r="R1285" s="2748"/>
      <c r="S1285" s="2748"/>
      <c r="T1285" s="2748"/>
      <c r="U1285" s="2748"/>
      <c r="V1285" s="2748"/>
      <c r="W1285" s="2748"/>
      <c r="X1285" s="2748"/>
      <c r="Y1285" s="2748"/>
      <c r="Z1285" s="2748"/>
      <c r="AA1285" s="2748"/>
      <c r="AB1285" s="2748"/>
      <c r="AC1285" s="2748"/>
      <c r="AD1285" s="2748"/>
      <c r="AE1285" s="2748"/>
      <c r="AF1285" s="2748"/>
      <c r="AG1285" s="2748"/>
      <c r="AH1285" s="2748"/>
      <c r="AI1285" s="2748"/>
      <c r="AK1285" s="2748"/>
      <c r="AL1285" s="2748"/>
      <c r="AN1285" s="2748"/>
      <c r="AO1285" s="2748"/>
      <c r="AP1285" s="2748"/>
    </row>
    <row r="1286" spans="2:42" ht="18" customHeight="1">
      <c r="B1286" s="2728"/>
      <c r="C1286" s="2728"/>
      <c r="D1286" s="2728"/>
      <c r="E1286" s="2728"/>
      <c r="G1286" s="2512"/>
      <c r="I1286" s="2748"/>
      <c r="J1286" s="2728"/>
      <c r="L1286" s="2728"/>
      <c r="M1286" s="2748"/>
      <c r="N1286" s="2728"/>
      <c r="O1286" s="2728"/>
      <c r="P1286" s="2728"/>
      <c r="Q1286" s="2748"/>
      <c r="R1286" s="2748"/>
      <c r="S1286" s="2748"/>
      <c r="T1286" s="2748"/>
      <c r="U1286" s="2748"/>
      <c r="V1286" s="2748"/>
      <c r="W1286" s="2748"/>
      <c r="X1286" s="2748"/>
      <c r="Y1286" s="2748"/>
      <c r="Z1286" s="2748"/>
      <c r="AA1286" s="2748"/>
      <c r="AB1286" s="2748"/>
      <c r="AC1286" s="2748"/>
      <c r="AD1286" s="2748"/>
      <c r="AE1286" s="2748"/>
      <c r="AF1286" s="2748"/>
      <c r="AG1286" s="2748"/>
      <c r="AH1286" s="2748"/>
      <c r="AI1286" s="2748"/>
      <c r="AK1286" s="2748"/>
      <c r="AL1286" s="2748"/>
      <c r="AN1286" s="2748"/>
      <c r="AO1286" s="2748"/>
      <c r="AP1286" s="2748"/>
    </row>
    <row r="1287" spans="2:42" ht="18" customHeight="1">
      <c r="B1287" s="2728"/>
      <c r="C1287" s="2728"/>
      <c r="D1287" s="2728"/>
      <c r="E1287" s="2728"/>
      <c r="G1287" s="2512"/>
      <c r="I1287" s="2748"/>
      <c r="J1287" s="2728"/>
      <c r="L1287" s="2728"/>
      <c r="M1287" s="2748"/>
      <c r="N1287" s="2728"/>
      <c r="O1287" s="2728"/>
      <c r="P1287" s="2728"/>
      <c r="Q1287" s="2748"/>
      <c r="R1287" s="2748"/>
      <c r="S1287" s="2748"/>
      <c r="T1287" s="2748"/>
      <c r="U1287" s="2748"/>
      <c r="V1287" s="2748"/>
      <c r="W1287" s="2748"/>
      <c r="X1287" s="2748"/>
      <c r="Y1287" s="2748"/>
      <c r="Z1287" s="2748"/>
      <c r="AA1287" s="2748"/>
      <c r="AB1287" s="2748"/>
      <c r="AC1287" s="2748"/>
      <c r="AD1287" s="2748"/>
      <c r="AE1287" s="2748"/>
      <c r="AF1287" s="2748"/>
      <c r="AG1287" s="2748"/>
      <c r="AH1287" s="2748"/>
      <c r="AI1287" s="2748"/>
      <c r="AK1287" s="2748"/>
      <c r="AL1287" s="2748"/>
      <c r="AN1287" s="2748"/>
      <c r="AO1287" s="2748"/>
      <c r="AP1287" s="2748"/>
    </row>
    <row r="1288" spans="2:42" ht="18" customHeight="1">
      <c r="B1288" s="2728"/>
      <c r="C1288" s="2728"/>
      <c r="D1288" s="2728"/>
      <c r="E1288" s="2728"/>
      <c r="G1288" s="2512"/>
      <c r="I1288" s="2748"/>
      <c r="J1288" s="2728"/>
      <c r="L1288" s="2728"/>
      <c r="M1288" s="2748"/>
      <c r="N1288" s="2728"/>
      <c r="O1288" s="2728"/>
      <c r="P1288" s="2728"/>
      <c r="Q1288" s="2748"/>
      <c r="R1288" s="2748"/>
      <c r="S1288" s="2748"/>
      <c r="T1288" s="2748"/>
      <c r="U1288" s="2748"/>
      <c r="V1288" s="2748"/>
      <c r="W1288" s="2748"/>
      <c r="X1288" s="2748"/>
      <c r="Y1288" s="2748"/>
      <c r="Z1288" s="2748"/>
      <c r="AA1288" s="2748"/>
      <c r="AB1288" s="2748"/>
      <c r="AC1288" s="2748"/>
      <c r="AD1288" s="2748"/>
      <c r="AE1288" s="2748"/>
      <c r="AF1288" s="2748"/>
      <c r="AG1288" s="2748"/>
      <c r="AH1288" s="2748"/>
      <c r="AI1288" s="2748"/>
      <c r="AK1288" s="2748"/>
      <c r="AL1288" s="2748"/>
      <c r="AN1288" s="2748"/>
      <c r="AO1288" s="2748"/>
      <c r="AP1288" s="2748"/>
    </row>
    <row r="1289" spans="2:42" ht="18" customHeight="1">
      <c r="B1289" s="2728"/>
      <c r="C1289" s="2728"/>
      <c r="D1289" s="2728"/>
      <c r="E1289" s="2728"/>
      <c r="G1289" s="2512"/>
      <c r="I1289" s="2748"/>
      <c r="J1289" s="2728"/>
      <c r="L1289" s="2728"/>
      <c r="M1289" s="2748"/>
      <c r="N1289" s="2728"/>
      <c r="O1289" s="2728"/>
      <c r="P1289" s="2728"/>
      <c r="Q1289" s="2748"/>
      <c r="R1289" s="2748"/>
      <c r="S1289" s="2748"/>
      <c r="T1289" s="2748"/>
      <c r="U1289" s="2748"/>
      <c r="V1289" s="2748"/>
      <c r="W1289" s="2748"/>
      <c r="X1289" s="2748"/>
      <c r="Y1289" s="2748"/>
      <c r="Z1289" s="2748"/>
      <c r="AA1289" s="2748"/>
      <c r="AB1289" s="2748"/>
      <c r="AC1289" s="2748"/>
      <c r="AD1289" s="2748"/>
      <c r="AE1289" s="2748"/>
      <c r="AF1289" s="2748"/>
      <c r="AG1289" s="2748"/>
      <c r="AH1289" s="2748"/>
      <c r="AI1289" s="2748"/>
      <c r="AK1289" s="2748"/>
      <c r="AL1289" s="2748"/>
      <c r="AN1289" s="2748"/>
      <c r="AO1289" s="2748"/>
      <c r="AP1289" s="2748"/>
    </row>
    <row r="1290" spans="2:42" ht="18" customHeight="1">
      <c r="B1290" s="2728"/>
      <c r="C1290" s="2728"/>
      <c r="D1290" s="2728"/>
      <c r="E1290" s="2728"/>
      <c r="G1290" s="2512"/>
      <c r="I1290" s="2748"/>
      <c r="J1290" s="2728"/>
      <c r="L1290" s="2728"/>
      <c r="M1290" s="2748"/>
      <c r="N1290" s="2728"/>
      <c r="O1290" s="2728"/>
      <c r="P1290" s="2728"/>
      <c r="Q1290" s="2748"/>
      <c r="R1290" s="2748"/>
      <c r="S1290" s="2748"/>
      <c r="T1290" s="2748"/>
      <c r="U1290" s="2748"/>
      <c r="V1290" s="2748"/>
      <c r="W1290" s="2748"/>
      <c r="X1290" s="2748"/>
      <c r="Y1290" s="2748"/>
      <c r="Z1290" s="2748"/>
      <c r="AA1290" s="2748"/>
      <c r="AB1290" s="2748"/>
      <c r="AC1290" s="2748"/>
      <c r="AD1290" s="2748"/>
      <c r="AE1290" s="2748"/>
      <c r="AF1290" s="2748"/>
      <c r="AG1290" s="2748"/>
      <c r="AH1290" s="2748"/>
      <c r="AI1290" s="2748"/>
      <c r="AK1290" s="2748"/>
      <c r="AL1290" s="2748"/>
      <c r="AN1290" s="2748"/>
      <c r="AO1290" s="2748"/>
      <c r="AP1290" s="2748"/>
    </row>
    <row r="1291" spans="2:42" ht="18" customHeight="1">
      <c r="B1291" s="2728"/>
      <c r="C1291" s="2728"/>
      <c r="D1291" s="2728"/>
      <c r="E1291" s="2728"/>
      <c r="G1291" s="2512"/>
      <c r="I1291" s="2748"/>
      <c r="J1291" s="2728"/>
      <c r="L1291" s="2728"/>
      <c r="M1291" s="2748"/>
      <c r="N1291" s="2728"/>
      <c r="O1291" s="2728"/>
      <c r="P1291" s="2728"/>
      <c r="Q1291" s="2748"/>
      <c r="R1291" s="2748"/>
      <c r="S1291" s="2748"/>
      <c r="T1291" s="2748"/>
      <c r="U1291" s="2748"/>
      <c r="V1291" s="2748"/>
      <c r="W1291" s="2748"/>
      <c r="X1291" s="2748"/>
      <c r="Y1291" s="2748"/>
      <c r="Z1291" s="2748"/>
      <c r="AA1291" s="2748"/>
      <c r="AB1291" s="2748"/>
      <c r="AC1291" s="2748"/>
      <c r="AD1291" s="2748"/>
      <c r="AE1291" s="2748"/>
      <c r="AF1291" s="2748"/>
      <c r="AG1291" s="2748"/>
      <c r="AH1291" s="2748"/>
      <c r="AI1291" s="2748"/>
      <c r="AK1291" s="2748"/>
      <c r="AL1291" s="2748"/>
      <c r="AN1291" s="2748"/>
      <c r="AO1291" s="2748"/>
      <c r="AP1291" s="2748"/>
    </row>
    <row r="1292" spans="2:42" ht="18" customHeight="1">
      <c r="B1292" s="2728"/>
      <c r="C1292" s="2728"/>
      <c r="D1292" s="2728"/>
      <c r="E1292" s="2728"/>
      <c r="G1292" s="2512"/>
      <c r="I1292" s="2748"/>
      <c r="J1292" s="2728"/>
      <c r="L1292" s="2728"/>
      <c r="M1292" s="2748"/>
      <c r="N1292" s="2728"/>
      <c r="O1292" s="2728"/>
      <c r="P1292" s="2728"/>
      <c r="Q1292" s="2748"/>
      <c r="R1292" s="2748"/>
      <c r="S1292" s="2748"/>
      <c r="T1292" s="2748"/>
      <c r="U1292" s="2748"/>
      <c r="V1292" s="2748"/>
      <c r="W1292" s="2748"/>
      <c r="X1292" s="2748"/>
      <c r="Y1292" s="2748"/>
      <c r="Z1292" s="2748"/>
      <c r="AA1292" s="2748"/>
      <c r="AB1292" s="2748"/>
      <c r="AC1292" s="2748"/>
      <c r="AD1292" s="2748"/>
      <c r="AE1292" s="2748"/>
      <c r="AF1292" s="2748"/>
      <c r="AG1292" s="2748"/>
      <c r="AH1292" s="2748"/>
      <c r="AI1292" s="2748"/>
      <c r="AK1292" s="2748"/>
      <c r="AL1292" s="2748"/>
      <c r="AN1292" s="2748"/>
      <c r="AO1292" s="2748"/>
      <c r="AP1292" s="2748"/>
    </row>
    <row r="1293" spans="2:42" ht="18" customHeight="1">
      <c r="B1293" s="2728"/>
      <c r="C1293" s="2728"/>
      <c r="D1293" s="2728"/>
      <c r="E1293" s="2728"/>
      <c r="G1293" s="2512"/>
      <c r="I1293" s="2748"/>
      <c r="J1293" s="2728"/>
      <c r="L1293" s="2728"/>
      <c r="M1293" s="2748"/>
      <c r="N1293" s="2728"/>
      <c r="O1293" s="2728"/>
      <c r="P1293" s="2728"/>
      <c r="Q1293" s="2748"/>
      <c r="R1293" s="2748"/>
      <c r="S1293" s="2748"/>
      <c r="T1293" s="2748"/>
      <c r="U1293" s="2748"/>
      <c r="V1293" s="2748"/>
      <c r="W1293" s="2748"/>
      <c r="X1293" s="2748"/>
      <c r="Y1293" s="2748"/>
      <c r="Z1293" s="2748"/>
      <c r="AA1293" s="2748"/>
      <c r="AB1293" s="2748"/>
      <c r="AC1293" s="2748"/>
      <c r="AD1293" s="2748"/>
      <c r="AE1293" s="2748"/>
      <c r="AF1293" s="2748"/>
      <c r="AG1293" s="2748"/>
      <c r="AH1293" s="2748"/>
      <c r="AI1293" s="2748"/>
      <c r="AK1293" s="2748"/>
      <c r="AL1293" s="2748"/>
      <c r="AN1293" s="2748"/>
      <c r="AO1293" s="2748"/>
      <c r="AP1293" s="2748"/>
    </row>
    <row r="1294" spans="2:42" ht="18" customHeight="1">
      <c r="B1294" s="2728"/>
      <c r="C1294" s="2728"/>
      <c r="D1294" s="2728"/>
      <c r="E1294" s="2728"/>
      <c r="G1294" s="2512"/>
      <c r="I1294" s="2748"/>
      <c r="J1294" s="2728"/>
      <c r="L1294" s="2728"/>
      <c r="M1294" s="2748"/>
      <c r="N1294" s="2728"/>
      <c r="O1294" s="2728"/>
      <c r="P1294" s="2728"/>
      <c r="Q1294" s="2748"/>
      <c r="R1294" s="2748"/>
      <c r="S1294" s="2748"/>
      <c r="T1294" s="2748"/>
      <c r="U1294" s="2748"/>
      <c r="V1294" s="2748"/>
      <c r="W1294" s="2748"/>
      <c r="X1294" s="2748"/>
      <c r="Y1294" s="2748"/>
      <c r="Z1294" s="2748"/>
      <c r="AA1294" s="2748"/>
      <c r="AB1294" s="2748"/>
      <c r="AC1294" s="2748"/>
      <c r="AD1294" s="2748"/>
      <c r="AE1294" s="2748"/>
      <c r="AF1294" s="2748"/>
      <c r="AG1294" s="2748"/>
      <c r="AH1294" s="2748"/>
      <c r="AI1294" s="2748"/>
      <c r="AK1294" s="2748"/>
      <c r="AL1294" s="2748"/>
      <c r="AN1294" s="2748"/>
      <c r="AO1294" s="2748"/>
      <c r="AP1294" s="2748"/>
    </row>
    <row r="1295" spans="2:42" ht="18" customHeight="1">
      <c r="B1295" s="2728"/>
      <c r="C1295" s="2728"/>
      <c r="D1295" s="2728"/>
      <c r="E1295" s="2728"/>
      <c r="G1295" s="2512"/>
      <c r="I1295" s="2748"/>
      <c r="J1295" s="2728"/>
      <c r="L1295" s="2728"/>
      <c r="M1295" s="2748"/>
      <c r="N1295" s="2728"/>
      <c r="O1295" s="2728"/>
      <c r="P1295" s="2728"/>
      <c r="Q1295" s="2748"/>
      <c r="R1295" s="2748"/>
      <c r="S1295" s="2748"/>
      <c r="T1295" s="2748"/>
      <c r="U1295" s="2748"/>
      <c r="V1295" s="2748"/>
      <c r="W1295" s="2748"/>
      <c r="X1295" s="2748"/>
      <c r="Y1295" s="2748"/>
      <c r="Z1295" s="2748"/>
      <c r="AA1295" s="2748"/>
      <c r="AB1295" s="2748"/>
      <c r="AC1295" s="2748"/>
      <c r="AD1295" s="2748"/>
      <c r="AE1295" s="2748"/>
      <c r="AF1295" s="2748"/>
      <c r="AG1295" s="2748"/>
      <c r="AH1295" s="2748"/>
      <c r="AI1295" s="2748"/>
      <c r="AK1295" s="2748"/>
      <c r="AL1295" s="2748"/>
      <c r="AN1295" s="2748"/>
      <c r="AO1295" s="2748"/>
      <c r="AP1295" s="2748"/>
    </row>
    <row r="1296" spans="2:42" ht="18" customHeight="1">
      <c r="B1296" s="2728"/>
      <c r="C1296" s="2728"/>
      <c r="D1296" s="2728"/>
      <c r="E1296" s="2728"/>
      <c r="G1296" s="2512"/>
      <c r="I1296" s="2748"/>
      <c r="J1296" s="2728"/>
      <c r="L1296" s="2728"/>
      <c r="M1296" s="2748"/>
      <c r="N1296" s="2728"/>
      <c r="O1296" s="2728"/>
      <c r="P1296" s="2728"/>
      <c r="Q1296" s="2748"/>
      <c r="R1296" s="2748"/>
      <c r="S1296" s="2748"/>
      <c r="T1296" s="2748"/>
      <c r="U1296" s="2748"/>
      <c r="V1296" s="2748"/>
      <c r="W1296" s="2748"/>
      <c r="X1296" s="2748"/>
      <c r="Y1296" s="2748"/>
      <c r="Z1296" s="2748"/>
      <c r="AA1296" s="2748"/>
      <c r="AB1296" s="2748"/>
      <c r="AC1296" s="2748"/>
      <c r="AD1296" s="2748"/>
      <c r="AE1296" s="2748"/>
      <c r="AF1296" s="2748"/>
      <c r="AG1296" s="2748"/>
      <c r="AH1296" s="2748"/>
      <c r="AI1296" s="2748"/>
      <c r="AK1296" s="2748"/>
      <c r="AL1296" s="2748"/>
      <c r="AN1296" s="2748"/>
      <c r="AO1296" s="2748"/>
      <c r="AP1296" s="2748"/>
    </row>
    <row r="1297" spans="2:42" ht="18" customHeight="1">
      <c r="B1297" s="2728"/>
      <c r="C1297" s="2728"/>
      <c r="D1297" s="2728"/>
      <c r="E1297" s="2728"/>
      <c r="G1297" s="2512"/>
      <c r="I1297" s="2748"/>
      <c r="J1297" s="2728"/>
      <c r="L1297" s="2728"/>
      <c r="M1297" s="2748"/>
      <c r="N1297" s="2728"/>
      <c r="O1297" s="2728"/>
      <c r="P1297" s="2728"/>
      <c r="Q1297" s="2748"/>
      <c r="R1297" s="2748"/>
      <c r="S1297" s="2748"/>
      <c r="T1297" s="2748"/>
      <c r="U1297" s="2748"/>
      <c r="V1297" s="2748"/>
      <c r="W1297" s="2748"/>
      <c r="X1297" s="2748"/>
      <c r="Y1297" s="2748"/>
      <c r="Z1297" s="2748"/>
      <c r="AA1297" s="2748"/>
      <c r="AB1297" s="2748"/>
      <c r="AC1297" s="2748"/>
      <c r="AD1297" s="2748"/>
      <c r="AE1297" s="2748"/>
      <c r="AF1297" s="2748"/>
      <c r="AG1297" s="2748"/>
      <c r="AH1297" s="2748"/>
      <c r="AI1297" s="2748"/>
      <c r="AK1297" s="2748"/>
      <c r="AL1297" s="2748"/>
      <c r="AN1297" s="2748"/>
      <c r="AO1297" s="2748"/>
      <c r="AP1297" s="2748"/>
    </row>
    <row r="1298" spans="2:42" ht="18" customHeight="1">
      <c r="B1298" s="2728"/>
      <c r="C1298" s="2728"/>
      <c r="D1298" s="2728"/>
      <c r="E1298" s="2728"/>
      <c r="G1298" s="2512"/>
      <c r="I1298" s="2748"/>
      <c r="J1298" s="2728"/>
      <c r="L1298" s="2728"/>
      <c r="M1298" s="2748"/>
      <c r="N1298" s="2728"/>
      <c r="O1298" s="2728"/>
      <c r="P1298" s="2728"/>
      <c r="Q1298" s="2748"/>
      <c r="R1298" s="2748"/>
      <c r="S1298" s="2748"/>
      <c r="T1298" s="2748"/>
      <c r="U1298" s="2748"/>
      <c r="V1298" s="2748"/>
      <c r="W1298" s="2748"/>
      <c r="X1298" s="2748"/>
      <c r="Y1298" s="2748"/>
      <c r="Z1298" s="2748"/>
      <c r="AA1298" s="2748"/>
      <c r="AB1298" s="2748"/>
      <c r="AC1298" s="2748"/>
      <c r="AD1298" s="2748"/>
      <c r="AE1298" s="2748"/>
      <c r="AF1298" s="2748"/>
      <c r="AG1298" s="2748"/>
      <c r="AH1298" s="2748"/>
      <c r="AI1298" s="2748"/>
      <c r="AK1298" s="2748"/>
      <c r="AL1298" s="2748"/>
      <c r="AN1298" s="2748"/>
      <c r="AO1298" s="2748"/>
      <c r="AP1298" s="2748"/>
    </row>
    <row r="1299" spans="2:42" ht="18" customHeight="1">
      <c r="B1299" s="2728"/>
      <c r="C1299" s="2728"/>
      <c r="D1299" s="2728"/>
      <c r="E1299" s="2728"/>
      <c r="G1299" s="2512"/>
      <c r="I1299" s="2748"/>
      <c r="J1299" s="2728"/>
      <c r="L1299" s="2728"/>
      <c r="M1299" s="2748"/>
      <c r="N1299" s="2728"/>
      <c r="O1299" s="2728"/>
      <c r="P1299" s="2728"/>
      <c r="Q1299" s="2748"/>
      <c r="R1299" s="2748"/>
      <c r="S1299" s="2748"/>
      <c r="T1299" s="2748"/>
      <c r="U1299" s="2748"/>
      <c r="V1299" s="2748"/>
      <c r="W1299" s="2748"/>
      <c r="X1299" s="2748"/>
      <c r="Y1299" s="2748"/>
      <c r="Z1299" s="2748"/>
      <c r="AA1299" s="2748"/>
      <c r="AB1299" s="2748"/>
      <c r="AC1299" s="2748"/>
      <c r="AD1299" s="2748"/>
      <c r="AE1299" s="2748"/>
      <c r="AF1299" s="2748"/>
      <c r="AG1299" s="2748"/>
      <c r="AH1299" s="2748"/>
      <c r="AI1299" s="2748"/>
      <c r="AK1299" s="2748"/>
      <c r="AL1299" s="2748"/>
      <c r="AN1299" s="2748"/>
      <c r="AO1299" s="2748"/>
      <c r="AP1299" s="2748"/>
    </row>
    <row r="1300" spans="2:42" ht="18" customHeight="1">
      <c r="B1300" s="2728"/>
      <c r="C1300" s="2728"/>
      <c r="D1300" s="2728"/>
      <c r="E1300" s="2728"/>
      <c r="G1300" s="2512"/>
      <c r="I1300" s="2748"/>
      <c r="J1300" s="2728"/>
      <c r="L1300" s="2728"/>
      <c r="M1300" s="2748"/>
      <c r="N1300" s="2728"/>
      <c r="O1300" s="2728"/>
      <c r="P1300" s="2728"/>
      <c r="Q1300" s="2748"/>
      <c r="R1300" s="2748"/>
      <c r="S1300" s="2748"/>
      <c r="T1300" s="2748"/>
      <c r="U1300" s="2748"/>
      <c r="V1300" s="2748"/>
      <c r="W1300" s="2748"/>
      <c r="X1300" s="2748"/>
      <c r="Y1300" s="2748"/>
      <c r="Z1300" s="2748"/>
      <c r="AA1300" s="2748"/>
      <c r="AB1300" s="2748"/>
      <c r="AC1300" s="2748"/>
      <c r="AD1300" s="2748"/>
      <c r="AE1300" s="2748"/>
      <c r="AF1300" s="2748"/>
      <c r="AG1300" s="2748"/>
      <c r="AH1300" s="2748"/>
      <c r="AI1300" s="2748"/>
      <c r="AK1300" s="2748"/>
      <c r="AL1300" s="2748"/>
      <c r="AN1300" s="2748"/>
      <c r="AO1300" s="2748"/>
      <c r="AP1300" s="2748"/>
    </row>
    <row r="1301" spans="2:42" ht="18" customHeight="1">
      <c r="B1301" s="2728"/>
      <c r="C1301" s="2728"/>
      <c r="D1301" s="2728"/>
      <c r="E1301" s="2728"/>
      <c r="G1301" s="2512"/>
      <c r="I1301" s="2748"/>
      <c r="J1301" s="2728"/>
      <c r="L1301" s="2728"/>
      <c r="M1301" s="2748"/>
      <c r="N1301" s="2728"/>
      <c r="O1301" s="2728"/>
      <c r="P1301" s="2728"/>
      <c r="Q1301" s="2748"/>
      <c r="R1301" s="2748"/>
      <c r="S1301" s="2748"/>
      <c r="T1301" s="2748"/>
      <c r="U1301" s="2748"/>
      <c r="V1301" s="2748"/>
      <c r="W1301" s="2748"/>
      <c r="X1301" s="2748"/>
      <c r="Y1301" s="2748"/>
      <c r="Z1301" s="2748"/>
      <c r="AA1301" s="2748"/>
      <c r="AB1301" s="2748"/>
      <c r="AC1301" s="2748"/>
      <c r="AD1301" s="2748"/>
      <c r="AE1301" s="2748"/>
      <c r="AF1301" s="2748"/>
      <c r="AG1301" s="2748"/>
      <c r="AH1301" s="2748"/>
      <c r="AI1301" s="2748"/>
      <c r="AK1301" s="2748"/>
      <c r="AL1301" s="2748"/>
      <c r="AN1301" s="2748"/>
      <c r="AO1301" s="2748"/>
      <c r="AP1301" s="2748"/>
    </row>
    <row r="1302" spans="2:42" ht="18" customHeight="1">
      <c r="B1302" s="2728"/>
      <c r="C1302" s="2728"/>
      <c r="D1302" s="2728"/>
      <c r="E1302" s="2728"/>
      <c r="G1302" s="2512"/>
      <c r="I1302" s="2748"/>
      <c r="J1302" s="2728"/>
      <c r="L1302" s="2728"/>
      <c r="M1302" s="2748"/>
      <c r="N1302" s="2728"/>
      <c r="O1302" s="2728"/>
      <c r="P1302" s="2728"/>
      <c r="Q1302" s="2748"/>
      <c r="R1302" s="2748"/>
      <c r="S1302" s="2748"/>
      <c r="T1302" s="2748"/>
      <c r="U1302" s="2748"/>
      <c r="V1302" s="2748"/>
      <c r="W1302" s="2748"/>
      <c r="X1302" s="2748"/>
      <c r="Y1302" s="2748"/>
      <c r="Z1302" s="2748"/>
      <c r="AA1302" s="2748"/>
      <c r="AB1302" s="2748"/>
      <c r="AC1302" s="2748"/>
      <c r="AD1302" s="2748"/>
      <c r="AE1302" s="2748"/>
      <c r="AF1302" s="2748"/>
      <c r="AG1302" s="2748"/>
      <c r="AH1302" s="2748"/>
      <c r="AI1302" s="2748"/>
      <c r="AK1302" s="2748"/>
      <c r="AL1302" s="2748"/>
      <c r="AN1302" s="2748"/>
      <c r="AO1302" s="2748"/>
      <c r="AP1302" s="2748"/>
    </row>
    <row r="1303" spans="2:42" ht="18" customHeight="1">
      <c r="B1303" s="2728"/>
      <c r="C1303" s="2728"/>
      <c r="D1303" s="2728"/>
      <c r="E1303" s="2728"/>
      <c r="G1303" s="2512"/>
      <c r="I1303" s="2748"/>
      <c r="J1303" s="2728"/>
      <c r="L1303" s="2728"/>
      <c r="M1303" s="2748"/>
      <c r="N1303" s="2728"/>
      <c r="O1303" s="2728"/>
      <c r="P1303" s="2728"/>
      <c r="Q1303" s="2748"/>
      <c r="R1303" s="2748"/>
      <c r="S1303" s="2748"/>
      <c r="T1303" s="2748"/>
      <c r="U1303" s="2748"/>
      <c r="V1303" s="2748"/>
      <c r="W1303" s="2748"/>
      <c r="X1303" s="2748"/>
      <c r="Y1303" s="2748"/>
      <c r="Z1303" s="2748"/>
      <c r="AA1303" s="2748"/>
      <c r="AB1303" s="2748"/>
      <c r="AC1303" s="2748"/>
      <c r="AD1303" s="2748"/>
      <c r="AE1303" s="2748"/>
      <c r="AF1303" s="2748"/>
      <c r="AG1303" s="2748"/>
      <c r="AH1303" s="2748"/>
      <c r="AI1303" s="2748"/>
      <c r="AK1303" s="2748"/>
      <c r="AL1303" s="2748"/>
      <c r="AN1303" s="2748"/>
      <c r="AO1303" s="2748"/>
      <c r="AP1303" s="2748"/>
    </row>
    <row r="1304" spans="2:42" ht="18" customHeight="1">
      <c r="B1304" s="2728"/>
      <c r="C1304" s="2728"/>
      <c r="D1304" s="2728"/>
      <c r="E1304" s="2728"/>
      <c r="G1304" s="2512"/>
      <c r="I1304" s="2748"/>
      <c r="J1304" s="2728"/>
      <c r="L1304" s="2728"/>
      <c r="M1304" s="2748"/>
      <c r="N1304" s="2728"/>
      <c r="O1304" s="2728"/>
      <c r="P1304" s="2728"/>
      <c r="Q1304" s="2748"/>
      <c r="R1304" s="2748"/>
      <c r="S1304" s="2748"/>
      <c r="T1304" s="2748"/>
      <c r="U1304" s="2748"/>
      <c r="V1304" s="2748"/>
      <c r="W1304" s="2748"/>
      <c r="X1304" s="2748"/>
      <c r="Y1304" s="2748"/>
      <c r="Z1304" s="2748"/>
      <c r="AA1304" s="2748"/>
      <c r="AB1304" s="2748"/>
      <c r="AC1304" s="2748"/>
      <c r="AD1304" s="2748"/>
      <c r="AE1304" s="2748"/>
      <c r="AF1304" s="2748"/>
      <c r="AG1304" s="2748"/>
      <c r="AH1304" s="2748"/>
      <c r="AI1304" s="2748"/>
      <c r="AK1304" s="2748"/>
      <c r="AL1304" s="2748"/>
      <c r="AN1304" s="2748"/>
      <c r="AO1304" s="2748"/>
      <c r="AP1304" s="2748"/>
    </row>
    <row r="1305" spans="2:42" ht="18" customHeight="1">
      <c r="B1305" s="2728"/>
      <c r="C1305" s="2728"/>
      <c r="D1305" s="2728"/>
      <c r="E1305" s="2728"/>
      <c r="G1305" s="2512"/>
      <c r="I1305" s="2748"/>
      <c r="J1305" s="2728"/>
      <c r="L1305" s="2728"/>
      <c r="M1305" s="2748"/>
      <c r="N1305" s="2728"/>
      <c r="O1305" s="2728"/>
      <c r="P1305" s="2728"/>
      <c r="Q1305" s="2748"/>
      <c r="R1305" s="2748"/>
      <c r="S1305" s="2748"/>
      <c r="T1305" s="2748"/>
      <c r="U1305" s="2748"/>
      <c r="V1305" s="2748"/>
      <c r="W1305" s="2748"/>
      <c r="X1305" s="2748"/>
      <c r="Y1305" s="2748"/>
      <c r="Z1305" s="2748"/>
      <c r="AA1305" s="2748"/>
      <c r="AB1305" s="2748"/>
      <c r="AC1305" s="2748"/>
      <c r="AD1305" s="2748"/>
      <c r="AE1305" s="2748"/>
      <c r="AF1305" s="2748"/>
      <c r="AG1305" s="2748"/>
      <c r="AH1305" s="2748"/>
      <c r="AI1305" s="2748"/>
      <c r="AK1305" s="2748"/>
      <c r="AL1305" s="2748"/>
      <c r="AN1305" s="2748"/>
      <c r="AO1305" s="2748"/>
      <c r="AP1305" s="2748"/>
    </row>
    <row r="1306" spans="2:42" ht="18" customHeight="1">
      <c r="B1306" s="2728"/>
      <c r="C1306" s="2728"/>
      <c r="D1306" s="2728"/>
      <c r="E1306" s="2728"/>
      <c r="G1306" s="2512"/>
      <c r="I1306" s="2748"/>
      <c r="J1306" s="2728"/>
      <c r="L1306" s="2728"/>
      <c r="M1306" s="2748"/>
      <c r="N1306" s="2728"/>
      <c r="O1306" s="2728"/>
      <c r="P1306" s="2728"/>
      <c r="Q1306" s="2748"/>
      <c r="R1306" s="2748"/>
      <c r="S1306" s="2748"/>
      <c r="T1306" s="2748"/>
      <c r="U1306" s="2748"/>
      <c r="V1306" s="2748"/>
      <c r="W1306" s="2748"/>
      <c r="X1306" s="2748"/>
      <c r="Y1306" s="2748"/>
      <c r="Z1306" s="2748"/>
      <c r="AA1306" s="2748"/>
      <c r="AB1306" s="2748"/>
      <c r="AC1306" s="2748"/>
      <c r="AD1306" s="2748"/>
      <c r="AE1306" s="2748"/>
      <c r="AF1306" s="2748"/>
      <c r="AG1306" s="2748"/>
      <c r="AH1306" s="2748"/>
      <c r="AI1306" s="2748"/>
      <c r="AK1306" s="2748"/>
      <c r="AL1306" s="2748"/>
      <c r="AN1306" s="2748"/>
      <c r="AO1306" s="2748"/>
      <c r="AP1306" s="2748"/>
    </row>
    <row r="1307" spans="2:42" ht="18" customHeight="1">
      <c r="B1307" s="2728"/>
      <c r="C1307" s="2728"/>
      <c r="D1307" s="2728"/>
      <c r="E1307" s="2728"/>
      <c r="G1307" s="2512"/>
      <c r="I1307" s="2748"/>
      <c r="J1307" s="2728"/>
      <c r="L1307" s="2728"/>
      <c r="M1307" s="2748"/>
      <c r="N1307" s="2728"/>
      <c r="O1307" s="2728"/>
      <c r="P1307" s="2728"/>
      <c r="Q1307" s="2748"/>
      <c r="R1307" s="2748"/>
      <c r="S1307" s="2748"/>
      <c r="T1307" s="2748"/>
      <c r="U1307" s="2748"/>
      <c r="V1307" s="2748"/>
      <c r="W1307" s="2748"/>
      <c r="X1307" s="2748"/>
      <c r="Y1307" s="2748"/>
      <c r="Z1307" s="2748"/>
      <c r="AA1307" s="2748"/>
      <c r="AB1307" s="2748"/>
      <c r="AC1307" s="2748"/>
      <c r="AD1307" s="2748"/>
      <c r="AE1307" s="2748"/>
      <c r="AF1307" s="2748"/>
      <c r="AG1307" s="2748"/>
      <c r="AH1307" s="2748"/>
      <c r="AI1307" s="2748"/>
      <c r="AK1307" s="2748"/>
      <c r="AL1307" s="2748"/>
      <c r="AN1307" s="2748"/>
      <c r="AO1307" s="2748"/>
      <c r="AP1307" s="2748"/>
    </row>
    <row r="1308" spans="2:42" ht="18" customHeight="1">
      <c r="B1308" s="2728"/>
      <c r="C1308" s="2728"/>
      <c r="D1308" s="2728"/>
      <c r="E1308" s="2728"/>
      <c r="G1308" s="2512"/>
      <c r="I1308" s="2748"/>
      <c r="J1308" s="2728"/>
      <c r="L1308" s="2728"/>
      <c r="M1308" s="2748"/>
      <c r="N1308" s="2728"/>
      <c r="O1308" s="2728"/>
      <c r="P1308" s="2728"/>
      <c r="Q1308" s="2748"/>
      <c r="R1308" s="2748"/>
      <c r="S1308" s="2748"/>
      <c r="T1308" s="2748"/>
      <c r="U1308" s="2748"/>
      <c r="V1308" s="2748"/>
      <c r="W1308" s="2748"/>
      <c r="X1308" s="2748"/>
      <c r="Y1308" s="2748"/>
      <c r="Z1308" s="2748"/>
      <c r="AA1308" s="2748"/>
      <c r="AB1308" s="2748"/>
      <c r="AC1308" s="2748"/>
      <c r="AD1308" s="2748"/>
      <c r="AE1308" s="2748"/>
      <c r="AF1308" s="2748"/>
      <c r="AG1308" s="2748"/>
      <c r="AH1308" s="2748"/>
      <c r="AI1308" s="2748"/>
      <c r="AK1308" s="2748"/>
      <c r="AL1308" s="2748"/>
      <c r="AN1308" s="2748"/>
      <c r="AO1308" s="2748"/>
      <c r="AP1308" s="2748"/>
    </row>
    <row r="1309" spans="2:42" ht="18" customHeight="1">
      <c r="B1309" s="2728"/>
      <c r="C1309" s="2728"/>
      <c r="D1309" s="2728"/>
      <c r="E1309" s="2728"/>
      <c r="G1309" s="2512"/>
      <c r="I1309" s="2748"/>
      <c r="J1309" s="2728"/>
      <c r="L1309" s="2728"/>
      <c r="M1309" s="2748"/>
      <c r="N1309" s="2728"/>
      <c r="O1309" s="2728"/>
      <c r="P1309" s="2728"/>
      <c r="Q1309" s="2748"/>
      <c r="R1309" s="2748"/>
      <c r="S1309" s="2748"/>
      <c r="T1309" s="2748"/>
      <c r="U1309" s="2748"/>
      <c r="V1309" s="2748"/>
      <c r="W1309" s="2748"/>
      <c r="X1309" s="2748"/>
      <c r="Y1309" s="2748"/>
      <c r="Z1309" s="2748"/>
      <c r="AA1309" s="2748"/>
      <c r="AB1309" s="2748"/>
      <c r="AC1309" s="2748"/>
      <c r="AD1309" s="2748"/>
      <c r="AE1309" s="2748"/>
      <c r="AF1309" s="2748"/>
      <c r="AG1309" s="2748"/>
      <c r="AH1309" s="2748"/>
      <c r="AI1309" s="2748"/>
      <c r="AK1309" s="2748"/>
      <c r="AL1309" s="2748"/>
      <c r="AN1309" s="2748"/>
      <c r="AO1309" s="2748"/>
      <c r="AP1309" s="2748"/>
    </row>
    <row r="1310" spans="2:42" ht="18" customHeight="1">
      <c r="B1310" s="2728"/>
      <c r="C1310" s="2728"/>
      <c r="D1310" s="2728"/>
      <c r="E1310" s="2728"/>
      <c r="G1310" s="2512"/>
      <c r="I1310" s="2748"/>
      <c r="J1310" s="2728"/>
      <c r="L1310" s="2728"/>
      <c r="M1310" s="2748"/>
      <c r="N1310" s="2728"/>
      <c r="O1310" s="2728"/>
      <c r="P1310" s="2728"/>
      <c r="Q1310" s="2748"/>
      <c r="R1310" s="2748"/>
      <c r="S1310" s="2748"/>
      <c r="T1310" s="2748"/>
      <c r="U1310" s="2748"/>
      <c r="V1310" s="2748"/>
      <c r="W1310" s="2748"/>
      <c r="X1310" s="2748"/>
      <c r="Y1310" s="2748"/>
      <c r="Z1310" s="2748"/>
      <c r="AA1310" s="2748"/>
      <c r="AB1310" s="2748"/>
      <c r="AC1310" s="2748"/>
      <c r="AD1310" s="2748"/>
      <c r="AE1310" s="2748"/>
      <c r="AF1310" s="2748"/>
      <c r="AG1310" s="2748"/>
      <c r="AH1310" s="2748"/>
      <c r="AI1310" s="2748"/>
      <c r="AK1310" s="2748"/>
      <c r="AL1310" s="2748"/>
      <c r="AN1310" s="2748"/>
      <c r="AO1310" s="2748"/>
      <c r="AP1310" s="2748"/>
    </row>
    <row r="1311" spans="2:42" ht="18" customHeight="1">
      <c r="B1311" s="2728"/>
      <c r="C1311" s="2728"/>
      <c r="D1311" s="2728"/>
      <c r="E1311" s="2728"/>
      <c r="G1311" s="2512"/>
      <c r="I1311" s="2748"/>
      <c r="J1311" s="2728"/>
      <c r="L1311" s="2728"/>
      <c r="M1311" s="2748"/>
      <c r="N1311" s="2728"/>
      <c r="O1311" s="2728"/>
      <c r="P1311" s="2728"/>
      <c r="Q1311" s="2748"/>
      <c r="R1311" s="2748"/>
      <c r="S1311" s="2748"/>
      <c r="T1311" s="2748"/>
      <c r="U1311" s="2748"/>
      <c r="V1311" s="2748"/>
      <c r="W1311" s="2748"/>
      <c r="X1311" s="2748"/>
      <c r="Y1311" s="2748"/>
      <c r="Z1311" s="2748"/>
      <c r="AA1311" s="2748"/>
      <c r="AB1311" s="2748"/>
      <c r="AC1311" s="2748"/>
      <c r="AD1311" s="2748"/>
      <c r="AE1311" s="2748"/>
      <c r="AF1311" s="2748"/>
      <c r="AG1311" s="2748"/>
      <c r="AH1311" s="2748"/>
      <c r="AI1311" s="2748"/>
      <c r="AK1311" s="2748"/>
      <c r="AL1311" s="2748"/>
      <c r="AN1311" s="2748"/>
      <c r="AO1311" s="2748"/>
      <c r="AP1311" s="2748"/>
    </row>
    <row r="1312" spans="2:42" ht="18" customHeight="1">
      <c r="B1312" s="2728"/>
      <c r="C1312" s="2728"/>
      <c r="D1312" s="2728"/>
      <c r="E1312" s="2728"/>
      <c r="G1312" s="2512"/>
      <c r="I1312" s="2748"/>
      <c r="J1312" s="2728"/>
      <c r="L1312" s="2728"/>
      <c r="M1312" s="2748"/>
      <c r="N1312" s="2728"/>
      <c r="O1312" s="2728"/>
      <c r="P1312" s="2728"/>
      <c r="Q1312" s="2748"/>
      <c r="R1312" s="2748"/>
      <c r="S1312" s="2748"/>
      <c r="T1312" s="2748"/>
      <c r="U1312" s="2748"/>
      <c r="V1312" s="2748"/>
      <c r="W1312" s="2748"/>
      <c r="X1312" s="2748"/>
      <c r="Y1312" s="2748"/>
      <c r="Z1312" s="2748"/>
      <c r="AA1312" s="2748"/>
      <c r="AB1312" s="2748"/>
      <c r="AC1312" s="2748"/>
      <c r="AD1312" s="2748"/>
      <c r="AE1312" s="2748"/>
      <c r="AF1312" s="2748"/>
      <c r="AG1312" s="2748"/>
      <c r="AH1312" s="2748"/>
      <c r="AI1312" s="2748"/>
      <c r="AK1312" s="2748"/>
      <c r="AL1312" s="2748"/>
      <c r="AN1312" s="2748"/>
      <c r="AO1312" s="2748"/>
      <c r="AP1312" s="2748"/>
    </row>
    <row r="1313" spans="2:42" ht="18" customHeight="1">
      <c r="B1313" s="2728"/>
      <c r="C1313" s="2728"/>
      <c r="D1313" s="2728"/>
      <c r="E1313" s="2728"/>
      <c r="G1313" s="2512"/>
      <c r="I1313" s="2748"/>
      <c r="J1313" s="2728"/>
      <c r="L1313" s="2728"/>
      <c r="M1313" s="2748"/>
      <c r="N1313" s="2728"/>
      <c r="O1313" s="2728"/>
      <c r="P1313" s="2728"/>
      <c r="Q1313" s="2748"/>
      <c r="R1313" s="2748"/>
      <c r="S1313" s="2748"/>
      <c r="T1313" s="2748"/>
      <c r="U1313" s="2748"/>
      <c r="V1313" s="2748"/>
      <c r="W1313" s="2748"/>
      <c r="X1313" s="2748"/>
      <c r="Y1313" s="2748"/>
      <c r="Z1313" s="2748"/>
      <c r="AA1313" s="2748"/>
      <c r="AB1313" s="2748"/>
      <c r="AC1313" s="2748"/>
      <c r="AD1313" s="2748"/>
      <c r="AE1313" s="2748"/>
      <c r="AF1313" s="2748"/>
      <c r="AG1313" s="2748"/>
      <c r="AH1313" s="2748"/>
      <c r="AI1313" s="2748"/>
      <c r="AK1313" s="2748"/>
      <c r="AL1313" s="2748"/>
      <c r="AN1313" s="2748"/>
      <c r="AO1313" s="2748"/>
      <c r="AP1313" s="2748"/>
    </row>
    <row r="1314" spans="2:42" ht="18" customHeight="1">
      <c r="B1314" s="2728"/>
      <c r="C1314" s="2728"/>
      <c r="D1314" s="2728"/>
      <c r="E1314" s="2728"/>
      <c r="G1314" s="2512"/>
      <c r="I1314" s="2748"/>
      <c r="J1314" s="2728"/>
      <c r="L1314" s="2728"/>
      <c r="M1314" s="2748"/>
      <c r="N1314" s="2728"/>
      <c r="O1314" s="2728"/>
      <c r="P1314" s="2728"/>
      <c r="Q1314" s="2748"/>
      <c r="R1314" s="2748"/>
      <c r="S1314" s="2748"/>
      <c r="T1314" s="2748"/>
      <c r="U1314" s="2748"/>
      <c r="V1314" s="2748"/>
      <c r="W1314" s="2748"/>
      <c r="X1314" s="2748"/>
      <c r="Y1314" s="2748"/>
      <c r="Z1314" s="2748"/>
      <c r="AA1314" s="2748"/>
      <c r="AB1314" s="2748"/>
      <c r="AC1314" s="2748"/>
      <c r="AD1314" s="2748"/>
      <c r="AE1314" s="2748"/>
      <c r="AF1314" s="2748"/>
      <c r="AG1314" s="2748"/>
      <c r="AH1314" s="2748"/>
      <c r="AI1314" s="2748"/>
      <c r="AK1314" s="2748"/>
      <c r="AL1314" s="2748"/>
      <c r="AN1314" s="2748"/>
      <c r="AO1314" s="2748"/>
      <c r="AP1314" s="2748"/>
    </row>
    <row r="1315" spans="2:42" ht="18" customHeight="1">
      <c r="B1315" s="2728"/>
      <c r="C1315" s="2728"/>
      <c r="D1315" s="2728"/>
      <c r="E1315" s="2728"/>
      <c r="G1315" s="2512"/>
      <c r="I1315" s="2748"/>
      <c r="J1315" s="2728"/>
      <c r="L1315" s="2728"/>
      <c r="M1315" s="2748"/>
      <c r="N1315" s="2728"/>
      <c r="O1315" s="2728"/>
      <c r="P1315" s="2728"/>
      <c r="Q1315" s="2748"/>
      <c r="R1315" s="2748"/>
      <c r="S1315" s="2748"/>
      <c r="T1315" s="2748"/>
      <c r="U1315" s="2748"/>
      <c r="V1315" s="2748"/>
      <c r="W1315" s="2748"/>
      <c r="X1315" s="2748"/>
      <c r="Y1315" s="2748"/>
      <c r="Z1315" s="2748"/>
      <c r="AA1315" s="2748"/>
      <c r="AB1315" s="2748"/>
      <c r="AC1315" s="2748"/>
      <c r="AD1315" s="2748"/>
      <c r="AE1315" s="2748"/>
      <c r="AF1315" s="2748"/>
      <c r="AG1315" s="2748"/>
      <c r="AH1315" s="2748"/>
      <c r="AI1315" s="2748"/>
      <c r="AK1315" s="2748"/>
      <c r="AL1315" s="2748"/>
      <c r="AN1315" s="2748"/>
      <c r="AO1315" s="2748"/>
      <c r="AP1315" s="2748"/>
    </row>
    <row r="1316" spans="2:42" ht="18" customHeight="1">
      <c r="B1316" s="2728"/>
      <c r="C1316" s="2728"/>
      <c r="D1316" s="2728"/>
      <c r="E1316" s="2728"/>
      <c r="G1316" s="2512"/>
      <c r="I1316" s="2748"/>
      <c r="J1316" s="2728"/>
      <c r="L1316" s="2728"/>
      <c r="M1316" s="2748"/>
      <c r="N1316" s="2728"/>
      <c r="O1316" s="2728"/>
      <c r="P1316" s="2728"/>
      <c r="Q1316" s="2748"/>
      <c r="R1316" s="2748"/>
      <c r="S1316" s="2748"/>
      <c r="T1316" s="2748"/>
      <c r="U1316" s="2748"/>
      <c r="V1316" s="2748"/>
      <c r="W1316" s="2748"/>
      <c r="X1316" s="2748"/>
      <c r="Y1316" s="2748"/>
      <c r="Z1316" s="2748"/>
      <c r="AA1316" s="2748"/>
      <c r="AB1316" s="2748"/>
      <c r="AC1316" s="2748"/>
      <c r="AD1316" s="2748"/>
      <c r="AE1316" s="2748"/>
      <c r="AF1316" s="2748"/>
      <c r="AG1316" s="2748"/>
      <c r="AH1316" s="2748"/>
      <c r="AI1316" s="2748"/>
      <c r="AK1316" s="2748"/>
      <c r="AL1316" s="2748"/>
      <c r="AN1316" s="2748"/>
      <c r="AO1316" s="2748"/>
      <c r="AP1316" s="2748"/>
    </row>
    <row r="1317" spans="2:42" ht="18" customHeight="1">
      <c r="B1317" s="2728"/>
      <c r="C1317" s="2728"/>
      <c r="D1317" s="2728"/>
      <c r="E1317" s="2728"/>
      <c r="G1317" s="2512"/>
      <c r="I1317" s="2748"/>
      <c r="J1317" s="2728"/>
      <c r="L1317" s="2728"/>
      <c r="M1317" s="2748"/>
      <c r="N1317" s="2728"/>
      <c r="O1317" s="2728"/>
      <c r="P1317" s="2728"/>
      <c r="Q1317" s="2748"/>
      <c r="R1317" s="2748"/>
      <c r="S1317" s="2748"/>
      <c r="T1317" s="2748"/>
      <c r="U1317" s="2748"/>
      <c r="V1317" s="2748"/>
      <c r="W1317" s="2748"/>
      <c r="X1317" s="2748"/>
      <c r="Y1317" s="2748"/>
      <c r="Z1317" s="2748"/>
      <c r="AA1317" s="2748"/>
      <c r="AB1317" s="2748"/>
      <c r="AC1317" s="2748"/>
      <c r="AD1317" s="2748"/>
      <c r="AE1317" s="2748"/>
      <c r="AF1317" s="2748"/>
      <c r="AG1317" s="2748"/>
      <c r="AH1317" s="2748"/>
      <c r="AI1317" s="2748"/>
      <c r="AK1317" s="2748"/>
      <c r="AL1317" s="2748"/>
      <c r="AN1317" s="2748"/>
      <c r="AO1317" s="2748"/>
      <c r="AP1317" s="2748"/>
    </row>
    <row r="1318" spans="2:42" ht="18" customHeight="1">
      <c r="B1318" s="2728"/>
      <c r="C1318" s="2728"/>
      <c r="D1318" s="2728"/>
      <c r="E1318" s="2728"/>
      <c r="G1318" s="2512"/>
      <c r="I1318" s="2748"/>
      <c r="J1318" s="2728"/>
      <c r="L1318" s="2728"/>
      <c r="M1318" s="2748"/>
      <c r="N1318" s="2728"/>
      <c r="O1318" s="2728"/>
      <c r="P1318" s="2728"/>
      <c r="Q1318" s="2748"/>
      <c r="R1318" s="2748"/>
      <c r="S1318" s="2748"/>
      <c r="T1318" s="2748"/>
      <c r="U1318" s="2748"/>
      <c r="V1318" s="2748"/>
      <c r="W1318" s="2748"/>
      <c r="X1318" s="2748"/>
      <c r="Y1318" s="2748"/>
      <c r="Z1318" s="2748"/>
      <c r="AA1318" s="2748"/>
      <c r="AB1318" s="2748"/>
      <c r="AC1318" s="2748"/>
      <c r="AD1318" s="2748"/>
      <c r="AE1318" s="2748"/>
      <c r="AF1318" s="2748"/>
      <c r="AG1318" s="2748"/>
      <c r="AH1318" s="2748"/>
      <c r="AI1318" s="2748"/>
      <c r="AK1318" s="2748"/>
      <c r="AL1318" s="2748"/>
      <c r="AN1318" s="2748"/>
      <c r="AO1318" s="2748"/>
      <c r="AP1318" s="2748"/>
    </row>
    <row r="1319" spans="2:42" ht="18" customHeight="1">
      <c r="B1319" s="2728"/>
      <c r="C1319" s="2728"/>
      <c r="D1319" s="2728"/>
      <c r="E1319" s="2728"/>
      <c r="G1319" s="2512"/>
      <c r="I1319" s="2748"/>
      <c r="J1319" s="2728"/>
      <c r="L1319" s="2728"/>
      <c r="M1319" s="2748"/>
      <c r="N1319" s="2728"/>
      <c r="O1319" s="2728"/>
      <c r="P1319" s="2728"/>
      <c r="Q1319" s="2748"/>
      <c r="R1319" s="2748"/>
      <c r="S1319" s="2748"/>
      <c r="T1319" s="2748"/>
      <c r="U1319" s="2748"/>
      <c r="V1319" s="2748"/>
      <c r="W1319" s="2748"/>
      <c r="X1319" s="2748"/>
      <c r="Y1319" s="2748"/>
      <c r="Z1319" s="2748"/>
      <c r="AA1319" s="2748"/>
      <c r="AB1319" s="2748"/>
      <c r="AC1319" s="2748"/>
      <c r="AD1319" s="2748"/>
      <c r="AE1319" s="2748"/>
      <c r="AF1319" s="2748"/>
      <c r="AG1319" s="2748"/>
      <c r="AH1319" s="2748"/>
      <c r="AI1319" s="2748"/>
      <c r="AK1319" s="2748"/>
      <c r="AL1319" s="2748"/>
      <c r="AN1319" s="2748"/>
      <c r="AO1319" s="2748"/>
      <c r="AP1319" s="2748"/>
    </row>
    <row r="1320" spans="2:42" ht="18" customHeight="1">
      <c r="B1320" s="2728"/>
      <c r="C1320" s="2728"/>
      <c r="D1320" s="2728"/>
      <c r="E1320" s="2728"/>
      <c r="G1320" s="2512"/>
      <c r="I1320" s="2748"/>
      <c r="J1320" s="2728"/>
      <c r="L1320" s="2728"/>
      <c r="M1320" s="2748"/>
      <c r="N1320" s="2728"/>
      <c r="O1320" s="2728"/>
      <c r="P1320" s="2728"/>
      <c r="Q1320" s="2748"/>
      <c r="R1320" s="2748"/>
      <c r="S1320" s="2748"/>
      <c r="T1320" s="2748"/>
      <c r="U1320" s="2748"/>
      <c r="V1320" s="2748"/>
      <c r="W1320" s="2748"/>
      <c r="X1320" s="2748"/>
      <c r="Y1320" s="2748"/>
      <c r="Z1320" s="2748"/>
      <c r="AA1320" s="2748"/>
      <c r="AB1320" s="2748"/>
      <c r="AC1320" s="2748"/>
      <c r="AD1320" s="2748"/>
      <c r="AE1320" s="2748"/>
      <c r="AF1320" s="2748"/>
      <c r="AG1320" s="2748"/>
      <c r="AH1320" s="2748"/>
      <c r="AI1320" s="2748"/>
      <c r="AK1320" s="2748"/>
      <c r="AL1320" s="2748"/>
      <c r="AN1320" s="2748"/>
      <c r="AO1320" s="2748"/>
      <c r="AP1320" s="2748"/>
    </row>
    <row r="1321" spans="2:42" ht="18" customHeight="1">
      <c r="B1321" s="2728"/>
      <c r="C1321" s="2728"/>
      <c r="D1321" s="2728"/>
      <c r="E1321" s="2728"/>
      <c r="G1321" s="2512"/>
      <c r="I1321" s="2748"/>
      <c r="J1321" s="2728"/>
      <c r="L1321" s="2728"/>
      <c r="M1321" s="2748"/>
      <c r="N1321" s="2728"/>
      <c r="O1321" s="2728"/>
      <c r="P1321" s="2728"/>
      <c r="Q1321" s="2748"/>
      <c r="R1321" s="2748"/>
      <c r="S1321" s="2748"/>
      <c r="T1321" s="2748"/>
      <c r="U1321" s="2748"/>
      <c r="V1321" s="2748"/>
      <c r="W1321" s="2748"/>
      <c r="X1321" s="2748"/>
      <c r="Y1321" s="2748"/>
      <c r="Z1321" s="2748"/>
      <c r="AA1321" s="2748"/>
      <c r="AB1321" s="2748"/>
      <c r="AC1321" s="2748"/>
      <c r="AD1321" s="2748"/>
      <c r="AE1321" s="2748"/>
      <c r="AF1321" s="2748"/>
      <c r="AG1321" s="2748"/>
      <c r="AH1321" s="2748"/>
      <c r="AI1321" s="2748"/>
      <c r="AK1321" s="2748"/>
      <c r="AL1321" s="2748"/>
      <c r="AN1321" s="2748"/>
      <c r="AO1321" s="2748"/>
      <c r="AP1321" s="2748"/>
    </row>
    <row r="1322" spans="2:42" ht="18" customHeight="1">
      <c r="B1322" s="2728"/>
      <c r="C1322" s="2728"/>
      <c r="D1322" s="2728"/>
      <c r="E1322" s="2728"/>
      <c r="G1322" s="2512"/>
      <c r="I1322" s="2748"/>
      <c r="J1322" s="2728"/>
      <c r="L1322" s="2728"/>
      <c r="M1322" s="2748"/>
      <c r="N1322" s="2728"/>
      <c r="O1322" s="2728"/>
      <c r="P1322" s="2728"/>
      <c r="Q1322" s="2748"/>
      <c r="R1322" s="2748"/>
      <c r="S1322" s="2748"/>
      <c r="T1322" s="2748"/>
      <c r="U1322" s="2748"/>
      <c r="V1322" s="2748"/>
      <c r="W1322" s="2748"/>
      <c r="X1322" s="2748"/>
      <c r="Y1322" s="2748"/>
      <c r="Z1322" s="2748"/>
      <c r="AA1322" s="2748"/>
      <c r="AB1322" s="2748"/>
      <c r="AC1322" s="2748"/>
      <c r="AD1322" s="2748"/>
      <c r="AE1322" s="2748"/>
      <c r="AF1322" s="2748"/>
      <c r="AG1322" s="2748"/>
      <c r="AH1322" s="2748"/>
      <c r="AI1322" s="2748"/>
      <c r="AK1322" s="2748"/>
      <c r="AL1322" s="2748"/>
      <c r="AN1322" s="2748"/>
      <c r="AO1322" s="2748"/>
      <c r="AP1322" s="2748"/>
    </row>
    <row r="1323" spans="2:42" ht="18" customHeight="1">
      <c r="B1323" s="2728"/>
      <c r="C1323" s="2728"/>
      <c r="D1323" s="2728"/>
      <c r="E1323" s="2728"/>
      <c r="G1323" s="2512"/>
      <c r="I1323" s="2748"/>
      <c r="J1323" s="2728"/>
      <c r="L1323" s="2728"/>
      <c r="M1323" s="2748"/>
      <c r="N1323" s="2728"/>
      <c r="O1323" s="2728"/>
      <c r="P1323" s="2728"/>
      <c r="Q1323" s="2748"/>
      <c r="R1323" s="2748"/>
      <c r="S1323" s="2748"/>
      <c r="T1323" s="2748"/>
      <c r="U1323" s="2748"/>
      <c r="V1323" s="2748"/>
      <c r="W1323" s="2748"/>
      <c r="X1323" s="2748"/>
      <c r="Y1323" s="2748"/>
      <c r="Z1323" s="2748"/>
      <c r="AA1323" s="2748"/>
      <c r="AB1323" s="2748"/>
      <c r="AC1323" s="2748"/>
      <c r="AD1323" s="2748"/>
      <c r="AE1323" s="2748"/>
      <c r="AF1323" s="2748"/>
      <c r="AG1323" s="2748"/>
      <c r="AH1323" s="2748"/>
      <c r="AI1323" s="2748"/>
      <c r="AK1323" s="2748"/>
      <c r="AL1323" s="2748"/>
      <c r="AN1323" s="2748"/>
      <c r="AO1323" s="2748"/>
      <c r="AP1323" s="2748"/>
    </row>
    <row r="1324" spans="2:42" ht="18" customHeight="1">
      <c r="B1324" s="2728"/>
      <c r="C1324" s="2728"/>
      <c r="D1324" s="2728"/>
      <c r="E1324" s="2728"/>
      <c r="G1324" s="2512"/>
      <c r="I1324" s="2748"/>
      <c r="J1324" s="2728"/>
      <c r="L1324" s="2728"/>
      <c r="M1324" s="2748"/>
      <c r="N1324" s="2728"/>
      <c r="O1324" s="2728"/>
      <c r="P1324" s="2728"/>
      <c r="Q1324" s="2748"/>
      <c r="R1324" s="2748"/>
      <c r="S1324" s="2748"/>
      <c r="T1324" s="2748"/>
      <c r="U1324" s="2748"/>
      <c r="V1324" s="2748"/>
      <c r="W1324" s="2748"/>
      <c r="X1324" s="2748"/>
      <c r="Y1324" s="2748"/>
      <c r="Z1324" s="2748"/>
      <c r="AA1324" s="2748"/>
      <c r="AB1324" s="2748"/>
      <c r="AC1324" s="2748"/>
      <c r="AD1324" s="2748"/>
      <c r="AE1324" s="2748"/>
      <c r="AF1324" s="2748"/>
      <c r="AG1324" s="2748"/>
      <c r="AH1324" s="2748"/>
      <c r="AI1324" s="2748"/>
      <c r="AK1324" s="2748"/>
      <c r="AL1324" s="2748"/>
      <c r="AN1324" s="2748"/>
      <c r="AO1324" s="2748"/>
      <c r="AP1324" s="2748"/>
    </row>
    <row r="1325" spans="2:42" ht="18" customHeight="1">
      <c r="B1325" s="2728"/>
      <c r="C1325" s="2728"/>
      <c r="D1325" s="2728"/>
      <c r="E1325" s="2728"/>
      <c r="G1325" s="2512"/>
      <c r="I1325" s="2748"/>
      <c r="J1325" s="2728"/>
      <c r="L1325" s="2728"/>
      <c r="M1325" s="2748"/>
      <c r="N1325" s="2728"/>
      <c r="O1325" s="2728"/>
      <c r="P1325" s="2728"/>
      <c r="Q1325" s="2748"/>
      <c r="R1325" s="2748"/>
      <c r="S1325" s="2748"/>
      <c r="T1325" s="2748"/>
      <c r="U1325" s="2748"/>
      <c r="V1325" s="2748"/>
      <c r="W1325" s="2748"/>
      <c r="X1325" s="2748"/>
      <c r="Y1325" s="2748"/>
      <c r="Z1325" s="2748"/>
      <c r="AA1325" s="2748"/>
      <c r="AB1325" s="2748"/>
      <c r="AC1325" s="2748"/>
      <c r="AD1325" s="2748"/>
      <c r="AE1325" s="2748"/>
      <c r="AF1325" s="2748"/>
      <c r="AG1325" s="2748"/>
      <c r="AH1325" s="2748"/>
      <c r="AI1325" s="2748"/>
      <c r="AK1325" s="2748"/>
      <c r="AL1325" s="2748"/>
      <c r="AN1325" s="2748"/>
      <c r="AO1325" s="2748"/>
      <c r="AP1325" s="2748"/>
    </row>
    <row r="1326" spans="2:42" ht="18" customHeight="1">
      <c r="B1326" s="2728"/>
      <c r="C1326" s="2728"/>
      <c r="D1326" s="2728"/>
      <c r="E1326" s="2728"/>
      <c r="G1326" s="2512"/>
      <c r="I1326" s="2748"/>
      <c r="J1326" s="2728"/>
      <c r="L1326" s="2728"/>
      <c r="M1326" s="2748"/>
      <c r="N1326" s="2728"/>
      <c r="O1326" s="2728"/>
      <c r="P1326" s="2728"/>
      <c r="Q1326" s="2748"/>
      <c r="R1326" s="2748"/>
      <c r="S1326" s="2748"/>
      <c r="T1326" s="2748"/>
      <c r="U1326" s="2748"/>
      <c r="V1326" s="2748"/>
      <c r="W1326" s="2748"/>
      <c r="X1326" s="2748"/>
      <c r="Y1326" s="2748"/>
      <c r="Z1326" s="2748"/>
      <c r="AA1326" s="2748"/>
      <c r="AB1326" s="2748"/>
      <c r="AC1326" s="2748"/>
      <c r="AD1326" s="2748"/>
      <c r="AE1326" s="2748"/>
      <c r="AF1326" s="2748"/>
      <c r="AG1326" s="2748"/>
      <c r="AH1326" s="2748"/>
      <c r="AI1326" s="2748"/>
      <c r="AK1326" s="2748"/>
      <c r="AL1326" s="2748"/>
      <c r="AN1326" s="2748"/>
      <c r="AO1326" s="2748"/>
      <c r="AP1326" s="2748"/>
    </row>
    <row r="1327" spans="2:42" ht="18" customHeight="1">
      <c r="B1327" s="2728"/>
      <c r="C1327" s="2728"/>
      <c r="D1327" s="2728"/>
      <c r="E1327" s="2728"/>
      <c r="G1327" s="2512"/>
      <c r="I1327" s="2748"/>
      <c r="J1327" s="2728"/>
      <c r="L1327" s="2728"/>
      <c r="M1327" s="2748"/>
      <c r="N1327" s="2728"/>
      <c r="O1327" s="2728"/>
      <c r="P1327" s="2728"/>
      <c r="Q1327" s="2748"/>
      <c r="R1327" s="2748"/>
      <c r="S1327" s="2748"/>
      <c r="T1327" s="2748"/>
      <c r="U1327" s="2748"/>
      <c r="V1327" s="2748"/>
      <c r="W1327" s="2748"/>
      <c r="X1327" s="2748"/>
      <c r="Y1327" s="2748"/>
      <c r="Z1327" s="2748"/>
      <c r="AA1327" s="2748"/>
      <c r="AB1327" s="2748"/>
      <c r="AC1327" s="2748"/>
      <c r="AD1327" s="2748"/>
      <c r="AE1327" s="2748"/>
      <c r="AF1327" s="2748"/>
      <c r="AG1327" s="2748"/>
      <c r="AH1327" s="2748"/>
      <c r="AI1327" s="2748"/>
      <c r="AK1327" s="2748"/>
      <c r="AL1327" s="2748"/>
      <c r="AN1327" s="2748"/>
      <c r="AO1327" s="2748"/>
      <c r="AP1327" s="2748"/>
    </row>
    <row r="1328" spans="2:42" ht="18" customHeight="1">
      <c r="B1328" s="2728"/>
      <c r="C1328" s="2728"/>
      <c r="D1328" s="2728"/>
      <c r="E1328" s="2728"/>
      <c r="G1328" s="2512"/>
      <c r="I1328" s="2748"/>
      <c r="J1328" s="2728"/>
      <c r="L1328" s="2728"/>
      <c r="M1328" s="2748"/>
      <c r="N1328" s="2728"/>
      <c r="O1328" s="2728"/>
      <c r="P1328" s="2728"/>
      <c r="Q1328" s="2748"/>
      <c r="R1328" s="2748"/>
      <c r="S1328" s="2748"/>
      <c r="T1328" s="2748"/>
      <c r="U1328" s="2748"/>
      <c r="V1328" s="2748"/>
      <c r="W1328" s="2748"/>
      <c r="X1328" s="2748"/>
      <c r="Y1328" s="2748"/>
      <c r="Z1328" s="2748"/>
      <c r="AA1328" s="2748"/>
      <c r="AB1328" s="2748"/>
      <c r="AC1328" s="2748"/>
      <c r="AD1328" s="2748"/>
      <c r="AE1328" s="2748"/>
      <c r="AF1328" s="2748"/>
      <c r="AG1328" s="2748"/>
      <c r="AH1328" s="2748"/>
      <c r="AI1328" s="2748"/>
      <c r="AK1328" s="2748"/>
      <c r="AL1328" s="2748"/>
      <c r="AN1328" s="2748"/>
      <c r="AO1328" s="2748"/>
      <c r="AP1328" s="2748"/>
    </row>
    <row r="1329" spans="2:42" ht="18" customHeight="1">
      <c r="B1329" s="2728"/>
      <c r="C1329" s="2728"/>
      <c r="D1329" s="2728"/>
      <c r="E1329" s="2728"/>
      <c r="G1329" s="2512"/>
      <c r="I1329" s="2748"/>
      <c r="J1329" s="2728"/>
      <c r="L1329" s="2728"/>
      <c r="M1329" s="2748"/>
      <c r="N1329" s="2728"/>
      <c r="O1329" s="2728"/>
      <c r="P1329" s="2728"/>
      <c r="Q1329" s="2748"/>
      <c r="R1329" s="2748"/>
      <c r="S1329" s="2748"/>
      <c r="T1329" s="2748"/>
      <c r="U1329" s="2748"/>
      <c r="V1329" s="2748"/>
      <c r="W1329" s="2748"/>
      <c r="X1329" s="2748"/>
      <c r="Y1329" s="2748"/>
      <c r="Z1329" s="2748"/>
      <c r="AA1329" s="2748"/>
      <c r="AB1329" s="2748"/>
      <c r="AC1329" s="2748"/>
      <c r="AD1329" s="2748"/>
      <c r="AE1329" s="2748"/>
      <c r="AF1329" s="2748"/>
      <c r="AG1329" s="2748"/>
      <c r="AH1329" s="2748"/>
      <c r="AI1329" s="2748"/>
      <c r="AK1329" s="2748"/>
      <c r="AL1329" s="2748"/>
      <c r="AN1329" s="2748"/>
      <c r="AO1329" s="2748"/>
      <c r="AP1329" s="2748"/>
    </row>
    <row r="1330" spans="2:42" ht="18" customHeight="1">
      <c r="B1330" s="2728"/>
      <c r="C1330" s="2728"/>
      <c r="D1330" s="2728"/>
      <c r="E1330" s="2728"/>
      <c r="G1330" s="2512"/>
      <c r="I1330" s="2748"/>
      <c r="J1330" s="2728"/>
      <c r="L1330" s="2728"/>
      <c r="M1330" s="2748"/>
      <c r="N1330" s="2728"/>
      <c r="O1330" s="2728"/>
      <c r="P1330" s="2728"/>
      <c r="Q1330" s="2748"/>
      <c r="R1330" s="2748"/>
      <c r="S1330" s="2748"/>
      <c r="T1330" s="2748"/>
      <c r="U1330" s="2748"/>
      <c r="V1330" s="2748"/>
      <c r="W1330" s="2748"/>
      <c r="X1330" s="2748"/>
      <c r="Y1330" s="2748"/>
      <c r="Z1330" s="2748"/>
      <c r="AA1330" s="2748"/>
      <c r="AB1330" s="2748"/>
      <c r="AC1330" s="2748"/>
      <c r="AD1330" s="2748"/>
      <c r="AE1330" s="2748"/>
      <c r="AF1330" s="2748"/>
      <c r="AG1330" s="2748"/>
      <c r="AH1330" s="2748"/>
      <c r="AI1330" s="2748"/>
      <c r="AK1330" s="2748"/>
      <c r="AL1330" s="2748"/>
      <c r="AN1330" s="2748"/>
      <c r="AO1330" s="2748"/>
      <c r="AP1330" s="2748"/>
    </row>
    <row r="1331" spans="2:42" ht="18" customHeight="1">
      <c r="B1331" s="2728"/>
      <c r="C1331" s="2728"/>
      <c r="D1331" s="2728"/>
      <c r="E1331" s="2728"/>
      <c r="G1331" s="2512"/>
      <c r="I1331" s="2748"/>
      <c r="J1331" s="2728"/>
      <c r="L1331" s="2728"/>
      <c r="M1331" s="2748"/>
      <c r="N1331" s="2728"/>
      <c r="O1331" s="2728"/>
      <c r="P1331" s="2728"/>
      <c r="Q1331" s="2748"/>
      <c r="R1331" s="2748"/>
      <c r="S1331" s="2748"/>
      <c r="T1331" s="2748"/>
      <c r="U1331" s="2748"/>
      <c r="V1331" s="2748"/>
      <c r="W1331" s="2748"/>
      <c r="X1331" s="2748"/>
      <c r="Y1331" s="2748"/>
      <c r="Z1331" s="2748"/>
      <c r="AA1331" s="2748"/>
      <c r="AB1331" s="2748"/>
      <c r="AC1331" s="2748"/>
      <c r="AD1331" s="2748"/>
      <c r="AE1331" s="2748"/>
      <c r="AF1331" s="2748"/>
      <c r="AG1331" s="2748"/>
      <c r="AH1331" s="2748"/>
      <c r="AI1331" s="2748"/>
      <c r="AK1331" s="2748"/>
      <c r="AL1331" s="2748"/>
      <c r="AN1331" s="2748"/>
      <c r="AO1331" s="2748"/>
      <c r="AP1331" s="2748"/>
    </row>
    <row r="1332" spans="2:42" ht="18" customHeight="1">
      <c r="B1332" s="2728"/>
      <c r="C1332" s="2728"/>
      <c r="D1332" s="2728"/>
      <c r="E1332" s="2728"/>
      <c r="G1332" s="2512"/>
      <c r="I1332" s="2748"/>
      <c r="J1332" s="2728"/>
      <c r="L1332" s="2728"/>
      <c r="M1332" s="2748"/>
      <c r="N1332" s="2728"/>
      <c r="O1332" s="2728"/>
      <c r="P1332" s="2728"/>
      <c r="Q1332" s="2748"/>
      <c r="R1332" s="2748"/>
      <c r="S1332" s="2748"/>
      <c r="T1332" s="2748"/>
      <c r="U1332" s="2748"/>
      <c r="V1332" s="2748"/>
      <c r="W1332" s="2748"/>
      <c r="X1332" s="2748"/>
      <c r="Y1332" s="2748"/>
      <c r="Z1332" s="2748"/>
      <c r="AA1332" s="2748"/>
      <c r="AB1332" s="2748"/>
      <c r="AC1332" s="2748"/>
      <c r="AD1332" s="2748"/>
      <c r="AE1332" s="2748"/>
      <c r="AF1332" s="2748"/>
      <c r="AG1332" s="2748"/>
      <c r="AH1332" s="2748"/>
      <c r="AI1332" s="2748"/>
      <c r="AK1332" s="2748"/>
      <c r="AL1332" s="2748"/>
      <c r="AN1332" s="2748"/>
      <c r="AO1332" s="2748"/>
      <c r="AP1332" s="2748"/>
    </row>
    <row r="1333" spans="2:42" ht="18" customHeight="1">
      <c r="B1333" s="2728"/>
      <c r="C1333" s="2728"/>
      <c r="D1333" s="2728"/>
      <c r="E1333" s="2728"/>
      <c r="G1333" s="2512"/>
      <c r="I1333" s="2748"/>
      <c r="J1333" s="2728"/>
      <c r="L1333" s="2728"/>
      <c r="M1333" s="2748"/>
      <c r="N1333" s="2728"/>
      <c r="O1333" s="2728"/>
      <c r="P1333" s="2728"/>
      <c r="Q1333" s="2748"/>
      <c r="R1333" s="2748"/>
      <c r="S1333" s="2748"/>
      <c r="T1333" s="2748"/>
      <c r="U1333" s="2748"/>
      <c r="V1333" s="2748"/>
      <c r="W1333" s="2748"/>
      <c r="X1333" s="2748"/>
      <c r="Y1333" s="2748"/>
      <c r="Z1333" s="2748"/>
      <c r="AA1333" s="2748"/>
      <c r="AB1333" s="2748"/>
      <c r="AC1333" s="2748"/>
      <c r="AD1333" s="2748"/>
      <c r="AE1333" s="2748"/>
      <c r="AF1333" s="2748"/>
      <c r="AG1333" s="2748"/>
      <c r="AH1333" s="2748"/>
      <c r="AI1333" s="2748"/>
      <c r="AK1333" s="2748"/>
      <c r="AL1333" s="2748"/>
      <c r="AN1333" s="2748"/>
      <c r="AO1333" s="2748"/>
      <c r="AP1333" s="2748"/>
    </row>
    <row r="1334" spans="2:42" ht="18" customHeight="1">
      <c r="B1334" s="2728"/>
      <c r="C1334" s="2728"/>
      <c r="D1334" s="2728"/>
      <c r="E1334" s="2728"/>
      <c r="G1334" s="2512"/>
      <c r="I1334" s="2748"/>
      <c r="J1334" s="2728"/>
      <c r="L1334" s="2728"/>
      <c r="M1334" s="2748"/>
      <c r="N1334" s="2728"/>
      <c r="O1334" s="2728"/>
      <c r="P1334" s="2728"/>
      <c r="Q1334" s="2748"/>
      <c r="R1334" s="2748"/>
      <c r="S1334" s="2748"/>
      <c r="T1334" s="2748"/>
      <c r="U1334" s="2748"/>
      <c r="V1334" s="2748"/>
      <c r="W1334" s="2748"/>
      <c r="X1334" s="2748"/>
      <c r="Y1334" s="2748"/>
      <c r="Z1334" s="2748"/>
      <c r="AA1334" s="2748"/>
      <c r="AB1334" s="2748"/>
      <c r="AC1334" s="2748"/>
      <c r="AD1334" s="2748"/>
      <c r="AE1334" s="2748"/>
      <c r="AF1334" s="2748"/>
      <c r="AG1334" s="2748"/>
      <c r="AH1334" s="2748"/>
      <c r="AI1334" s="2748"/>
      <c r="AK1334" s="2748"/>
      <c r="AL1334" s="2748"/>
      <c r="AN1334" s="2748"/>
      <c r="AO1334" s="2748"/>
      <c r="AP1334" s="2748"/>
    </row>
    <row r="1335" spans="2:42" ht="18" customHeight="1">
      <c r="B1335" s="2728"/>
      <c r="C1335" s="2728"/>
      <c r="D1335" s="2728"/>
      <c r="E1335" s="2728"/>
      <c r="G1335" s="2512"/>
      <c r="I1335" s="2748"/>
      <c r="J1335" s="2728"/>
      <c r="L1335" s="2728"/>
      <c r="M1335" s="2748"/>
      <c r="N1335" s="2728"/>
      <c r="O1335" s="2728"/>
      <c r="P1335" s="2728"/>
      <c r="Q1335" s="2748"/>
      <c r="R1335" s="2748"/>
      <c r="S1335" s="2748"/>
      <c r="T1335" s="2748"/>
      <c r="U1335" s="2748"/>
      <c r="V1335" s="2748"/>
      <c r="W1335" s="2748"/>
      <c r="X1335" s="2748"/>
      <c r="Y1335" s="2748"/>
      <c r="Z1335" s="2748"/>
      <c r="AA1335" s="2748"/>
      <c r="AB1335" s="2748"/>
      <c r="AC1335" s="2748"/>
      <c r="AD1335" s="2748"/>
      <c r="AE1335" s="2748"/>
      <c r="AF1335" s="2748"/>
      <c r="AG1335" s="2748"/>
      <c r="AH1335" s="2748"/>
      <c r="AI1335" s="2748"/>
      <c r="AK1335" s="2748"/>
      <c r="AL1335" s="2748"/>
      <c r="AN1335" s="2748"/>
      <c r="AO1335" s="2748"/>
      <c r="AP1335" s="2748"/>
    </row>
    <row r="1336" spans="2:42" ht="18" customHeight="1">
      <c r="B1336" s="2728"/>
      <c r="C1336" s="2728"/>
      <c r="D1336" s="2728"/>
      <c r="E1336" s="2728"/>
      <c r="G1336" s="2512"/>
      <c r="I1336" s="2748"/>
      <c r="J1336" s="2728"/>
      <c r="L1336" s="2728"/>
      <c r="M1336" s="2748"/>
      <c r="N1336" s="2728"/>
      <c r="O1336" s="2728"/>
      <c r="P1336" s="2728"/>
      <c r="Q1336" s="2748"/>
      <c r="R1336" s="2748"/>
      <c r="S1336" s="2748"/>
      <c r="T1336" s="2748"/>
      <c r="U1336" s="2748"/>
      <c r="V1336" s="2748"/>
      <c r="W1336" s="2748"/>
      <c r="X1336" s="2748"/>
      <c r="Y1336" s="2748"/>
      <c r="Z1336" s="2748"/>
      <c r="AA1336" s="2748"/>
      <c r="AB1336" s="2748"/>
      <c r="AC1336" s="2748"/>
      <c r="AD1336" s="2748"/>
      <c r="AE1336" s="2748"/>
      <c r="AF1336" s="2748"/>
      <c r="AG1336" s="2748"/>
      <c r="AH1336" s="2748"/>
      <c r="AI1336" s="2748"/>
      <c r="AK1336" s="2748"/>
      <c r="AL1336" s="2748"/>
      <c r="AN1336" s="2748"/>
      <c r="AO1336" s="2748"/>
      <c r="AP1336" s="2748"/>
    </row>
    <row r="1337" spans="2:42" ht="18" customHeight="1">
      <c r="B1337" s="2728"/>
      <c r="C1337" s="2728"/>
      <c r="D1337" s="2728"/>
      <c r="E1337" s="2728"/>
      <c r="G1337" s="2512"/>
      <c r="I1337" s="2748"/>
      <c r="J1337" s="2728"/>
      <c r="L1337" s="2728"/>
      <c r="M1337" s="2748"/>
      <c r="N1337" s="2728"/>
      <c r="O1337" s="2728"/>
      <c r="P1337" s="2728"/>
      <c r="Q1337" s="2748"/>
      <c r="R1337" s="2748"/>
      <c r="S1337" s="2748"/>
      <c r="T1337" s="2748"/>
      <c r="U1337" s="2748"/>
      <c r="V1337" s="2748"/>
      <c r="W1337" s="2748"/>
      <c r="X1337" s="2748"/>
      <c r="Y1337" s="2748"/>
      <c r="Z1337" s="2748"/>
      <c r="AA1337" s="2748"/>
      <c r="AB1337" s="2748"/>
      <c r="AC1337" s="2748"/>
      <c r="AD1337" s="2748"/>
      <c r="AE1337" s="2748"/>
      <c r="AF1337" s="2748"/>
      <c r="AG1337" s="2748"/>
      <c r="AH1337" s="2748"/>
      <c r="AI1337" s="2748"/>
      <c r="AK1337" s="2748"/>
      <c r="AL1337" s="2748"/>
      <c r="AN1337" s="2748"/>
      <c r="AO1337" s="2748"/>
      <c r="AP1337" s="2748"/>
    </row>
    <row r="1338" spans="2:42" ht="18" customHeight="1">
      <c r="B1338" s="2728"/>
      <c r="C1338" s="2728"/>
      <c r="D1338" s="2728"/>
      <c r="E1338" s="2728"/>
      <c r="G1338" s="2512"/>
      <c r="I1338" s="2748"/>
      <c r="J1338" s="2728"/>
      <c r="L1338" s="2728"/>
      <c r="M1338" s="2748"/>
      <c r="N1338" s="2728"/>
      <c r="O1338" s="2728"/>
      <c r="P1338" s="2728"/>
      <c r="Q1338" s="2748"/>
      <c r="R1338" s="2748"/>
      <c r="S1338" s="2748"/>
      <c r="T1338" s="2748"/>
      <c r="U1338" s="2748"/>
      <c r="V1338" s="2748"/>
      <c r="W1338" s="2748"/>
      <c r="X1338" s="2748"/>
      <c r="Y1338" s="2748"/>
      <c r="Z1338" s="2748"/>
      <c r="AA1338" s="2748"/>
      <c r="AB1338" s="2748"/>
      <c r="AC1338" s="2748"/>
      <c r="AD1338" s="2748"/>
      <c r="AE1338" s="2748"/>
      <c r="AF1338" s="2748"/>
      <c r="AG1338" s="2748"/>
      <c r="AH1338" s="2748"/>
      <c r="AI1338" s="2748"/>
      <c r="AK1338" s="2748"/>
      <c r="AL1338" s="2748"/>
      <c r="AN1338" s="2748"/>
      <c r="AO1338" s="2748"/>
      <c r="AP1338" s="2748"/>
    </row>
    <row r="1339" spans="2:42" ht="18" customHeight="1">
      <c r="B1339" s="2728"/>
      <c r="C1339" s="2728"/>
      <c r="D1339" s="2728"/>
      <c r="E1339" s="2728"/>
      <c r="G1339" s="2512"/>
      <c r="I1339" s="2748"/>
      <c r="J1339" s="2728"/>
      <c r="L1339" s="2728"/>
      <c r="M1339" s="2748"/>
      <c r="N1339" s="2728"/>
      <c r="O1339" s="2728"/>
      <c r="P1339" s="2728"/>
      <c r="Q1339" s="2748"/>
      <c r="R1339" s="2748"/>
      <c r="S1339" s="2748"/>
      <c r="T1339" s="2748"/>
      <c r="U1339" s="2748"/>
      <c r="V1339" s="2748"/>
      <c r="W1339" s="2748"/>
      <c r="X1339" s="2748"/>
      <c r="Y1339" s="2748"/>
      <c r="Z1339" s="2748"/>
      <c r="AA1339" s="2748"/>
      <c r="AB1339" s="2748"/>
      <c r="AC1339" s="2748"/>
      <c r="AD1339" s="2748"/>
      <c r="AE1339" s="2748"/>
      <c r="AF1339" s="2748"/>
      <c r="AG1339" s="2748"/>
      <c r="AH1339" s="2748"/>
      <c r="AI1339" s="2748"/>
      <c r="AK1339" s="2748"/>
      <c r="AL1339" s="2748"/>
      <c r="AN1339" s="2748"/>
      <c r="AO1339" s="2748"/>
      <c r="AP1339" s="2748"/>
    </row>
    <row r="1340" spans="2:42" ht="18" customHeight="1">
      <c r="B1340" s="2728"/>
      <c r="C1340" s="2728"/>
      <c r="D1340" s="2728"/>
      <c r="E1340" s="2728"/>
      <c r="G1340" s="2512"/>
      <c r="I1340" s="2748"/>
      <c r="J1340" s="2728"/>
      <c r="L1340" s="2728"/>
      <c r="M1340" s="2748"/>
      <c r="N1340" s="2728"/>
      <c r="O1340" s="2728"/>
      <c r="P1340" s="2728"/>
      <c r="Q1340" s="2748"/>
      <c r="R1340" s="2748"/>
      <c r="S1340" s="2748"/>
      <c r="T1340" s="2748"/>
      <c r="U1340" s="2748"/>
      <c r="V1340" s="2748"/>
      <c r="W1340" s="2748"/>
      <c r="X1340" s="2748"/>
      <c r="Y1340" s="2748"/>
      <c r="Z1340" s="2748"/>
      <c r="AA1340" s="2748"/>
      <c r="AB1340" s="2748"/>
      <c r="AC1340" s="2748"/>
      <c r="AD1340" s="2748"/>
      <c r="AE1340" s="2748"/>
      <c r="AF1340" s="2748"/>
      <c r="AG1340" s="2748"/>
      <c r="AH1340" s="2748"/>
      <c r="AI1340" s="2748"/>
      <c r="AK1340" s="2748"/>
      <c r="AL1340" s="2748"/>
      <c r="AN1340" s="2748"/>
      <c r="AO1340" s="2748"/>
      <c r="AP1340" s="2748"/>
    </row>
    <row r="1341" spans="2:42" ht="18" customHeight="1">
      <c r="B1341" s="2728"/>
      <c r="C1341" s="2728"/>
      <c r="D1341" s="2728"/>
      <c r="E1341" s="2728"/>
      <c r="G1341" s="2512"/>
      <c r="I1341" s="2748"/>
      <c r="J1341" s="2728"/>
      <c r="L1341" s="2728"/>
      <c r="M1341" s="2748"/>
      <c r="N1341" s="2728"/>
      <c r="O1341" s="2728"/>
      <c r="P1341" s="2728"/>
      <c r="Q1341" s="2748"/>
      <c r="R1341" s="2748"/>
      <c r="S1341" s="2748"/>
      <c r="T1341" s="2748"/>
      <c r="U1341" s="2748"/>
      <c r="V1341" s="2748"/>
      <c r="W1341" s="2748"/>
      <c r="X1341" s="2748"/>
      <c r="Y1341" s="2748"/>
      <c r="Z1341" s="2748"/>
      <c r="AA1341" s="2748"/>
      <c r="AB1341" s="2748"/>
      <c r="AC1341" s="2748"/>
      <c r="AD1341" s="2748"/>
      <c r="AE1341" s="2748"/>
      <c r="AF1341" s="2748"/>
      <c r="AG1341" s="2748"/>
      <c r="AH1341" s="2748"/>
      <c r="AI1341" s="2748"/>
      <c r="AK1341" s="2748"/>
      <c r="AL1341" s="2748"/>
      <c r="AN1341" s="2748"/>
      <c r="AO1341" s="2748"/>
      <c r="AP1341" s="2748"/>
    </row>
    <row r="1342" spans="2:42" ht="18" customHeight="1">
      <c r="B1342" s="2728"/>
      <c r="C1342" s="2728"/>
      <c r="D1342" s="2728"/>
      <c r="E1342" s="2728"/>
      <c r="G1342" s="2512"/>
      <c r="I1342" s="2748"/>
      <c r="J1342" s="2728"/>
      <c r="L1342" s="2728"/>
      <c r="M1342" s="2748"/>
      <c r="N1342" s="2728"/>
      <c r="O1342" s="2728"/>
      <c r="P1342" s="2728"/>
      <c r="Q1342" s="2748"/>
      <c r="R1342" s="2748"/>
      <c r="S1342" s="2748"/>
      <c r="T1342" s="2748"/>
      <c r="U1342" s="2748"/>
      <c r="V1342" s="2748"/>
      <c r="W1342" s="2748"/>
      <c r="X1342" s="2748"/>
      <c r="Y1342" s="2748"/>
      <c r="Z1342" s="2748"/>
      <c r="AA1342" s="2748"/>
      <c r="AB1342" s="2748"/>
      <c r="AC1342" s="2748"/>
      <c r="AD1342" s="2748"/>
      <c r="AE1342" s="2748"/>
      <c r="AF1342" s="2748"/>
      <c r="AG1342" s="2748"/>
      <c r="AH1342" s="2748"/>
      <c r="AI1342" s="2748"/>
      <c r="AK1342" s="2748"/>
      <c r="AL1342" s="2748"/>
      <c r="AN1342" s="2748"/>
      <c r="AO1342" s="2748"/>
      <c r="AP1342" s="2748"/>
    </row>
    <row r="1343" spans="2:42" ht="18" customHeight="1">
      <c r="B1343" s="2728"/>
      <c r="C1343" s="2728"/>
      <c r="D1343" s="2728"/>
      <c r="E1343" s="2728"/>
      <c r="G1343" s="2512"/>
      <c r="I1343" s="2748"/>
      <c r="J1343" s="2728"/>
      <c r="L1343" s="2728"/>
      <c r="M1343" s="2748"/>
      <c r="N1343" s="2728"/>
      <c r="O1343" s="2728"/>
      <c r="P1343" s="2728"/>
      <c r="Q1343" s="2748"/>
      <c r="R1343" s="2748"/>
      <c r="S1343" s="2748"/>
      <c r="T1343" s="2748"/>
      <c r="U1343" s="2748"/>
      <c r="V1343" s="2748"/>
      <c r="W1343" s="2748"/>
      <c r="X1343" s="2748"/>
      <c r="Y1343" s="2748"/>
      <c r="Z1343" s="2748"/>
      <c r="AA1343" s="2748"/>
      <c r="AB1343" s="2748"/>
      <c r="AC1343" s="2748"/>
      <c r="AD1343" s="2748"/>
      <c r="AE1343" s="2748"/>
      <c r="AF1343" s="2748"/>
      <c r="AG1343" s="2748"/>
      <c r="AH1343" s="2748"/>
      <c r="AI1343" s="2748"/>
      <c r="AK1343" s="2748"/>
      <c r="AL1343" s="2748"/>
      <c r="AN1343" s="2748"/>
      <c r="AO1343" s="2748"/>
      <c r="AP1343" s="2748"/>
    </row>
    <row r="1344" spans="2:42" ht="18" customHeight="1">
      <c r="B1344" s="2728"/>
      <c r="C1344" s="2728"/>
      <c r="D1344" s="2728"/>
      <c r="E1344" s="2728"/>
      <c r="G1344" s="2512"/>
      <c r="I1344" s="2748"/>
      <c r="J1344" s="2728"/>
      <c r="L1344" s="2728"/>
      <c r="M1344" s="2748"/>
      <c r="N1344" s="2728"/>
      <c r="O1344" s="2728"/>
      <c r="P1344" s="2728"/>
      <c r="Q1344" s="2748"/>
      <c r="R1344" s="2748"/>
      <c r="S1344" s="2748"/>
      <c r="T1344" s="2748"/>
      <c r="U1344" s="2748"/>
      <c r="V1344" s="2748"/>
      <c r="W1344" s="2748"/>
      <c r="X1344" s="2748"/>
      <c r="Y1344" s="2748"/>
      <c r="Z1344" s="2748"/>
      <c r="AA1344" s="2748"/>
      <c r="AB1344" s="2748"/>
      <c r="AC1344" s="2748"/>
      <c r="AD1344" s="2748"/>
      <c r="AE1344" s="2748"/>
      <c r="AF1344" s="2748"/>
      <c r="AG1344" s="2748"/>
      <c r="AH1344" s="2748"/>
      <c r="AI1344" s="2748"/>
      <c r="AK1344" s="2748"/>
      <c r="AL1344" s="2748"/>
      <c r="AN1344" s="2748"/>
      <c r="AO1344" s="2748"/>
      <c r="AP1344" s="2748"/>
    </row>
    <row r="1345" spans="2:42" ht="18" customHeight="1">
      <c r="B1345" s="2728"/>
      <c r="C1345" s="2728"/>
      <c r="D1345" s="2728"/>
      <c r="E1345" s="2728"/>
      <c r="G1345" s="2512"/>
      <c r="I1345" s="2748"/>
      <c r="J1345" s="2728"/>
      <c r="L1345" s="2728"/>
      <c r="M1345" s="2748"/>
      <c r="N1345" s="2728"/>
      <c r="O1345" s="2728"/>
      <c r="P1345" s="2728"/>
      <c r="Q1345" s="2748"/>
      <c r="R1345" s="2748"/>
      <c r="S1345" s="2748"/>
      <c r="T1345" s="2748"/>
      <c r="U1345" s="2748"/>
      <c r="V1345" s="2748"/>
      <c r="W1345" s="2748"/>
      <c r="X1345" s="2748"/>
      <c r="Y1345" s="2748"/>
      <c r="Z1345" s="2748"/>
      <c r="AA1345" s="2748"/>
      <c r="AB1345" s="2748"/>
      <c r="AC1345" s="2748"/>
      <c r="AD1345" s="2748"/>
      <c r="AE1345" s="2748"/>
      <c r="AF1345" s="2748"/>
      <c r="AG1345" s="2748"/>
      <c r="AH1345" s="2748"/>
      <c r="AI1345" s="2748"/>
      <c r="AK1345" s="2748"/>
      <c r="AL1345" s="2748"/>
      <c r="AN1345" s="2748"/>
      <c r="AO1345" s="2748"/>
      <c r="AP1345" s="2748"/>
    </row>
    <row r="1346" spans="2:42" ht="18" customHeight="1">
      <c r="B1346" s="2728"/>
      <c r="C1346" s="2728"/>
      <c r="D1346" s="2728"/>
      <c r="E1346" s="2728"/>
      <c r="G1346" s="2512"/>
      <c r="I1346" s="2748"/>
      <c r="J1346" s="2728"/>
      <c r="L1346" s="2728"/>
      <c r="M1346" s="2748"/>
      <c r="N1346" s="2728"/>
      <c r="O1346" s="2728"/>
      <c r="P1346" s="2728"/>
      <c r="Q1346" s="2748"/>
      <c r="R1346" s="2748"/>
      <c r="S1346" s="2748"/>
      <c r="T1346" s="2748"/>
      <c r="U1346" s="2748"/>
      <c r="V1346" s="2748"/>
      <c r="W1346" s="2748"/>
      <c r="X1346" s="2748"/>
      <c r="Y1346" s="2748"/>
      <c r="Z1346" s="2748"/>
      <c r="AA1346" s="2748"/>
      <c r="AB1346" s="2748"/>
      <c r="AC1346" s="2748"/>
      <c r="AD1346" s="2748"/>
      <c r="AE1346" s="2748"/>
      <c r="AF1346" s="2748"/>
      <c r="AG1346" s="2748"/>
      <c r="AH1346" s="2748"/>
      <c r="AI1346" s="2748"/>
      <c r="AK1346" s="2748"/>
      <c r="AL1346" s="2748"/>
      <c r="AN1346" s="2748"/>
      <c r="AO1346" s="2748"/>
      <c r="AP1346" s="2748"/>
    </row>
    <row r="1347" spans="2:42" ht="18" customHeight="1">
      <c r="B1347" s="2728"/>
      <c r="C1347" s="2728"/>
      <c r="D1347" s="2728"/>
      <c r="E1347" s="2728"/>
      <c r="G1347" s="2512"/>
      <c r="I1347" s="2748"/>
      <c r="J1347" s="2728"/>
      <c r="L1347" s="2728"/>
      <c r="M1347" s="2748"/>
      <c r="N1347" s="2728"/>
      <c r="O1347" s="2728"/>
      <c r="P1347" s="2728"/>
      <c r="Q1347" s="2748"/>
      <c r="R1347" s="2748"/>
      <c r="S1347" s="2748"/>
      <c r="T1347" s="2748"/>
      <c r="U1347" s="2748"/>
      <c r="V1347" s="2748"/>
      <c r="W1347" s="2748"/>
      <c r="X1347" s="2748"/>
      <c r="Y1347" s="2748"/>
      <c r="Z1347" s="2748"/>
      <c r="AA1347" s="2748"/>
      <c r="AB1347" s="2748"/>
      <c r="AC1347" s="2748"/>
      <c r="AD1347" s="2748"/>
      <c r="AE1347" s="2748"/>
      <c r="AF1347" s="2748"/>
      <c r="AG1347" s="2748"/>
      <c r="AH1347" s="2748"/>
      <c r="AI1347" s="2748"/>
      <c r="AK1347" s="2748"/>
      <c r="AL1347" s="2748"/>
      <c r="AN1347" s="2748"/>
      <c r="AO1347" s="2748"/>
      <c r="AP1347" s="2748"/>
    </row>
    <row r="1348" spans="2:42" ht="18" customHeight="1">
      <c r="B1348" s="2728"/>
      <c r="C1348" s="2728"/>
      <c r="D1348" s="2728"/>
      <c r="E1348" s="2728"/>
      <c r="G1348" s="2512"/>
      <c r="I1348" s="2748"/>
      <c r="J1348" s="2728"/>
      <c r="L1348" s="2728"/>
      <c r="M1348" s="2748"/>
      <c r="N1348" s="2728"/>
      <c r="O1348" s="2728"/>
      <c r="P1348" s="2728"/>
      <c r="Q1348" s="2748"/>
      <c r="R1348" s="2748"/>
      <c r="S1348" s="2748"/>
      <c r="T1348" s="2748"/>
      <c r="U1348" s="2748"/>
      <c r="V1348" s="2748"/>
      <c r="W1348" s="2748"/>
      <c r="X1348" s="2748"/>
      <c r="Y1348" s="2748"/>
      <c r="Z1348" s="2748"/>
      <c r="AA1348" s="2748"/>
      <c r="AB1348" s="2748"/>
      <c r="AC1348" s="2748"/>
      <c r="AD1348" s="2748"/>
      <c r="AE1348" s="2748"/>
      <c r="AF1348" s="2748"/>
      <c r="AG1348" s="2748"/>
      <c r="AH1348" s="2748"/>
      <c r="AI1348" s="2748"/>
      <c r="AK1348" s="2748"/>
      <c r="AL1348" s="2748"/>
      <c r="AN1348" s="2748"/>
      <c r="AO1348" s="2748"/>
      <c r="AP1348" s="2748"/>
    </row>
    <row r="1349" spans="2:42" ht="18" customHeight="1">
      <c r="B1349" s="2728"/>
      <c r="C1349" s="2728"/>
      <c r="D1349" s="2728"/>
      <c r="E1349" s="2728"/>
      <c r="G1349" s="2512"/>
      <c r="I1349" s="2748"/>
      <c r="J1349" s="2728"/>
      <c r="L1349" s="2728"/>
      <c r="M1349" s="2748"/>
      <c r="N1349" s="2728"/>
      <c r="O1349" s="2728"/>
      <c r="P1349" s="2728"/>
      <c r="Q1349" s="2748"/>
      <c r="R1349" s="2748"/>
      <c r="S1349" s="2748"/>
      <c r="T1349" s="2748"/>
      <c r="U1349" s="2748"/>
      <c r="V1349" s="2748"/>
      <c r="W1349" s="2748"/>
      <c r="X1349" s="2748"/>
      <c r="Y1349" s="2748"/>
      <c r="Z1349" s="2748"/>
      <c r="AA1349" s="2748"/>
      <c r="AB1349" s="2748"/>
      <c r="AC1349" s="2748"/>
      <c r="AD1349" s="2748"/>
      <c r="AE1349" s="2748"/>
      <c r="AF1349" s="2748"/>
      <c r="AG1349" s="2748"/>
      <c r="AH1349" s="2748"/>
      <c r="AI1349" s="2748"/>
      <c r="AK1349" s="2748"/>
      <c r="AL1349" s="2748"/>
      <c r="AN1349" s="2748"/>
      <c r="AO1349" s="2748"/>
      <c r="AP1349" s="2748"/>
    </row>
    <row r="1350" spans="2:42" ht="18" customHeight="1">
      <c r="B1350" s="2728"/>
      <c r="C1350" s="2728"/>
      <c r="D1350" s="2728"/>
      <c r="E1350" s="2728"/>
      <c r="G1350" s="2512"/>
      <c r="I1350" s="2748"/>
      <c r="J1350" s="2728"/>
      <c r="L1350" s="2728"/>
      <c r="M1350" s="2748"/>
      <c r="N1350" s="2728"/>
      <c r="O1350" s="2728"/>
      <c r="P1350" s="2728"/>
      <c r="Q1350" s="2748"/>
      <c r="R1350" s="2748"/>
      <c r="S1350" s="2748"/>
      <c r="T1350" s="2748"/>
      <c r="U1350" s="2748"/>
      <c r="V1350" s="2748"/>
      <c r="W1350" s="2748"/>
      <c r="X1350" s="2748"/>
      <c r="Y1350" s="2748"/>
      <c r="Z1350" s="2748"/>
      <c r="AA1350" s="2748"/>
      <c r="AB1350" s="2748"/>
      <c r="AC1350" s="2748"/>
      <c r="AD1350" s="2748"/>
      <c r="AE1350" s="2748"/>
      <c r="AF1350" s="2748"/>
      <c r="AG1350" s="2748"/>
      <c r="AH1350" s="2748"/>
      <c r="AI1350" s="2748"/>
      <c r="AK1350" s="2748"/>
      <c r="AL1350" s="2748"/>
      <c r="AN1350" s="2748"/>
      <c r="AO1350" s="2748"/>
      <c r="AP1350" s="2748"/>
    </row>
    <row r="1351" spans="2:42" ht="18" customHeight="1">
      <c r="B1351" s="2728"/>
      <c r="C1351" s="2728"/>
      <c r="D1351" s="2728"/>
      <c r="E1351" s="2728"/>
      <c r="G1351" s="2512"/>
      <c r="I1351" s="2748"/>
      <c r="J1351" s="2728"/>
      <c r="L1351" s="2728"/>
      <c r="M1351" s="2748"/>
      <c r="N1351" s="2728"/>
      <c r="O1351" s="2728"/>
      <c r="P1351" s="2728"/>
      <c r="Q1351" s="2748"/>
      <c r="R1351" s="2748"/>
      <c r="S1351" s="2748"/>
      <c r="T1351" s="2748"/>
      <c r="U1351" s="2748"/>
      <c r="V1351" s="2748"/>
      <c r="W1351" s="2748"/>
      <c r="X1351" s="2748"/>
      <c r="Y1351" s="2748"/>
      <c r="Z1351" s="2748"/>
      <c r="AA1351" s="2748"/>
      <c r="AB1351" s="2748"/>
      <c r="AC1351" s="2748"/>
      <c r="AD1351" s="2748"/>
      <c r="AE1351" s="2748"/>
      <c r="AF1351" s="2748"/>
      <c r="AG1351" s="2748"/>
      <c r="AH1351" s="2748"/>
      <c r="AI1351" s="2748"/>
      <c r="AK1351" s="2748"/>
      <c r="AL1351" s="2748"/>
      <c r="AN1351" s="2748"/>
      <c r="AO1351" s="2748"/>
      <c r="AP1351" s="2748"/>
    </row>
    <row r="1352" spans="2:42" ht="18" customHeight="1">
      <c r="B1352" s="2728"/>
      <c r="C1352" s="2728"/>
      <c r="D1352" s="2728"/>
      <c r="E1352" s="2728"/>
      <c r="G1352" s="2512"/>
      <c r="I1352" s="2748"/>
      <c r="J1352" s="2728"/>
      <c r="L1352" s="2728"/>
      <c r="M1352" s="2748"/>
      <c r="N1352" s="2728"/>
      <c r="O1352" s="2728"/>
      <c r="P1352" s="2728"/>
      <c r="Q1352" s="2748"/>
      <c r="R1352" s="2748"/>
      <c r="S1352" s="2748"/>
      <c r="T1352" s="2748"/>
      <c r="U1352" s="2748"/>
      <c r="V1352" s="2748"/>
      <c r="W1352" s="2748"/>
      <c r="X1352" s="2748"/>
      <c r="Y1352" s="2748"/>
      <c r="Z1352" s="2748"/>
      <c r="AA1352" s="2748"/>
      <c r="AB1352" s="2748"/>
      <c r="AC1352" s="2748"/>
      <c r="AD1352" s="2748"/>
      <c r="AE1352" s="2748"/>
      <c r="AF1352" s="2748"/>
      <c r="AG1352" s="2748"/>
      <c r="AH1352" s="2748"/>
      <c r="AI1352" s="2748"/>
      <c r="AK1352" s="2748"/>
      <c r="AL1352" s="2748"/>
      <c r="AN1352" s="2748"/>
      <c r="AO1352" s="2748"/>
      <c r="AP1352" s="2748"/>
    </row>
    <row r="1353" spans="2:42" ht="18" customHeight="1">
      <c r="B1353" s="2728"/>
      <c r="C1353" s="2728"/>
      <c r="D1353" s="2728"/>
      <c r="E1353" s="2728"/>
      <c r="G1353" s="2512"/>
      <c r="I1353" s="2748"/>
      <c r="J1353" s="2728"/>
      <c r="L1353" s="2728"/>
      <c r="M1353" s="2748"/>
      <c r="N1353" s="2728"/>
      <c r="O1353" s="2728"/>
      <c r="P1353" s="2728"/>
      <c r="Q1353" s="2748"/>
      <c r="R1353" s="2748"/>
      <c r="S1353" s="2748"/>
      <c r="T1353" s="2748"/>
      <c r="U1353" s="2748"/>
      <c r="V1353" s="2748"/>
      <c r="W1353" s="2748"/>
      <c r="X1353" s="2748"/>
      <c r="Y1353" s="2748"/>
      <c r="Z1353" s="2748"/>
      <c r="AA1353" s="2748"/>
      <c r="AB1353" s="2748"/>
      <c r="AC1353" s="2748"/>
      <c r="AD1353" s="2748"/>
      <c r="AE1353" s="2748"/>
      <c r="AF1353" s="2748"/>
      <c r="AG1353" s="2748"/>
      <c r="AH1353" s="2748"/>
      <c r="AI1353" s="2748"/>
      <c r="AK1353" s="2748"/>
      <c r="AL1353" s="2748"/>
      <c r="AN1353" s="2748"/>
      <c r="AO1353" s="2748"/>
      <c r="AP1353" s="2748"/>
    </row>
    <row r="1354" spans="2:42" ht="18" customHeight="1">
      <c r="B1354" s="2728"/>
      <c r="C1354" s="2728"/>
      <c r="D1354" s="2728"/>
      <c r="E1354" s="2728"/>
      <c r="G1354" s="2512"/>
      <c r="I1354" s="2748"/>
      <c r="J1354" s="2728"/>
      <c r="L1354" s="2728"/>
      <c r="M1354" s="2748"/>
      <c r="N1354" s="2728"/>
      <c r="O1354" s="2728"/>
      <c r="P1354" s="2728"/>
      <c r="Q1354" s="2748"/>
      <c r="R1354" s="2748"/>
      <c r="S1354" s="2748"/>
      <c r="T1354" s="2748"/>
      <c r="U1354" s="2748"/>
      <c r="V1354" s="2748"/>
      <c r="W1354" s="2748"/>
      <c r="X1354" s="2748"/>
      <c r="Y1354" s="2748"/>
      <c r="Z1354" s="2748"/>
      <c r="AA1354" s="2748"/>
      <c r="AB1354" s="2748"/>
      <c r="AC1354" s="2748"/>
      <c r="AD1354" s="2748"/>
      <c r="AE1354" s="2748"/>
      <c r="AF1354" s="2748"/>
      <c r="AG1354" s="2748"/>
      <c r="AH1354" s="2748"/>
      <c r="AI1354" s="2748"/>
      <c r="AK1354" s="2748"/>
      <c r="AL1354" s="2748"/>
      <c r="AN1354" s="2748"/>
      <c r="AO1354" s="2748"/>
      <c r="AP1354" s="2748"/>
    </row>
    <row r="1355" spans="2:42" ht="18" customHeight="1">
      <c r="B1355" s="2728"/>
      <c r="C1355" s="2728"/>
      <c r="D1355" s="2728"/>
      <c r="E1355" s="2728"/>
      <c r="G1355" s="2512"/>
      <c r="I1355" s="2748"/>
      <c r="J1355" s="2728"/>
      <c r="L1355" s="2728"/>
      <c r="M1355" s="2748"/>
      <c r="N1355" s="2728"/>
      <c r="O1355" s="2728"/>
      <c r="P1355" s="2728"/>
      <c r="Q1355" s="2748"/>
      <c r="R1355" s="2748"/>
      <c r="S1355" s="2748"/>
      <c r="T1355" s="2748"/>
      <c r="U1355" s="2748"/>
      <c r="V1355" s="2748"/>
      <c r="W1355" s="2748"/>
      <c r="X1355" s="2748"/>
      <c r="Y1355" s="2748"/>
      <c r="Z1355" s="2748"/>
      <c r="AA1355" s="2748"/>
      <c r="AB1355" s="2748"/>
      <c r="AC1355" s="2748"/>
      <c r="AD1355" s="2748"/>
      <c r="AE1355" s="2748"/>
      <c r="AF1355" s="2748"/>
      <c r="AG1355" s="2748"/>
      <c r="AH1355" s="2748"/>
      <c r="AI1355" s="2748"/>
      <c r="AK1355" s="2748"/>
      <c r="AL1355" s="2748"/>
      <c r="AN1355" s="2748"/>
      <c r="AO1355" s="2748"/>
      <c r="AP1355" s="2748"/>
    </row>
    <row r="1356" spans="2:42" ht="18" customHeight="1">
      <c r="B1356" s="2728"/>
      <c r="C1356" s="2728"/>
      <c r="D1356" s="2728"/>
      <c r="E1356" s="2728"/>
      <c r="G1356" s="2512"/>
      <c r="I1356" s="2748"/>
      <c r="J1356" s="2728"/>
      <c r="L1356" s="2728"/>
      <c r="M1356" s="2748"/>
      <c r="N1356" s="2728"/>
      <c r="O1356" s="2728"/>
      <c r="P1356" s="2728"/>
      <c r="Q1356" s="2748"/>
      <c r="R1356" s="2748"/>
      <c r="S1356" s="2748"/>
      <c r="T1356" s="2748"/>
      <c r="U1356" s="2748"/>
      <c r="V1356" s="2748"/>
      <c r="W1356" s="2748"/>
      <c r="X1356" s="2748"/>
      <c r="Y1356" s="2748"/>
      <c r="Z1356" s="2748"/>
      <c r="AA1356" s="2748"/>
      <c r="AB1356" s="2748"/>
      <c r="AC1356" s="2748"/>
      <c r="AD1356" s="2748"/>
      <c r="AE1356" s="2748"/>
      <c r="AF1356" s="2748"/>
      <c r="AG1356" s="2748"/>
      <c r="AH1356" s="2748"/>
      <c r="AI1356" s="2748"/>
      <c r="AK1356" s="2748"/>
      <c r="AL1356" s="2748"/>
      <c r="AN1356" s="2748"/>
      <c r="AO1356" s="2748"/>
      <c r="AP1356" s="2748"/>
    </row>
    <row r="1357" spans="2:42" ht="18" customHeight="1">
      <c r="B1357" s="2728"/>
      <c r="C1357" s="2728"/>
      <c r="D1357" s="2728"/>
      <c r="E1357" s="2728"/>
      <c r="G1357" s="2512"/>
      <c r="I1357" s="2748"/>
      <c r="J1357" s="2728"/>
      <c r="L1357" s="2728"/>
      <c r="M1357" s="2748"/>
      <c r="N1357" s="2728"/>
      <c r="O1357" s="2728"/>
      <c r="P1357" s="2728"/>
      <c r="Q1357" s="2748"/>
      <c r="R1357" s="2748"/>
      <c r="S1357" s="2748"/>
      <c r="T1357" s="2748"/>
      <c r="U1357" s="2748"/>
      <c r="V1357" s="2748"/>
      <c r="W1357" s="2748"/>
      <c r="X1357" s="2748"/>
      <c r="Y1357" s="2748"/>
      <c r="Z1357" s="2748"/>
      <c r="AA1357" s="2748"/>
      <c r="AB1357" s="2748"/>
      <c r="AC1357" s="2748"/>
      <c r="AD1357" s="2748"/>
      <c r="AE1357" s="2748"/>
      <c r="AF1357" s="2748"/>
      <c r="AG1357" s="2748"/>
      <c r="AH1357" s="2748"/>
      <c r="AI1357" s="2748"/>
      <c r="AK1357" s="2748"/>
      <c r="AL1357" s="2748"/>
      <c r="AN1357" s="2748"/>
      <c r="AO1357" s="2748"/>
      <c r="AP1357" s="2748"/>
    </row>
    <row r="1358" spans="2:42" ht="18" customHeight="1">
      <c r="B1358" s="2728"/>
      <c r="C1358" s="2728"/>
      <c r="D1358" s="2728"/>
      <c r="E1358" s="2728"/>
      <c r="G1358" s="2512"/>
      <c r="I1358" s="2748"/>
      <c r="J1358" s="2728"/>
      <c r="L1358" s="2728"/>
      <c r="M1358" s="2748"/>
      <c r="N1358" s="2728"/>
      <c r="O1358" s="2728"/>
      <c r="P1358" s="2728"/>
      <c r="Q1358" s="2748"/>
      <c r="R1358" s="2748"/>
      <c r="S1358" s="2748"/>
      <c r="T1358" s="2748"/>
      <c r="U1358" s="2748"/>
      <c r="V1358" s="2748"/>
      <c r="W1358" s="2748"/>
      <c r="X1358" s="2748"/>
      <c r="Y1358" s="2748"/>
      <c r="Z1358" s="2748"/>
      <c r="AA1358" s="2748"/>
      <c r="AB1358" s="2748"/>
      <c r="AC1358" s="2748"/>
      <c r="AD1358" s="2748"/>
      <c r="AE1358" s="2748"/>
      <c r="AF1358" s="2748"/>
      <c r="AG1358" s="2748"/>
      <c r="AH1358" s="2748"/>
      <c r="AI1358" s="2748"/>
      <c r="AK1358" s="2748"/>
      <c r="AL1358" s="2748"/>
      <c r="AN1358" s="2748"/>
      <c r="AO1358" s="2748"/>
      <c r="AP1358" s="2748"/>
    </row>
    <row r="1359" spans="2:42" ht="18" customHeight="1">
      <c r="B1359" s="2728"/>
      <c r="C1359" s="2728"/>
      <c r="D1359" s="2728"/>
      <c r="E1359" s="2728"/>
      <c r="G1359" s="2512"/>
      <c r="I1359" s="2748"/>
      <c r="J1359" s="2728"/>
      <c r="L1359" s="2728"/>
      <c r="M1359" s="2748"/>
      <c r="N1359" s="2728"/>
      <c r="O1359" s="2728"/>
      <c r="P1359" s="2728"/>
      <c r="Q1359" s="2748"/>
      <c r="R1359" s="2748"/>
      <c r="S1359" s="2748"/>
      <c r="T1359" s="2748"/>
      <c r="U1359" s="2748"/>
      <c r="V1359" s="2748"/>
      <c r="W1359" s="2748"/>
      <c r="X1359" s="2748"/>
      <c r="Y1359" s="2748"/>
      <c r="Z1359" s="2748"/>
      <c r="AA1359" s="2748"/>
      <c r="AB1359" s="2748"/>
      <c r="AC1359" s="2748"/>
      <c r="AD1359" s="2748"/>
      <c r="AE1359" s="2748"/>
      <c r="AF1359" s="2748"/>
      <c r="AG1359" s="2748"/>
      <c r="AH1359" s="2748"/>
      <c r="AI1359" s="2748"/>
      <c r="AK1359" s="2748"/>
      <c r="AL1359" s="2748"/>
      <c r="AN1359" s="2748"/>
      <c r="AO1359" s="2748"/>
      <c r="AP1359" s="2748"/>
    </row>
    <row r="1360" spans="2:42" ht="18" customHeight="1">
      <c r="B1360" s="2728"/>
      <c r="C1360" s="2728"/>
      <c r="D1360" s="2728"/>
      <c r="E1360" s="2728"/>
      <c r="G1360" s="2512"/>
      <c r="I1360" s="2748"/>
      <c r="J1360" s="2728"/>
      <c r="L1360" s="2728"/>
      <c r="M1360" s="2748"/>
      <c r="N1360" s="2728"/>
      <c r="O1360" s="2728"/>
      <c r="P1360" s="2728"/>
      <c r="Q1360" s="2748"/>
      <c r="R1360" s="2748"/>
      <c r="S1360" s="2748"/>
      <c r="T1360" s="2748"/>
      <c r="U1360" s="2748"/>
      <c r="V1360" s="2748"/>
      <c r="W1360" s="2748"/>
      <c r="X1360" s="2748"/>
      <c r="Y1360" s="2748"/>
      <c r="Z1360" s="2748"/>
      <c r="AA1360" s="2748"/>
      <c r="AB1360" s="2748"/>
      <c r="AC1360" s="2748"/>
      <c r="AD1360" s="2748"/>
      <c r="AE1360" s="2748"/>
      <c r="AF1360" s="2748"/>
      <c r="AG1360" s="2748"/>
      <c r="AH1360" s="2748"/>
      <c r="AI1360" s="2748"/>
      <c r="AK1360" s="2748"/>
      <c r="AL1360" s="2748"/>
      <c r="AN1360" s="2748"/>
      <c r="AO1360" s="2748"/>
      <c r="AP1360" s="2748"/>
    </row>
    <row r="1361" spans="2:42" ht="18" customHeight="1">
      <c r="B1361" s="2728"/>
      <c r="C1361" s="2728"/>
      <c r="D1361" s="2728"/>
      <c r="E1361" s="2728"/>
      <c r="G1361" s="2512"/>
      <c r="I1361" s="2748"/>
      <c r="J1361" s="2728"/>
      <c r="L1361" s="2728"/>
      <c r="M1361" s="2748"/>
      <c r="N1361" s="2728"/>
      <c r="O1361" s="2728"/>
      <c r="P1361" s="2728"/>
      <c r="Q1361" s="2748"/>
      <c r="R1361" s="2748"/>
      <c r="S1361" s="2748"/>
      <c r="T1361" s="2748"/>
      <c r="U1361" s="2748"/>
      <c r="V1361" s="2748"/>
      <c r="W1361" s="2748"/>
      <c r="X1361" s="2748"/>
      <c r="Y1361" s="2748"/>
      <c r="Z1361" s="2748"/>
      <c r="AA1361" s="2748"/>
      <c r="AB1361" s="2748"/>
      <c r="AC1361" s="2748"/>
      <c r="AD1361" s="2748"/>
      <c r="AE1361" s="2748"/>
      <c r="AF1361" s="2748"/>
      <c r="AG1361" s="2748"/>
      <c r="AH1361" s="2748"/>
      <c r="AI1361" s="2748"/>
      <c r="AK1361" s="2748"/>
      <c r="AL1361" s="2748"/>
      <c r="AN1361" s="2748"/>
      <c r="AO1361" s="2748"/>
      <c r="AP1361" s="2748"/>
    </row>
    <row r="1362" spans="2:42" ht="18" customHeight="1">
      <c r="B1362" s="2728"/>
      <c r="C1362" s="2728"/>
      <c r="D1362" s="2728"/>
      <c r="E1362" s="2728"/>
      <c r="G1362" s="2512"/>
      <c r="I1362" s="2748"/>
      <c r="J1362" s="2728"/>
      <c r="L1362" s="2728"/>
      <c r="M1362" s="2748"/>
      <c r="N1362" s="2728"/>
      <c r="O1362" s="2728"/>
      <c r="P1362" s="2728"/>
      <c r="Q1362" s="2748"/>
      <c r="R1362" s="2748"/>
      <c r="S1362" s="2748"/>
      <c r="T1362" s="2748"/>
      <c r="U1362" s="2748"/>
      <c r="V1362" s="2748"/>
      <c r="W1362" s="2748"/>
      <c r="X1362" s="2748"/>
      <c r="Y1362" s="2748"/>
      <c r="Z1362" s="2748"/>
      <c r="AA1362" s="2748"/>
      <c r="AB1362" s="2748"/>
      <c r="AC1362" s="2748"/>
      <c r="AD1362" s="2748"/>
      <c r="AE1362" s="2748"/>
      <c r="AF1362" s="2748"/>
      <c r="AG1362" s="2748"/>
      <c r="AH1362" s="2748"/>
      <c r="AI1362" s="2748"/>
      <c r="AK1362" s="2748"/>
      <c r="AL1362" s="2748"/>
      <c r="AN1362" s="2748"/>
      <c r="AO1362" s="2748"/>
      <c r="AP1362" s="2748"/>
    </row>
    <row r="1363" spans="2:42" ht="18" customHeight="1">
      <c r="B1363" s="2728"/>
      <c r="C1363" s="2728"/>
      <c r="D1363" s="2728"/>
      <c r="E1363" s="2728"/>
      <c r="G1363" s="2512"/>
      <c r="I1363" s="2748"/>
      <c r="J1363" s="2728"/>
      <c r="L1363" s="2728"/>
      <c r="M1363" s="2748"/>
      <c r="N1363" s="2728"/>
      <c r="O1363" s="2728"/>
      <c r="P1363" s="2728"/>
      <c r="Q1363" s="2748"/>
      <c r="R1363" s="2748"/>
      <c r="S1363" s="2748"/>
      <c r="T1363" s="2748"/>
      <c r="U1363" s="2748"/>
      <c r="V1363" s="2748"/>
      <c r="W1363" s="2748"/>
      <c r="X1363" s="2748"/>
      <c r="Y1363" s="2748"/>
      <c r="Z1363" s="2748"/>
      <c r="AA1363" s="2748"/>
      <c r="AB1363" s="2748"/>
      <c r="AC1363" s="2748"/>
      <c r="AD1363" s="2748"/>
      <c r="AE1363" s="2748"/>
      <c r="AF1363" s="2748"/>
      <c r="AG1363" s="2748"/>
      <c r="AH1363" s="2748"/>
      <c r="AI1363" s="2748"/>
      <c r="AK1363" s="2748"/>
      <c r="AL1363" s="2748"/>
      <c r="AN1363" s="2748"/>
      <c r="AO1363" s="2748"/>
      <c r="AP1363" s="2748"/>
    </row>
    <row r="1364" spans="2:42" ht="18" customHeight="1">
      <c r="B1364" s="2728"/>
      <c r="C1364" s="2728"/>
      <c r="D1364" s="2728"/>
      <c r="E1364" s="2728"/>
      <c r="G1364" s="2512"/>
      <c r="I1364" s="2748"/>
      <c r="J1364" s="2728"/>
      <c r="L1364" s="2728"/>
      <c r="M1364" s="2748"/>
      <c r="N1364" s="2728"/>
      <c r="O1364" s="2728"/>
      <c r="P1364" s="2728"/>
      <c r="Q1364" s="2748"/>
      <c r="R1364" s="2748"/>
      <c r="S1364" s="2748"/>
      <c r="T1364" s="2748"/>
      <c r="U1364" s="2748"/>
      <c r="V1364" s="2748"/>
      <c r="W1364" s="2748"/>
      <c r="X1364" s="2748"/>
      <c r="Y1364" s="2748"/>
      <c r="Z1364" s="2748"/>
      <c r="AA1364" s="2748"/>
      <c r="AB1364" s="2748"/>
      <c r="AC1364" s="2748"/>
      <c r="AD1364" s="2748"/>
      <c r="AE1364" s="2748"/>
      <c r="AF1364" s="2748"/>
      <c r="AG1364" s="2748"/>
      <c r="AH1364" s="2748"/>
      <c r="AI1364" s="2748"/>
      <c r="AK1364" s="2748"/>
      <c r="AL1364" s="2748"/>
      <c r="AN1364" s="2748"/>
      <c r="AO1364" s="2748"/>
      <c r="AP1364" s="2748"/>
    </row>
    <row r="1365" spans="2:42" ht="18" customHeight="1">
      <c r="B1365" s="2728"/>
      <c r="C1365" s="2728"/>
      <c r="D1365" s="2728"/>
      <c r="E1365" s="2728"/>
      <c r="G1365" s="2512"/>
      <c r="I1365" s="2748"/>
      <c r="J1365" s="2728"/>
      <c r="L1365" s="2728"/>
      <c r="M1365" s="2748"/>
      <c r="N1365" s="2728"/>
      <c r="O1365" s="2728"/>
      <c r="P1365" s="2728"/>
      <c r="Q1365" s="2748"/>
      <c r="R1365" s="2748"/>
      <c r="S1365" s="2748"/>
      <c r="T1365" s="2748"/>
      <c r="U1365" s="2748"/>
      <c r="V1365" s="2748"/>
      <c r="W1365" s="2748"/>
      <c r="X1365" s="2748"/>
      <c r="Y1365" s="2748"/>
      <c r="Z1365" s="2748"/>
      <c r="AA1365" s="2748"/>
      <c r="AB1365" s="2748"/>
      <c r="AC1365" s="2748"/>
      <c r="AD1365" s="2748"/>
      <c r="AE1365" s="2748"/>
      <c r="AF1365" s="2748"/>
      <c r="AG1365" s="2748"/>
      <c r="AH1365" s="2748"/>
      <c r="AI1365" s="2748"/>
      <c r="AK1365" s="2748"/>
      <c r="AL1365" s="2748"/>
      <c r="AN1365" s="2748"/>
      <c r="AO1365" s="2748"/>
      <c r="AP1365" s="2748"/>
    </row>
    <row r="1366" spans="2:42" ht="18" customHeight="1">
      <c r="B1366" s="2728"/>
      <c r="C1366" s="2728"/>
      <c r="D1366" s="2728"/>
      <c r="E1366" s="2728"/>
      <c r="G1366" s="2512"/>
      <c r="I1366" s="2748"/>
      <c r="J1366" s="2728"/>
      <c r="L1366" s="2728"/>
      <c r="M1366" s="2748"/>
      <c r="N1366" s="2728"/>
      <c r="O1366" s="2728"/>
      <c r="P1366" s="2728"/>
      <c r="Q1366" s="2748"/>
      <c r="R1366" s="2748"/>
      <c r="S1366" s="2748"/>
      <c r="T1366" s="2748"/>
      <c r="U1366" s="2748"/>
      <c r="V1366" s="2748"/>
      <c r="W1366" s="2748"/>
      <c r="X1366" s="2748"/>
      <c r="Y1366" s="2748"/>
      <c r="Z1366" s="2748"/>
      <c r="AA1366" s="2748"/>
      <c r="AB1366" s="2748"/>
      <c r="AC1366" s="2748"/>
      <c r="AD1366" s="2748"/>
      <c r="AE1366" s="2748"/>
      <c r="AF1366" s="2748"/>
      <c r="AG1366" s="2748"/>
      <c r="AH1366" s="2748"/>
      <c r="AI1366" s="2748"/>
      <c r="AK1366" s="2748"/>
      <c r="AL1366" s="2748"/>
      <c r="AN1366" s="2748"/>
      <c r="AO1366" s="2748"/>
      <c r="AP1366" s="2748"/>
    </row>
    <row r="1367" spans="2:42" ht="18" customHeight="1">
      <c r="B1367" s="2728"/>
      <c r="C1367" s="2728"/>
      <c r="D1367" s="2728"/>
      <c r="E1367" s="2728"/>
      <c r="G1367" s="2512"/>
      <c r="I1367" s="2748"/>
      <c r="J1367" s="2728"/>
      <c r="L1367" s="2728"/>
      <c r="M1367" s="2748"/>
      <c r="N1367" s="2728"/>
      <c r="O1367" s="2728"/>
      <c r="P1367" s="2728"/>
      <c r="Q1367" s="2748"/>
      <c r="R1367" s="2748"/>
      <c r="S1367" s="2748"/>
      <c r="T1367" s="2748"/>
      <c r="U1367" s="2748"/>
      <c r="V1367" s="2748"/>
      <c r="W1367" s="2748"/>
      <c r="X1367" s="2748"/>
      <c r="Y1367" s="2748"/>
      <c r="Z1367" s="2748"/>
      <c r="AA1367" s="2748"/>
      <c r="AB1367" s="2748"/>
      <c r="AC1367" s="2748"/>
      <c r="AD1367" s="2748"/>
      <c r="AE1367" s="2748"/>
      <c r="AF1367" s="2748"/>
      <c r="AG1367" s="2748"/>
      <c r="AH1367" s="2748"/>
      <c r="AI1367" s="2748"/>
      <c r="AK1367" s="2748"/>
      <c r="AL1367" s="2748"/>
      <c r="AN1367" s="2748"/>
      <c r="AO1367" s="2748"/>
      <c r="AP1367" s="2748"/>
    </row>
    <row r="1368" spans="2:42" ht="18" customHeight="1">
      <c r="B1368" s="2728"/>
      <c r="C1368" s="2728"/>
      <c r="D1368" s="2728"/>
      <c r="E1368" s="2728"/>
      <c r="G1368" s="2512"/>
      <c r="I1368" s="2748"/>
      <c r="J1368" s="2728"/>
      <c r="L1368" s="2728"/>
      <c r="M1368" s="2748"/>
      <c r="N1368" s="2728"/>
      <c r="O1368" s="2728"/>
      <c r="P1368" s="2728"/>
      <c r="Q1368" s="2748"/>
      <c r="R1368" s="2748"/>
      <c r="S1368" s="2748"/>
      <c r="T1368" s="2748"/>
      <c r="U1368" s="2748"/>
      <c r="V1368" s="2748"/>
      <c r="W1368" s="2748"/>
      <c r="X1368" s="2748"/>
      <c r="Y1368" s="2748"/>
      <c r="Z1368" s="2748"/>
      <c r="AA1368" s="2748"/>
      <c r="AB1368" s="2748"/>
      <c r="AC1368" s="2748"/>
      <c r="AD1368" s="2748"/>
      <c r="AE1368" s="2748"/>
      <c r="AF1368" s="2748"/>
      <c r="AG1368" s="2748"/>
      <c r="AH1368" s="2748"/>
      <c r="AI1368" s="2748"/>
      <c r="AK1368" s="2748"/>
      <c r="AL1368" s="2748"/>
      <c r="AN1368" s="2748"/>
      <c r="AO1368" s="2748"/>
      <c r="AP1368" s="2748"/>
    </row>
    <row r="1369" spans="2:42" ht="18" customHeight="1">
      <c r="B1369" s="2728"/>
      <c r="C1369" s="2728"/>
      <c r="D1369" s="2728"/>
      <c r="E1369" s="2728"/>
      <c r="G1369" s="2512"/>
      <c r="I1369" s="2748"/>
      <c r="J1369" s="2728"/>
      <c r="L1369" s="2728"/>
      <c r="M1369" s="2748"/>
      <c r="N1369" s="2728"/>
      <c r="O1369" s="2728"/>
      <c r="P1369" s="2728"/>
      <c r="Q1369" s="2748"/>
      <c r="R1369" s="2748"/>
      <c r="S1369" s="2748"/>
      <c r="T1369" s="2748"/>
      <c r="U1369" s="2748"/>
      <c r="V1369" s="2748"/>
      <c r="W1369" s="2748"/>
      <c r="X1369" s="2748"/>
      <c r="Y1369" s="2748"/>
      <c r="Z1369" s="2748"/>
      <c r="AA1369" s="2748"/>
      <c r="AB1369" s="2748"/>
      <c r="AC1369" s="2748"/>
      <c r="AD1369" s="2748"/>
      <c r="AE1369" s="2748"/>
      <c r="AF1369" s="2748"/>
      <c r="AG1369" s="2748"/>
      <c r="AH1369" s="2748"/>
      <c r="AI1369" s="2748"/>
      <c r="AK1369" s="2748"/>
      <c r="AL1369" s="2748"/>
      <c r="AN1369" s="2748"/>
      <c r="AO1369" s="2748"/>
      <c r="AP1369" s="2748"/>
    </row>
    <row r="1370" spans="2:42" ht="18" customHeight="1">
      <c r="B1370" s="2728"/>
      <c r="C1370" s="2728"/>
      <c r="D1370" s="2728"/>
      <c r="E1370" s="2728"/>
      <c r="G1370" s="2512"/>
      <c r="I1370" s="2748"/>
      <c r="J1370" s="2728"/>
      <c r="L1370" s="2728"/>
      <c r="M1370" s="2748"/>
      <c r="N1370" s="2728"/>
      <c r="O1370" s="2728"/>
      <c r="P1370" s="2728"/>
      <c r="Q1370" s="2748"/>
      <c r="R1370" s="2748"/>
      <c r="S1370" s="2748"/>
      <c r="T1370" s="2748"/>
      <c r="U1370" s="2748"/>
      <c r="V1370" s="2748"/>
      <c r="W1370" s="2748"/>
      <c r="X1370" s="2748"/>
      <c r="Y1370" s="2748"/>
      <c r="Z1370" s="2748"/>
      <c r="AA1370" s="2748"/>
      <c r="AB1370" s="2748"/>
      <c r="AC1370" s="2748"/>
      <c r="AD1370" s="2748"/>
      <c r="AE1370" s="2748"/>
      <c r="AF1370" s="2748"/>
      <c r="AG1370" s="2748"/>
      <c r="AH1370" s="2748"/>
      <c r="AI1370" s="2748"/>
      <c r="AK1370" s="2748"/>
      <c r="AL1370" s="2748"/>
      <c r="AN1370" s="2748"/>
      <c r="AO1370" s="2748"/>
      <c r="AP1370" s="2748"/>
    </row>
    <row r="1371" spans="2:42" ht="18" customHeight="1">
      <c r="B1371" s="2728"/>
      <c r="C1371" s="2728"/>
      <c r="D1371" s="2728"/>
      <c r="E1371" s="2728"/>
      <c r="G1371" s="2512"/>
      <c r="I1371" s="2748"/>
      <c r="J1371" s="2728"/>
      <c r="L1371" s="2728"/>
      <c r="M1371" s="2748"/>
      <c r="N1371" s="2728"/>
      <c r="O1371" s="2728"/>
      <c r="P1371" s="2728"/>
      <c r="Q1371" s="2748"/>
      <c r="R1371" s="2748"/>
      <c r="S1371" s="2748"/>
      <c r="T1371" s="2748"/>
      <c r="U1371" s="2748"/>
      <c r="V1371" s="2748"/>
      <c r="W1371" s="2748"/>
      <c r="X1371" s="2748"/>
      <c r="Y1371" s="2748"/>
      <c r="Z1371" s="2748"/>
      <c r="AA1371" s="2748"/>
      <c r="AB1371" s="2748"/>
      <c r="AC1371" s="2748"/>
      <c r="AD1371" s="2748"/>
      <c r="AE1371" s="2748"/>
      <c r="AF1371" s="2748"/>
      <c r="AG1371" s="2748"/>
      <c r="AH1371" s="2748"/>
      <c r="AI1371" s="2748"/>
      <c r="AK1371" s="2748"/>
      <c r="AL1371" s="2748"/>
      <c r="AN1371" s="2748"/>
      <c r="AO1371" s="2748"/>
      <c r="AP1371" s="2748"/>
    </row>
    <row r="1372" spans="2:42" ht="18" customHeight="1">
      <c r="B1372" s="2728"/>
      <c r="C1372" s="2728"/>
      <c r="D1372" s="2728"/>
      <c r="E1372" s="2728"/>
      <c r="G1372" s="2512"/>
      <c r="I1372" s="2748"/>
      <c r="J1372" s="2728"/>
      <c r="L1372" s="2728"/>
      <c r="M1372" s="2748"/>
      <c r="N1372" s="2728"/>
      <c r="O1372" s="2728"/>
      <c r="P1372" s="2728"/>
      <c r="Q1372" s="2748"/>
      <c r="R1372" s="2748"/>
      <c r="S1372" s="2748"/>
      <c r="T1372" s="2748"/>
      <c r="U1372" s="2748"/>
      <c r="V1372" s="2748"/>
      <c r="W1372" s="2748"/>
      <c r="X1372" s="2748"/>
      <c r="Y1372" s="2748"/>
      <c r="Z1372" s="2748"/>
      <c r="AA1372" s="2748"/>
      <c r="AB1372" s="2748"/>
      <c r="AC1372" s="2748"/>
      <c r="AD1372" s="2748"/>
      <c r="AE1372" s="2748"/>
      <c r="AF1372" s="2748"/>
      <c r="AG1372" s="2748"/>
      <c r="AH1372" s="2748"/>
      <c r="AI1372" s="2748"/>
      <c r="AK1372" s="2748"/>
      <c r="AL1372" s="2748"/>
      <c r="AN1372" s="2748"/>
      <c r="AO1372" s="2748"/>
      <c r="AP1372" s="2748"/>
    </row>
    <row r="1373" spans="2:42" ht="18" customHeight="1">
      <c r="B1373" s="2728"/>
      <c r="C1373" s="2728"/>
      <c r="D1373" s="2728"/>
      <c r="E1373" s="2728"/>
      <c r="G1373" s="2512"/>
      <c r="I1373" s="2748"/>
      <c r="J1373" s="2728"/>
      <c r="L1373" s="2728"/>
      <c r="M1373" s="2748"/>
      <c r="N1373" s="2728"/>
      <c r="O1373" s="2728"/>
      <c r="P1373" s="2728"/>
      <c r="Q1373" s="2748"/>
      <c r="R1373" s="2748"/>
      <c r="S1373" s="2748"/>
      <c r="T1373" s="2748"/>
      <c r="U1373" s="2748"/>
      <c r="V1373" s="2748"/>
      <c r="W1373" s="2748"/>
      <c r="X1373" s="2748"/>
      <c r="Y1373" s="2748"/>
      <c r="Z1373" s="2748"/>
      <c r="AA1373" s="2748"/>
      <c r="AB1373" s="2748"/>
      <c r="AC1373" s="2748"/>
      <c r="AD1373" s="2748"/>
      <c r="AE1373" s="2748"/>
      <c r="AF1373" s="2748"/>
      <c r="AG1373" s="2748"/>
      <c r="AH1373" s="2748"/>
      <c r="AI1373" s="2748"/>
      <c r="AK1373" s="2748"/>
      <c r="AL1373" s="2748"/>
      <c r="AN1373" s="2748"/>
      <c r="AO1373" s="2748"/>
      <c r="AP1373" s="2748"/>
    </row>
    <row r="1374" spans="2:42" ht="18" customHeight="1">
      <c r="B1374" s="2728"/>
      <c r="C1374" s="2728"/>
      <c r="D1374" s="2728"/>
      <c r="E1374" s="2728"/>
      <c r="G1374" s="2512"/>
      <c r="I1374" s="2748"/>
      <c r="J1374" s="2728"/>
      <c r="L1374" s="2728"/>
      <c r="M1374" s="2748"/>
      <c r="N1374" s="2728"/>
      <c r="O1374" s="2728"/>
      <c r="P1374" s="2728"/>
      <c r="Q1374" s="2748"/>
      <c r="R1374" s="2748"/>
      <c r="S1374" s="2748"/>
      <c r="T1374" s="2748"/>
      <c r="U1374" s="2748"/>
      <c r="V1374" s="2748"/>
      <c r="W1374" s="2748"/>
      <c r="X1374" s="2748"/>
      <c r="Y1374" s="2748"/>
      <c r="Z1374" s="2748"/>
      <c r="AA1374" s="2748"/>
      <c r="AB1374" s="2748"/>
      <c r="AC1374" s="2748"/>
      <c r="AD1374" s="2748"/>
      <c r="AE1374" s="2748"/>
      <c r="AF1374" s="2748"/>
      <c r="AG1374" s="2748"/>
      <c r="AH1374" s="2748"/>
      <c r="AI1374" s="2748"/>
      <c r="AK1374" s="2748"/>
      <c r="AL1374" s="2748"/>
      <c r="AN1374" s="2748"/>
      <c r="AO1374" s="2748"/>
      <c r="AP1374" s="2748"/>
    </row>
    <row r="1375" spans="2:42" ht="18" customHeight="1">
      <c r="B1375" s="2728"/>
      <c r="C1375" s="2728"/>
      <c r="D1375" s="2728"/>
      <c r="E1375" s="2728"/>
      <c r="G1375" s="2512"/>
      <c r="I1375" s="2748"/>
      <c r="J1375" s="2728"/>
      <c r="L1375" s="2728"/>
      <c r="M1375" s="2748"/>
      <c r="N1375" s="2728"/>
      <c r="O1375" s="2728"/>
      <c r="P1375" s="2728"/>
      <c r="Q1375" s="2748"/>
      <c r="R1375" s="2748"/>
      <c r="S1375" s="2748"/>
      <c r="T1375" s="2748"/>
      <c r="U1375" s="2748"/>
      <c r="V1375" s="2748"/>
      <c r="W1375" s="2748"/>
      <c r="X1375" s="2748"/>
      <c r="Y1375" s="2748"/>
      <c r="Z1375" s="2748"/>
      <c r="AA1375" s="2748"/>
      <c r="AB1375" s="2748"/>
      <c r="AC1375" s="2748"/>
      <c r="AD1375" s="2748"/>
      <c r="AE1375" s="2748"/>
      <c r="AF1375" s="2748"/>
      <c r="AG1375" s="2748"/>
      <c r="AH1375" s="2748"/>
      <c r="AI1375" s="2748"/>
      <c r="AK1375" s="2748"/>
      <c r="AL1375" s="2748"/>
      <c r="AN1375" s="2748"/>
      <c r="AO1375" s="2748"/>
      <c r="AP1375" s="2748"/>
    </row>
    <row r="1376" spans="2:42" ht="18" customHeight="1">
      <c r="B1376" s="2728"/>
      <c r="C1376" s="2728"/>
      <c r="D1376" s="2728"/>
      <c r="E1376" s="2728"/>
      <c r="G1376" s="2512"/>
      <c r="I1376" s="2748"/>
      <c r="J1376" s="2728"/>
      <c r="L1376" s="2728"/>
      <c r="M1376" s="2748"/>
      <c r="N1376" s="2728"/>
      <c r="O1376" s="2728"/>
      <c r="P1376" s="2728"/>
      <c r="Q1376" s="2748"/>
      <c r="R1376" s="2748"/>
      <c r="S1376" s="2748"/>
      <c r="T1376" s="2748"/>
      <c r="U1376" s="2748"/>
      <c r="V1376" s="2748"/>
      <c r="W1376" s="2748"/>
      <c r="X1376" s="2748"/>
      <c r="Y1376" s="2748"/>
      <c r="Z1376" s="2748"/>
      <c r="AA1376" s="2748"/>
      <c r="AB1376" s="2748"/>
      <c r="AC1376" s="2748"/>
      <c r="AD1376" s="2748"/>
      <c r="AE1376" s="2748"/>
      <c r="AF1376" s="2748"/>
      <c r="AG1376" s="2748"/>
      <c r="AH1376" s="2748"/>
      <c r="AI1376" s="2748"/>
      <c r="AK1376" s="2748"/>
      <c r="AL1376" s="2748"/>
      <c r="AN1376" s="2748"/>
      <c r="AO1376" s="2748"/>
      <c r="AP1376" s="2748"/>
    </row>
    <row r="1377" spans="2:42" ht="18" customHeight="1">
      <c r="B1377" s="2728"/>
      <c r="C1377" s="2728"/>
      <c r="D1377" s="2728"/>
      <c r="E1377" s="2728"/>
      <c r="G1377" s="2512"/>
      <c r="I1377" s="2748"/>
      <c r="J1377" s="2728"/>
      <c r="L1377" s="2728"/>
      <c r="M1377" s="2748"/>
      <c r="N1377" s="2728"/>
      <c r="O1377" s="2728"/>
      <c r="P1377" s="2728"/>
      <c r="Q1377" s="2748"/>
      <c r="R1377" s="2748"/>
      <c r="S1377" s="2748"/>
      <c r="T1377" s="2748"/>
      <c r="U1377" s="2748"/>
      <c r="V1377" s="2748"/>
      <c r="W1377" s="2748"/>
      <c r="X1377" s="2748"/>
      <c r="Y1377" s="2748"/>
      <c r="Z1377" s="2748"/>
      <c r="AA1377" s="2748"/>
      <c r="AB1377" s="2748"/>
      <c r="AC1377" s="2748"/>
      <c r="AD1377" s="2748"/>
      <c r="AE1377" s="2748"/>
      <c r="AF1377" s="2748"/>
      <c r="AG1377" s="2748"/>
      <c r="AH1377" s="2748"/>
      <c r="AI1377" s="2748"/>
      <c r="AK1377" s="2748"/>
      <c r="AL1377" s="2748"/>
      <c r="AN1377" s="2748"/>
      <c r="AO1377" s="2748"/>
      <c r="AP1377" s="2748"/>
    </row>
    <row r="1378" spans="2:42" ht="18" customHeight="1">
      <c r="B1378" s="2728"/>
      <c r="C1378" s="2728"/>
      <c r="D1378" s="2728"/>
      <c r="E1378" s="2728"/>
      <c r="G1378" s="2512"/>
      <c r="I1378" s="2748"/>
      <c r="J1378" s="2728"/>
      <c r="L1378" s="2728"/>
      <c r="M1378" s="2748"/>
      <c r="N1378" s="2728"/>
      <c r="O1378" s="2728"/>
      <c r="P1378" s="2728"/>
      <c r="Q1378" s="2748"/>
      <c r="R1378" s="2748"/>
      <c r="S1378" s="2748"/>
      <c r="T1378" s="2748"/>
      <c r="U1378" s="2748"/>
      <c r="V1378" s="2748"/>
      <c r="W1378" s="2748"/>
      <c r="X1378" s="2748"/>
      <c r="Y1378" s="2748"/>
      <c r="Z1378" s="2748"/>
      <c r="AA1378" s="2748"/>
      <c r="AB1378" s="2748"/>
      <c r="AC1378" s="2748"/>
      <c r="AD1378" s="2748"/>
      <c r="AE1378" s="2748"/>
      <c r="AF1378" s="2748"/>
      <c r="AG1378" s="2748"/>
      <c r="AH1378" s="2748"/>
      <c r="AI1378" s="2748"/>
      <c r="AK1378" s="2748"/>
      <c r="AL1378" s="2748"/>
      <c r="AN1378" s="2748"/>
      <c r="AO1378" s="2748"/>
      <c r="AP1378" s="2748"/>
    </row>
    <row r="1379" spans="2:42" ht="18" customHeight="1">
      <c r="B1379" s="2728"/>
      <c r="C1379" s="2728"/>
      <c r="D1379" s="2728"/>
      <c r="E1379" s="2728"/>
      <c r="G1379" s="2512"/>
      <c r="I1379" s="2748"/>
      <c r="J1379" s="2728"/>
      <c r="L1379" s="2728"/>
      <c r="M1379" s="2748"/>
      <c r="N1379" s="2728"/>
      <c r="O1379" s="2728"/>
      <c r="P1379" s="2728"/>
      <c r="Q1379" s="2748"/>
      <c r="R1379" s="2748"/>
      <c r="S1379" s="2748"/>
      <c r="T1379" s="2748"/>
      <c r="U1379" s="2748"/>
      <c r="V1379" s="2748"/>
      <c r="W1379" s="2748"/>
      <c r="X1379" s="2748"/>
      <c r="Y1379" s="2748"/>
      <c r="Z1379" s="2748"/>
      <c r="AA1379" s="2748"/>
      <c r="AB1379" s="2748"/>
      <c r="AC1379" s="2748"/>
      <c r="AD1379" s="2748"/>
      <c r="AE1379" s="2748"/>
      <c r="AF1379" s="2748"/>
      <c r="AG1379" s="2748"/>
      <c r="AH1379" s="2748"/>
      <c r="AI1379" s="2748"/>
      <c r="AK1379" s="2748"/>
      <c r="AL1379" s="2748"/>
      <c r="AN1379" s="2748"/>
      <c r="AO1379" s="2748"/>
      <c r="AP1379" s="2748"/>
    </row>
    <row r="1380" spans="2:42" ht="18" customHeight="1">
      <c r="B1380" s="2728"/>
      <c r="C1380" s="2728"/>
      <c r="D1380" s="2728"/>
      <c r="E1380" s="2728"/>
      <c r="G1380" s="2512"/>
      <c r="I1380" s="2748"/>
      <c r="J1380" s="2728"/>
      <c r="L1380" s="2728"/>
      <c r="M1380" s="2748"/>
      <c r="N1380" s="2728"/>
      <c r="O1380" s="2728"/>
      <c r="P1380" s="2728"/>
      <c r="Q1380" s="2748"/>
      <c r="R1380" s="2748"/>
      <c r="S1380" s="2748"/>
      <c r="T1380" s="2748"/>
      <c r="U1380" s="2748"/>
      <c r="V1380" s="2748"/>
      <c r="W1380" s="2748"/>
      <c r="X1380" s="2748"/>
      <c r="Y1380" s="2748"/>
      <c r="Z1380" s="2748"/>
      <c r="AA1380" s="2748"/>
      <c r="AB1380" s="2748"/>
      <c r="AC1380" s="2748"/>
      <c r="AD1380" s="2748"/>
      <c r="AE1380" s="2748"/>
      <c r="AF1380" s="2748"/>
      <c r="AG1380" s="2748"/>
      <c r="AH1380" s="2748"/>
      <c r="AI1380" s="2748"/>
      <c r="AK1380" s="2748"/>
      <c r="AL1380" s="2748"/>
      <c r="AN1380" s="2748"/>
      <c r="AO1380" s="2748"/>
      <c r="AP1380" s="2748"/>
    </row>
    <row r="1381" spans="2:42" ht="18" customHeight="1">
      <c r="B1381" s="2728"/>
      <c r="C1381" s="2728"/>
      <c r="D1381" s="2728"/>
      <c r="E1381" s="2728"/>
      <c r="G1381" s="2512"/>
      <c r="I1381" s="2748"/>
      <c r="J1381" s="2728"/>
      <c r="L1381" s="2728"/>
      <c r="M1381" s="2748"/>
      <c r="N1381" s="2728"/>
      <c r="O1381" s="2728"/>
      <c r="P1381" s="2728"/>
      <c r="Q1381" s="2748"/>
      <c r="R1381" s="2748"/>
      <c r="S1381" s="2748"/>
      <c r="T1381" s="2748"/>
      <c r="U1381" s="2748"/>
      <c r="V1381" s="2748"/>
      <c r="W1381" s="2748"/>
      <c r="X1381" s="2748"/>
      <c r="Y1381" s="2748"/>
      <c r="Z1381" s="2748"/>
      <c r="AA1381" s="2748"/>
      <c r="AB1381" s="2748"/>
      <c r="AC1381" s="2748"/>
      <c r="AD1381" s="2748"/>
      <c r="AE1381" s="2748"/>
      <c r="AF1381" s="2748"/>
      <c r="AG1381" s="2748"/>
      <c r="AH1381" s="2748"/>
      <c r="AI1381" s="2748"/>
      <c r="AK1381" s="2748"/>
      <c r="AL1381" s="2748"/>
      <c r="AN1381" s="2748"/>
      <c r="AO1381" s="2748"/>
      <c r="AP1381" s="2748"/>
    </row>
    <row r="1382" spans="2:42" ht="18" customHeight="1">
      <c r="B1382" s="2728"/>
      <c r="C1382" s="2728"/>
      <c r="D1382" s="2728"/>
      <c r="E1382" s="2728"/>
      <c r="G1382" s="2512"/>
      <c r="I1382" s="2748"/>
      <c r="J1382" s="2728"/>
      <c r="L1382" s="2728"/>
      <c r="M1382" s="2748"/>
      <c r="N1382" s="2728"/>
      <c r="O1382" s="2728"/>
      <c r="P1382" s="2728"/>
      <c r="Q1382" s="2748"/>
      <c r="R1382" s="2748"/>
      <c r="S1382" s="2748"/>
      <c r="T1382" s="2748"/>
      <c r="U1382" s="2748"/>
      <c r="V1382" s="2748"/>
      <c r="W1382" s="2748"/>
      <c r="X1382" s="2748"/>
      <c r="Y1382" s="2748"/>
      <c r="Z1382" s="2748"/>
      <c r="AA1382" s="2748"/>
      <c r="AB1382" s="2748"/>
      <c r="AC1382" s="2748"/>
      <c r="AD1382" s="2748"/>
      <c r="AE1382" s="2748"/>
      <c r="AF1382" s="2748"/>
      <c r="AG1382" s="2748"/>
      <c r="AH1382" s="2748"/>
      <c r="AI1382" s="2748"/>
      <c r="AK1382" s="2748"/>
      <c r="AL1382" s="2748"/>
      <c r="AN1382" s="2748"/>
      <c r="AO1382" s="2748"/>
      <c r="AP1382" s="2748"/>
    </row>
    <row r="1383" spans="2:42" ht="18" customHeight="1">
      <c r="B1383" s="2728"/>
      <c r="C1383" s="2728"/>
      <c r="D1383" s="2728"/>
      <c r="E1383" s="2728"/>
      <c r="G1383" s="2512"/>
      <c r="I1383" s="2748"/>
      <c r="J1383" s="2728"/>
      <c r="L1383" s="2728"/>
      <c r="M1383" s="2748"/>
      <c r="N1383" s="2728"/>
      <c r="O1383" s="2728"/>
      <c r="P1383" s="2728"/>
      <c r="Q1383" s="2748"/>
      <c r="R1383" s="2748"/>
      <c r="S1383" s="2748"/>
      <c r="T1383" s="2748"/>
      <c r="U1383" s="2748"/>
      <c r="V1383" s="2748"/>
      <c r="W1383" s="2748"/>
      <c r="X1383" s="2748"/>
      <c r="Y1383" s="2748"/>
      <c r="Z1383" s="2748"/>
      <c r="AA1383" s="2748"/>
      <c r="AB1383" s="2748"/>
      <c r="AC1383" s="2748"/>
      <c r="AD1383" s="2748"/>
      <c r="AE1383" s="2748"/>
      <c r="AF1383" s="2748"/>
      <c r="AG1383" s="2748"/>
      <c r="AH1383" s="2748"/>
      <c r="AI1383" s="2748"/>
      <c r="AK1383" s="2748"/>
      <c r="AL1383" s="2748"/>
      <c r="AN1383" s="2748"/>
      <c r="AO1383" s="2748"/>
      <c r="AP1383" s="2748"/>
    </row>
    <row r="1384" spans="2:42" ht="18" customHeight="1">
      <c r="B1384" s="2728"/>
      <c r="C1384" s="2728"/>
      <c r="D1384" s="2728"/>
      <c r="E1384" s="2728"/>
      <c r="G1384" s="2512"/>
      <c r="I1384" s="2748"/>
      <c r="J1384" s="2728"/>
      <c r="L1384" s="2728"/>
      <c r="M1384" s="2748"/>
      <c r="N1384" s="2728"/>
      <c r="O1384" s="2728"/>
      <c r="P1384" s="2728"/>
      <c r="Q1384" s="2748"/>
      <c r="R1384" s="2748"/>
      <c r="S1384" s="2748"/>
      <c r="T1384" s="2748"/>
      <c r="U1384" s="2748"/>
      <c r="V1384" s="2748"/>
      <c r="W1384" s="2748"/>
      <c r="X1384" s="2748"/>
      <c r="Y1384" s="2748"/>
      <c r="Z1384" s="2748"/>
      <c r="AA1384" s="2748"/>
      <c r="AB1384" s="2748"/>
      <c r="AC1384" s="2748"/>
      <c r="AD1384" s="2748"/>
      <c r="AE1384" s="2748"/>
      <c r="AF1384" s="2748"/>
      <c r="AG1384" s="2748"/>
      <c r="AH1384" s="2748"/>
      <c r="AI1384" s="2748"/>
      <c r="AK1384" s="2748"/>
      <c r="AL1384" s="2748"/>
      <c r="AN1384" s="2748"/>
      <c r="AO1384" s="2748"/>
      <c r="AP1384" s="2748"/>
    </row>
    <row r="1385" spans="2:42" ht="18" customHeight="1">
      <c r="B1385" s="2728"/>
      <c r="C1385" s="2728"/>
      <c r="D1385" s="2728"/>
      <c r="E1385" s="2728"/>
      <c r="G1385" s="2512"/>
      <c r="I1385" s="2748"/>
      <c r="J1385" s="2728"/>
      <c r="L1385" s="2728"/>
      <c r="M1385" s="2748"/>
      <c r="N1385" s="2728"/>
      <c r="O1385" s="2728"/>
      <c r="P1385" s="2728"/>
      <c r="Q1385" s="2748"/>
      <c r="R1385" s="2748"/>
      <c r="S1385" s="2748"/>
      <c r="T1385" s="2748"/>
      <c r="U1385" s="2748"/>
      <c r="V1385" s="2748"/>
      <c r="W1385" s="2748"/>
      <c r="X1385" s="2748"/>
      <c r="Y1385" s="2748"/>
      <c r="Z1385" s="2748"/>
      <c r="AA1385" s="2748"/>
      <c r="AB1385" s="2748"/>
      <c r="AC1385" s="2748"/>
      <c r="AD1385" s="2748"/>
      <c r="AE1385" s="2748"/>
      <c r="AF1385" s="2748"/>
      <c r="AG1385" s="2748"/>
      <c r="AH1385" s="2748"/>
      <c r="AI1385" s="2748"/>
      <c r="AK1385" s="2748"/>
      <c r="AL1385" s="2748"/>
      <c r="AN1385" s="2748"/>
      <c r="AO1385" s="2748"/>
      <c r="AP1385" s="2748"/>
    </row>
    <row r="1386" spans="2:42" ht="18" customHeight="1">
      <c r="B1386" s="2728"/>
      <c r="C1386" s="2728"/>
      <c r="D1386" s="2728"/>
      <c r="E1386" s="2728"/>
      <c r="G1386" s="2512"/>
      <c r="I1386" s="2748"/>
      <c r="J1386" s="2728"/>
      <c r="L1386" s="2728"/>
      <c r="M1386" s="2748"/>
      <c r="N1386" s="2728"/>
      <c r="O1386" s="2728"/>
      <c r="P1386" s="2728"/>
      <c r="Q1386" s="2748"/>
      <c r="R1386" s="2748"/>
      <c r="S1386" s="2748"/>
      <c r="T1386" s="2748"/>
      <c r="U1386" s="2748"/>
      <c r="V1386" s="2748"/>
      <c r="W1386" s="2748"/>
      <c r="X1386" s="2748"/>
      <c r="Y1386" s="2748"/>
      <c r="Z1386" s="2748"/>
      <c r="AA1386" s="2748"/>
      <c r="AB1386" s="2748"/>
      <c r="AC1386" s="2748"/>
      <c r="AD1386" s="2748"/>
      <c r="AE1386" s="2748"/>
      <c r="AF1386" s="2748"/>
      <c r="AG1386" s="2748"/>
      <c r="AH1386" s="2748"/>
      <c r="AI1386" s="2748"/>
      <c r="AK1386" s="2748"/>
      <c r="AL1386" s="2748"/>
      <c r="AN1386" s="2748"/>
      <c r="AO1386" s="2748"/>
      <c r="AP1386" s="2748"/>
    </row>
    <row r="1387" spans="2:42" ht="18" customHeight="1">
      <c r="B1387" s="2728"/>
      <c r="C1387" s="2728"/>
      <c r="D1387" s="2728"/>
      <c r="E1387" s="2728"/>
      <c r="G1387" s="2512"/>
      <c r="I1387" s="2748"/>
      <c r="J1387" s="2728"/>
      <c r="L1387" s="2728"/>
      <c r="M1387" s="2748"/>
      <c r="N1387" s="2728"/>
      <c r="O1387" s="2728"/>
      <c r="P1387" s="2728"/>
      <c r="Q1387" s="2748"/>
      <c r="R1387" s="2748"/>
      <c r="S1387" s="2748"/>
      <c r="T1387" s="2748"/>
      <c r="U1387" s="2748"/>
      <c r="V1387" s="2748"/>
      <c r="W1387" s="2748"/>
      <c r="X1387" s="2748"/>
      <c r="Y1387" s="2748"/>
      <c r="Z1387" s="2748"/>
      <c r="AA1387" s="2748"/>
      <c r="AB1387" s="2748"/>
      <c r="AC1387" s="2748"/>
      <c r="AD1387" s="2748"/>
      <c r="AE1387" s="2748"/>
      <c r="AF1387" s="2748"/>
      <c r="AG1387" s="2748"/>
      <c r="AH1387" s="2748"/>
      <c r="AI1387" s="2748"/>
      <c r="AK1387" s="2748"/>
      <c r="AL1387" s="2748"/>
      <c r="AN1387" s="2748"/>
      <c r="AO1387" s="2748"/>
      <c r="AP1387" s="2748"/>
    </row>
    <row r="1388" spans="2:42" ht="18" customHeight="1">
      <c r="B1388" s="2728"/>
      <c r="C1388" s="2728"/>
      <c r="D1388" s="2728"/>
      <c r="E1388" s="2728"/>
      <c r="G1388" s="2512"/>
      <c r="I1388" s="2748"/>
      <c r="J1388" s="2728"/>
      <c r="L1388" s="2728"/>
      <c r="M1388" s="2748"/>
      <c r="N1388" s="2728"/>
      <c r="O1388" s="2728"/>
      <c r="P1388" s="2728"/>
      <c r="Q1388" s="2748"/>
      <c r="R1388" s="2748"/>
      <c r="S1388" s="2748"/>
      <c r="T1388" s="2748"/>
      <c r="U1388" s="2748"/>
      <c r="V1388" s="2748"/>
      <c r="W1388" s="2748"/>
      <c r="X1388" s="2748"/>
      <c r="Y1388" s="2748"/>
      <c r="Z1388" s="2748"/>
      <c r="AA1388" s="2748"/>
      <c r="AB1388" s="2748"/>
      <c r="AC1388" s="2748"/>
      <c r="AD1388" s="2748"/>
      <c r="AE1388" s="2748"/>
      <c r="AF1388" s="2748"/>
      <c r="AG1388" s="2748"/>
      <c r="AH1388" s="2748"/>
      <c r="AI1388" s="2748"/>
      <c r="AK1388" s="2748"/>
      <c r="AL1388" s="2748"/>
      <c r="AN1388" s="2748"/>
      <c r="AO1388" s="2748"/>
      <c r="AP1388" s="2748"/>
    </row>
    <row r="1389" spans="2:42" ht="18" customHeight="1">
      <c r="B1389" s="2728"/>
      <c r="C1389" s="2728"/>
      <c r="D1389" s="2728"/>
      <c r="E1389" s="2728"/>
      <c r="G1389" s="2512"/>
      <c r="I1389" s="2748"/>
      <c r="J1389" s="2728"/>
      <c r="L1389" s="2728"/>
      <c r="M1389" s="2748"/>
      <c r="N1389" s="2728"/>
      <c r="O1389" s="2728"/>
      <c r="P1389" s="2728"/>
      <c r="Q1389" s="2748"/>
      <c r="R1389" s="2748"/>
      <c r="S1389" s="2748"/>
      <c r="T1389" s="2748"/>
      <c r="U1389" s="2748"/>
      <c r="V1389" s="2748"/>
      <c r="W1389" s="2748"/>
      <c r="X1389" s="2748"/>
      <c r="Y1389" s="2748"/>
      <c r="Z1389" s="2748"/>
      <c r="AA1389" s="2748"/>
      <c r="AB1389" s="2748"/>
      <c r="AC1389" s="2748"/>
      <c r="AD1389" s="2748"/>
      <c r="AE1389" s="2748"/>
      <c r="AF1389" s="2748"/>
      <c r="AG1389" s="2748"/>
      <c r="AH1389" s="2748"/>
      <c r="AI1389" s="2748"/>
      <c r="AK1389" s="2748"/>
      <c r="AL1389" s="2748"/>
      <c r="AN1389" s="2748"/>
      <c r="AO1389" s="2748"/>
      <c r="AP1389" s="2748"/>
    </row>
    <row r="1390" spans="2:42" ht="18" customHeight="1">
      <c r="B1390" s="2728"/>
      <c r="C1390" s="2728"/>
      <c r="D1390" s="2728"/>
      <c r="E1390" s="2728"/>
      <c r="G1390" s="2512"/>
      <c r="I1390" s="2748"/>
      <c r="J1390" s="2728"/>
      <c r="L1390" s="2728"/>
      <c r="M1390" s="2748"/>
      <c r="N1390" s="2728"/>
      <c r="O1390" s="2728"/>
      <c r="P1390" s="2728"/>
      <c r="Q1390" s="2748"/>
      <c r="R1390" s="2748"/>
      <c r="S1390" s="2748"/>
      <c r="T1390" s="2748"/>
      <c r="U1390" s="2748"/>
      <c r="V1390" s="2748"/>
      <c r="W1390" s="2748"/>
      <c r="X1390" s="2748"/>
      <c r="Y1390" s="2748"/>
      <c r="Z1390" s="2748"/>
      <c r="AA1390" s="2748"/>
      <c r="AB1390" s="2748"/>
      <c r="AC1390" s="2748"/>
      <c r="AD1390" s="2748"/>
      <c r="AE1390" s="2748"/>
      <c r="AF1390" s="2748"/>
      <c r="AG1390" s="2748"/>
      <c r="AH1390" s="2748"/>
      <c r="AI1390" s="2748"/>
      <c r="AK1390" s="2748"/>
      <c r="AL1390" s="2748"/>
      <c r="AN1390" s="2748"/>
      <c r="AO1390" s="2748"/>
      <c r="AP1390" s="2748"/>
    </row>
    <row r="1391" spans="2:42" ht="18" customHeight="1">
      <c r="B1391" s="2728"/>
      <c r="C1391" s="2728"/>
      <c r="D1391" s="2728"/>
      <c r="E1391" s="2728"/>
      <c r="G1391" s="2512"/>
      <c r="I1391" s="2748"/>
      <c r="J1391" s="2728"/>
      <c r="L1391" s="2728"/>
      <c r="M1391" s="2748"/>
      <c r="N1391" s="2728"/>
      <c r="O1391" s="2728"/>
      <c r="P1391" s="2728"/>
      <c r="Q1391" s="2748"/>
      <c r="R1391" s="2748"/>
      <c r="S1391" s="2748"/>
      <c r="T1391" s="2748"/>
      <c r="U1391" s="2748"/>
      <c r="V1391" s="2748"/>
      <c r="W1391" s="2748"/>
      <c r="X1391" s="2748"/>
      <c r="Y1391" s="2748"/>
      <c r="Z1391" s="2748"/>
      <c r="AA1391" s="2748"/>
      <c r="AB1391" s="2748"/>
      <c r="AC1391" s="2748"/>
      <c r="AD1391" s="2748"/>
      <c r="AE1391" s="2748"/>
      <c r="AF1391" s="2748"/>
      <c r="AG1391" s="2748"/>
      <c r="AH1391" s="2748"/>
      <c r="AI1391" s="2748"/>
      <c r="AK1391" s="2748"/>
      <c r="AL1391" s="2748"/>
      <c r="AN1391" s="2748"/>
      <c r="AO1391" s="2748"/>
      <c r="AP1391" s="2748"/>
    </row>
    <row r="1392" spans="2:42" ht="18" customHeight="1">
      <c r="B1392" s="2728"/>
      <c r="C1392" s="2728"/>
      <c r="D1392" s="2728"/>
      <c r="E1392" s="2728"/>
      <c r="G1392" s="2512"/>
      <c r="I1392" s="2748"/>
      <c r="J1392" s="2728"/>
      <c r="L1392" s="2728"/>
      <c r="M1392" s="2748"/>
      <c r="N1392" s="2728"/>
      <c r="O1392" s="2728"/>
      <c r="P1392" s="2728"/>
      <c r="Q1392" s="2748"/>
      <c r="R1392" s="2748"/>
      <c r="S1392" s="2748"/>
      <c r="T1392" s="2748"/>
      <c r="U1392" s="2748"/>
      <c r="V1392" s="2748"/>
      <c r="W1392" s="2748"/>
      <c r="X1392" s="2748"/>
      <c r="Y1392" s="2748"/>
      <c r="Z1392" s="2748"/>
      <c r="AA1392" s="2748"/>
      <c r="AB1392" s="2748"/>
      <c r="AC1392" s="2748"/>
      <c r="AD1392" s="2748"/>
      <c r="AE1392" s="2748"/>
      <c r="AF1392" s="2748"/>
      <c r="AG1392" s="2748"/>
      <c r="AH1392" s="2748"/>
      <c r="AI1392" s="2748"/>
      <c r="AK1392" s="2748"/>
      <c r="AL1392" s="2748"/>
      <c r="AN1392" s="2748"/>
      <c r="AO1392" s="2748"/>
      <c r="AP1392" s="2748"/>
    </row>
    <row r="1393" spans="2:42" ht="18" customHeight="1">
      <c r="B1393" s="2728"/>
      <c r="C1393" s="2728"/>
      <c r="D1393" s="2728"/>
      <c r="E1393" s="2728"/>
      <c r="G1393" s="2512"/>
      <c r="I1393" s="2748"/>
      <c r="J1393" s="2728"/>
      <c r="L1393" s="2728"/>
      <c r="M1393" s="2748"/>
      <c r="N1393" s="2728"/>
      <c r="O1393" s="2728"/>
      <c r="P1393" s="2728"/>
      <c r="Q1393" s="2748"/>
      <c r="R1393" s="2748"/>
      <c r="S1393" s="2748"/>
      <c r="T1393" s="2748"/>
      <c r="U1393" s="2748"/>
      <c r="V1393" s="2748"/>
      <c r="W1393" s="2748"/>
      <c r="X1393" s="2748"/>
      <c r="Y1393" s="2748"/>
      <c r="Z1393" s="2748"/>
      <c r="AA1393" s="2748"/>
      <c r="AB1393" s="2748"/>
      <c r="AC1393" s="2748"/>
      <c r="AD1393" s="2748"/>
      <c r="AE1393" s="2748"/>
      <c r="AF1393" s="2748"/>
      <c r="AG1393" s="2748"/>
      <c r="AH1393" s="2748"/>
      <c r="AI1393" s="2748"/>
      <c r="AK1393" s="2748"/>
      <c r="AL1393" s="2748"/>
      <c r="AN1393" s="2748"/>
      <c r="AO1393" s="2748"/>
      <c r="AP1393" s="2748"/>
    </row>
    <row r="1394" spans="2:42" ht="18" customHeight="1">
      <c r="B1394" s="2728"/>
      <c r="C1394" s="2728"/>
      <c r="D1394" s="2728"/>
      <c r="E1394" s="2728"/>
      <c r="G1394" s="2512"/>
      <c r="I1394" s="2748"/>
      <c r="J1394" s="2728"/>
      <c r="L1394" s="2728"/>
      <c r="M1394" s="2748"/>
      <c r="N1394" s="2728"/>
      <c r="O1394" s="2728"/>
      <c r="P1394" s="2728"/>
      <c r="Q1394" s="2748"/>
      <c r="R1394" s="2748"/>
      <c r="S1394" s="2748"/>
      <c r="T1394" s="2748"/>
      <c r="U1394" s="2748"/>
      <c r="V1394" s="2748"/>
      <c r="W1394" s="2748"/>
      <c r="X1394" s="2748"/>
      <c r="Y1394" s="2748"/>
      <c r="Z1394" s="2748"/>
      <c r="AA1394" s="2748"/>
      <c r="AB1394" s="2748"/>
      <c r="AC1394" s="2748"/>
      <c r="AD1394" s="2748"/>
      <c r="AE1394" s="2748"/>
      <c r="AF1394" s="2748"/>
      <c r="AG1394" s="2748"/>
      <c r="AH1394" s="2748"/>
      <c r="AI1394" s="2748"/>
      <c r="AK1394" s="2748"/>
      <c r="AL1394" s="2748"/>
      <c r="AN1394" s="2748"/>
      <c r="AO1394" s="2748"/>
      <c r="AP1394" s="2748"/>
    </row>
    <row r="1395" spans="2:42" ht="18" customHeight="1">
      <c r="B1395" s="2728"/>
      <c r="C1395" s="2728"/>
      <c r="D1395" s="2728"/>
      <c r="E1395" s="2728"/>
      <c r="G1395" s="2512"/>
      <c r="I1395" s="2748"/>
      <c r="J1395" s="2728"/>
      <c r="L1395" s="2728"/>
      <c r="M1395" s="2748"/>
      <c r="N1395" s="2728"/>
      <c r="O1395" s="2728"/>
      <c r="P1395" s="2728"/>
      <c r="Q1395" s="2748"/>
      <c r="R1395" s="2748"/>
      <c r="S1395" s="2748"/>
      <c r="T1395" s="2748"/>
      <c r="U1395" s="2748"/>
      <c r="V1395" s="2748"/>
      <c r="W1395" s="2748"/>
      <c r="X1395" s="2748"/>
      <c r="Y1395" s="2748"/>
      <c r="Z1395" s="2748"/>
      <c r="AA1395" s="2748"/>
      <c r="AB1395" s="2748"/>
      <c r="AC1395" s="2748"/>
      <c r="AD1395" s="2748"/>
      <c r="AE1395" s="2748"/>
      <c r="AF1395" s="2748"/>
      <c r="AG1395" s="2748"/>
      <c r="AH1395" s="2748"/>
      <c r="AI1395" s="2748"/>
      <c r="AK1395" s="2748"/>
      <c r="AL1395" s="2748"/>
      <c r="AN1395" s="2748"/>
      <c r="AO1395" s="2748"/>
      <c r="AP1395" s="2748"/>
    </row>
    <row r="1396" spans="2:42" ht="18" customHeight="1">
      <c r="B1396" s="2728"/>
      <c r="C1396" s="2728"/>
      <c r="D1396" s="2728"/>
      <c r="E1396" s="2728"/>
      <c r="G1396" s="2512"/>
      <c r="I1396" s="2748"/>
      <c r="J1396" s="2728"/>
      <c r="L1396" s="2728"/>
      <c r="M1396" s="2748"/>
      <c r="N1396" s="2728"/>
      <c r="O1396" s="2728"/>
      <c r="P1396" s="2728"/>
      <c r="Q1396" s="2748"/>
      <c r="R1396" s="2748"/>
      <c r="S1396" s="2748"/>
      <c r="T1396" s="2748"/>
      <c r="U1396" s="2748"/>
      <c r="V1396" s="2748"/>
      <c r="W1396" s="2748"/>
      <c r="X1396" s="2748"/>
      <c r="Y1396" s="2748"/>
      <c r="Z1396" s="2748"/>
      <c r="AA1396" s="2748"/>
      <c r="AB1396" s="2748"/>
      <c r="AC1396" s="2748"/>
      <c r="AD1396" s="2748"/>
      <c r="AE1396" s="2748"/>
      <c r="AF1396" s="2748"/>
      <c r="AG1396" s="2748"/>
      <c r="AH1396" s="2748"/>
      <c r="AI1396" s="2748"/>
      <c r="AK1396" s="2748"/>
      <c r="AL1396" s="2748"/>
      <c r="AN1396" s="2748"/>
      <c r="AO1396" s="2748"/>
      <c r="AP1396" s="2748"/>
    </row>
    <row r="1397" spans="2:42" ht="18" customHeight="1">
      <c r="B1397" s="2728"/>
      <c r="C1397" s="2728"/>
      <c r="D1397" s="2728"/>
      <c r="E1397" s="2728"/>
      <c r="G1397" s="2512"/>
      <c r="I1397" s="2748"/>
      <c r="J1397" s="2728"/>
      <c r="L1397" s="2728"/>
      <c r="M1397" s="2748"/>
      <c r="N1397" s="2728"/>
      <c r="O1397" s="2728"/>
      <c r="P1397" s="2728"/>
      <c r="Q1397" s="2748"/>
      <c r="R1397" s="2748"/>
      <c r="S1397" s="2748"/>
      <c r="T1397" s="2748"/>
      <c r="U1397" s="2748"/>
      <c r="V1397" s="2748"/>
      <c r="W1397" s="2748"/>
      <c r="X1397" s="2748"/>
      <c r="Y1397" s="2748"/>
      <c r="Z1397" s="2748"/>
      <c r="AA1397" s="2748"/>
      <c r="AB1397" s="2748"/>
      <c r="AC1397" s="2748"/>
      <c r="AD1397" s="2748"/>
      <c r="AE1397" s="2748"/>
      <c r="AF1397" s="2748"/>
      <c r="AG1397" s="2748"/>
      <c r="AH1397" s="2748"/>
      <c r="AI1397" s="2748"/>
      <c r="AK1397" s="2748"/>
      <c r="AL1397" s="2748"/>
      <c r="AN1397" s="2748"/>
      <c r="AO1397" s="2748"/>
      <c r="AP1397" s="2748"/>
    </row>
    <row r="1398" spans="2:42" ht="18" customHeight="1">
      <c r="B1398" s="2728"/>
      <c r="C1398" s="2728"/>
      <c r="D1398" s="2728"/>
      <c r="E1398" s="2728"/>
      <c r="G1398" s="2512"/>
      <c r="I1398" s="2748"/>
      <c r="J1398" s="2728"/>
      <c r="L1398" s="2728"/>
      <c r="M1398" s="2748"/>
      <c r="N1398" s="2728"/>
      <c r="O1398" s="2728"/>
      <c r="P1398" s="2728"/>
      <c r="Q1398" s="2748"/>
      <c r="R1398" s="2748"/>
      <c r="S1398" s="2748"/>
      <c r="T1398" s="2748"/>
      <c r="U1398" s="2748"/>
      <c r="V1398" s="2748"/>
      <c r="W1398" s="2748"/>
      <c r="X1398" s="2748"/>
      <c r="Y1398" s="2748"/>
      <c r="Z1398" s="2748"/>
      <c r="AA1398" s="2748"/>
      <c r="AB1398" s="2748"/>
      <c r="AC1398" s="2748"/>
      <c r="AD1398" s="2748"/>
      <c r="AE1398" s="2748"/>
      <c r="AF1398" s="2748"/>
      <c r="AG1398" s="2748"/>
      <c r="AH1398" s="2748"/>
      <c r="AI1398" s="2748"/>
      <c r="AK1398" s="2748"/>
      <c r="AL1398" s="2748"/>
      <c r="AN1398" s="2748"/>
      <c r="AO1398" s="2748"/>
      <c r="AP1398" s="2748"/>
    </row>
    <row r="1399" spans="2:42" ht="18" customHeight="1">
      <c r="B1399" s="2728"/>
      <c r="C1399" s="2728"/>
      <c r="D1399" s="2728"/>
      <c r="E1399" s="2728"/>
      <c r="G1399" s="2512"/>
      <c r="I1399" s="2748"/>
      <c r="J1399" s="2728"/>
      <c r="L1399" s="2728"/>
      <c r="M1399" s="2748"/>
      <c r="N1399" s="2728"/>
      <c r="O1399" s="2728"/>
      <c r="P1399" s="2728"/>
      <c r="Q1399" s="2748"/>
      <c r="R1399" s="2748"/>
      <c r="S1399" s="2748"/>
      <c r="T1399" s="2748"/>
      <c r="U1399" s="2748"/>
      <c r="V1399" s="2748"/>
      <c r="W1399" s="2748"/>
      <c r="X1399" s="2748"/>
      <c r="Y1399" s="2748"/>
      <c r="Z1399" s="2748"/>
      <c r="AA1399" s="2748"/>
      <c r="AB1399" s="2748"/>
      <c r="AC1399" s="2748"/>
      <c r="AD1399" s="2748"/>
      <c r="AE1399" s="2748"/>
      <c r="AF1399" s="2748"/>
      <c r="AG1399" s="2748"/>
      <c r="AH1399" s="2748"/>
      <c r="AI1399" s="2748"/>
      <c r="AK1399" s="2748"/>
      <c r="AL1399" s="2748"/>
      <c r="AN1399" s="2748"/>
      <c r="AO1399" s="2748"/>
      <c r="AP1399" s="2748"/>
    </row>
    <row r="1400" spans="2:42" ht="18" customHeight="1">
      <c r="B1400" s="2728"/>
      <c r="C1400" s="2728"/>
      <c r="D1400" s="2728"/>
      <c r="E1400" s="2728"/>
      <c r="G1400" s="2512"/>
      <c r="I1400" s="2748"/>
      <c r="J1400" s="2728"/>
      <c r="L1400" s="2728"/>
      <c r="M1400" s="2748"/>
      <c r="N1400" s="2728"/>
      <c r="O1400" s="2728"/>
      <c r="P1400" s="2728"/>
      <c r="Q1400" s="2748"/>
      <c r="R1400" s="2748"/>
      <c r="S1400" s="2748"/>
      <c r="T1400" s="2748"/>
      <c r="U1400" s="2748"/>
      <c r="V1400" s="2748"/>
      <c r="W1400" s="2748"/>
      <c r="X1400" s="2748"/>
      <c r="Y1400" s="2748"/>
      <c r="Z1400" s="2748"/>
      <c r="AA1400" s="2748"/>
      <c r="AB1400" s="2748"/>
      <c r="AC1400" s="2748"/>
      <c r="AD1400" s="2748"/>
      <c r="AE1400" s="2748"/>
      <c r="AF1400" s="2748"/>
      <c r="AG1400" s="2748"/>
      <c r="AH1400" s="2748"/>
      <c r="AI1400" s="2748"/>
      <c r="AK1400" s="2748"/>
      <c r="AL1400" s="2748"/>
      <c r="AN1400" s="2748"/>
      <c r="AO1400" s="2748"/>
      <c r="AP1400" s="2748"/>
    </row>
    <row r="1401" spans="2:42" ht="18" customHeight="1">
      <c r="B1401" s="2728"/>
      <c r="C1401" s="2728"/>
      <c r="D1401" s="2728"/>
      <c r="E1401" s="2728"/>
      <c r="G1401" s="2512"/>
      <c r="I1401" s="2748"/>
      <c r="J1401" s="2728"/>
      <c r="L1401" s="2728"/>
      <c r="M1401" s="2748"/>
      <c r="N1401" s="2728"/>
      <c r="O1401" s="2728"/>
      <c r="P1401" s="2728"/>
      <c r="Q1401" s="2748"/>
      <c r="R1401" s="2748"/>
      <c r="S1401" s="2748"/>
      <c r="T1401" s="2748"/>
      <c r="U1401" s="2748"/>
      <c r="V1401" s="2748"/>
      <c r="W1401" s="2748"/>
      <c r="X1401" s="2748"/>
      <c r="Y1401" s="2748"/>
      <c r="Z1401" s="2748"/>
      <c r="AA1401" s="2748"/>
      <c r="AB1401" s="2748"/>
      <c r="AC1401" s="2748"/>
      <c r="AD1401" s="2748"/>
      <c r="AE1401" s="2748"/>
      <c r="AF1401" s="2748"/>
      <c r="AG1401" s="2748"/>
      <c r="AH1401" s="2748"/>
      <c r="AI1401" s="2748"/>
      <c r="AK1401" s="2748"/>
      <c r="AL1401" s="2748"/>
      <c r="AN1401" s="2748"/>
      <c r="AO1401" s="2748"/>
      <c r="AP1401" s="2748"/>
    </row>
    <row r="1402" spans="2:42" ht="18" customHeight="1">
      <c r="B1402" s="2728"/>
      <c r="C1402" s="2728"/>
      <c r="D1402" s="2728"/>
      <c r="E1402" s="2728"/>
      <c r="G1402" s="2512"/>
      <c r="I1402" s="2748"/>
      <c r="J1402" s="2728"/>
      <c r="L1402" s="2728"/>
      <c r="M1402" s="2748"/>
      <c r="N1402" s="2728"/>
      <c r="O1402" s="2728"/>
      <c r="P1402" s="2728"/>
      <c r="Q1402" s="2748"/>
      <c r="R1402" s="2748"/>
      <c r="S1402" s="2748"/>
      <c r="T1402" s="2748"/>
      <c r="U1402" s="2748"/>
      <c r="V1402" s="2748"/>
      <c r="W1402" s="2748"/>
      <c r="X1402" s="2748"/>
      <c r="Y1402" s="2748"/>
      <c r="Z1402" s="2748"/>
      <c r="AA1402" s="2748"/>
      <c r="AB1402" s="2748"/>
      <c r="AC1402" s="2748"/>
      <c r="AD1402" s="2748"/>
      <c r="AE1402" s="2748"/>
      <c r="AF1402" s="2748"/>
      <c r="AG1402" s="2748"/>
      <c r="AH1402" s="2748"/>
      <c r="AI1402" s="2748"/>
      <c r="AK1402" s="2748"/>
      <c r="AL1402" s="2748"/>
      <c r="AN1402" s="2748"/>
      <c r="AO1402" s="2748"/>
      <c r="AP1402" s="2748"/>
    </row>
    <row r="1403" spans="2:42" ht="18" customHeight="1">
      <c r="B1403" s="2728"/>
      <c r="C1403" s="2728"/>
      <c r="D1403" s="2728"/>
      <c r="E1403" s="2728"/>
      <c r="G1403" s="2512"/>
      <c r="I1403" s="2748"/>
      <c r="J1403" s="2728"/>
      <c r="L1403" s="2728"/>
      <c r="M1403" s="2748"/>
      <c r="N1403" s="2728"/>
      <c r="O1403" s="2728"/>
      <c r="P1403" s="2728"/>
      <c r="Q1403" s="2748"/>
      <c r="R1403" s="2748"/>
      <c r="S1403" s="2748"/>
      <c r="T1403" s="2748"/>
      <c r="U1403" s="2748"/>
      <c r="V1403" s="2748"/>
      <c r="W1403" s="2748"/>
      <c r="X1403" s="2748"/>
      <c r="Y1403" s="2748"/>
      <c r="Z1403" s="2748"/>
      <c r="AA1403" s="2748"/>
      <c r="AB1403" s="2748"/>
      <c r="AC1403" s="2748"/>
      <c r="AD1403" s="2748"/>
      <c r="AE1403" s="2748"/>
      <c r="AF1403" s="2748"/>
      <c r="AG1403" s="2748"/>
      <c r="AH1403" s="2748"/>
      <c r="AI1403" s="2748"/>
      <c r="AK1403" s="2748"/>
      <c r="AL1403" s="2748"/>
      <c r="AN1403" s="2748"/>
      <c r="AO1403" s="2748"/>
      <c r="AP1403" s="2748"/>
    </row>
    <row r="1404" spans="2:42" ht="18" customHeight="1">
      <c r="B1404" s="2728"/>
      <c r="C1404" s="2728"/>
      <c r="D1404" s="2728"/>
      <c r="E1404" s="2728"/>
      <c r="G1404" s="2512"/>
      <c r="I1404" s="2748"/>
      <c r="J1404" s="2728"/>
      <c r="L1404" s="2728"/>
      <c r="M1404" s="2748"/>
      <c r="N1404" s="2728"/>
      <c r="O1404" s="2728"/>
      <c r="P1404" s="2728"/>
      <c r="Q1404" s="2748"/>
      <c r="R1404" s="2748"/>
      <c r="S1404" s="2748"/>
      <c r="T1404" s="2748"/>
      <c r="U1404" s="2748"/>
      <c r="V1404" s="2748"/>
      <c r="W1404" s="2748"/>
      <c r="X1404" s="2748"/>
      <c r="Y1404" s="2748"/>
      <c r="Z1404" s="2748"/>
      <c r="AA1404" s="2748"/>
      <c r="AB1404" s="2748"/>
      <c r="AC1404" s="2748"/>
      <c r="AD1404" s="2748"/>
      <c r="AE1404" s="2748"/>
      <c r="AF1404" s="2748"/>
      <c r="AG1404" s="2748"/>
      <c r="AH1404" s="2748"/>
      <c r="AI1404" s="2748"/>
      <c r="AK1404" s="2748"/>
      <c r="AL1404" s="2748"/>
      <c r="AN1404" s="2748"/>
      <c r="AO1404" s="2748"/>
      <c r="AP1404" s="2748"/>
    </row>
    <row r="1405" spans="2:42" ht="18" customHeight="1">
      <c r="B1405" s="2728"/>
      <c r="C1405" s="2728"/>
      <c r="D1405" s="2728"/>
      <c r="E1405" s="2728"/>
      <c r="G1405" s="2512"/>
      <c r="I1405" s="2748"/>
      <c r="J1405" s="2728"/>
      <c r="L1405" s="2728"/>
      <c r="M1405" s="2748"/>
      <c r="N1405" s="2728"/>
      <c r="O1405" s="2728"/>
      <c r="P1405" s="2728"/>
      <c r="Q1405" s="2748"/>
      <c r="R1405" s="2748"/>
      <c r="S1405" s="2748"/>
      <c r="T1405" s="2748"/>
      <c r="U1405" s="2748"/>
      <c r="V1405" s="2748"/>
      <c r="W1405" s="2748"/>
      <c r="X1405" s="2748"/>
      <c r="Y1405" s="2748"/>
      <c r="Z1405" s="2748"/>
      <c r="AA1405" s="2748"/>
      <c r="AB1405" s="2748"/>
      <c r="AC1405" s="2748"/>
      <c r="AD1405" s="2748"/>
      <c r="AE1405" s="2748"/>
      <c r="AF1405" s="2748"/>
      <c r="AG1405" s="2748"/>
      <c r="AH1405" s="2748"/>
      <c r="AI1405" s="2748"/>
      <c r="AK1405" s="2748"/>
      <c r="AL1405" s="2748"/>
      <c r="AN1405" s="2748"/>
      <c r="AO1405" s="2748"/>
      <c r="AP1405" s="2748"/>
    </row>
    <row r="1406" spans="2:42" ht="18" customHeight="1">
      <c r="B1406" s="2728"/>
      <c r="C1406" s="2728"/>
      <c r="D1406" s="2728"/>
      <c r="E1406" s="2728"/>
      <c r="G1406" s="2512"/>
      <c r="I1406" s="2748"/>
      <c r="J1406" s="2728"/>
      <c r="L1406" s="2728"/>
      <c r="M1406" s="2748"/>
      <c r="N1406" s="2728"/>
      <c r="O1406" s="2728"/>
      <c r="P1406" s="2728"/>
      <c r="Q1406" s="2748"/>
      <c r="R1406" s="2748"/>
      <c r="S1406" s="2748"/>
      <c r="T1406" s="2748"/>
      <c r="U1406" s="2748"/>
      <c r="V1406" s="2748"/>
      <c r="W1406" s="2748"/>
      <c r="X1406" s="2748"/>
      <c r="Y1406" s="2748"/>
      <c r="Z1406" s="2748"/>
      <c r="AA1406" s="2748"/>
      <c r="AB1406" s="2748"/>
      <c r="AC1406" s="2748"/>
      <c r="AD1406" s="2748"/>
      <c r="AE1406" s="2748"/>
      <c r="AF1406" s="2748"/>
      <c r="AG1406" s="2748"/>
      <c r="AH1406" s="2748"/>
      <c r="AI1406" s="2748"/>
      <c r="AK1406" s="2748"/>
      <c r="AL1406" s="2748"/>
      <c r="AN1406" s="2748"/>
      <c r="AO1406" s="2748"/>
      <c r="AP1406" s="2748"/>
    </row>
    <row r="1407" spans="2:42" ht="18" customHeight="1">
      <c r="B1407" s="2728"/>
      <c r="C1407" s="2728"/>
      <c r="D1407" s="2728"/>
      <c r="E1407" s="2728"/>
      <c r="G1407" s="2512"/>
      <c r="I1407" s="2748"/>
      <c r="J1407" s="2728"/>
      <c r="L1407" s="2728"/>
      <c r="M1407" s="2748"/>
      <c r="N1407" s="2728"/>
      <c r="O1407" s="2728"/>
      <c r="P1407" s="2728"/>
      <c r="Q1407" s="2748"/>
      <c r="R1407" s="2748"/>
      <c r="S1407" s="2748"/>
      <c r="T1407" s="2748"/>
      <c r="U1407" s="2748"/>
      <c r="V1407" s="2748"/>
      <c r="W1407" s="2748"/>
      <c r="X1407" s="2748"/>
      <c r="Y1407" s="2748"/>
      <c r="Z1407" s="2748"/>
      <c r="AA1407" s="2748"/>
      <c r="AB1407" s="2748"/>
      <c r="AC1407" s="2748"/>
      <c r="AD1407" s="2748"/>
      <c r="AE1407" s="2748"/>
      <c r="AF1407" s="2748"/>
      <c r="AG1407" s="2748"/>
      <c r="AH1407" s="2748"/>
      <c r="AI1407" s="2748"/>
      <c r="AK1407" s="2748"/>
      <c r="AL1407" s="2748"/>
      <c r="AN1407" s="2748"/>
      <c r="AO1407" s="2748"/>
      <c r="AP1407" s="2748"/>
    </row>
    <row r="1408" spans="2:42" ht="18" customHeight="1">
      <c r="B1408" s="2728"/>
      <c r="C1408" s="2728"/>
      <c r="D1408" s="2728"/>
      <c r="E1408" s="2728"/>
      <c r="G1408" s="2512"/>
      <c r="I1408" s="2748"/>
      <c r="J1408" s="2728"/>
      <c r="L1408" s="2728"/>
      <c r="M1408" s="2748"/>
      <c r="N1408" s="2728"/>
      <c r="O1408" s="2728"/>
      <c r="P1408" s="2728"/>
      <c r="Q1408" s="2748"/>
      <c r="R1408" s="2748"/>
      <c r="S1408" s="2748"/>
      <c r="T1408" s="2748"/>
      <c r="U1408" s="2748"/>
      <c r="V1408" s="2748"/>
      <c r="W1408" s="2748"/>
      <c r="X1408" s="2748"/>
      <c r="Y1408" s="2748"/>
      <c r="Z1408" s="2748"/>
      <c r="AA1408" s="2748"/>
      <c r="AB1408" s="2748"/>
      <c r="AC1408" s="2748"/>
      <c r="AD1408" s="2748"/>
      <c r="AE1408" s="2748"/>
      <c r="AF1408" s="2748"/>
      <c r="AG1408" s="2748"/>
      <c r="AH1408" s="2748"/>
      <c r="AI1408" s="2748"/>
      <c r="AK1408" s="2748"/>
      <c r="AL1408" s="2748"/>
      <c r="AN1408" s="2748"/>
      <c r="AO1408" s="2748"/>
      <c r="AP1408" s="2748"/>
    </row>
    <row r="1409" spans="2:42" ht="18" customHeight="1">
      <c r="B1409" s="2728"/>
      <c r="C1409" s="2728"/>
      <c r="D1409" s="2728"/>
      <c r="E1409" s="2728"/>
      <c r="G1409" s="2512"/>
      <c r="I1409" s="2748"/>
      <c r="J1409" s="2728"/>
      <c r="L1409" s="2728"/>
      <c r="M1409" s="2748"/>
      <c r="N1409" s="2728"/>
      <c r="O1409" s="2728"/>
      <c r="P1409" s="2728"/>
      <c r="Q1409" s="2748"/>
      <c r="R1409" s="2748"/>
      <c r="S1409" s="2748"/>
      <c r="T1409" s="2748"/>
      <c r="U1409" s="2748"/>
      <c r="V1409" s="2748"/>
      <c r="W1409" s="2748"/>
      <c r="X1409" s="2748"/>
      <c r="Y1409" s="2748"/>
      <c r="Z1409" s="2748"/>
      <c r="AA1409" s="2748"/>
      <c r="AB1409" s="2748"/>
      <c r="AC1409" s="2748"/>
      <c r="AD1409" s="2748"/>
      <c r="AE1409" s="2748"/>
      <c r="AF1409" s="2748"/>
      <c r="AG1409" s="2748"/>
      <c r="AH1409" s="2748"/>
      <c r="AI1409" s="2748"/>
      <c r="AK1409" s="2748"/>
      <c r="AL1409" s="2748"/>
      <c r="AN1409" s="2748"/>
      <c r="AO1409" s="2748"/>
      <c r="AP1409" s="2748"/>
    </row>
    <row r="1410" spans="2:42" ht="18" customHeight="1">
      <c r="B1410" s="2728"/>
      <c r="C1410" s="2728"/>
      <c r="D1410" s="2728"/>
      <c r="E1410" s="2728"/>
      <c r="G1410" s="2512"/>
      <c r="I1410" s="2748"/>
      <c r="J1410" s="2728"/>
      <c r="L1410" s="2728"/>
      <c r="M1410" s="2748"/>
      <c r="N1410" s="2728"/>
      <c r="O1410" s="2728"/>
      <c r="P1410" s="2728"/>
      <c r="Q1410" s="2748"/>
      <c r="R1410" s="2748"/>
      <c r="S1410" s="2748"/>
      <c r="T1410" s="2748"/>
      <c r="U1410" s="2748"/>
      <c r="V1410" s="2748"/>
      <c r="W1410" s="2748"/>
      <c r="X1410" s="2748"/>
      <c r="Y1410" s="2748"/>
      <c r="Z1410" s="2748"/>
      <c r="AA1410" s="2748"/>
      <c r="AB1410" s="2748"/>
      <c r="AC1410" s="2748"/>
      <c r="AD1410" s="2748"/>
      <c r="AE1410" s="2748"/>
      <c r="AF1410" s="2748"/>
      <c r="AG1410" s="2748"/>
      <c r="AH1410" s="2748"/>
      <c r="AI1410" s="2748"/>
      <c r="AK1410" s="2748"/>
      <c r="AL1410" s="2748"/>
      <c r="AN1410" s="2748"/>
      <c r="AO1410" s="2748"/>
      <c r="AP1410" s="2748"/>
    </row>
    <row r="1411" spans="2:42" ht="18" customHeight="1">
      <c r="B1411" s="2728"/>
      <c r="C1411" s="2728"/>
      <c r="D1411" s="2728"/>
      <c r="E1411" s="2728"/>
      <c r="G1411" s="2512"/>
      <c r="I1411" s="2748"/>
      <c r="J1411" s="2728"/>
      <c r="L1411" s="2728"/>
      <c r="M1411" s="2748"/>
      <c r="N1411" s="2728"/>
      <c r="O1411" s="2728"/>
      <c r="P1411" s="2728"/>
      <c r="Q1411" s="2748"/>
      <c r="R1411" s="2748"/>
      <c r="S1411" s="2748"/>
      <c r="T1411" s="2748"/>
      <c r="U1411" s="2748"/>
      <c r="V1411" s="2748"/>
      <c r="W1411" s="2748"/>
      <c r="X1411" s="2748"/>
      <c r="Y1411" s="2748"/>
      <c r="Z1411" s="2748"/>
      <c r="AA1411" s="2748"/>
      <c r="AB1411" s="2748"/>
      <c r="AC1411" s="2748"/>
      <c r="AD1411" s="2748"/>
      <c r="AE1411" s="2748"/>
      <c r="AF1411" s="2748"/>
      <c r="AG1411" s="2748"/>
      <c r="AH1411" s="2748"/>
      <c r="AI1411" s="2748"/>
      <c r="AK1411" s="2748"/>
      <c r="AL1411" s="2748"/>
      <c r="AN1411" s="2748"/>
      <c r="AO1411" s="2748"/>
      <c r="AP1411" s="2748"/>
    </row>
    <row r="1412" spans="2:42" ht="18" customHeight="1">
      <c r="B1412" s="2728"/>
      <c r="C1412" s="2728"/>
      <c r="D1412" s="2728"/>
      <c r="E1412" s="2728"/>
      <c r="G1412" s="2512"/>
      <c r="I1412" s="2748"/>
      <c r="J1412" s="2728"/>
      <c r="L1412" s="2728"/>
      <c r="M1412" s="2748"/>
      <c r="N1412" s="2728"/>
      <c r="O1412" s="2728"/>
      <c r="P1412" s="2728"/>
      <c r="Q1412" s="2748"/>
      <c r="R1412" s="2748"/>
      <c r="S1412" s="2748"/>
      <c r="T1412" s="2748"/>
      <c r="U1412" s="2748"/>
      <c r="V1412" s="2748"/>
      <c r="W1412" s="2748"/>
      <c r="X1412" s="2748"/>
      <c r="Y1412" s="2748"/>
      <c r="Z1412" s="2748"/>
      <c r="AA1412" s="2748"/>
      <c r="AB1412" s="2748"/>
      <c r="AC1412" s="2748"/>
      <c r="AD1412" s="2748"/>
      <c r="AE1412" s="2748"/>
      <c r="AF1412" s="2748"/>
      <c r="AG1412" s="2748"/>
      <c r="AH1412" s="2748"/>
      <c r="AI1412" s="2748"/>
      <c r="AK1412" s="2748"/>
      <c r="AL1412" s="2748"/>
      <c r="AN1412" s="2748"/>
      <c r="AO1412" s="2748"/>
      <c r="AP1412" s="2748"/>
    </row>
    <row r="1413" spans="2:42" ht="18" customHeight="1">
      <c r="B1413" s="2728"/>
      <c r="C1413" s="2728"/>
      <c r="D1413" s="2728"/>
      <c r="E1413" s="2728"/>
      <c r="G1413" s="2512"/>
      <c r="I1413" s="2748"/>
      <c r="J1413" s="2728"/>
      <c r="L1413" s="2728"/>
      <c r="M1413" s="2748"/>
      <c r="N1413" s="2728"/>
      <c r="O1413" s="2728"/>
      <c r="P1413" s="2728"/>
      <c r="Q1413" s="2748"/>
      <c r="R1413" s="2748"/>
      <c r="S1413" s="2748"/>
      <c r="T1413" s="2748"/>
      <c r="U1413" s="2748"/>
      <c r="V1413" s="2748"/>
      <c r="W1413" s="2748"/>
      <c r="X1413" s="2748"/>
      <c r="Y1413" s="2748"/>
      <c r="Z1413" s="2748"/>
      <c r="AA1413" s="2748"/>
      <c r="AB1413" s="2748"/>
      <c r="AC1413" s="2748"/>
      <c r="AD1413" s="2748"/>
      <c r="AE1413" s="2748"/>
      <c r="AF1413" s="2748"/>
      <c r="AG1413" s="2748"/>
      <c r="AH1413" s="2748"/>
      <c r="AI1413" s="2748"/>
      <c r="AK1413" s="2748"/>
      <c r="AL1413" s="2748"/>
      <c r="AN1413" s="2748"/>
      <c r="AO1413" s="2748"/>
      <c r="AP1413" s="2748"/>
    </row>
    <row r="1414" spans="2:42" ht="18" customHeight="1">
      <c r="B1414" s="2728"/>
      <c r="C1414" s="2728"/>
      <c r="D1414" s="2728"/>
      <c r="E1414" s="2728"/>
      <c r="G1414" s="2512"/>
      <c r="I1414" s="2748"/>
      <c r="J1414" s="2728"/>
      <c r="L1414" s="2728"/>
      <c r="M1414" s="2748"/>
      <c r="N1414" s="2728"/>
      <c r="O1414" s="2728"/>
      <c r="P1414" s="2728"/>
      <c r="Q1414" s="2748"/>
      <c r="R1414" s="2748"/>
      <c r="S1414" s="2748"/>
      <c r="T1414" s="2748"/>
      <c r="U1414" s="2748"/>
      <c r="V1414" s="2748"/>
      <c r="W1414" s="2748"/>
      <c r="X1414" s="2748"/>
      <c r="Y1414" s="2748"/>
      <c r="Z1414" s="2748"/>
      <c r="AA1414" s="2748"/>
      <c r="AB1414" s="2748"/>
      <c r="AC1414" s="2748"/>
      <c r="AD1414" s="2748"/>
      <c r="AE1414" s="2748"/>
      <c r="AF1414" s="2748"/>
      <c r="AG1414" s="2748"/>
      <c r="AH1414" s="2748"/>
      <c r="AI1414" s="2748"/>
      <c r="AK1414" s="2748"/>
      <c r="AL1414" s="2748"/>
      <c r="AN1414" s="2748"/>
      <c r="AO1414" s="2748"/>
      <c r="AP1414" s="2748"/>
    </row>
    <row r="1415" spans="2:42" ht="18" customHeight="1">
      <c r="B1415" s="2728"/>
      <c r="C1415" s="2728"/>
      <c r="D1415" s="2728"/>
      <c r="E1415" s="2728"/>
      <c r="G1415" s="2512"/>
      <c r="I1415" s="2748"/>
      <c r="J1415" s="2728"/>
      <c r="L1415" s="2728"/>
      <c r="M1415" s="2748"/>
      <c r="N1415" s="2728"/>
      <c r="O1415" s="2728"/>
      <c r="P1415" s="2728"/>
      <c r="Q1415" s="2748"/>
      <c r="R1415" s="2748"/>
      <c r="S1415" s="2748"/>
      <c r="T1415" s="2748"/>
      <c r="U1415" s="2748"/>
      <c r="V1415" s="2748"/>
      <c r="W1415" s="2748"/>
      <c r="X1415" s="2748"/>
      <c r="Y1415" s="2748"/>
      <c r="Z1415" s="2748"/>
      <c r="AA1415" s="2748"/>
      <c r="AB1415" s="2748"/>
      <c r="AC1415" s="2748"/>
      <c r="AD1415" s="2748"/>
      <c r="AE1415" s="2748"/>
      <c r="AF1415" s="2748"/>
      <c r="AG1415" s="2748"/>
      <c r="AH1415" s="2748"/>
      <c r="AI1415" s="2748"/>
      <c r="AK1415" s="2748"/>
      <c r="AL1415" s="2748"/>
      <c r="AN1415" s="2748"/>
      <c r="AO1415" s="2748"/>
      <c r="AP1415" s="2748"/>
    </row>
    <row r="1416" spans="2:42" ht="18" customHeight="1">
      <c r="B1416" s="2728"/>
      <c r="C1416" s="2728"/>
      <c r="D1416" s="2728"/>
      <c r="E1416" s="2728"/>
      <c r="G1416" s="2512"/>
      <c r="I1416" s="2748"/>
      <c r="J1416" s="2728"/>
      <c r="L1416" s="2728"/>
      <c r="M1416" s="2748"/>
      <c r="N1416" s="2728"/>
      <c r="O1416" s="2728"/>
      <c r="P1416" s="2728"/>
      <c r="Q1416" s="2748"/>
      <c r="R1416" s="2748"/>
      <c r="S1416" s="2748"/>
      <c r="T1416" s="2748"/>
      <c r="U1416" s="2748"/>
      <c r="V1416" s="2748"/>
      <c r="W1416" s="2748"/>
      <c r="X1416" s="2748"/>
      <c r="Y1416" s="2748"/>
      <c r="Z1416" s="2748"/>
      <c r="AA1416" s="2748"/>
      <c r="AB1416" s="2748"/>
      <c r="AC1416" s="2748"/>
      <c r="AD1416" s="2748"/>
      <c r="AE1416" s="2748"/>
      <c r="AF1416" s="2748"/>
      <c r="AG1416" s="2748"/>
      <c r="AH1416" s="2748"/>
      <c r="AI1416" s="2748"/>
      <c r="AK1416" s="2748"/>
      <c r="AL1416" s="2748"/>
      <c r="AN1416" s="2748"/>
      <c r="AO1416" s="2748"/>
      <c r="AP1416" s="2748"/>
    </row>
    <row r="1417" spans="2:42" ht="18" customHeight="1">
      <c r="B1417" s="2728"/>
      <c r="C1417" s="2728"/>
      <c r="D1417" s="2728"/>
      <c r="E1417" s="2728"/>
      <c r="G1417" s="2512"/>
      <c r="I1417" s="2748"/>
      <c r="J1417" s="2728"/>
      <c r="L1417" s="2728"/>
      <c r="M1417" s="2748"/>
      <c r="N1417" s="2728"/>
      <c r="O1417" s="2728"/>
      <c r="P1417" s="2728"/>
      <c r="Q1417" s="2748"/>
      <c r="R1417" s="2748"/>
      <c r="S1417" s="2748"/>
      <c r="T1417" s="2748"/>
      <c r="U1417" s="2748"/>
      <c r="V1417" s="2748"/>
      <c r="W1417" s="2748"/>
      <c r="X1417" s="2748"/>
      <c r="Y1417" s="2748"/>
      <c r="Z1417" s="2748"/>
      <c r="AA1417" s="2748"/>
      <c r="AB1417" s="2748"/>
      <c r="AC1417" s="2748"/>
      <c r="AD1417" s="2748"/>
      <c r="AE1417" s="2748"/>
      <c r="AF1417" s="2748"/>
      <c r="AG1417" s="2748"/>
      <c r="AH1417" s="2748"/>
      <c r="AI1417" s="2748"/>
      <c r="AK1417" s="2748"/>
      <c r="AL1417" s="2748"/>
      <c r="AN1417" s="2748"/>
      <c r="AO1417" s="2748"/>
      <c r="AP1417" s="2748"/>
    </row>
    <row r="1418" spans="2:42" ht="18" customHeight="1">
      <c r="B1418" s="2728"/>
      <c r="C1418" s="2728"/>
      <c r="D1418" s="2728"/>
      <c r="E1418" s="2728"/>
      <c r="G1418" s="2512"/>
      <c r="I1418" s="2748"/>
      <c r="J1418" s="2728"/>
      <c r="L1418" s="2728"/>
      <c r="M1418" s="2748"/>
      <c r="N1418" s="2728"/>
      <c r="O1418" s="2728"/>
      <c r="P1418" s="2728"/>
      <c r="Q1418" s="2748"/>
      <c r="R1418" s="2748"/>
      <c r="S1418" s="2748"/>
      <c r="T1418" s="2748"/>
      <c r="U1418" s="2748"/>
      <c r="V1418" s="2748"/>
      <c r="W1418" s="2748"/>
      <c r="X1418" s="2748"/>
      <c r="Y1418" s="2748"/>
      <c r="Z1418" s="2748"/>
      <c r="AA1418" s="2748"/>
      <c r="AB1418" s="2748"/>
      <c r="AC1418" s="2748"/>
      <c r="AD1418" s="2748"/>
      <c r="AE1418" s="2748"/>
      <c r="AF1418" s="2748"/>
      <c r="AG1418" s="2748"/>
      <c r="AH1418" s="2748"/>
      <c r="AI1418" s="2748"/>
      <c r="AK1418" s="2748"/>
      <c r="AL1418" s="2748"/>
      <c r="AN1418" s="2748"/>
      <c r="AO1418" s="2748"/>
      <c r="AP1418" s="2748"/>
    </row>
    <row r="1419" spans="2:42" ht="18" customHeight="1">
      <c r="B1419" s="2728"/>
      <c r="C1419" s="2728"/>
      <c r="D1419" s="2728"/>
      <c r="E1419" s="2728"/>
      <c r="G1419" s="2512"/>
      <c r="I1419" s="2748"/>
      <c r="J1419" s="2728"/>
      <c r="L1419" s="2728"/>
      <c r="M1419" s="2748"/>
      <c r="N1419" s="2728"/>
      <c r="O1419" s="2728"/>
      <c r="P1419" s="2728"/>
      <c r="Q1419" s="2748"/>
      <c r="R1419" s="2748"/>
      <c r="S1419" s="2748"/>
      <c r="T1419" s="2748"/>
      <c r="U1419" s="2748"/>
      <c r="V1419" s="2748"/>
      <c r="W1419" s="2748"/>
      <c r="X1419" s="2748"/>
      <c r="Y1419" s="2748"/>
      <c r="Z1419" s="2748"/>
      <c r="AA1419" s="2748"/>
      <c r="AB1419" s="2748"/>
      <c r="AC1419" s="2748"/>
      <c r="AD1419" s="2748"/>
      <c r="AE1419" s="2748"/>
      <c r="AF1419" s="2748"/>
      <c r="AG1419" s="2748"/>
      <c r="AH1419" s="2748"/>
      <c r="AI1419" s="2748"/>
      <c r="AK1419" s="2748"/>
      <c r="AL1419" s="2748"/>
      <c r="AN1419" s="2748"/>
      <c r="AO1419" s="2748"/>
      <c r="AP1419" s="2748"/>
    </row>
    <row r="1420" spans="2:42" ht="18" customHeight="1">
      <c r="B1420" s="2728"/>
      <c r="C1420" s="2728"/>
      <c r="D1420" s="2728"/>
      <c r="E1420" s="2728"/>
      <c r="G1420" s="2512"/>
      <c r="I1420" s="2748"/>
      <c r="J1420" s="2728"/>
      <c r="L1420" s="2728"/>
      <c r="M1420" s="2748"/>
      <c r="N1420" s="2728"/>
      <c r="O1420" s="2728"/>
      <c r="P1420" s="2728"/>
      <c r="Q1420" s="2748"/>
      <c r="R1420" s="2748"/>
      <c r="S1420" s="2748"/>
      <c r="T1420" s="2748"/>
      <c r="U1420" s="2748"/>
      <c r="V1420" s="2748"/>
      <c r="W1420" s="2748"/>
      <c r="X1420" s="2748"/>
      <c r="Y1420" s="2748"/>
      <c r="Z1420" s="2748"/>
      <c r="AA1420" s="2748"/>
      <c r="AB1420" s="2748"/>
      <c r="AC1420" s="2748"/>
      <c r="AD1420" s="2748"/>
      <c r="AE1420" s="2748"/>
      <c r="AF1420" s="2748"/>
      <c r="AG1420" s="2748"/>
      <c r="AH1420" s="2748"/>
      <c r="AI1420" s="2748"/>
      <c r="AK1420" s="2748"/>
      <c r="AL1420" s="2748"/>
      <c r="AN1420" s="2748"/>
      <c r="AO1420" s="2748"/>
      <c r="AP1420" s="2748"/>
    </row>
    <row r="1421" spans="2:42" ht="18" customHeight="1">
      <c r="B1421" s="2728"/>
      <c r="C1421" s="2728"/>
      <c r="D1421" s="2728"/>
      <c r="E1421" s="2728"/>
      <c r="G1421" s="2512"/>
      <c r="I1421" s="2748"/>
      <c r="J1421" s="2728"/>
      <c r="L1421" s="2728"/>
      <c r="M1421" s="2748"/>
      <c r="N1421" s="2728"/>
      <c r="O1421" s="2728"/>
      <c r="P1421" s="2728"/>
      <c r="Q1421" s="2748"/>
      <c r="R1421" s="2748"/>
      <c r="S1421" s="2748"/>
      <c r="T1421" s="2748"/>
      <c r="U1421" s="2748"/>
      <c r="V1421" s="2748"/>
      <c r="W1421" s="2748"/>
      <c r="X1421" s="2748"/>
      <c r="Y1421" s="2748"/>
      <c r="Z1421" s="2748"/>
      <c r="AA1421" s="2748"/>
      <c r="AB1421" s="2748"/>
      <c r="AC1421" s="2748"/>
      <c r="AD1421" s="2748"/>
      <c r="AE1421" s="2748"/>
      <c r="AF1421" s="2748"/>
      <c r="AG1421" s="2748"/>
      <c r="AH1421" s="2748"/>
      <c r="AI1421" s="2748"/>
      <c r="AK1421" s="2748"/>
      <c r="AL1421" s="2748"/>
      <c r="AN1421" s="2748"/>
      <c r="AO1421" s="2748"/>
      <c r="AP1421" s="2748"/>
    </row>
    <row r="1422" spans="2:42" ht="18" customHeight="1">
      <c r="B1422" s="2728"/>
      <c r="C1422" s="2728"/>
      <c r="D1422" s="2728"/>
      <c r="E1422" s="2728"/>
      <c r="G1422" s="2512"/>
      <c r="I1422" s="2748"/>
      <c r="J1422" s="2728"/>
      <c r="L1422" s="2728"/>
      <c r="M1422" s="2748"/>
      <c r="N1422" s="2728"/>
      <c r="O1422" s="2728"/>
      <c r="P1422" s="2728"/>
      <c r="Q1422" s="2748"/>
      <c r="R1422" s="2748"/>
      <c r="S1422" s="2748"/>
      <c r="T1422" s="2748"/>
      <c r="U1422" s="2748"/>
      <c r="V1422" s="2748"/>
      <c r="W1422" s="2748"/>
      <c r="X1422" s="2748"/>
      <c r="Y1422" s="2748"/>
      <c r="Z1422" s="2748"/>
      <c r="AA1422" s="2748"/>
      <c r="AB1422" s="2748"/>
      <c r="AC1422" s="2748"/>
      <c r="AD1422" s="2748"/>
      <c r="AE1422" s="2748"/>
      <c r="AF1422" s="2748"/>
      <c r="AG1422" s="2748"/>
      <c r="AH1422" s="2748"/>
      <c r="AI1422" s="2748"/>
      <c r="AK1422" s="2748"/>
      <c r="AL1422" s="2748"/>
      <c r="AN1422" s="2748"/>
      <c r="AO1422" s="2748"/>
      <c r="AP1422" s="2748"/>
    </row>
    <row r="1423" spans="2:42" ht="18" customHeight="1">
      <c r="B1423" s="2728"/>
      <c r="C1423" s="2728"/>
      <c r="D1423" s="2728"/>
      <c r="E1423" s="2728"/>
      <c r="G1423" s="2512"/>
      <c r="I1423" s="2748"/>
      <c r="J1423" s="2728"/>
      <c r="L1423" s="2728"/>
      <c r="M1423" s="2748"/>
      <c r="N1423" s="2728"/>
      <c r="O1423" s="2728"/>
      <c r="P1423" s="2728"/>
      <c r="Q1423" s="2748"/>
      <c r="R1423" s="2748"/>
      <c r="S1423" s="2748"/>
      <c r="T1423" s="2748"/>
      <c r="U1423" s="2748"/>
      <c r="V1423" s="2748"/>
      <c r="W1423" s="2748"/>
      <c r="X1423" s="2748"/>
      <c r="Y1423" s="2748"/>
      <c r="Z1423" s="2748"/>
      <c r="AA1423" s="2748"/>
      <c r="AB1423" s="2748"/>
      <c r="AC1423" s="2748"/>
      <c r="AD1423" s="2748"/>
      <c r="AE1423" s="2748"/>
      <c r="AF1423" s="2748"/>
      <c r="AG1423" s="2748"/>
      <c r="AH1423" s="2748"/>
      <c r="AI1423" s="2748"/>
      <c r="AK1423" s="2748"/>
      <c r="AL1423" s="2748"/>
      <c r="AN1423" s="2748"/>
      <c r="AO1423" s="2748"/>
      <c r="AP1423" s="2748"/>
    </row>
    <row r="1424" spans="2:42" ht="18" customHeight="1">
      <c r="B1424" s="2728"/>
      <c r="C1424" s="2728"/>
      <c r="D1424" s="2728"/>
      <c r="E1424" s="2728"/>
      <c r="G1424" s="2512"/>
      <c r="I1424" s="2748"/>
      <c r="J1424" s="2728"/>
      <c r="L1424" s="2728"/>
      <c r="M1424" s="2748"/>
      <c r="N1424" s="2728"/>
      <c r="O1424" s="2728"/>
      <c r="P1424" s="2728"/>
      <c r="Q1424" s="2748"/>
      <c r="R1424" s="2748"/>
      <c r="S1424" s="2748"/>
      <c r="T1424" s="2748"/>
      <c r="U1424" s="2748"/>
      <c r="V1424" s="2748"/>
      <c r="W1424" s="2748"/>
      <c r="X1424" s="2748"/>
      <c r="Y1424" s="2748"/>
      <c r="Z1424" s="2748"/>
      <c r="AA1424" s="2748"/>
      <c r="AB1424" s="2748"/>
      <c r="AC1424" s="2748"/>
      <c r="AD1424" s="2748"/>
      <c r="AE1424" s="2748"/>
      <c r="AF1424" s="2748"/>
      <c r="AG1424" s="2748"/>
      <c r="AH1424" s="2748"/>
      <c r="AI1424" s="2748"/>
      <c r="AK1424" s="2748"/>
      <c r="AL1424" s="2748"/>
      <c r="AN1424" s="2748"/>
      <c r="AO1424" s="2748"/>
      <c r="AP1424" s="2748"/>
    </row>
    <row r="1425" spans="2:42" ht="18" customHeight="1">
      <c r="B1425" s="2728"/>
      <c r="C1425" s="2728"/>
      <c r="D1425" s="2728"/>
      <c r="E1425" s="2728"/>
      <c r="G1425" s="2512"/>
      <c r="I1425" s="2748"/>
      <c r="J1425" s="2728"/>
      <c r="L1425" s="2728"/>
      <c r="M1425" s="2748"/>
      <c r="N1425" s="2728"/>
      <c r="O1425" s="2728"/>
      <c r="P1425" s="2728"/>
      <c r="Q1425" s="2748"/>
      <c r="R1425" s="2748"/>
      <c r="S1425" s="2748"/>
      <c r="T1425" s="2748"/>
      <c r="U1425" s="2748"/>
      <c r="V1425" s="2748"/>
      <c r="W1425" s="2748"/>
      <c r="X1425" s="2748"/>
      <c r="Y1425" s="2748"/>
      <c r="Z1425" s="2748"/>
      <c r="AA1425" s="2748"/>
      <c r="AB1425" s="2748"/>
      <c r="AC1425" s="2748"/>
      <c r="AD1425" s="2748"/>
      <c r="AE1425" s="2748"/>
      <c r="AF1425" s="2748"/>
      <c r="AG1425" s="2748"/>
      <c r="AH1425" s="2748"/>
      <c r="AI1425" s="2748"/>
      <c r="AK1425" s="2748"/>
      <c r="AL1425" s="2748"/>
      <c r="AN1425" s="2748"/>
      <c r="AO1425" s="2748"/>
      <c r="AP1425" s="2748"/>
    </row>
    <row r="1426" spans="2:42" ht="18" customHeight="1">
      <c r="B1426" s="2728"/>
      <c r="C1426" s="2728"/>
      <c r="D1426" s="2728"/>
      <c r="E1426" s="2728"/>
      <c r="G1426" s="2512"/>
      <c r="I1426" s="2748"/>
      <c r="J1426" s="2728"/>
      <c r="L1426" s="2728"/>
      <c r="M1426" s="2748"/>
      <c r="N1426" s="2728"/>
      <c r="O1426" s="2728"/>
      <c r="P1426" s="2728"/>
      <c r="Q1426" s="2748"/>
      <c r="R1426" s="2748"/>
      <c r="S1426" s="2748"/>
      <c r="T1426" s="2748"/>
      <c r="U1426" s="2748"/>
      <c r="V1426" s="2748"/>
      <c r="W1426" s="2748"/>
      <c r="X1426" s="2748"/>
      <c r="Y1426" s="2748"/>
      <c r="Z1426" s="2748"/>
      <c r="AA1426" s="2748"/>
      <c r="AB1426" s="2748"/>
      <c r="AC1426" s="2748"/>
      <c r="AD1426" s="2748"/>
      <c r="AE1426" s="2748"/>
      <c r="AF1426" s="2748"/>
      <c r="AG1426" s="2748"/>
      <c r="AH1426" s="2748"/>
      <c r="AI1426" s="2748"/>
      <c r="AK1426" s="2748"/>
      <c r="AL1426" s="2748"/>
      <c r="AN1426" s="2748"/>
      <c r="AO1426" s="2748"/>
      <c r="AP1426" s="2748"/>
    </row>
    <row r="1427" spans="2:42" ht="18" customHeight="1">
      <c r="B1427" s="2728"/>
      <c r="C1427" s="2728"/>
      <c r="D1427" s="2728"/>
      <c r="E1427" s="2728"/>
      <c r="G1427" s="2512"/>
      <c r="I1427" s="2748"/>
      <c r="J1427" s="2728"/>
      <c r="L1427" s="2728"/>
      <c r="M1427" s="2748"/>
      <c r="N1427" s="2728"/>
      <c r="O1427" s="2728"/>
      <c r="P1427" s="2728"/>
      <c r="Q1427" s="2748"/>
      <c r="R1427" s="2748"/>
      <c r="S1427" s="2748"/>
      <c r="T1427" s="2748"/>
      <c r="U1427" s="2748"/>
      <c r="V1427" s="2748"/>
      <c r="W1427" s="2748"/>
      <c r="X1427" s="2748"/>
      <c r="Y1427" s="2748"/>
      <c r="Z1427" s="2748"/>
      <c r="AA1427" s="2748"/>
      <c r="AB1427" s="2748"/>
      <c r="AC1427" s="2748"/>
      <c r="AD1427" s="2748"/>
      <c r="AE1427" s="2748"/>
      <c r="AF1427" s="2748"/>
      <c r="AG1427" s="2748"/>
      <c r="AH1427" s="2748"/>
      <c r="AI1427" s="2748"/>
      <c r="AK1427" s="2748"/>
      <c r="AL1427" s="2748"/>
      <c r="AN1427" s="2748"/>
      <c r="AO1427" s="2748"/>
      <c r="AP1427" s="2748"/>
    </row>
    <row r="1428" spans="2:42" ht="18" customHeight="1">
      <c r="B1428" s="2728"/>
      <c r="C1428" s="2728"/>
      <c r="D1428" s="2728"/>
      <c r="E1428" s="2728"/>
      <c r="G1428" s="2512"/>
      <c r="I1428" s="2748"/>
      <c r="J1428" s="2728"/>
      <c r="L1428" s="2728"/>
      <c r="M1428" s="2748"/>
      <c r="N1428" s="2728"/>
      <c r="O1428" s="2728"/>
      <c r="P1428" s="2728"/>
      <c r="Q1428" s="2748"/>
      <c r="R1428" s="2748"/>
      <c r="S1428" s="2748"/>
      <c r="T1428" s="2748"/>
      <c r="U1428" s="2748"/>
      <c r="V1428" s="2748"/>
      <c r="W1428" s="2748"/>
      <c r="X1428" s="2748"/>
      <c r="Y1428" s="2748"/>
      <c r="Z1428" s="2748"/>
      <c r="AA1428" s="2748"/>
      <c r="AB1428" s="2748"/>
      <c r="AC1428" s="2748"/>
      <c r="AD1428" s="2748"/>
      <c r="AE1428" s="2748"/>
      <c r="AF1428" s="2748"/>
      <c r="AG1428" s="2748"/>
      <c r="AH1428" s="2748"/>
      <c r="AI1428" s="2748"/>
      <c r="AK1428" s="2748"/>
      <c r="AL1428" s="2748"/>
      <c r="AN1428" s="2748"/>
      <c r="AO1428" s="2748"/>
      <c r="AP1428" s="2748"/>
    </row>
    <row r="1429" spans="2:42" ht="18" customHeight="1">
      <c r="B1429" s="2728"/>
      <c r="C1429" s="2728"/>
      <c r="D1429" s="2728"/>
      <c r="E1429" s="2728"/>
      <c r="G1429" s="2512"/>
      <c r="I1429" s="2748"/>
      <c r="J1429" s="2728"/>
      <c r="L1429" s="2728"/>
      <c r="M1429" s="2748"/>
      <c r="N1429" s="2728"/>
      <c r="O1429" s="2728"/>
      <c r="P1429" s="2728"/>
      <c r="Q1429" s="2748"/>
      <c r="R1429" s="2748"/>
      <c r="S1429" s="2748"/>
      <c r="T1429" s="2748"/>
      <c r="U1429" s="2748"/>
      <c r="V1429" s="2748"/>
      <c r="W1429" s="2748"/>
      <c r="X1429" s="2748"/>
      <c r="Y1429" s="2748"/>
      <c r="Z1429" s="2748"/>
      <c r="AA1429" s="2748"/>
      <c r="AB1429" s="2748"/>
      <c r="AC1429" s="2748"/>
      <c r="AD1429" s="2748"/>
      <c r="AE1429" s="2748"/>
      <c r="AF1429" s="2748"/>
      <c r="AG1429" s="2748"/>
      <c r="AH1429" s="2748"/>
      <c r="AI1429" s="2748"/>
      <c r="AK1429" s="2748"/>
      <c r="AL1429" s="2748"/>
      <c r="AN1429" s="2748"/>
      <c r="AO1429" s="2748"/>
      <c r="AP1429" s="2748"/>
    </row>
    <row r="1430" spans="2:42" ht="18" customHeight="1">
      <c r="B1430" s="2728"/>
      <c r="C1430" s="2728"/>
      <c r="D1430" s="2728"/>
      <c r="E1430" s="2728"/>
      <c r="G1430" s="2512"/>
      <c r="I1430" s="2748"/>
      <c r="J1430" s="2728"/>
      <c r="L1430" s="2728"/>
      <c r="M1430" s="2748"/>
      <c r="N1430" s="2728"/>
      <c r="O1430" s="2728"/>
      <c r="P1430" s="2728"/>
      <c r="Q1430" s="2748"/>
      <c r="R1430" s="2748"/>
      <c r="S1430" s="2748"/>
      <c r="T1430" s="2748"/>
      <c r="U1430" s="2748"/>
      <c r="V1430" s="2748"/>
      <c r="W1430" s="2748"/>
      <c r="X1430" s="2748"/>
      <c r="Y1430" s="2748"/>
      <c r="Z1430" s="2748"/>
      <c r="AA1430" s="2748"/>
      <c r="AB1430" s="2748"/>
      <c r="AC1430" s="2748"/>
      <c r="AD1430" s="2748"/>
      <c r="AE1430" s="2748"/>
      <c r="AF1430" s="2748"/>
      <c r="AG1430" s="2748"/>
      <c r="AH1430" s="2748"/>
      <c r="AI1430" s="2748"/>
      <c r="AK1430" s="2748"/>
      <c r="AL1430" s="2748"/>
      <c r="AN1430" s="2748"/>
      <c r="AO1430" s="2748"/>
      <c r="AP1430" s="2748"/>
    </row>
    <row r="1431" spans="2:42" ht="18" customHeight="1">
      <c r="B1431" s="2728"/>
      <c r="C1431" s="2728"/>
      <c r="D1431" s="2728"/>
      <c r="E1431" s="2728"/>
      <c r="G1431" s="2512"/>
      <c r="I1431" s="2748"/>
      <c r="J1431" s="2728"/>
      <c r="L1431" s="2728"/>
      <c r="M1431" s="2748"/>
      <c r="N1431" s="2728"/>
      <c r="O1431" s="2728"/>
      <c r="P1431" s="2728"/>
      <c r="Q1431" s="2748"/>
      <c r="R1431" s="2748"/>
      <c r="S1431" s="2748"/>
      <c r="T1431" s="2748"/>
      <c r="U1431" s="2748"/>
      <c r="V1431" s="2748"/>
      <c r="W1431" s="2748"/>
      <c r="X1431" s="2748"/>
      <c r="Y1431" s="2748"/>
      <c r="Z1431" s="2748"/>
      <c r="AA1431" s="2748"/>
      <c r="AB1431" s="2748"/>
      <c r="AC1431" s="2748"/>
      <c r="AD1431" s="2748"/>
      <c r="AE1431" s="2748"/>
      <c r="AF1431" s="2748"/>
      <c r="AG1431" s="2748"/>
      <c r="AH1431" s="2748"/>
      <c r="AI1431" s="2748"/>
      <c r="AK1431" s="2748"/>
      <c r="AL1431" s="2748"/>
      <c r="AN1431" s="2748"/>
      <c r="AO1431" s="2748"/>
      <c r="AP1431" s="2748"/>
    </row>
    <row r="1432" spans="2:42" ht="18" customHeight="1">
      <c r="B1432" s="2728"/>
      <c r="C1432" s="2728"/>
      <c r="D1432" s="2728"/>
      <c r="E1432" s="2728"/>
      <c r="G1432" s="2512"/>
      <c r="I1432" s="2748"/>
      <c r="J1432" s="2728"/>
      <c r="L1432" s="2728"/>
      <c r="M1432" s="2748"/>
      <c r="N1432" s="2728"/>
      <c r="O1432" s="2728"/>
      <c r="P1432" s="2728"/>
      <c r="Q1432" s="2748"/>
      <c r="R1432" s="2748"/>
      <c r="S1432" s="2748"/>
      <c r="T1432" s="2748"/>
      <c r="U1432" s="2748"/>
      <c r="V1432" s="2748"/>
      <c r="W1432" s="2748"/>
      <c r="X1432" s="2748"/>
      <c r="Y1432" s="2748"/>
      <c r="Z1432" s="2748"/>
      <c r="AA1432" s="2748"/>
      <c r="AB1432" s="2748"/>
      <c r="AC1432" s="2748"/>
      <c r="AD1432" s="2748"/>
      <c r="AE1432" s="2748"/>
      <c r="AF1432" s="2748"/>
      <c r="AG1432" s="2748"/>
      <c r="AH1432" s="2748"/>
      <c r="AI1432" s="2748"/>
      <c r="AK1432" s="2748"/>
      <c r="AL1432" s="2748"/>
      <c r="AN1432" s="2748"/>
      <c r="AO1432" s="2748"/>
      <c r="AP1432" s="2748"/>
    </row>
    <row r="1433" spans="2:42" ht="18" customHeight="1">
      <c r="B1433" s="2728"/>
      <c r="C1433" s="2728"/>
      <c r="D1433" s="2728"/>
      <c r="E1433" s="2728"/>
      <c r="G1433" s="2512"/>
      <c r="I1433" s="2748"/>
      <c r="J1433" s="2728"/>
      <c r="L1433" s="2728"/>
      <c r="M1433" s="2748"/>
      <c r="N1433" s="2728"/>
      <c r="O1433" s="2728"/>
      <c r="P1433" s="2728"/>
      <c r="Q1433" s="2748"/>
      <c r="R1433" s="2748"/>
      <c r="S1433" s="2748"/>
      <c r="T1433" s="2748"/>
      <c r="U1433" s="2748"/>
      <c r="V1433" s="2748"/>
      <c r="W1433" s="2748"/>
      <c r="X1433" s="2748"/>
      <c r="Y1433" s="2748"/>
      <c r="Z1433" s="2748"/>
      <c r="AA1433" s="2748"/>
      <c r="AB1433" s="2748"/>
      <c r="AC1433" s="2748"/>
      <c r="AD1433" s="2748"/>
      <c r="AE1433" s="2748"/>
      <c r="AF1433" s="2748"/>
      <c r="AG1433" s="2748"/>
      <c r="AH1433" s="2748"/>
      <c r="AI1433" s="2748"/>
      <c r="AK1433" s="2748"/>
      <c r="AL1433" s="2748"/>
      <c r="AN1433" s="2748"/>
      <c r="AO1433" s="2748"/>
      <c r="AP1433" s="2748"/>
    </row>
    <row r="1434" spans="2:42" ht="18" customHeight="1">
      <c r="B1434" s="2728"/>
      <c r="C1434" s="2728"/>
      <c r="D1434" s="2728"/>
      <c r="E1434" s="2728"/>
      <c r="G1434" s="2512"/>
      <c r="I1434" s="2748"/>
      <c r="J1434" s="2728"/>
      <c r="L1434" s="2728"/>
      <c r="M1434" s="2748"/>
      <c r="N1434" s="2728"/>
      <c r="O1434" s="2728"/>
      <c r="P1434" s="2728"/>
      <c r="Q1434" s="2748"/>
      <c r="R1434" s="2748"/>
      <c r="S1434" s="2748"/>
      <c r="T1434" s="2748"/>
      <c r="U1434" s="2748"/>
      <c r="V1434" s="2748"/>
      <c r="W1434" s="2748"/>
      <c r="X1434" s="2748"/>
      <c r="Y1434" s="2748"/>
      <c r="Z1434" s="2748"/>
      <c r="AA1434" s="2748"/>
      <c r="AB1434" s="2748"/>
      <c r="AC1434" s="2748"/>
      <c r="AD1434" s="2748"/>
      <c r="AE1434" s="2748"/>
      <c r="AF1434" s="2748"/>
      <c r="AG1434" s="2748"/>
      <c r="AH1434" s="2748"/>
      <c r="AI1434" s="2748"/>
      <c r="AK1434" s="2748"/>
      <c r="AL1434" s="2748"/>
      <c r="AN1434" s="2748"/>
      <c r="AO1434" s="2748"/>
      <c r="AP1434" s="2748"/>
    </row>
    <row r="1435" spans="2:42" ht="18" customHeight="1">
      <c r="B1435" s="2728"/>
      <c r="C1435" s="2728"/>
      <c r="D1435" s="2728"/>
      <c r="E1435" s="2728"/>
      <c r="G1435" s="2512"/>
      <c r="I1435" s="2748"/>
      <c r="J1435" s="2728"/>
      <c r="L1435" s="2728"/>
      <c r="M1435" s="2748"/>
      <c r="N1435" s="2728"/>
      <c r="O1435" s="2728"/>
      <c r="P1435" s="2728"/>
      <c r="Q1435" s="2748"/>
      <c r="R1435" s="2748"/>
      <c r="S1435" s="2748"/>
      <c r="T1435" s="2748"/>
      <c r="U1435" s="2748"/>
      <c r="V1435" s="2748"/>
      <c r="W1435" s="2748"/>
      <c r="X1435" s="2748"/>
      <c r="Y1435" s="2748"/>
      <c r="Z1435" s="2748"/>
      <c r="AA1435" s="2748"/>
      <c r="AB1435" s="2748"/>
      <c r="AC1435" s="2748"/>
      <c r="AD1435" s="2748"/>
      <c r="AE1435" s="2748"/>
      <c r="AF1435" s="2748"/>
      <c r="AG1435" s="2748"/>
      <c r="AH1435" s="2748"/>
      <c r="AI1435" s="2748"/>
      <c r="AK1435" s="2748"/>
      <c r="AL1435" s="2748"/>
      <c r="AN1435" s="2748"/>
      <c r="AO1435" s="2748"/>
      <c r="AP1435" s="2748"/>
    </row>
    <row r="1436" spans="2:42" ht="18" customHeight="1">
      <c r="B1436" s="2728"/>
      <c r="C1436" s="2728"/>
      <c r="D1436" s="2728"/>
      <c r="E1436" s="2728"/>
      <c r="G1436" s="2512"/>
      <c r="I1436" s="2748"/>
      <c r="J1436" s="2728"/>
      <c r="L1436" s="2728"/>
      <c r="M1436" s="2748"/>
      <c r="N1436" s="2728"/>
      <c r="O1436" s="2728"/>
      <c r="P1436" s="2728"/>
      <c r="Q1436" s="2748"/>
      <c r="R1436" s="2748"/>
      <c r="S1436" s="2748"/>
      <c r="T1436" s="2748"/>
      <c r="U1436" s="2748"/>
      <c r="V1436" s="2748"/>
      <c r="W1436" s="2748"/>
      <c r="X1436" s="2748"/>
      <c r="Y1436" s="2748"/>
      <c r="Z1436" s="2748"/>
      <c r="AA1436" s="2748"/>
      <c r="AB1436" s="2748"/>
      <c r="AC1436" s="2748"/>
      <c r="AD1436" s="2748"/>
      <c r="AE1436" s="2748"/>
      <c r="AF1436" s="2748"/>
      <c r="AG1436" s="2748"/>
      <c r="AH1436" s="2748"/>
      <c r="AI1436" s="2748"/>
      <c r="AK1436" s="2748"/>
      <c r="AL1436" s="2748"/>
      <c r="AN1436" s="2748"/>
      <c r="AO1436" s="2748"/>
      <c r="AP1436" s="2748"/>
    </row>
    <row r="1437" spans="2:42" ht="18" customHeight="1">
      <c r="B1437" s="2728"/>
      <c r="C1437" s="2728"/>
      <c r="D1437" s="2728"/>
      <c r="E1437" s="2728"/>
      <c r="G1437" s="2512"/>
      <c r="I1437" s="2748"/>
      <c r="J1437" s="2728"/>
      <c r="L1437" s="2728"/>
      <c r="M1437" s="2748"/>
      <c r="N1437" s="2728"/>
      <c r="O1437" s="2728"/>
      <c r="P1437" s="2728"/>
      <c r="Q1437" s="2748"/>
      <c r="R1437" s="2748"/>
      <c r="S1437" s="2748"/>
      <c r="T1437" s="2748"/>
      <c r="U1437" s="2748"/>
      <c r="V1437" s="2748"/>
      <c r="W1437" s="2748"/>
      <c r="X1437" s="2748"/>
      <c r="Y1437" s="2748"/>
      <c r="Z1437" s="2748"/>
      <c r="AA1437" s="2748"/>
      <c r="AB1437" s="2748"/>
      <c r="AC1437" s="2748"/>
      <c r="AD1437" s="2748"/>
      <c r="AE1437" s="2748"/>
      <c r="AF1437" s="2748"/>
      <c r="AG1437" s="2748"/>
      <c r="AH1437" s="2748"/>
      <c r="AI1437" s="2748"/>
      <c r="AK1437" s="2748"/>
      <c r="AL1437" s="2748"/>
      <c r="AN1437" s="2748"/>
      <c r="AO1437" s="2748"/>
      <c r="AP1437" s="2748"/>
    </row>
    <row r="1438" spans="2:42" ht="18" customHeight="1">
      <c r="B1438" s="2728"/>
      <c r="C1438" s="2728"/>
      <c r="D1438" s="2728"/>
      <c r="E1438" s="2728"/>
      <c r="G1438" s="2512"/>
      <c r="I1438" s="2748"/>
      <c r="J1438" s="2728"/>
      <c r="L1438" s="2728"/>
      <c r="M1438" s="2748"/>
      <c r="N1438" s="2728"/>
      <c r="O1438" s="2728"/>
      <c r="P1438" s="2728"/>
      <c r="Q1438" s="2748"/>
      <c r="R1438" s="2748"/>
      <c r="S1438" s="2748"/>
      <c r="T1438" s="2748"/>
      <c r="U1438" s="2748"/>
      <c r="V1438" s="2748"/>
      <c r="W1438" s="2748"/>
      <c r="X1438" s="2748"/>
      <c r="Y1438" s="2748"/>
      <c r="Z1438" s="2748"/>
      <c r="AA1438" s="2748"/>
      <c r="AB1438" s="2748"/>
      <c r="AC1438" s="2748"/>
      <c r="AD1438" s="2748"/>
      <c r="AE1438" s="2748"/>
      <c r="AF1438" s="2748"/>
      <c r="AG1438" s="2748"/>
      <c r="AH1438" s="2748"/>
      <c r="AI1438" s="2748"/>
      <c r="AK1438" s="2748"/>
      <c r="AL1438" s="2748"/>
      <c r="AN1438" s="2748"/>
      <c r="AO1438" s="2748"/>
      <c r="AP1438" s="2748"/>
    </row>
    <row r="1439" spans="2:42" ht="18" customHeight="1">
      <c r="B1439" s="2728"/>
      <c r="C1439" s="2728"/>
      <c r="D1439" s="2728"/>
      <c r="E1439" s="2728"/>
      <c r="G1439" s="2512"/>
      <c r="I1439" s="2748"/>
      <c r="J1439" s="2728"/>
      <c r="L1439" s="2728"/>
      <c r="M1439" s="2748"/>
      <c r="N1439" s="2728"/>
      <c r="O1439" s="2728"/>
      <c r="P1439" s="2728"/>
      <c r="Q1439" s="2748"/>
      <c r="R1439" s="2748"/>
      <c r="S1439" s="2748"/>
      <c r="T1439" s="2748"/>
      <c r="U1439" s="2748"/>
      <c r="V1439" s="2748"/>
      <c r="W1439" s="2748"/>
      <c r="X1439" s="2748"/>
      <c r="Y1439" s="2748"/>
      <c r="Z1439" s="2748"/>
      <c r="AA1439" s="2748"/>
      <c r="AB1439" s="2748"/>
      <c r="AC1439" s="2748"/>
      <c r="AD1439" s="2748"/>
      <c r="AE1439" s="2748"/>
      <c r="AF1439" s="2748"/>
      <c r="AG1439" s="2748"/>
      <c r="AH1439" s="2748"/>
      <c r="AI1439" s="2748"/>
      <c r="AK1439" s="2748"/>
      <c r="AL1439" s="2748"/>
      <c r="AN1439" s="2748"/>
      <c r="AO1439" s="2748"/>
      <c r="AP1439" s="2748"/>
    </row>
    <row r="1440" spans="2:42" ht="18" customHeight="1">
      <c r="B1440" s="2728"/>
      <c r="C1440" s="2728"/>
      <c r="D1440" s="2728"/>
      <c r="E1440" s="2728"/>
      <c r="G1440" s="2512"/>
      <c r="I1440" s="2748"/>
      <c r="J1440" s="2728"/>
      <c r="L1440" s="2728"/>
      <c r="M1440" s="2748"/>
      <c r="N1440" s="2728"/>
      <c r="O1440" s="2728"/>
      <c r="P1440" s="2728"/>
      <c r="Q1440" s="2748"/>
      <c r="R1440" s="2748"/>
      <c r="S1440" s="2748"/>
      <c r="T1440" s="2748"/>
      <c r="U1440" s="2748"/>
      <c r="V1440" s="2748"/>
      <c r="W1440" s="2748"/>
      <c r="X1440" s="2748"/>
      <c r="Y1440" s="2748"/>
      <c r="Z1440" s="2748"/>
      <c r="AA1440" s="2748"/>
      <c r="AB1440" s="2748"/>
      <c r="AC1440" s="2748"/>
      <c r="AD1440" s="2748"/>
      <c r="AE1440" s="2748"/>
      <c r="AF1440" s="2748"/>
      <c r="AG1440" s="2748"/>
      <c r="AH1440" s="2748"/>
      <c r="AI1440" s="2748"/>
      <c r="AK1440" s="2748"/>
      <c r="AL1440" s="2748"/>
      <c r="AN1440" s="2748"/>
      <c r="AO1440" s="2748"/>
      <c r="AP1440" s="2748"/>
    </row>
    <row r="1441" spans="2:42" ht="18" customHeight="1">
      <c r="B1441" s="2728"/>
      <c r="C1441" s="2728"/>
      <c r="D1441" s="2728"/>
      <c r="E1441" s="2728"/>
      <c r="G1441" s="2512"/>
      <c r="I1441" s="2748"/>
      <c r="J1441" s="2728"/>
      <c r="L1441" s="2728"/>
      <c r="M1441" s="2748"/>
      <c r="N1441" s="2728"/>
      <c r="O1441" s="2728"/>
      <c r="P1441" s="2728"/>
      <c r="Q1441" s="2748"/>
      <c r="R1441" s="2748"/>
      <c r="S1441" s="2748"/>
      <c r="T1441" s="2748"/>
      <c r="U1441" s="2748"/>
      <c r="V1441" s="2748"/>
      <c r="W1441" s="2748"/>
      <c r="X1441" s="2748"/>
      <c r="Y1441" s="2748"/>
      <c r="Z1441" s="2748"/>
      <c r="AA1441" s="2748"/>
      <c r="AB1441" s="2748"/>
      <c r="AC1441" s="2748"/>
      <c r="AD1441" s="2748"/>
      <c r="AE1441" s="2748"/>
      <c r="AF1441" s="2748"/>
      <c r="AG1441" s="2748"/>
      <c r="AH1441" s="2748"/>
      <c r="AI1441" s="2748"/>
      <c r="AK1441" s="2748"/>
      <c r="AL1441" s="2748"/>
      <c r="AN1441" s="2748"/>
      <c r="AO1441" s="2748"/>
      <c r="AP1441" s="2748"/>
    </row>
    <row r="1442" spans="2:42" ht="18" customHeight="1">
      <c r="B1442" s="2728"/>
      <c r="C1442" s="2728"/>
      <c r="D1442" s="2728"/>
      <c r="E1442" s="2728"/>
      <c r="G1442" s="2512"/>
      <c r="I1442" s="2748"/>
      <c r="J1442" s="2728"/>
      <c r="L1442" s="2728"/>
      <c r="M1442" s="2748"/>
      <c r="N1442" s="2728"/>
      <c r="O1442" s="2728"/>
      <c r="P1442" s="2728"/>
      <c r="Q1442" s="2748"/>
      <c r="R1442" s="2748"/>
      <c r="S1442" s="2748"/>
      <c r="T1442" s="2748"/>
      <c r="U1442" s="2748"/>
      <c r="V1442" s="2748"/>
      <c r="W1442" s="2748"/>
      <c r="X1442" s="2748"/>
      <c r="Y1442" s="2748"/>
      <c r="Z1442" s="2748"/>
      <c r="AA1442" s="2748"/>
      <c r="AB1442" s="2748"/>
      <c r="AC1442" s="2748"/>
      <c r="AD1442" s="2748"/>
      <c r="AE1442" s="2748"/>
      <c r="AF1442" s="2748"/>
      <c r="AG1442" s="2748"/>
      <c r="AH1442" s="2748"/>
      <c r="AI1442" s="2748"/>
      <c r="AK1442" s="2748"/>
      <c r="AL1442" s="2748"/>
      <c r="AN1442" s="2748"/>
      <c r="AO1442" s="2748"/>
      <c r="AP1442" s="2748"/>
    </row>
    <row r="1443" spans="2:42" ht="18" customHeight="1">
      <c r="B1443" s="2728"/>
      <c r="C1443" s="2728"/>
      <c r="D1443" s="2728"/>
      <c r="E1443" s="2728"/>
      <c r="G1443" s="2512"/>
      <c r="I1443" s="2748"/>
      <c r="J1443" s="2728"/>
      <c r="L1443" s="2728"/>
      <c r="M1443" s="2748"/>
      <c r="N1443" s="2728"/>
      <c r="O1443" s="2728"/>
      <c r="P1443" s="2728"/>
      <c r="Q1443" s="2748"/>
      <c r="R1443" s="2748"/>
      <c r="S1443" s="2748"/>
      <c r="T1443" s="2748"/>
      <c r="U1443" s="2748"/>
      <c r="V1443" s="2748"/>
      <c r="W1443" s="2748"/>
      <c r="X1443" s="2748"/>
      <c r="Y1443" s="2748"/>
      <c r="Z1443" s="2748"/>
      <c r="AA1443" s="2748"/>
      <c r="AB1443" s="2748"/>
      <c r="AC1443" s="2748"/>
      <c r="AD1443" s="2748"/>
      <c r="AE1443" s="2748"/>
      <c r="AF1443" s="2748"/>
      <c r="AG1443" s="2748"/>
      <c r="AH1443" s="2748"/>
      <c r="AI1443" s="2748"/>
      <c r="AK1443" s="2748"/>
      <c r="AL1443" s="2748"/>
      <c r="AN1443" s="2748"/>
      <c r="AO1443" s="2748"/>
      <c r="AP1443" s="2748"/>
    </row>
    <row r="1444" spans="2:42" ht="18" customHeight="1">
      <c r="B1444" s="2728"/>
      <c r="C1444" s="2728"/>
      <c r="D1444" s="2728"/>
      <c r="E1444" s="2728"/>
      <c r="G1444" s="2512"/>
      <c r="I1444" s="2748"/>
      <c r="J1444" s="2728"/>
      <c r="L1444" s="2728"/>
      <c r="M1444" s="2748"/>
      <c r="N1444" s="2728"/>
      <c r="O1444" s="2728"/>
      <c r="P1444" s="2728"/>
      <c r="Q1444" s="2748"/>
      <c r="R1444" s="2748"/>
      <c r="S1444" s="2748"/>
      <c r="T1444" s="2748"/>
      <c r="U1444" s="2748"/>
      <c r="V1444" s="2748"/>
      <c r="W1444" s="2748"/>
      <c r="X1444" s="2748"/>
      <c r="Y1444" s="2748"/>
      <c r="Z1444" s="2748"/>
      <c r="AA1444" s="2748"/>
      <c r="AB1444" s="2748"/>
      <c r="AC1444" s="2748"/>
      <c r="AD1444" s="2748"/>
      <c r="AE1444" s="2748"/>
      <c r="AF1444" s="2748"/>
      <c r="AG1444" s="2748"/>
      <c r="AH1444" s="2748"/>
      <c r="AI1444" s="2748"/>
      <c r="AK1444" s="2748"/>
      <c r="AL1444" s="2748"/>
      <c r="AN1444" s="2748"/>
      <c r="AO1444" s="2748"/>
      <c r="AP1444" s="2748"/>
    </row>
    <row r="1445" spans="2:42" ht="18" customHeight="1">
      <c r="B1445" s="2728"/>
      <c r="C1445" s="2728"/>
      <c r="D1445" s="2728"/>
      <c r="E1445" s="2728"/>
      <c r="G1445" s="2512"/>
      <c r="I1445" s="2748"/>
      <c r="J1445" s="2728"/>
      <c r="L1445" s="2728"/>
      <c r="M1445" s="2748"/>
      <c r="N1445" s="2728"/>
      <c r="O1445" s="2728"/>
      <c r="P1445" s="2728"/>
      <c r="Q1445" s="2748"/>
      <c r="R1445" s="2748"/>
      <c r="S1445" s="2748"/>
      <c r="T1445" s="2748"/>
      <c r="U1445" s="2748"/>
      <c r="V1445" s="2748"/>
      <c r="W1445" s="2748"/>
      <c r="X1445" s="2748"/>
      <c r="Y1445" s="2748"/>
      <c r="Z1445" s="2748"/>
      <c r="AA1445" s="2748"/>
      <c r="AB1445" s="2748"/>
      <c r="AC1445" s="2748"/>
      <c r="AD1445" s="2748"/>
      <c r="AE1445" s="2748"/>
      <c r="AF1445" s="2748"/>
      <c r="AG1445" s="2748"/>
      <c r="AH1445" s="2748"/>
      <c r="AI1445" s="2748"/>
      <c r="AK1445" s="2748"/>
      <c r="AL1445" s="2748"/>
      <c r="AN1445" s="2748"/>
      <c r="AO1445" s="2748"/>
      <c r="AP1445" s="2748"/>
    </row>
    <row r="1446" spans="2:42" ht="18" customHeight="1">
      <c r="B1446" s="2728"/>
      <c r="C1446" s="2728"/>
      <c r="D1446" s="2728"/>
      <c r="E1446" s="2728"/>
      <c r="G1446" s="2512"/>
      <c r="I1446" s="2748"/>
      <c r="J1446" s="2728"/>
      <c r="L1446" s="2728"/>
      <c r="M1446" s="2748"/>
      <c r="N1446" s="2728"/>
      <c r="O1446" s="2728"/>
      <c r="P1446" s="2728"/>
      <c r="Q1446" s="2748"/>
      <c r="R1446" s="2748"/>
      <c r="S1446" s="2748"/>
      <c r="T1446" s="2748"/>
      <c r="U1446" s="2748"/>
      <c r="V1446" s="2748"/>
      <c r="W1446" s="2748"/>
      <c r="X1446" s="2748"/>
      <c r="Y1446" s="2748"/>
      <c r="Z1446" s="2748"/>
      <c r="AA1446" s="2748"/>
      <c r="AB1446" s="2748"/>
      <c r="AC1446" s="2748"/>
      <c r="AD1446" s="2748"/>
      <c r="AE1446" s="2748"/>
      <c r="AF1446" s="2748"/>
      <c r="AG1446" s="2748"/>
      <c r="AH1446" s="2748"/>
      <c r="AI1446" s="2748"/>
      <c r="AK1446" s="2748"/>
      <c r="AL1446" s="2748"/>
      <c r="AN1446" s="2748"/>
      <c r="AO1446" s="2748"/>
      <c r="AP1446" s="2748"/>
    </row>
    <row r="1447" spans="2:42" ht="18" customHeight="1">
      <c r="B1447" s="2728"/>
      <c r="C1447" s="2728"/>
      <c r="D1447" s="2728"/>
      <c r="E1447" s="2728"/>
      <c r="G1447" s="2512"/>
      <c r="I1447" s="2748"/>
      <c r="J1447" s="2728"/>
      <c r="L1447" s="2728"/>
      <c r="M1447" s="2748"/>
      <c r="N1447" s="2728"/>
      <c r="O1447" s="2728"/>
      <c r="P1447" s="2728"/>
      <c r="Q1447" s="2748"/>
      <c r="R1447" s="2748"/>
      <c r="S1447" s="2748"/>
      <c r="T1447" s="2748"/>
      <c r="U1447" s="2748"/>
      <c r="V1447" s="2748"/>
      <c r="W1447" s="2748"/>
      <c r="X1447" s="2748"/>
      <c r="Y1447" s="2748"/>
      <c r="Z1447" s="2748"/>
      <c r="AA1447" s="2748"/>
      <c r="AB1447" s="2748"/>
      <c r="AC1447" s="2748"/>
      <c r="AD1447" s="2748"/>
      <c r="AE1447" s="2748"/>
      <c r="AF1447" s="2748"/>
      <c r="AG1447" s="2748"/>
      <c r="AH1447" s="2748"/>
      <c r="AI1447" s="2748"/>
      <c r="AK1447" s="2748"/>
      <c r="AL1447" s="2748"/>
      <c r="AN1447" s="2748"/>
      <c r="AO1447" s="2748"/>
      <c r="AP1447" s="2748"/>
    </row>
    <row r="1448" spans="2:42" ht="18" customHeight="1">
      <c r="B1448" s="2728"/>
      <c r="C1448" s="2728"/>
      <c r="D1448" s="2728"/>
      <c r="E1448" s="2728"/>
      <c r="G1448" s="2512"/>
      <c r="I1448" s="2748"/>
      <c r="J1448" s="2728"/>
      <c r="L1448" s="2728"/>
      <c r="M1448" s="2748"/>
      <c r="N1448" s="2728"/>
      <c r="O1448" s="2728"/>
      <c r="P1448" s="2728"/>
      <c r="Q1448" s="2748"/>
      <c r="R1448" s="2748"/>
      <c r="S1448" s="2748"/>
      <c r="T1448" s="2748"/>
      <c r="U1448" s="2748"/>
      <c r="V1448" s="2748"/>
      <c r="W1448" s="2748"/>
      <c r="X1448" s="2748"/>
      <c r="Y1448" s="2748"/>
      <c r="Z1448" s="2748"/>
      <c r="AA1448" s="2748"/>
      <c r="AB1448" s="2748"/>
      <c r="AC1448" s="2748"/>
      <c r="AD1448" s="2748"/>
      <c r="AE1448" s="2748"/>
      <c r="AF1448" s="2748"/>
      <c r="AG1448" s="2748"/>
      <c r="AH1448" s="2748"/>
      <c r="AI1448" s="2748"/>
      <c r="AK1448" s="2748"/>
      <c r="AL1448" s="2748"/>
      <c r="AN1448" s="2748"/>
      <c r="AO1448" s="2748"/>
      <c r="AP1448" s="2748"/>
    </row>
    <row r="1449" spans="2:42" ht="18" customHeight="1">
      <c r="B1449" s="2728"/>
      <c r="C1449" s="2728"/>
      <c r="D1449" s="2728"/>
      <c r="E1449" s="2728"/>
      <c r="G1449" s="2512"/>
      <c r="I1449" s="2748"/>
      <c r="J1449" s="2728"/>
      <c r="L1449" s="2728"/>
      <c r="M1449" s="2748"/>
      <c r="N1449" s="2728"/>
      <c r="O1449" s="2728"/>
      <c r="P1449" s="2728"/>
      <c r="Q1449" s="2748"/>
      <c r="R1449" s="2748"/>
      <c r="S1449" s="2748"/>
      <c r="T1449" s="2748"/>
      <c r="U1449" s="2748"/>
      <c r="V1449" s="2748"/>
      <c r="W1449" s="2748"/>
      <c r="X1449" s="2748"/>
      <c r="Y1449" s="2748"/>
      <c r="Z1449" s="2748"/>
      <c r="AA1449" s="2748"/>
      <c r="AB1449" s="2748"/>
      <c r="AC1449" s="2748"/>
      <c r="AD1449" s="2748"/>
      <c r="AE1449" s="2748"/>
      <c r="AF1449" s="2748"/>
      <c r="AG1449" s="2748"/>
      <c r="AH1449" s="2748"/>
      <c r="AI1449" s="2748"/>
      <c r="AK1449" s="2748"/>
      <c r="AL1449" s="2748"/>
      <c r="AN1449" s="2748"/>
      <c r="AO1449" s="2748"/>
      <c r="AP1449" s="2748"/>
    </row>
    <row r="1450" spans="2:42" ht="18" customHeight="1">
      <c r="B1450" s="2728"/>
      <c r="C1450" s="2728"/>
      <c r="D1450" s="2728"/>
      <c r="E1450" s="2728"/>
      <c r="G1450" s="2512"/>
      <c r="I1450" s="2748"/>
      <c r="J1450" s="2728"/>
      <c r="L1450" s="2728"/>
      <c r="M1450" s="2748"/>
      <c r="N1450" s="2728"/>
      <c r="O1450" s="2728"/>
      <c r="P1450" s="2728"/>
      <c r="Q1450" s="2748"/>
      <c r="R1450" s="2748"/>
      <c r="S1450" s="2748"/>
      <c r="T1450" s="2748"/>
      <c r="U1450" s="2748"/>
      <c r="V1450" s="2748"/>
      <c r="W1450" s="2748"/>
      <c r="X1450" s="2748"/>
      <c r="Y1450" s="2748"/>
      <c r="Z1450" s="2748"/>
      <c r="AA1450" s="2748"/>
      <c r="AB1450" s="2748"/>
      <c r="AC1450" s="2748"/>
      <c r="AD1450" s="2748"/>
      <c r="AE1450" s="2748"/>
      <c r="AF1450" s="2748"/>
      <c r="AG1450" s="2748"/>
      <c r="AH1450" s="2748"/>
      <c r="AI1450" s="2748"/>
      <c r="AK1450" s="2748"/>
      <c r="AL1450" s="2748"/>
      <c r="AN1450" s="2748"/>
      <c r="AO1450" s="2748"/>
      <c r="AP1450" s="2748"/>
    </row>
    <row r="1451" spans="2:42" ht="18" customHeight="1">
      <c r="B1451" s="2728"/>
      <c r="C1451" s="2728"/>
      <c r="D1451" s="2728"/>
      <c r="E1451" s="2728"/>
      <c r="G1451" s="2512"/>
      <c r="I1451" s="2748"/>
      <c r="J1451" s="2728"/>
      <c r="L1451" s="2728"/>
      <c r="M1451" s="2748"/>
      <c r="N1451" s="2728"/>
      <c r="O1451" s="2728"/>
      <c r="P1451" s="2728"/>
      <c r="Q1451" s="2748"/>
      <c r="R1451" s="2748"/>
      <c r="S1451" s="2748"/>
      <c r="T1451" s="2748"/>
      <c r="U1451" s="2748"/>
      <c r="V1451" s="2748"/>
      <c r="W1451" s="2748"/>
      <c r="X1451" s="2748"/>
      <c r="Y1451" s="2748"/>
      <c r="Z1451" s="2748"/>
      <c r="AA1451" s="2748"/>
      <c r="AB1451" s="2748"/>
      <c r="AC1451" s="2748"/>
      <c r="AD1451" s="2748"/>
      <c r="AE1451" s="2748"/>
      <c r="AF1451" s="2748"/>
      <c r="AG1451" s="2748"/>
      <c r="AH1451" s="2748"/>
      <c r="AI1451" s="2748"/>
      <c r="AK1451" s="2748"/>
      <c r="AL1451" s="2748"/>
      <c r="AN1451" s="2748"/>
      <c r="AO1451" s="2748"/>
      <c r="AP1451" s="2748"/>
    </row>
    <row r="1452" spans="2:42" ht="18" customHeight="1">
      <c r="B1452" s="2728"/>
      <c r="C1452" s="2728"/>
      <c r="D1452" s="2728"/>
      <c r="E1452" s="2728"/>
      <c r="G1452" s="2512"/>
      <c r="I1452" s="2748"/>
      <c r="J1452" s="2728"/>
      <c r="L1452" s="2728"/>
      <c r="M1452" s="2748"/>
      <c r="N1452" s="2728"/>
      <c r="O1452" s="2728"/>
      <c r="P1452" s="2728"/>
      <c r="Q1452" s="2748"/>
      <c r="R1452" s="2748"/>
      <c r="S1452" s="2748"/>
      <c r="T1452" s="2748"/>
      <c r="U1452" s="2748"/>
      <c r="V1452" s="2748"/>
      <c r="W1452" s="2748"/>
      <c r="X1452" s="2748"/>
      <c r="Y1452" s="2748"/>
      <c r="Z1452" s="2748"/>
      <c r="AA1452" s="2748"/>
      <c r="AB1452" s="2748"/>
      <c r="AC1452" s="2748"/>
      <c r="AD1452" s="2748"/>
      <c r="AE1452" s="2748"/>
      <c r="AF1452" s="2748"/>
      <c r="AG1452" s="2748"/>
      <c r="AH1452" s="2748"/>
      <c r="AI1452" s="2748"/>
      <c r="AK1452" s="2748"/>
      <c r="AL1452" s="2748"/>
      <c r="AN1452" s="2748"/>
      <c r="AO1452" s="2748"/>
      <c r="AP1452" s="2748"/>
    </row>
    <row r="1453" spans="2:42" ht="18" customHeight="1">
      <c r="B1453" s="2728"/>
      <c r="C1453" s="2728"/>
      <c r="D1453" s="2728"/>
      <c r="E1453" s="2728"/>
      <c r="G1453" s="2512"/>
      <c r="I1453" s="2748"/>
      <c r="J1453" s="2728"/>
      <c r="L1453" s="2728"/>
      <c r="M1453" s="2748"/>
      <c r="N1453" s="2728"/>
      <c r="O1453" s="2728"/>
      <c r="P1453" s="2728"/>
      <c r="Q1453" s="2748"/>
      <c r="R1453" s="2748"/>
      <c r="S1453" s="2748"/>
      <c r="T1453" s="2748"/>
      <c r="U1453" s="2748"/>
      <c r="V1453" s="2748"/>
      <c r="W1453" s="2748"/>
      <c r="X1453" s="2748"/>
      <c r="Y1453" s="2748"/>
      <c r="Z1453" s="2748"/>
      <c r="AA1453" s="2748"/>
      <c r="AB1453" s="2748"/>
      <c r="AC1453" s="2748"/>
      <c r="AD1453" s="2748"/>
      <c r="AE1453" s="2748"/>
      <c r="AF1453" s="2748"/>
      <c r="AG1453" s="2748"/>
      <c r="AH1453" s="2748"/>
      <c r="AI1453" s="2748"/>
      <c r="AK1453" s="2748"/>
      <c r="AL1453" s="2748"/>
      <c r="AN1453" s="2748"/>
      <c r="AO1453" s="2748"/>
      <c r="AP1453" s="2748"/>
    </row>
    <row r="1454" spans="2:42" ht="18" customHeight="1">
      <c r="B1454" s="2728"/>
      <c r="C1454" s="2728"/>
      <c r="D1454" s="2728"/>
      <c r="E1454" s="2728"/>
      <c r="G1454" s="2512"/>
      <c r="I1454" s="2748"/>
      <c r="J1454" s="2728"/>
      <c r="L1454" s="2728"/>
      <c r="M1454" s="2748"/>
      <c r="N1454" s="2728"/>
      <c r="O1454" s="2728"/>
      <c r="P1454" s="2728"/>
      <c r="Q1454" s="2748"/>
      <c r="R1454" s="2748"/>
      <c r="S1454" s="2748"/>
      <c r="T1454" s="2748"/>
      <c r="U1454" s="2748"/>
      <c r="V1454" s="2748"/>
      <c r="W1454" s="2748"/>
      <c r="X1454" s="2748"/>
      <c r="Y1454" s="2748"/>
      <c r="Z1454" s="2748"/>
      <c r="AA1454" s="2748"/>
      <c r="AB1454" s="2748"/>
      <c r="AC1454" s="2748"/>
      <c r="AD1454" s="2748"/>
      <c r="AE1454" s="2748"/>
      <c r="AF1454" s="2748"/>
      <c r="AG1454" s="2748"/>
      <c r="AH1454" s="2748"/>
      <c r="AI1454" s="2748"/>
      <c r="AK1454" s="2748"/>
      <c r="AL1454" s="2748"/>
      <c r="AN1454" s="2748"/>
      <c r="AO1454" s="2748"/>
      <c r="AP1454" s="2748"/>
    </row>
    <row r="1455" spans="2:42" ht="18" customHeight="1">
      <c r="B1455" s="2728"/>
      <c r="C1455" s="2728"/>
      <c r="D1455" s="2728"/>
      <c r="E1455" s="2728"/>
      <c r="G1455" s="2512"/>
      <c r="I1455" s="2748"/>
      <c r="J1455" s="2728"/>
      <c r="L1455" s="2728"/>
      <c r="M1455" s="2748"/>
      <c r="N1455" s="2728"/>
      <c r="O1455" s="2728"/>
      <c r="P1455" s="2728"/>
      <c r="Q1455" s="2748"/>
      <c r="R1455" s="2748"/>
      <c r="S1455" s="2748"/>
      <c r="T1455" s="2748"/>
      <c r="U1455" s="2748"/>
      <c r="V1455" s="2748"/>
      <c r="W1455" s="2748"/>
      <c r="X1455" s="2748"/>
      <c r="Y1455" s="2748"/>
      <c r="Z1455" s="2748"/>
      <c r="AA1455" s="2748"/>
      <c r="AB1455" s="2748"/>
      <c r="AC1455" s="2748"/>
      <c r="AD1455" s="2748"/>
      <c r="AE1455" s="2748"/>
      <c r="AF1455" s="2748"/>
      <c r="AG1455" s="2748"/>
      <c r="AH1455" s="2748"/>
      <c r="AI1455" s="2748"/>
      <c r="AK1455" s="2748"/>
      <c r="AL1455" s="2748"/>
      <c r="AN1455" s="2748"/>
      <c r="AO1455" s="2748"/>
      <c r="AP1455" s="2748"/>
    </row>
    <row r="1456" spans="2:42" ht="18" customHeight="1">
      <c r="B1456" s="2728"/>
      <c r="C1456" s="2728"/>
      <c r="D1456" s="2728"/>
      <c r="E1456" s="2728"/>
      <c r="G1456" s="2512"/>
      <c r="I1456" s="2748"/>
      <c r="J1456" s="2728"/>
      <c r="L1456" s="2728"/>
      <c r="M1456" s="2748"/>
      <c r="N1456" s="2728"/>
      <c r="O1456" s="2728"/>
      <c r="P1456" s="2728"/>
      <c r="Q1456" s="2748"/>
      <c r="R1456" s="2748"/>
      <c r="S1456" s="2748"/>
      <c r="T1456" s="2748"/>
      <c r="U1456" s="2748"/>
      <c r="V1456" s="2748"/>
      <c r="W1456" s="2748"/>
      <c r="X1456" s="2748"/>
      <c r="Y1456" s="2748"/>
      <c r="Z1456" s="2748"/>
      <c r="AA1456" s="2748"/>
      <c r="AB1456" s="2748"/>
      <c r="AC1456" s="2748"/>
      <c r="AD1456" s="2748"/>
      <c r="AE1456" s="2748"/>
      <c r="AF1456" s="2748"/>
      <c r="AG1456" s="2748"/>
      <c r="AH1456" s="2748"/>
      <c r="AI1456" s="2748"/>
      <c r="AK1456" s="2748"/>
      <c r="AL1456" s="2748"/>
      <c r="AN1456" s="2748"/>
      <c r="AO1456" s="2748"/>
      <c r="AP1456" s="2748"/>
    </row>
    <row r="1457" spans="2:42" ht="18" customHeight="1">
      <c r="B1457" s="2728"/>
      <c r="C1457" s="2728"/>
      <c r="D1457" s="2728"/>
      <c r="E1457" s="2728"/>
      <c r="G1457" s="2512"/>
      <c r="I1457" s="2748"/>
      <c r="J1457" s="2728"/>
      <c r="L1457" s="2728"/>
      <c r="M1457" s="2748"/>
      <c r="N1457" s="2728"/>
      <c r="O1457" s="2728"/>
      <c r="P1457" s="2728"/>
      <c r="Q1457" s="2748"/>
      <c r="R1457" s="2748"/>
      <c r="S1457" s="2748"/>
      <c r="T1457" s="2748"/>
      <c r="U1457" s="2748"/>
      <c r="V1457" s="2748"/>
      <c r="W1457" s="2748"/>
      <c r="X1457" s="2748"/>
      <c r="Y1457" s="2748"/>
      <c r="Z1457" s="2748"/>
      <c r="AA1457" s="2748"/>
      <c r="AB1457" s="2748"/>
      <c r="AC1457" s="2748"/>
      <c r="AD1457" s="2748"/>
      <c r="AE1457" s="2748"/>
      <c r="AF1457" s="2748"/>
      <c r="AG1457" s="2748"/>
      <c r="AH1457" s="2748"/>
      <c r="AI1457" s="2748"/>
      <c r="AK1457" s="2748"/>
      <c r="AL1457" s="2748"/>
      <c r="AN1457" s="2748"/>
      <c r="AO1457" s="2748"/>
      <c r="AP1457" s="2748"/>
    </row>
    <row r="1458" spans="2:42" ht="18" customHeight="1">
      <c r="B1458" s="2728"/>
      <c r="C1458" s="2728"/>
      <c r="D1458" s="2728"/>
      <c r="E1458" s="2728"/>
      <c r="G1458" s="2512"/>
      <c r="I1458" s="2748"/>
      <c r="J1458" s="2728"/>
      <c r="L1458" s="2728"/>
      <c r="M1458" s="2748"/>
      <c r="N1458" s="2728"/>
      <c r="O1458" s="2728"/>
      <c r="P1458" s="2728"/>
      <c r="Q1458" s="2748"/>
      <c r="R1458" s="2748"/>
      <c r="S1458" s="2748"/>
      <c r="T1458" s="2748"/>
      <c r="U1458" s="2748"/>
      <c r="V1458" s="2748"/>
      <c r="W1458" s="2748"/>
      <c r="X1458" s="2748"/>
      <c r="Y1458" s="2748"/>
      <c r="Z1458" s="2748"/>
      <c r="AA1458" s="2748"/>
      <c r="AB1458" s="2748"/>
      <c r="AC1458" s="2748"/>
      <c r="AD1458" s="2748"/>
      <c r="AE1458" s="2748"/>
      <c r="AF1458" s="2748"/>
      <c r="AG1458" s="2748"/>
      <c r="AH1458" s="2748"/>
      <c r="AI1458" s="2748"/>
      <c r="AK1458" s="2748"/>
      <c r="AL1458" s="2748"/>
      <c r="AN1458" s="2748"/>
      <c r="AO1458" s="2748"/>
      <c r="AP1458" s="2748"/>
    </row>
    <row r="1459" spans="2:42" ht="18" customHeight="1">
      <c r="B1459" s="2728"/>
      <c r="C1459" s="2728"/>
      <c r="D1459" s="2728"/>
      <c r="E1459" s="2728"/>
      <c r="G1459" s="2512"/>
      <c r="I1459" s="2748"/>
      <c r="J1459" s="2728"/>
      <c r="L1459" s="2728"/>
      <c r="M1459" s="2748"/>
      <c r="N1459" s="2728"/>
      <c r="O1459" s="2728"/>
      <c r="P1459" s="2728"/>
      <c r="Q1459" s="2748"/>
      <c r="R1459" s="2748"/>
      <c r="S1459" s="2748"/>
      <c r="T1459" s="2748"/>
      <c r="U1459" s="2748"/>
      <c r="V1459" s="2748"/>
      <c r="W1459" s="2748"/>
      <c r="X1459" s="2748"/>
      <c r="Y1459" s="2748"/>
      <c r="Z1459" s="2748"/>
      <c r="AA1459" s="2748"/>
      <c r="AB1459" s="2748"/>
      <c r="AC1459" s="2748"/>
      <c r="AD1459" s="2748"/>
      <c r="AE1459" s="2748"/>
      <c r="AF1459" s="2748"/>
      <c r="AG1459" s="2748"/>
      <c r="AH1459" s="2748"/>
      <c r="AI1459" s="2748"/>
      <c r="AK1459" s="2748"/>
      <c r="AL1459" s="2748"/>
      <c r="AN1459" s="2748"/>
      <c r="AO1459" s="2748"/>
      <c r="AP1459" s="2748"/>
    </row>
    <row r="1460" spans="2:42" ht="18" customHeight="1">
      <c r="B1460" s="2728"/>
      <c r="C1460" s="2728"/>
      <c r="D1460" s="2728"/>
      <c r="E1460" s="2728"/>
      <c r="G1460" s="2512"/>
      <c r="I1460" s="2748"/>
      <c r="J1460" s="2728"/>
      <c r="L1460" s="2728"/>
      <c r="M1460" s="2748"/>
      <c r="N1460" s="2728"/>
      <c r="O1460" s="2728"/>
      <c r="P1460" s="2728"/>
      <c r="Q1460" s="2748"/>
      <c r="R1460" s="2748"/>
      <c r="S1460" s="2748"/>
      <c r="T1460" s="2748"/>
      <c r="U1460" s="2748"/>
      <c r="V1460" s="2748"/>
      <c r="W1460" s="2748"/>
      <c r="X1460" s="2748"/>
      <c r="Y1460" s="2748"/>
      <c r="Z1460" s="2748"/>
      <c r="AA1460" s="2748"/>
      <c r="AB1460" s="2748"/>
      <c r="AC1460" s="2748"/>
      <c r="AD1460" s="2748"/>
      <c r="AE1460" s="2748"/>
      <c r="AF1460" s="2748"/>
      <c r="AG1460" s="2748"/>
      <c r="AH1460" s="2748"/>
      <c r="AI1460" s="2748"/>
      <c r="AK1460" s="2748"/>
      <c r="AL1460" s="2748"/>
      <c r="AN1460" s="2748"/>
      <c r="AO1460" s="2748"/>
      <c r="AP1460" s="2748"/>
    </row>
    <row r="1461" spans="2:42" ht="18" customHeight="1">
      <c r="B1461" s="2728"/>
      <c r="C1461" s="2728"/>
      <c r="D1461" s="2728"/>
      <c r="E1461" s="2728"/>
      <c r="G1461" s="2512"/>
      <c r="I1461" s="2748"/>
      <c r="J1461" s="2728"/>
      <c r="L1461" s="2728"/>
      <c r="M1461" s="2748"/>
      <c r="N1461" s="2728"/>
      <c r="O1461" s="2728"/>
      <c r="P1461" s="2728"/>
      <c r="Q1461" s="2748"/>
      <c r="R1461" s="2748"/>
      <c r="S1461" s="2748"/>
      <c r="T1461" s="2748"/>
      <c r="U1461" s="2748"/>
      <c r="V1461" s="2748"/>
      <c r="W1461" s="2748"/>
      <c r="X1461" s="2748"/>
      <c r="Y1461" s="2748"/>
      <c r="Z1461" s="2748"/>
      <c r="AA1461" s="2748"/>
      <c r="AB1461" s="2748"/>
      <c r="AC1461" s="2748"/>
      <c r="AD1461" s="2748"/>
      <c r="AE1461" s="2748"/>
      <c r="AF1461" s="2748"/>
      <c r="AG1461" s="2748"/>
      <c r="AH1461" s="2748"/>
      <c r="AI1461" s="2748"/>
      <c r="AK1461" s="2748"/>
      <c r="AL1461" s="2748"/>
      <c r="AN1461" s="2748"/>
      <c r="AO1461" s="2748"/>
      <c r="AP1461" s="2748"/>
    </row>
    <row r="1462" spans="2:42" ht="18" customHeight="1">
      <c r="B1462" s="2728"/>
      <c r="C1462" s="2728"/>
      <c r="D1462" s="2728"/>
      <c r="E1462" s="2728"/>
      <c r="G1462" s="2512"/>
      <c r="I1462" s="2748"/>
      <c r="J1462" s="2728"/>
      <c r="L1462" s="2728"/>
      <c r="M1462" s="2748"/>
      <c r="N1462" s="2728"/>
      <c r="O1462" s="2728"/>
      <c r="P1462" s="2728"/>
      <c r="Q1462" s="2748"/>
      <c r="R1462" s="2748"/>
      <c r="S1462" s="2748"/>
      <c r="T1462" s="2748"/>
      <c r="U1462" s="2748"/>
      <c r="V1462" s="2748"/>
      <c r="W1462" s="2748"/>
      <c r="X1462" s="2748"/>
      <c r="Y1462" s="2748"/>
      <c r="Z1462" s="2748"/>
      <c r="AA1462" s="2748"/>
      <c r="AB1462" s="2748"/>
      <c r="AC1462" s="2748"/>
      <c r="AD1462" s="2748"/>
      <c r="AE1462" s="2748"/>
      <c r="AF1462" s="2748"/>
      <c r="AG1462" s="2748"/>
      <c r="AH1462" s="2748"/>
      <c r="AI1462" s="2748"/>
      <c r="AK1462" s="2748"/>
      <c r="AL1462" s="2748"/>
      <c r="AN1462" s="2748"/>
      <c r="AO1462" s="2748"/>
      <c r="AP1462" s="2748"/>
    </row>
    <row r="1463" spans="2:42" ht="18" customHeight="1">
      <c r="B1463" s="2728"/>
      <c r="C1463" s="2728"/>
      <c r="D1463" s="2728"/>
      <c r="E1463" s="2728"/>
      <c r="G1463" s="2512"/>
      <c r="I1463" s="2748"/>
      <c r="J1463" s="2728"/>
      <c r="L1463" s="2728"/>
      <c r="M1463" s="2748"/>
      <c r="N1463" s="2728"/>
      <c r="O1463" s="2728"/>
      <c r="P1463" s="2728"/>
      <c r="Q1463" s="2748"/>
      <c r="R1463" s="2748"/>
      <c r="S1463" s="2748"/>
      <c r="T1463" s="2748"/>
      <c r="U1463" s="2748"/>
      <c r="V1463" s="2748"/>
      <c r="W1463" s="2748"/>
      <c r="X1463" s="2748"/>
      <c r="Y1463" s="2748"/>
      <c r="Z1463" s="2748"/>
      <c r="AA1463" s="2748"/>
      <c r="AB1463" s="2748"/>
      <c r="AC1463" s="2748"/>
      <c r="AD1463" s="2748"/>
      <c r="AE1463" s="2748"/>
      <c r="AF1463" s="2748"/>
      <c r="AG1463" s="2748"/>
      <c r="AH1463" s="2748"/>
      <c r="AI1463" s="2748"/>
      <c r="AK1463" s="2748"/>
      <c r="AL1463" s="2748"/>
      <c r="AN1463" s="2748"/>
      <c r="AO1463" s="2748"/>
      <c r="AP1463" s="2748"/>
    </row>
    <row r="1464" spans="2:42" ht="18" customHeight="1">
      <c r="B1464" s="2728"/>
      <c r="C1464" s="2728"/>
      <c r="D1464" s="2728"/>
      <c r="E1464" s="2728"/>
      <c r="G1464" s="2512"/>
      <c r="I1464" s="2748"/>
      <c r="J1464" s="2728"/>
      <c r="L1464" s="2728"/>
      <c r="M1464" s="2748"/>
      <c r="N1464" s="2728"/>
      <c r="O1464" s="2728"/>
      <c r="P1464" s="2728"/>
      <c r="Q1464" s="2748"/>
      <c r="R1464" s="2748"/>
      <c r="S1464" s="2748"/>
      <c r="T1464" s="2748"/>
      <c r="U1464" s="2748"/>
      <c r="V1464" s="2748"/>
      <c r="W1464" s="2748"/>
      <c r="X1464" s="2748"/>
      <c r="Y1464" s="2748"/>
      <c r="Z1464" s="2748"/>
      <c r="AA1464" s="2748"/>
      <c r="AB1464" s="2748"/>
      <c r="AC1464" s="2748"/>
      <c r="AD1464" s="2748"/>
      <c r="AE1464" s="2748"/>
      <c r="AF1464" s="2748"/>
      <c r="AG1464" s="2748"/>
      <c r="AH1464" s="2748"/>
      <c r="AI1464" s="2748"/>
      <c r="AK1464" s="2748"/>
      <c r="AL1464" s="2748"/>
      <c r="AN1464" s="2748"/>
      <c r="AO1464" s="2748"/>
      <c r="AP1464" s="2748"/>
    </row>
    <row r="1465" spans="2:42" ht="18" customHeight="1">
      <c r="B1465" s="2728"/>
      <c r="C1465" s="2728"/>
      <c r="D1465" s="2728"/>
      <c r="E1465" s="2728"/>
      <c r="G1465" s="2512"/>
      <c r="I1465" s="2748"/>
      <c r="J1465" s="2728"/>
      <c r="L1465" s="2728"/>
      <c r="M1465" s="2748"/>
      <c r="N1465" s="2728"/>
      <c r="O1465" s="2728"/>
      <c r="P1465" s="2728"/>
      <c r="Q1465" s="2748"/>
      <c r="R1465" s="2748"/>
      <c r="S1465" s="2748"/>
      <c r="T1465" s="2748"/>
      <c r="U1465" s="2748"/>
      <c r="V1465" s="2748"/>
      <c r="W1465" s="2748"/>
      <c r="X1465" s="2748"/>
      <c r="Y1465" s="2748"/>
      <c r="Z1465" s="2748"/>
      <c r="AA1465" s="2748"/>
      <c r="AB1465" s="2748"/>
      <c r="AC1465" s="2748"/>
      <c r="AD1465" s="2748"/>
      <c r="AE1465" s="2748"/>
      <c r="AF1465" s="2748"/>
      <c r="AG1465" s="2748"/>
      <c r="AH1465" s="2748"/>
      <c r="AI1465" s="2748"/>
      <c r="AK1465" s="2748"/>
      <c r="AL1465" s="2748"/>
      <c r="AN1465" s="2748"/>
      <c r="AO1465" s="2748"/>
      <c r="AP1465" s="2748"/>
    </row>
    <row r="1466" spans="2:42" ht="18" customHeight="1">
      <c r="B1466" s="2728"/>
      <c r="C1466" s="2728"/>
      <c r="D1466" s="2728"/>
      <c r="E1466" s="2728"/>
      <c r="G1466" s="2512"/>
      <c r="I1466" s="2748"/>
      <c r="J1466" s="2728"/>
      <c r="L1466" s="2728"/>
      <c r="M1466" s="2748"/>
      <c r="N1466" s="2728"/>
      <c r="O1466" s="2728"/>
      <c r="P1466" s="2728"/>
      <c r="Q1466" s="2748"/>
      <c r="R1466" s="2748"/>
      <c r="S1466" s="2748"/>
      <c r="T1466" s="2748"/>
      <c r="U1466" s="2748"/>
      <c r="V1466" s="2748"/>
      <c r="W1466" s="2748"/>
      <c r="X1466" s="2748"/>
      <c r="Y1466" s="2748"/>
      <c r="Z1466" s="2748"/>
      <c r="AA1466" s="2748"/>
      <c r="AB1466" s="2748"/>
      <c r="AC1466" s="2748"/>
      <c r="AD1466" s="2748"/>
      <c r="AE1466" s="2748"/>
      <c r="AF1466" s="2748"/>
      <c r="AG1466" s="2748"/>
      <c r="AH1466" s="2748"/>
      <c r="AI1466" s="2748"/>
      <c r="AK1466" s="2748"/>
      <c r="AL1466" s="2748"/>
      <c r="AN1466" s="2748"/>
      <c r="AO1466" s="2748"/>
      <c r="AP1466" s="2748"/>
    </row>
    <row r="1467" spans="2:42" ht="18" customHeight="1">
      <c r="B1467" s="2728"/>
      <c r="C1467" s="2728"/>
      <c r="D1467" s="2728"/>
      <c r="E1467" s="2728"/>
      <c r="G1467" s="2512"/>
      <c r="I1467" s="2748"/>
      <c r="J1467" s="2728"/>
      <c r="L1467" s="2728"/>
      <c r="M1467" s="2748"/>
      <c r="N1467" s="2728"/>
      <c r="O1467" s="2728"/>
      <c r="P1467" s="2728"/>
      <c r="Q1467" s="2748"/>
      <c r="R1467" s="2748"/>
      <c r="S1467" s="2748"/>
      <c r="T1467" s="2748"/>
      <c r="U1467" s="2748"/>
      <c r="V1467" s="2748"/>
      <c r="W1467" s="2748"/>
      <c r="X1467" s="2748"/>
      <c r="Y1467" s="2748"/>
      <c r="Z1467" s="2748"/>
      <c r="AA1467" s="2748"/>
      <c r="AB1467" s="2748"/>
      <c r="AC1467" s="2748"/>
      <c r="AD1467" s="2748"/>
      <c r="AE1467" s="2748"/>
      <c r="AF1467" s="2748"/>
      <c r="AG1467" s="2748"/>
      <c r="AH1467" s="2748"/>
      <c r="AI1467" s="2748"/>
      <c r="AK1467" s="2748"/>
      <c r="AL1467" s="2748"/>
      <c r="AN1467" s="2748"/>
      <c r="AO1467" s="2748"/>
      <c r="AP1467" s="2748"/>
    </row>
    <row r="1468" spans="2:42" ht="18" customHeight="1">
      <c r="B1468" s="2728"/>
      <c r="C1468" s="2728"/>
      <c r="D1468" s="2728"/>
      <c r="E1468" s="2728"/>
      <c r="G1468" s="2512"/>
      <c r="I1468" s="2748"/>
      <c r="J1468" s="2728"/>
      <c r="L1468" s="2728"/>
      <c r="M1468" s="2748"/>
      <c r="N1468" s="2728"/>
      <c r="O1468" s="2728"/>
      <c r="P1468" s="2728"/>
      <c r="Q1468" s="2748"/>
      <c r="R1468" s="2748"/>
      <c r="S1468" s="2748"/>
      <c r="T1468" s="2748"/>
      <c r="U1468" s="2748"/>
      <c r="V1468" s="2748"/>
      <c r="W1468" s="2748"/>
      <c r="X1468" s="2748"/>
      <c r="Y1468" s="2748"/>
      <c r="Z1468" s="2748"/>
      <c r="AA1468" s="2748"/>
      <c r="AB1468" s="2748"/>
      <c r="AC1468" s="2748"/>
      <c r="AD1468" s="2748"/>
      <c r="AE1468" s="2748"/>
      <c r="AF1468" s="2748"/>
      <c r="AG1468" s="2748"/>
      <c r="AH1468" s="2748"/>
      <c r="AI1468" s="2748"/>
      <c r="AK1468" s="2748"/>
      <c r="AL1468" s="2748"/>
      <c r="AN1468" s="2748"/>
      <c r="AO1468" s="2748"/>
      <c r="AP1468" s="2748"/>
    </row>
    <row r="1469" spans="2:42" ht="18" customHeight="1">
      <c r="B1469" s="2728"/>
      <c r="C1469" s="2728"/>
      <c r="D1469" s="2728"/>
      <c r="E1469" s="2728"/>
      <c r="G1469" s="2512"/>
      <c r="I1469" s="2748"/>
      <c r="J1469" s="2728"/>
      <c r="L1469" s="2728"/>
      <c r="M1469" s="2748"/>
      <c r="N1469" s="2728"/>
      <c r="O1469" s="2728"/>
      <c r="P1469" s="2728"/>
      <c r="Q1469" s="2748"/>
      <c r="R1469" s="2748"/>
      <c r="S1469" s="2748"/>
      <c r="T1469" s="2748"/>
      <c r="U1469" s="2748"/>
      <c r="V1469" s="2748"/>
      <c r="W1469" s="2748"/>
      <c r="X1469" s="2748"/>
      <c r="Y1469" s="2748"/>
      <c r="Z1469" s="2748"/>
      <c r="AA1469" s="2748"/>
      <c r="AB1469" s="2748"/>
      <c r="AC1469" s="2748"/>
      <c r="AD1469" s="2748"/>
      <c r="AE1469" s="2748"/>
      <c r="AF1469" s="2748"/>
      <c r="AG1469" s="2748"/>
      <c r="AH1469" s="2748"/>
      <c r="AI1469" s="2748"/>
      <c r="AK1469" s="2748"/>
      <c r="AL1469" s="2748"/>
      <c r="AN1469" s="2748"/>
      <c r="AO1469" s="2748"/>
      <c r="AP1469" s="2748"/>
    </row>
    <row r="1470" spans="2:42" ht="18" customHeight="1">
      <c r="B1470" s="2728"/>
      <c r="C1470" s="2728"/>
      <c r="D1470" s="2728"/>
      <c r="E1470" s="2728"/>
      <c r="G1470" s="2512"/>
      <c r="I1470" s="2748"/>
      <c r="J1470" s="2728"/>
      <c r="L1470" s="2728"/>
      <c r="M1470" s="2748"/>
      <c r="N1470" s="2728"/>
      <c r="O1470" s="2728"/>
      <c r="P1470" s="2728"/>
      <c r="Q1470" s="2748"/>
      <c r="R1470" s="2748"/>
      <c r="S1470" s="2748"/>
      <c r="T1470" s="2748"/>
      <c r="U1470" s="2748"/>
      <c r="V1470" s="2748"/>
      <c r="W1470" s="2748"/>
      <c r="X1470" s="2748"/>
      <c r="Y1470" s="2748"/>
      <c r="Z1470" s="2748"/>
      <c r="AA1470" s="2748"/>
      <c r="AB1470" s="2748"/>
      <c r="AC1470" s="2748"/>
      <c r="AD1470" s="2748"/>
      <c r="AE1470" s="2748"/>
      <c r="AF1470" s="2748"/>
      <c r="AG1470" s="2748"/>
      <c r="AH1470" s="2748"/>
      <c r="AI1470" s="2748"/>
      <c r="AK1470" s="2748"/>
      <c r="AL1470" s="2748"/>
      <c r="AN1470" s="2748"/>
      <c r="AO1470" s="2748"/>
      <c r="AP1470" s="2748"/>
    </row>
    <row r="1471" spans="2:42" ht="18" customHeight="1">
      <c r="B1471" s="2728"/>
      <c r="C1471" s="2728"/>
      <c r="D1471" s="2728"/>
      <c r="E1471" s="2728"/>
      <c r="G1471" s="2512"/>
      <c r="I1471" s="2748"/>
      <c r="J1471" s="2728"/>
      <c r="L1471" s="2728"/>
      <c r="M1471" s="2748"/>
      <c r="N1471" s="2728"/>
      <c r="O1471" s="2728"/>
      <c r="P1471" s="2728"/>
      <c r="Q1471" s="2748"/>
      <c r="R1471" s="2748"/>
      <c r="S1471" s="2748"/>
      <c r="T1471" s="2748"/>
      <c r="U1471" s="2748"/>
      <c r="V1471" s="2748"/>
      <c r="W1471" s="2748"/>
      <c r="X1471" s="2748"/>
      <c r="Y1471" s="2748"/>
      <c r="Z1471" s="2748"/>
      <c r="AA1471" s="2748"/>
      <c r="AB1471" s="2748"/>
      <c r="AC1471" s="2748"/>
      <c r="AD1471" s="2748"/>
      <c r="AE1471" s="2748"/>
      <c r="AF1471" s="2748"/>
      <c r="AG1471" s="2748"/>
      <c r="AH1471" s="2748"/>
      <c r="AI1471" s="2748"/>
      <c r="AK1471" s="2748"/>
      <c r="AL1471" s="2748"/>
      <c r="AN1471" s="2748"/>
      <c r="AO1471" s="2748"/>
      <c r="AP1471" s="2748"/>
    </row>
    <row r="1472" spans="2:42" ht="18" customHeight="1">
      <c r="B1472" s="2728"/>
      <c r="C1472" s="2728"/>
      <c r="D1472" s="2728"/>
      <c r="E1472" s="2728"/>
      <c r="G1472" s="2512"/>
      <c r="I1472" s="2748"/>
      <c r="J1472" s="2728"/>
      <c r="L1472" s="2728"/>
      <c r="M1472" s="2748"/>
      <c r="N1472" s="2728"/>
      <c r="O1472" s="2728"/>
      <c r="P1472" s="2728"/>
      <c r="Q1472" s="2748"/>
      <c r="R1472" s="2748"/>
      <c r="S1472" s="2748"/>
      <c r="T1472" s="2748"/>
      <c r="U1472" s="2748"/>
      <c r="V1472" s="2748"/>
      <c r="W1472" s="2748"/>
      <c r="X1472" s="2748"/>
      <c r="Y1472" s="2748"/>
      <c r="Z1472" s="2748"/>
      <c r="AA1472" s="2748"/>
      <c r="AB1472" s="2748"/>
      <c r="AC1472" s="2748"/>
      <c r="AD1472" s="2748"/>
      <c r="AE1472" s="2748"/>
      <c r="AF1472" s="2748"/>
      <c r="AG1472" s="2748"/>
      <c r="AH1472" s="2748"/>
      <c r="AI1472" s="2748"/>
      <c r="AK1472" s="2748"/>
      <c r="AL1472" s="2748"/>
      <c r="AN1472" s="2748"/>
      <c r="AO1472" s="2748"/>
      <c r="AP1472" s="2748"/>
    </row>
    <row r="1473" spans="2:42" ht="18" customHeight="1">
      <c r="B1473" s="2728"/>
      <c r="C1473" s="2728"/>
      <c r="D1473" s="2728"/>
      <c r="E1473" s="2728"/>
      <c r="G1473" s="2512"/>
      <c r="I1473" s="2748"/>
      <c r="J1473" s="2728"/>
      <c r="L1473" s="2728"/>
      <c r="M1473" s="2748"/>
      <c r="N1473" s="2728"/>
      <c r="O1473" s="2728"/>
      <c r="P1473" s="2728"/>
      <c r="Q1473" s="2748"/>
      <c r="R1473" s="2748"/>
      <c r="S1473" s="2748"/>
      <c r="T1473" s="2748"/>
      <c r="U1473" s="2748"/>
      <c r="V1473" s="2748"/>
      <c r="W1473" s="2748"/>
      <c r="X1473" s="2748"/>
      <c r="Y1473" s="2748"/>
      <c r="Z1473" s="2748"/>
      <c r="AA1473" s="2748"/>
      <c r="AB1473" s="2748"/>
      <c r="AC1473" s="2748"/>
      <c r="AD1473" s="2748"/>
      <c r="AE1473" s="2748"/>
      <c r="AF1473" s="2748"/>
      <c r="AG1473" s="2748"/>
      <c r="AH1473" s="2748"/>
      <c r="AI1473" s="2748"/>
      <c r="AK1473" s="2748"/>
      <c r="AL1473" s="2748"/>
      <c r="AN1473" s="2748"/>
      <c r="AO1473" s="2748"/>
      <c r="AP1473" s="2748"/>
    </row>
    <row r="1474" spans="2:42" ht="18" customHeight="1">
      <c r="B1474" s="2728"/>
      <c r="C1474" s="2728"/>
      <c r="D1474" s="2728"/>
      <c r="E1474" s="2728"/>
      <c r="G1474" s="2512"/>
      <c r="I1474" s="2748"/>
      <c r="J1474" s="2728"/>
      <c r="L1474" s="2728"/>
      <c r="M1474" s="2748"/>
      <c r="N1474" s="2728"/>
      <c r="O1474" s="2728"/>
      <c r="P1474" s="2728"/>
      <c r="Q1474" s="2748"/>
      <c r="R1474" s="2748"/>
      <c r="S1474" s="2748"/>
      <c r="T1474" s="2748"/>
      <c r="U1474" s="2748"/>
      <c r="V1474" s="2748"/>
      <c r="W1474" s="2748"/>
      <c r="X1474" s="2748"/>
      <c r="Y1474" s="2748"/>
      <c r="Z1474" s="2748"/>
      <c r="AA1474" s="2748"/>
      <c r="AB1474" s="2748"/>
      <c r="AC1474" s="2748"/>
      <c r="AD1474" s="2748"/>
      <c r="AE1474" s="2748"/>
      <c r="AF1474" s="2748"/>
      <c r="AG1474" s="2748"/>
      <c r="AH1474" s="2748"/>
      <c r="AI1474" s="2748"/>
      <c r="AK1474" s="2748"/>
      <c r="AL1474" s="2748"/>
      <c r="AN1474" s="2748"/>
      <c r="AO1474" s="2748"/>
      <c r="AP1474" s="2748"/>
    </row>
    <row r="1475" spans="2:42" ht="18" customHeight="1">
      <c r="B1475" s="2728"/>
      <c r="C1475" s="2728"/>
      <c r="D1475" s="2728"/>
      <c r="E1475" s="2728"/>
      <c r="G1475" s="2512"/>
      <c r="I1475" s="2748"/>
      <c r="J1475" s="2728"/>
      <c r="L1475" s="2728"/>
      <c r="M1475" s="2748"/>
      <c r="N1475" s="2728"/>
      <c r="O1475" s="2728"/>
      <c r="P1475" s="2728"/>
      <c r="Q1475" s="2748"/>
      <c r="R1475" s="2748"/>
      <c r="S1475" s="2748"/>
      <c r="T1475" s="2748"/>
      <c r="U1475" s="2748"/>
      <c r="V1475" s="2748"/>
      <c r="W1475" s="2748"/>
      <c r="X1475" s="2748"/>
      <c r="Y1475" s="2748"/>
      <c r="Z1475" s="2748"/>
      <c r="AA1475" s="2748"/>
      <c r="AB1475" s="2748"/>
      <c r="AC1475" s="2748"/>
      <c r="AD1475" s="2748"/>
      <c r="AE1475" s="2748"/>
      <c r="AF1475" s="2748"/>
      <c r="AG1475" s="2748"/>
      <c r="AH1475" s="2748"/>
      <c r="AI1475" s="2748"/>
      <c r="AK1475" s="2748"/>
      <c r="AL1475" s="2748"/>
      <c r="AN1475" s="2748"/>
      <c r="AO1475" s="2748"/>
      <c r="AP1475" s="2748"/>
    </row>
    <row r="1476" spans="2:42" ht="18" customHeight="1">
      <c r="B1476" s="2728"/>
      <c r="C1476" s="2728"/>
      <c r="D1476" s="2728"/>
      <c r="E1476" s="2728"/>
      <c r="G1476" s="2512"/>
      <c r="I1476" s="2748"/>
      <c r="J1476" s="2728"/>
      <c r="L1476" s="2728"/>
      <c r="M1476" s="2748"/>
      <c r="N1476" s="2728"/>
      <c r="O1476" s="2728"/>
      <c r="P1476" s="2728"/>
      <c r="Q1476" s="2748"/>
      <c r="R1476" s="2748"/>
      <c r="S1476" s="2748"/>
      <c r="T1476" s="2748"/>
      <c r="U1476" s="2748"/>
      <c r="V1476" s="2748"/>
      <c r="W1476" s="2748"/>
      <c r="X1476" s="2748"/>
      <c r="Y1476" s="2748"/>
      <c r="Z1476" s="2748"/>
      <c r="AA1476" s="2748"/>
      <c r="AB1476" s="2748"/>
      <c r="AC1476" s="2748"/>
      <c r="AD1476" s="2748"/>
      <c r="AE1476" s="2748"/>
      <c r="AF1476" s="2748"/>
      <c r="AG1476" s="2748"/>
      <c r="AH1476" s="2748"/>
      <c r="AI1476" s="2748"/>
      <c r="AK1476" s="2748"/>
      <c r="AL1476" s="2748"/>
      <c r="AN1476" s="2748"/>
      <c r="AO1476" s="2748"/>
      <c r="AP1476" s="2748"/>
    </row>
    <row r="1477" spans="2:42" ht="18" customHeight="1">
      <c r="B1477" s="2728"/>
      <c r="C1477" s="2728"/>
      <c r="D1477" s="2728"/>
      <c r="E1477" s="2728"/>
      <c r="G1477" s="2512"/>
      <c r="I1477" s="2748"/>
      <c r="J1477" s="2728"/>
      <c r="L1477" s="2728"/>
      <c r="M1477" s="2748"/>
      <c r="N1477" s="2728"/>
      <c r="O1477" s="2728"/>
      <c r="P1477" s="2728"/>
      <c r="Q1477" s="2748"/>
      <c r="R1477" s="2748"/>
      <c r="S1477" s="2748"/>
      <c r="T1477" s="2748"/>
      <c r="U1477" s="2748"/>
      <c r="V1477" s="2748"/>
      <c r="W1477" s="2748"/>
      <c r="X1477" s="2748"/>
      <c r="Y1477" s="2748"/>
      <c r="Z1477" s="2748"/>
      <c r="AA1477" s="2748"/>
      <c r="AB1477" s="2748"/>
      <c r="AC1477" s="2748"/>
      <c r="AD1477" s="2748"/>
      <c r="AE1477" s="2748"/>
      <c r="AF1477" s="2748"/>
      <c r="AG1477" s="2748"/>
      <c r="AH1477" s="2748"/>
      <c r="AI1477" s="2748"/>
      <c r="AK1477" s="2748"/>
      <c r="AL1477" s="2748"/>
      <c r="AN1477" s="2748"/>
      <c r="AO1477" s="2748"/>
      <c r="AP1477" s="2748"/>
    </row>
    <row r="1478" spans="2:42" ht="18" customHeight="1">
      <c r="B1478" s="2728"/>
      <c r="C1478" s="2728"/>
      <c r="D1478" s="2728"/>
      <c r="E1478" s="2728"/>
      <c r="G1478" s="2512"/>
      <c r="I1478" s="2748"/>
      <c r="J1478" s="2728"/>
      <c r="L1478" s="2728"/>
      <c r="M1478" s="2748"/>
      <c r="N1478" s="2728"/>
      <c r="O1478" s="2728"/>
      <c r="P1478" s="2728"/>
      <c r="Q1478" s="2748"/>
      <c r="R1478" s="2748"/>
      <c r="S1478" s="2748"/>
      <c r="T1478" s="2748"/>
      <c r="U1478" s="2748"/>
      <c r="V1478" s="2748"/>
      <c r="W1478" s="2748"/>
      <c r="X1478" s="2748"/>
      <c r="Y1478" s="2748"/>
      <c r="Z1478" s="2748"/>
      <c r="AA1478" s="2748"/>
      <c r="AB1478" s="2748"/>
      <c r="AC1478" s="2748"/>
      <c r="AD1478" s="2748"/>
      <c r="AE1478" s="2748"/>
      <c r="AF1478" s="2748"/>
      <c r="AG1478" s="2748"/>
      <c r="AH1478" s="2748"/>
      <c r="AI1478" s="2748"/>
      <c r="AK1478" s="2748"/>
      <c r="AL1478" s="2748"/>
      <c r="AN1478" s="2748"/>
      <c r="AO1478" s="2748"/>
      <c r="AP1478" s="2748"/>
    </row>
    <row r="1479" spans="2:42" ht="18" customHeight="1">
      <c r="B1479" s="2728"/>
      <c r="C1479" s="2728"/>
      <c r="D1479" s="2728"/>
      <c r="E1479" s="2728"/>
      <c r="G1479" s="2512"/>
      <c r="I1479" s="2748"/>
      <c r="J1479" s="2728"/>
      <c r="L1479" s="2728"/>
      <c r="M1479" s="2748"/>
      <c r="N1479" s="2728"/>
      <c r="O1479" s="2728"/>
      <c r="P1479" s="2728"/>
      <c r="Q1479" s="2748"/>
      <c r="R1479" s="2748"/>
      <c r="S1479" s="2748"/>
      <c r="T1479" s="2748"/>
      <c r="U1479" s="2748"/>
      <c r="V1479" s="2748"/>
      <c r="W1479" s="2748"/>
      <c r="X1479" s="2748"/>
      <c r="Y1479" s="2748"/>
      <c r="Z1479" s="2748"/>
      <c r="AA1479" s="2748"/>
      <c r="AB1479" s="2748"/>
      <c r="AC1479" s="2748"/>
      <c r="AD1479" s="2748"/>
      <c r="AE1479" s="2748"/>
      <c r="AF1479" s="2748"/>
      <c r="AG1479" s="2748"/>
      <c r="AH1479" s="2748"/>
      <c r="AI1479" s="2748"/>
      <c r="AK1479" s="2748"/>
      <c r="AL1479" s="2748"/>
      <c r="AN1479" s="2748"/>
      <c r="AO1479" s="2748"/>
      <c r="AP1479" s="2748"/>
    </row>
    <row r="1480" spans="2:42" ht="18" customHeight="1">
      <c r="B1480" s="2728"/>
      <c r="C1480" s="2728"/>
      <c r="D1480" s="2728"/>
      <c r="E1480" s="2728"/>
      <c r="G1480" s="2512"/>
      <c r="I1480" s="2748"/>
      <c r="J1480" s="2728"/>
      <c r="L1480" s="2728"/>
      <c r="M1480" s="2748"/>
      <c r="N1480" s="2728"/>
      <c r="O1480" s="2728"/>
      <c r="P1480" s="2728"/>
      <c r="Q1480" s="2748"/>
      <c r="R1480" s="2748"/>
      <c r="S1480" s="2748"/>
      <c r="T1480" s="2748"/>
      <c r="U1480" s="2748"/>
      <c r="V1480" s="2748"/>
      <c r="W1480" s="2748"/>
      <c r="X1480" s="2748"/>
      <c r="Y1480" s="2748"/>
      <c r="Z1480" s="2748"/>
      <c r="AA1480" s="2748"/>
      <c r="AB1480" s="2748"/>
      <c r="AC1480" s="2748"/>
      <c r="AD1480" s="2748"/>
      <c r="AE1480" s="2748"/>
      <c r="AF1480" s="2748"/>
      <c r="AG1480" s="2748"/>
      <c r="AH1480" s="2748"/>
      <c r="AI1480" s="2748"/>
      <c r="AK1480" s="2748"/>
      <c r="AL1480" s="2748"/>
      <c r="AN1480" s="2748"/>
      <c r="AO1480" s="2748"/>
      <c r="AP1480" s="2748"/>
    </row>
    <row r="1481" spans="2:42" ht="18" customHeight="1">
      <c r="B1481" s="2728"/>
      <c r="C1481" s="2728"/>
      <c r="D1481" s="2728"/>
      <c r="E1481" s="2728"/>
      <c r="G1481" s="2512"/>
      <c r="I1481" s="2748"/>
      <c r="J1481" s="2728"/>
      <c r="L1481" s="2728"/>
      <c r="M1481" s="2748"/>
      <c r="N1481" s="2728"/>
      <c r="O1481" s="2728"/>
      <c r="P1481" s="2728"/>
      <c r="Q1481" s="2748"/>
      <c r="R1481" s="2748"/>
      <c r="S1481" s="2748"/>
      <c r="T1481" s="2748"/>
      <c r="U1481" s="2748"/>
      <c r="V1481" s="2748"/>
      <c r="W1481" s="2748"/>
      <c r="X1481" s="2748"/>
      <c r="Y1481" s="2748"/>
      <c r="Z1481" s="2748"/>
      <c r="AA1481" s="2748"/>
      <c r="AB1481" s="2748"/>
      <c r="AC1481" s="2748"/>
      <c r="AD1481" s="2748"/>
      <c r="AE1481" s="2748"/>
      <c r="AF1481" s="2748"/>
      <c r="AG1481" s="2748"/>
      <c r="AH1481" s="2748"/>
      <c r="AI1481" s="2748"/>
      <c r="AK1481" s="2748"/>
      <c r="AL1481" s="2748"/>
      <c r="AN1481" s="2748"/>
      <c r="AO1481" s="2748"/>
      <c r="AP1481" s="2748"/>
    </row>
    <row r="1482" spans="2:42" ht="18" customHeight="1">
      <c r="B1482" s="2728"/>
      <c r="C1482" s="2728"/>
      <c r="D1482" s="2728"/>
      <c r="E1482" s="2728"/>
      <c r="G1482" s="2512"/>
      <c r="I1482" s="2748"/>
      <c r="J1482" s="2728"/>
      <c r="L1482" s="2728"/>
      <c r="M1482" s="2748"/>
      <c r="N1482" s="2728"/>
      <c r="O1482" s="2728"/>
      <c r="P1482" s="2728"/>
      <c r="Q1482" s="2748"/>
      <c r="R1482" s="2748"/>
      <c r="S1482" s="2748"/>
      <c r="T1482" s="2748"/>
      <c r="U1482" s="2748"/>
      <c r="V1482" s="2748"/>
      <c r="W1482" s="2748"/>
      <c r="X1482" s="2748"/>
      <c r="Y1482" s="2748"/>
      <c r="Z1482" s="2748"/>
      <c r="AA1482" s="2748"/>
      <c r="AB1482" s="2748"/>
      <c r="AC1482" s="2748"/>
      <c r="AD1482" s="2748"/>
      <c r="AE1482" s="2748"/>
      <c r="AF1482" s="2748"/>
      <c r="AG1482" s="2748"/>
      <c r="AH1482" s="2748"/>
      <c r="AI1482" s="2748"/>
      <c r="AK1482" s="2748"/>
      <c r="AL1482" s="2748"/>
      <c r="AN1482" s="2748"/>
      <c r="AO1482" s="2748"/>
      <c r="AP1482" s="2748"/>
    </row>
    <row r="1483" spans="2:42" ht="18" customHeight="1">
      <c r="B1483" s="2728"/>
      <c r="C1483" s="2728"/>
      <c r="D1483" s="2728"/>
      <c r="E1483" s="2728"/>
      <c r="G1483" s="2512"/>
      <c r="I1483" s="2748"/>
      <c r="J1483" s="2728"/>
      <c r="L1483" s="2728"/>
      <c r="M1483" s="2748"/>
      <c r="N1483" s="2728"/>
      <c r="O1483" s="2728"/>
      <c r="P1483" s="2728"/>
      <c r="Q1483" s="2748"/>
      <c r="R1483" s="2748"/>
      <c r="S1483" s="2748"/>
      <c r="T1483" s="2748"/>
      <c r="U1483" s="2748"/>
      <c r="V1483" s="2748"/>
      <c r="W1483" s="2748"/>
      <c r="X1483" s="2748"/>
      <c r="Y1483" s="2748"/>
      <c r="Z1483" s="2748"/>
      <c r="AA1483" s="2748"/>
      <c r="AB1483" s="2748"/>
      <c r="AC1483" s="2748"/>
      <c r="AD1483" s="2748"/>
      <c r="AE1483" s="2748"/>
      <c r="AF1483" s="2748"/>
      <c r="AG1483" s="2748"/>
      <c r="AH1483" s="2748"/>
      <c r="AI1483" s="2748"/>
      <c r="AK1483" s="2748"/>
      <c r="AL1483" s="2748"/>
      <c r="AN1483" s="2748"/>
      <c r="AO1483" s="2748"/>
      <c r="AP1483" s="2748"/>
    </row>
    <row r="1484" spans="2:42" ht="18" customHeight="1">
      <c r="B1484" s="2728"/>
      <c r="C1484" s="2728"/>
      <c r="D1484" s="2728"/>
      <c r="E1484" s="2728"/>
      <c r="G1484" s="2512"/>
      <c r="I1484" s="2748"/>
      <c r="J1484" s="2728"/>
      <c r="L1484" s="2728"/>
      <c r="M1484" s="2748"/>
      <c r="N1484" s="2728"/>
      <c r="O1484" s="2728"/>
      <c r="P1484" s="2728"/>
      <c r="Q1484" s="2748"/>
      <c r="R1484" s="2748"/>
      <c r="S1484" s="2748"/>
      <c r="T1484" s="2748"/>
      <c r="U1484" s="2748"/>
      <c r="V1484" s="2748"/>
      <c r="W1484" s="2748"/>
      <c r="X1484" s="2748"/>
      <c r="Y1484" s="2748"/>
      <c r="Z1484" s="2748"/>
      <c r="AA1484" s="2748"/>
      <c r="AB1484" s="2748"/>
      <c r="AC1484" s="2748"/>
      <c r="AD1484" s="2748"/>
      <c r="AE1484" s="2748"/>
      <c r="AF1484" s="2748"/>
      <c r="AG1484" s="2748"/>
      <c r="AH1484" s="2748"/>
      <c r="AI1484" s="2748"/>
      <c r="AK1484" s="2748"/>
      <c r="AL1484" s="2748"/>
      <c r="AN1484" s="2748"/>
      <c r="AO1484" s="2748"/>
      <c r="AP1484" s="2748"/>
    </row>
    <row r="1485" spans="2:42" ht="18" customHeight="1">
      <c r="B1485" s="2728"/>
      <c r="C1485" s="2728"/>
      <c r="D1485" s="2728"/>
      <c r="E1485" s="2728"/>
      <c r="G1485" s="2512"/>
      <c r="I1485" s="2748"/>
      <c r="J1485" s="2728"/>
      <c r="L1485" s="2728"/>
      <c r="M1485" s="2748"/>
      <c r="N1485" s="2728"/>
      <c r="O1485" s="2728"/>
      <c r="P1485" s="2728"/>
      <c r="Q1485" s="2748"/>
      <c r="R1485" s="2748"/>
      <c r="S1485" s="2748"/>
      <c r="T1485" s="2748"/>
      <c r="U1485" s="2748"/>
      <c r="V1485" s="2748"/>
      <c r="W1485" s="2748"/>
      <c r="X1485" s="2748"/>
      <c r="Y1485" s="2748"/>
      <c r="Z1485" s="2748"/>
      <c r="AA1485" s="2748"/>
      <c r="AB1485" s="2748"/>
      <c r="AC1485" s="2748"/>
      <c r="AD1485" s="2748"/>
      <c r="AE1485" s="2748"/>
      <c r="AF1485" s="2748"/>
      <c r="AG1485" s="2748"/>
      <c r="AH1485" s="2748"/>
      <c r="AI1485" s="2748"/>
      <c r="AK1485" s="2748"/>
      <c r="AL1485" s="2748"/>
      <c r="AN1485" s="2748"/>
      <c r="AO1485" s="2748"/>
      <c r="AP1485" s="2748"/>
    </row>
    <row r="1486" spans="2:42" ht="18" customHeight="1">
      <c r="B1486" s="2728"/>
      <c r="C1486" s="2728"/>
      <c r="D1486" s="2728"/>
      <c r="E1486" s="2728"/>
      <c r="G1486" s="2512"/>
      <c r="I1486" s="2748"/>
      <c r="J1486" s="2728"/>
      <c r="L1486" s="2728"/>
      <c r="M1486" s="2748"/>
      <c r="N1486" s="2728"/>
      <c r="O1486" s="2728"/>
      <c r="P1486" s="2728"/>
      <c r="Q1486" s="2748"/>
      <c r="R1486" s="2748"/>
      <c r="S1486" s="2748"/>
      <c r="T1486" s="2748"/>
      <c r="U1486" s="2748"/>
      <c r="V1486" s="2748"/>
      <c r="W1486" s="2748"/>
      <c r="X1486" s="2748"/>
      <c r="Y1486" s="2748"/>
      <c r="Z1486" s="2748"/>
      <c r="AA1486" s="2748"/>
      <c r="AB1486" s="2748"/>
      <c r="AC1486" s="2748"/>
      <c r="AD1486" s="2748"/>
      <c r="AE1486" s="2748"/>
      <c r="AF1486" s="2748"/>
      <c r="AG1486" s="2748"/>
      <c r="AH1486" s="2748"/>
      <c r="AI1486" s="2748"/>
      <c r="AK1486" s="2748"/>
      <c r="AL1486" s="2748"/>
      <c r="AN1486" s="2748"/>
      <c r="AO1486" s="2748"/>
      <c r="AP1486" s="2748"/>
    </row>
    <row r="1487" spans="2:42" ht="18" customHeight="1">
      <c r="B1487" s="2728"/>
      <c r="C1487" s="2728"/>
      <c r="D1487" s="2728"/>
      <c r="E1487" s="2728"/>
      <c r="G1487" s="2512"/>
      <c r="I1487" s="2748"/>
      <c r="J1487" s="2728"/>
      <c r="L1487" s="2728"/>
      <c r="M1487" s="2748"/>
      <c r="N1487" s="2728"/>
      <c r="O1487" s="2728"/>
      <c r="P1487" s="2728"/>
      <c r="Q1487" s="2748"/>
      <c r="R1487" s="2748"/>
      <c r="S1487" s="2748"/>
      <c r="T1487" s="2748"/>
      <c r="U1487" s="2748"/>
      <c r="V1487" s="2748"/>
      <c r="W1487" s="2748"/>
      <c r="X1487" s="2748"/>
      <c r="Y1487" s="2748"/>
      <c r="Z1487" s="2748"/>
      <c r="AA1487" s="2748"/>
      <c r="AB1487" s="2748"/>
      <c r="AC1487" s="2748"/>
      <c r="AD1487" s="2748"/>
      <c r="AE1487" s="2748"/>
      <c r="AF1487" s="2748"/>
      <c r="AG1487" s="2748"/>
      <c r="AH1487" s="2748"/>
      <c r="AI1487" s="2748"/>
      <c r="AK1487" s="2748"/>
      <c r="AL1487" s="2748"/>
      <c r="AN1487" s="2748"/>
      <c r="AO1487" s="2748"/>
      <c r="AP1487" s="2748"/>
    </row>
    <row r="1488" spans="2:42" ht="18" customHeight="1">
      <c r="B1488" s="2728"/>
      <c r="C1488" s="2728"/>
      <c r="D1488" s="2728"/>
      <c r="E1488" s="2728"/>
      <c r="G1488" s="2512"/>
      <c r="I1488" s="2748"/>
      <c r="J1488" s="2728"/>
      <c r="L1488" s="2728"/>
      <c r="M1488" s="2748"/>
      <c r="N1488" s="2728"/>
      <c r="O1488" s="2728"/>
      <c r="P1488" s="2728"/>
      <c r="Q1488" s="2748"/>
      <c r="R1488" s="2748"/>
      <c r="S1488" s="2748"/>
      <c r="T1488" s="2748"/>
      <c r="U1488" s="2748"/>
      <c r="V1488" s="2748"/>
      <c r="W1488" s="2748"/>
      <c r="X1488" s="2748"/>
      <c r="Y1488" s="2748"/>
      <c r="Z1488" s="2748"/>
      <c r="AA1488" s="2748"/>
      <c r="AB1488" s="2748"/>
      <c r="AC1488" s="2748"/>
      <c r="AD1488" s="2748"/>
      <c r="AE1488" s="2748"/>
      <c r="AF1488" s="2748"/>
      <c r="AG1488" s="2748"/>
      <c r="AH1488" s="2748"/>
      <c r="AI1488" s="2748"/>
      <c r="AK1488" s="2748"/>
      <c r="AL1488" s="2748"/>
      <c r="AN1488" s="2748"/>
      <c r="AO1488" s="2748"/>
      <c r="AP1488" s="2748"/>
    </row>
    <row r="1489" spans="2:42" ht="18" customHeight="1">
      <c r="B1489" s="2728"/>
      <c r="C1489" s="2728"/>
      <c r="D1489" s="2728"/>
      <c r="E1489" s="2728"/>
      <c r="G1489" s="2512"/>
      <c r="I1489" s="2748"/>
      <c r="J1489" s="2728"/>
      <c r="L1489" s="2728"/>
      <c r="M1489" s="2748"/>
      <c r="N1489" s="2728"/>
      <c r="O1489" s="2728"/>
      <c r="P1489" s="2728"/>
      <c r="Q1489" s="2748"/>
      <c r="R1489" s="2748"/>
      <c r="S1489" s="2748"/>
      <c r="T1489" s="2748"/>
      <c r="U1489" s="2748"/>
      <c r="V1489" s="2748"/>
      <c r="W1489" s="2748"/>
      <c r="X1489" s="2748"/>
      <c r="Y1489" s="2748"/>
      <c r="Z1489" s="2748"/>
      <c r="AA1489" s="2748"/>
      <c r="AB1489" s="2748"/>
      <c r="AC1489" s="2748"/>
      <c r="AD1489" s="2748"/>
      <c r="AE1489" s="2748"/>
      <c r="AF1489" s="2748"/>
      <c r="AG1489" s="2748"/>
      <c r="AH1489" s="2748"/>
      <c r="AI1489" s="2748"/>
      <c r="AK1489" s="2748"/>
      <c r="AL1489" s="2748"/>
      <c r="AN1489" s="2748"/>
      <c r="AO1489" s="2748"/>
      <c r="AP1489" s="2748"/>
    </row>
    <row r="1490" spans="2:42" ht="18" customHeight="1">
      <c r="B1490" s="2728"/>
      <c r="C1490" s="2728"/>
      <c r="D1490" s="2728"/>
      <c r="E1490" s="2728"/>
      <c r="G1490" s="2512"/>
      <c r="I1490" s="2748"/>
      <c r="J1490" s="2728"/>
      <c r="L1490" s="2728"/>
      <c r="M1490" s="2748"/>
      <c r="N1490" s="2728"/>
      <c r="O1490" s="2728"/>
      <c r="P1490" s="2728"/>
      <c r="Q1490" s="2748"/>
      <c r="R1490" s="2748"/>
      <c r="S1490" s="2748"/>
      <c r="T1490" s="2748"/>
      <c r="U1490" s="2748"/>
      <c r="V1490" s="2748"/>
      <c r="W1490" s="2748"/>
      <c r="X1490" s="2748"/>
      <c r="Y1490" s="2748"/>
      <c r="Z1490" s="2748"/>
      <c r="AA1490" s="2748"/>
      <c r="AB1490" s="2748"/>
      <c r="AC1490" s="2748"/>
      <c r="AD1490" s="2748"/>
      <c r="AE1490" s="2748"/>
      <c r="AF1490" s="2748"/>
      <c r="AG1490" s="2748"/>
      <c r="AH1490" s="2748"/>
      <c r="AI1490" s="2748"/>
      <c r="AK1490" s="2748"/>
      <c r="AL1490" s="2748"/>
      <c r="AN1490" s="2748"/>
      <c r="AO1490" s="2748"/>
      <c r="AP1490" s="2748"/>
    </row>
    <row r="1491" spans="2:42" ht="18" customHeight="1">
      <c r="B1491" s="2728"/>
      <c r="C1491" s="2728"/>
      <c r="D1491" s="2728"/>
      <c r="E1491" s="2728"/>
      <c r="G1491" s="2512"/>
      <c r="I1491" s="2748"/>
      <c r="J1491" s="2728"/>
      <c r="L1491" s="2728"/>
      <c r="M1491" s="2748"/>
      <c r="N1491" s="2728"/>
      <c r="O1491" s="2728"/>
      <c r="P1491" s="2728"/>
      <c r="Q1491" s="2748"/>
      <c r="R1491" s="2748"/>
      <c r="S1491" s="2748"/>
      <c r="T1491" s="2748"/>
      <c r="U1491" s="2748"/>
      <c r="V1491" s="2748"/>
      <c r="W1491" s="2748"/>
      <c r="X1491" s="2748"/>
      <c r="Y1491" s="2748"/>
      <c r="Z1491" s="2748"/>
      <c r="AA1491" s="2748"/>
      <c r="AB1491" s="2748"/>
      <c r="AC1491" s="2748"/>
      <c r="AD1491" s="2748"/>
      <c r="AE1491" s="2748"/>
      <c r="AF1491" s="2748"/>
      <c r="AG1491" s="2748"/>
      <c r="AH1491" s="2748"/>
      <c r="AI1491" s="2748"/>
      <c r="AK1491" s="2748"/>
      <c r="AL1491" s="2748"/>
      <c r="AN1491" s="2748"/>
      <c r="AO1491" s="2748"/>
      <c r="AP1491" s="2748"/>
    </row>
    <row r="1492" spans="2:42" ht="18" customHeight="1">
      <c r="B1492" s="2728"/>
      <c r="C1492" s="2728"/>
      <c r="D1492" s="2728"/>
      <c r="E1492" s="2728"/>
      <c r="G1492" s="2512"/>
      <c r="I1492" s="2748"/>
      <c r="J1492" s="2728"/>
      <c r="L1492" s="2728"/>
      <c r="M1492" s="2748"/>
      <c r="N1492" s="2728"/>
      <c r="O1492" s="2728"/>
      <c r="P1492" s="2728"/>
      <c r="Q1492" s="2748"/>
      <c r="R1492" s="2748"/>
      <c r="S1492" s="2748"/>
      <c r="T1492" s="2748"/>
      <c r="U1492" s="2748"/>
      <c r="V1492" s="2748"/>
      <c r="W1492" s="2748"/>
      <c r="X1492" s="2748"/>
      <c r="Y1492" s="2748"/>
      <c r="Z1492" s="2748"/>
      <c r="AA1492" s="2748"/>
      <c r="AB1492" s="2748"/>
      <c r="AC1492" s="2748"/>
      <c r="AD1492" s="2748"/>
      <c r="AE1492" s="2748"/>
      <c r="AF1492" s="2748"/>
      <c r="AG1492" s="2748"/>
      <c r="AH1492" s="2748"/>
      <c r="AI1492" s="2748"/>
      <c r="AK1492" s="2748"/>
      <c r="AL1492" s="2748"/>
      <c r="AN1492" s="2748"/>
      <c r="AO1492" s="2748"/>
      <c r="AP1492" s="2748"/>
    </row>
    <row r="1493" spans="2:42" ht="18" customHeight="1">
      <c r="B1493" s="2728"/>
      <c r="C1493" s="2728"/>
      <c r="D1493" s="2728"/>
      <c r="E1493" s="2728"/>
      <c r="G1493" s="2512"/>
      <c r="I1493" s="2748"/>
      <c r="J1493" s="2728"/>
      <c r="L1493" s="2728"/>
      <c r="M1493" s="2748"/>
      <c r="N1493" s="2728"/>
      <c r="O1493" s="2728"/>
      <c r="P1493" s="2728"/>
      <c r="Q1493" s="2748"/>
      <c r="R1493" s="2748"/>
      <c r="S1493" s="2748"/>
      <c r="T1493" s="2748"/>
      <c r="U1493" s="2748"/>
      <c r="V1493" s="2748"/>
      <c r="W1493" s="2748"/>
      <c r="X1493" s="2748"/>
      <c r="Y1493" s="2748"/>
      <c r="Z1493" s="2748"/>
      <c r="AA1493" s="2748"/>
      <c r="AB1493" s="2748"/>
      <c r="AC1493" s="2748"/>
      <c r="AD1493" s="2748"/>
      <c r="AE1493" s="2748"/>
      <c r="AF1493" s="2748"/>
      <c r="AG1493" s="2748"/>
      <c r="AH1493" s="2748"/>
      <c r="AI1493" s="2748"/>
      <c r="AK1493" s="2748"/>
      <c r="AL1493" s="2748"/>
      <c r="AN1493" s="2748"/>
      <c r="AO1493" s="2748"/>
      <c r="AP1493" s="2748"/>
    </row>
    <row r="1494" spans="2:42" ht="18" customHeight="1">
      <c r="B1494" s="2728"/>
      <c r="C1494" s="2728"/>
      <c r="D1494" s="2728"/>
      <c r="E1494" s="2728"/>
      <c r="G1494" s="2512"/>
      <c r="I1494" s="2748"/>
      <c r="J1494" s="2728"/>
      <c r="L1494" s="2728"/>
      <c r="M1494" s="2748"/>
      <c r="N1494" s="2728"/>
      <c r="O1494" s="2728"/>
      <c r="P1494" s="2728"/>
      <c r="Q1494" s="2748"/>
      <c r="R1494" s="2748"/>
      <c r="S1494" s="2748"/>
      <c r="T1494" s="2748"/>
      <c r="U1494" s="2748"/>
      <c r="V1494" s="2748"/>
      <c r="W1494" s="2748"/>
      <c r="X1494" s="2748"/>
      <c r="Y1494" s="2748"/>
      <c r="Z1494" s="2748"/>
      <c r="AA1494" s="2748"/>
      <c r="AB1494" s="2748"/>
      <c r="AC1494" s="2748"/>
      <c r="AD1494" s="2748"/>
      <c r="AE1494" s="2748"/>
      <c r="AF1494" s="2748"/>
      <c r="AG1494" s="2748"/>
      <c r="AH1494" s="2748"/>
      <c r="AI1494" s="2748"/>
      <c r="AK1494" s="2748"/>
      <c r="AL1494" s="2748"/>
      <c r="AN1494" s="2748"/>
      <c r="AO1494" s="2748"/>
      <c r="AP1494" s="2748"/>
    </row>
    <row r="1495" spans="2:42" ht="18" customHeight="1">
      <c r="B1495" s="2728"/>
      <c r="C1495" s="2728"/>
      <c r="D1495" s="2728"/>
      <c r="E1495" s="2728"/>
      <c r="G1495" s="2512"/>
      <c r="I1495" s="2748"/>
      <c r="J1495" s="2728"/>
      <c r="L1495" s="2728"/>
      <c r="M1495" s="2748"/>
      <c r="N1495" s="2728"/>
      <c r="O1495" s="2728"/>
      <c r="P1495" s="2728"/>
      <c r="Q1495" s="2748"/>
      <c r="R1495" s="2748"/>
      <c r="S1495" s="2748"/>
      <c r="T1495" s="2748"/>
      <c r="U1495" s="2748"/>
      <c r="V1495" s="2748"/>
      <c r="W1495" s="2748"/>
      <c r="X1495" s="2748"/>
      <c r="Y1495" s="2748"/>
      <c r="Z1495" s="2748"/>
      <c r="AA1495" s="2748"/>
      <c r="AB1495" s="2748"/>
      <c r="AC1495" s="2748"/>
      <c r="AD1495" s="2748"/>
      <c r="AE1495" s="2748"/>
      <c r="AF1495" s="2748"/>
      <c r="AG1495" s="2748"/>
      <c r="AH1495" s="2748"/>
      <c r="AI1495" s="2748"/>
      <c r="AK1495" s="2748"/>
      <c r="AL1495" s="2748"/>
      <c r="AN1495" s="2748"/>
      <c r="AO1495" s="2748"/>
      <c r="AP1495" s="2748"/>
    </row>
    <row r="1496" spans="2:42" ht="18" customHeight="1">
      <c r="B1496" s="2728"/>
      <c r="C1496" s="2728"/>
      <c r="D1496" s="2728"/>
      <c r="E1496" s="2728"/>
      <c r="G1496" s="2512"/>
      <c r="I1496" s="2748"/>
      <c r="J1496" s="2728"/>
      <c r="L1496" s="2728"/>
      <c r="M1496" s="2748"/>
      <c r="N1496" s="2728"/>
      <c r="O1496" s="2728"/>
      <c r="P1496" s="2728"/>
      <c r="Q1496" s="2748"/>
      <c r="R1496" s="2748"/>
      <c r="S1496" s="2748"/>
      <c r="T1496" s="2748"/>
      <c r="U1496" s="2748"/>
      <c r="V1496" s="2748"/>
      <c r="W1496" s="2748"/>
      <c r="X1496" s="2748"/>
      <c r="Y1496" s="2748"/>
      <c r="Z1496" s="2748"/>
      <c r="AA1496" s="2748"/>
      <c r="AB1496" s="2748"/>
      <c r="AC1496" s="2748"/>
      <c r="AD1496" s="2748"/>
      <c r="AE1496" s="2748"/>
      <c r="AF1496" s="2748"/>
      <c r="AG1496" s="2748"/>
      <c r="AH1496" s="2748"/>
      <c r="AI1496" s="2748"/>
      <c r="AK1496" s="2748"/>
      <c r="AL1496" s="2748"/>
      <c r="AN1496" s="2748"/>
      <c r="AO1496" s="2748"/>
      <c r="AP1496" s="2748"/>
    </row>
    <row r="1497" spans="2:42" ht="18" customHeight="1">
      <c r="B1497" s="2728"/>
      <c r="C1497" s="2728"/>
      <c r="D1497" s="2728"/>
      <c r="E1497" s="2728"/>
      <c r="G1497" s="2512"/>
      <c r="I1497" s="2748"/>
      <c r="J1497" s="2728"/>
      <c r="L1497" s="2728"/>
      <c r="M1497" s="2748"/>
      <c r="N1497" s="2728"/>
      <c r="O1497" s="2728"/>
      <c r="P1497" s="2728"/>
      <c r="Q1497" s="2748"/>
      <c r="R1497" s="2748"/>
      <c r="S1497" s="2748"/>
      <c r="T1497" s="2748"/>
      <c r="U1497" s="2748"/>
      <c r="V1497" s="2748"/>
      <c r="W1497" s="2748"/>
      <c r="X1497" s="2748"/>
      <c r="Y1497" s="2748"/>
      <c r="Z1497" s="2748"/>
      <c r="AA1497" s="2748"/>
      <c r="AB1497" s="2748"/>
      <c r="AC1497" s="2748"/>
      <c r="AD1497" s="2748"/>
      <c r="AE1497" s="2748"/>
      <c r="AF1497" s="2748"/>
      <c r="AG1497" s="2748"/>
      <c r="AH1497" s="2748"/>
      <c r="AI1497" s="2748"/>
      <c r="AK1497" s="2748"/>
      <c r="AL1497" s="2748"/>
      <c r="AN1497" s="2748"/>
      <c r="AO1497" s="2748"/>
      <c r="AP1497" s="2748"/>
    </row>
    <row r="1498" spans="2:42" ht="18" customHeight="1">
      <c r="B1498" s="2728"/>
      <c r="C1498" s="2728"/>
      <c r="D1498" s="2728"/>
      <c r="E1498" s="2728"/>
      <c r="G1498" s="2512"/>
      <c r="I1498" s="2748"/>
      <c r="J1498" s="2728"/>
      <c r="L1498" s="2728"/>
      <c r="M1498" s="2748"/>
      <c r="N1498" s="2728"/>
      <c r="O1498" s="2728"/>
      <c r="P1498" s="2728"/>
      <c r="Q1498" s="2748"/>
      <c r="R1498" s="2748"/>
      <c r="S1498" s="2748"/>
      <c r="T1498" s="2748"/>
      <c r="U1498" s="2748"/>
      <c r="V1498" s="2748"/>
      <c r="W1498" s="2748"/>
      <c r="X1498" s="2748"/>
      <c r="Y1498" s="2748"/>
      <c r="Z1498" s="2748"/>
      <c r="AA1498" s="2748"/>
      <c r="AB1498" s="2748"/>
      <c r="AC1498" s="2748"/>
      <c r="AD1498" s="2748"/>
      <c r="AE1498" s="2748"/>
      <c r="AF1498" s="2748"/>
      <c r="AG1498" s="2748"/>
      <c r="AH1498" s="2748"/>
      <c r="AI1498" s="2748"/>
      <c r="AK1498" s="2748"/>
      <c r="AL1498" s="2748"/>
      <c r="AN1498" s="2748"/>
      <c r="AO1498" s="2748"/>
      <c r="AP1498" s="2748"/>
    </row>
    <row r="1499" spans="2:42" ht="18" customHeight="1">
      <c r="B1499" s="2728"/>
      <c r="C1499" s="2728"/>
      <c r="D1499" s="2728"/>
      <c r="E1499" s="2728"/>
      <c r="G1499" s="2512"/>
      <c r="I1499" s="2748"/>
      <c r="J1499" s="2728"/>
      <c r="L1499" s="2728"/>
      <c r="M1499" s="2748"/>
      <c r="N1499" s="2728"/>
      <c r="O1499" s="2728"/>
      <c r="P1499" s="2728"/>
      <c r="Q1499" s="2748"/>
      <c r="R1499" s="2748"/>
      <c r="S1499" s="2748"/>
      <c r="T1499" s="2748"/>
      <c r="U1499" s="2748"/>
      <c r="V1499" s="2748"/>
      <c r="W1499" s="2748"/>
      <c r="X1499" s="2748"/>
      <c r="Y1499" s="2748"/>
      <c r="Z1499" s="2748"/>
      <c r="AA1499" s="2748"/>
      <c r="AB1499" s="2748"/>
      <c r="AC1499" s="2748"/>
      <c r="AD1499" s="2748"/>
      <c r="AE1499" s="2748"/>
      <c r="AF1499" s="2748"/>
      <c r="AG1499" s="2748"/>
      <c r="AH1499" s="2748"/>
      <c r="AI1499" s="2748"/>
      <c r="AK1499" s="2748"/>
      <c r="AL1499" s="2748"/>
      <c r="AN1499" s="2748"/>
      <c r="AO1499" s="2748"/>
      <c r="AP1499" s="2748"/>
    </row>
    <row r="1500" spans="2:42" ht="18" customHeight="1">
      <c r="B1500" s="2728"/>
      <c r="C1500" s="2728"/>
      <c r="D1500" s="2728"/>
      <c r="E1500" s="2728"/>
      <c r="G1500" s="2512"/>
      <c r="I1500" s="2748"/>
      <c r="J1500" s="2728"/>
      <c r="L1500" s="2728"/>
      <c r="M1500" s="2748"/>
      <c r="N1500" s="2728"/>
      <c r="O1500" s="2728"/>
      <c r="P1500" s="2728"/>
      <c r="Q1500" s="2748"/>
      <c r="R1500" s="2748"/>
      <c r="S1500" s="2748"/>
      <c r="T1500" s="2748"/>
      <c r="U1500" s="2748"/>
      <c r="V1500" s="2748"/>
      <c r="W1500" s="2748"/>
      <c r="X1500" s="2748"/>
      <c r="Y1500" s="2748"/>
      <c r="Z1500" s="2748"/>
      <c r="AA1500" s="2748"/>
      <c r="AB1500" s="2748"/>
      <c r="AC1500" s="2748"/>
      <c r="AD1500" s="2748"/>
      <c r="AE1500" s="2748"/>
      <c r="AF1500" s="2748"/>
      <c r="AG1500" s="2748"/>
      <c r="AH1500" s="2748"/>
      <c r="AI1500" s="2748"/>
      <c r="AK1500" s="2748"/>
      <c r="AL1500" s="2748"/>
      <c r="AN1500" s="2748"/>
      <c r="AO1500" s="2748"/>
      <c r="AP1500" s="2748"/>
    </row>
    <row r="1501" spans="2:42" ht="18" customHeight="1">
      <c r="B1501" s="2728"/>
      <c r="C1501" s="2728"/>
      <c r="D1501" s="2728"/>
      <c r="E1501" s="2728"/>
      <c r="G1501" s="2512"/>
      <c r="I1501" s="2748"/>
      <c r="J1501" s="2728"/>
      <c r="L1501" s="2728"/>
      <c r="M1501" s="2748"/>
      <c r="N1501" s="2728"/>
      <c r="O1501" s="2728"/>
      <c r="P1501" s="2728"/>
      <c r="Q1501" s="2748"/>
      <c r="R1501" s="2748"/>
      <c r="S1501" s="2748"/>
      <c r="T1501" s="2748"/>
      <c r="U1501" s="2748"/>
      <c r="V1501" s="2748"/>
      <c r="W1501" s="2748"/>
      <c r="X1501" s="2748"/>
      <c r="Y1501" s="2748"/>
      <c r="Z1501" s="2748"/>
      <c r="AA1501" s="2748"/>
      <c r="AB1501" s="2748"/>
      <c r="AC1501" s="2748"/>
      <c r="AD1501" s="2748"/>
      <c r="AE1501" s="2748"/>
      <c r="AF1501" s="2748"/>
      <c r="AG1501" s="2748"/>
      <c r="AH1501" s="2748"/>
      <c r="AI1501" s="2748"/>
      <c r="AK1501" s="2748"/>
      <c r="AL1501" s="2748"/>
      <c r="AN1501" s="2748"/>
      <c r="AO1501" s="2748"/>
      <c r="AP1501" s="2748"/>
    </row>
    <row r="1502" spans="2:42" ht="18" customHeight="1">
      <c r="B1502" s="2728"/>
      <c r="C1502" s="2728"/>
      <c r="D1502" s="2728"/>
      <c r="E1502" s="2728"/>
      <c r="G1502" s="2512"/>
      <c r="I1502" s="2748"/>
      <c r="J1502" s="2728"/>
      <c r="L1502" s="2728"/>
      <c r="M1502" s="2748"/>
      <c r="N1502" s="2728"/>
      <c r="O1502" s="2728"/>
      <c r="P1502" s="2728"/>
      <c r="Q1502" s="2748"/>
      <c r="R1502" s="2748"/>
      <c r="S1502" s="2748"/>
      <c r="T1502" s="2748"/>
      <c r="U1502" s="2748"/>
      <c r="V1502" s="2748"/>
      <c r="W1502" s="2748"/>
      <c r="X1502" s="2748"/>
      <c r="Y1502" s="2748"/>
      <c r="Z1502" s="2748"/>
      <c r="AA1502" s="2748"/>
      <c r="AB1502" s="2748"/>
      <c r="AC1502" s="2748"/>
      <c r="AD1502" s="2748"/>
      <c r="AE1502" s="2748"/>
      <c r="AF1502" s="2748"/>
      <c r="AG1502" s="2748"/>
      <c r="AH1502" s="2748"/>
      <c r="AI1502" s="2748"/>
      <c r="AK1502" s="2748"/>
      <c r="AL1502" s="2748"/>
      <c r="AN1502" s="2748"/>
      <c r="AO1502" s="2748"/>
      <c r="AP1502" s="2748"/>
    </row>
    <row r="1503" spans="2:42" ht="18" customHeight="1">
      <c r="B1503" s="2728"/>
      <c r="C1503" s="2728"/>
      <c r="D1503" s="2728"/>
      <c r="E1503" s="2728"/>
      <c r="G1503" s="2512"/>
      <c r="I1503" s="2748"/>
      <c r="J1503" s="2728"/>
      <c r="L1503" s="2728"/>
      <c r="M1503" s="2748"/>
      <c r="N1503" s="2728"/>
      <c r="O1503" s="2728"/>
      <c r="P1503" s="2728"/>
      <c r="Q1503" s="2748"/>
      <c r="R1503" s="2748"/>
      <c r="S1503" s="2748"/>
      <c r="T1503" s="2748"/>
      <c r="U1503" s="2748"/>
      <c r="V1503" s="2748"/>
      <c r="W1503" s="2748"/>
      <c r="X1503" s="2748"/>
      <c r="Y1503" s="2748"/>
      <c r="Z1503" s="2748"/>
      <c r="AA1503" s="2748"/>
      <c r="AB1503" s="2748"/>
      <c r="AC1503" s="2748"/>
      <c r="AD1503" s="2748"/>
      <c r="AE1503" s="2748"/>
      <c r="AF1503" s="2748"/>
      <c r="AG1503" s="2748"/>
      <c r="AH1503" s="2748"/>
      <c r="AI1503" s="2748"/>
      <c r="AK1503" s="2748"/>
      <c r="AL1503" s="2748"/>
      <c r="AN1503" s="2748"/>
      <c r="AO1503" s="2748"/>
      <c r="AP1503" s="2748"/>
    </row>
    <row r="1504" spans="2:42" ht="18" customHeight="1">
      <c r="B1504" s="2728"/>
      <c r="C1504" s="2728"/>
      <c r="D1504" s="2728"/>
      <c r="E1504" s="2728"/>
      <c r="G1504" s="2512"/>
      <c r="I1504" s="2748"/>
      <c r="J1504" s="2728"/>
      <c r="L1504" s="2728"/>
      <c r="M1504" s="2748"/>
      <c r="N1504" s="2728"/>
      <c r="O1504" s="2728"/>
      <c r="P1504" s="2728"/>
      <c r="Q1504" s="2748"/>
      <c r="R1504" s="2748"/>
      <c r="S1504" s="2748"/>
      <c r="T1504" s="2748"/>
      <c r="U1504" s="2748"/>
      <c r="V1504" s="2748"/>
      <c r="W1504" s="2748"/>
      <c r="X1504" s="2748"/>
      <c r="Y1504" s="2748"/>
      <c r="Z1504" s="2748"/>
      <c r="AA1504" s="2748"/>
      <c r="AB1504" s="2748"/>
      <c r="AC1504" s="2748"/>
      <c r="AD1504" s="2748"/>
      <c r="AE1504" s="2748"/>
      <c r="AF1504" s="2748"/>
      <c r="AG1504" s="2748"/>
      <c r="AH1504" s="2748"/>
      <c r="AI1504" s="2748"/>
      <c r="AK1504" s="2748"/>
      <c r="AL1504" s="2748"/>
      <c r="AN1504" s="2748"/>
      <c r="AO1504" s="2748"/>
      <c r="AP1504" s="2748"/>
    </row>
    <row r="1505" spans="2:42" ht="18" customHeight="1">
      <c r="B1505" s="2728"/>
      <c r="C1505" s="2728"/>
      <c r="D1505" s="2728"/>
      <c r="E1505" s="2728"/>
      <c r="G1505" s="2512"/>
      <c r="I1505" s="2748"/>
      <c r="J1505" s="2728"/>
      <c r="L1505" s="2728"/>
      <c r="M1505" s="2748"/>
      <c r="N1505" s="2728"/>
      <c r="O1505" s="2728"/>
      <c r="P1505" s="2728"/>
      <c r="Q1505" s="2748"/>
      <c r="R1505" s="2748"/>
      <c r="S1505" s="2748"/>
      <c r="T1505" s="2748"/>
      <c r="U1505" s="2748"/>
      <c r="V1505" s="2748"/>
      <c r="W1505" s="2748"/>
      <c r="X1505" s="2748"/>
      <c r="Y1505" s="2748"/>
      <c r="Z1505" s="2748"/>
      <c r="AA1505" s="2748"/>
      <c r="AB1505" s="2748"/>
      <c r="AC1505" s="2748"/>
      <c r="AD1505" s="2748"/>
      <c r="AE1505" s="2748"/>
      <c r="AF1505" s="2748"/>
      <c r="AG1505" s="2748"/>
      <c r="AH1505" s="2748"/>
      <c r="AI1505" s="2748"/>
      <c r="AK1505" s="2748"/>
      <c r="AL1505" s="2748"/>
      <c r="AN1505" s="2748"/>
      <c r="AO1505" s="2748"/>
      <c r="AP1505" s="2748"/>
    </row>
    <row r="1506" spans="2:42" ht="18" customHeight="1">
      <c r="B1506" s="2728"/>
      <c r="C1506" s="2728"/>
      <c r="D1506" s="2728"/>
      <c r="E1506" s="2728"/>
      <c r="G1506" s="2512"/>
      <c r="I1506" s="2748"/>
      <c r="J1506" s="2728"/>
      <c r="L1506" s="2728"/>
      <c r="M1506" s="2748"/>
      <c r="N1506" s="2728"/>
      <c r="O1506" s="2728"/>
      <c r="P1506" s="2728"/>
      <c r="Q1506" s="2748"/>
      <c r="R1506" s="2748"/>
      <c r="S1506" s="2748"/>
      <c r="T1506" s="2748"/>
      <c r="U1506" s="2748"/>
      <c r="V1506" s="2748"/>
      <c r="W1506" s="2748"/>
      <c r="X1506" s="2748"/>
      <c r="Y1506" s="2748"/>
      <c r="Z1506" s="2748"/>
      <c r="AA1506" s="2748"/>
      <c r="AB1506" s="2748"/>
      <c r="AC1506" s="2748"/>
      <c r="AD1506" s="2748"/>
      <c r="AE1506" s="2748"/>
      <c r="AF1506" s="2748"/>
      <c r="AG1506" s="2748"/>
      <c r="AH1506" s="2748"/>
      <c r="AI1506" s="2748"/>
      <c r="AK1506" s="2748"/>
      <c r="AL1506" s="2748"/>
      <c r="AN1506" s="2748"/>
      <c r="AO1506" s="2748"/>
      <c r="AP1506" s="2748"/>
    </row>
    <row r="1507" spans="2:42" ht="18" customHeight="1">
      <c r="B1507" s="2728"/>
      <c r="C1507" s="2728"/>
      <c r="D1507" s="2728"/>
      <c r="E1507" s="2728"/>
      <c r="G1507" s="2512"/>
      <c r="I1507" s="2748"/>
      <c r="J1507" s="2728"/>
      <c r="L1507" s="2728"/>
      <c r="M1507" s="2748"/>
      <c r="N1507" s="2728"/>
      <c r="O1507" s="2728"/>
      <c r="P1507" s="2728"/>
      <c r="Q1507" s="2748"/>
      <c r="R1507" s="2748"/>
      <c r="S1507" s="2748"/>
      <c r="T1507" s="2748"/>
      <c r="U1507" s="2748"/>
      <c r="V1507" s="2748"/>
      <c r="W1507" s="2748"/>
      <c r="X1507" s="2748"/>
      <c r="Y1507" s="2748"/>
      <c r="Z1507" s="2748"/>
      <c r="AA1507" s="2748"/>
      <c r="AB1507" s="2748"/>
      <c r="AC1507" s="2748"/>
      <c r="AD1507" s="2748"/>
      <c r="AE1507" s="2748"/>
      <c r="AF1507" s="2748"/>
      <c r="AG1507" s="2748"/>
      <c r="AH1507" s="2748"/>
      <c r="AI1507" s="2748"/>
      <c r="AK1507" s="2748"/>
      <c r="AL1507" s="2748"/>
      <c r="AN1507" s="2748"/>
      <c r="AO1507" s="2748"/>
      <c r="AP1507" s="2748"/>
    </row>
    <row r="1508" spans="2:42" ht="18" customHeight="1">
      <c r="B1508" s="2728"/>
      <c r="C1508" s="2728"/>
      <c r="D1508" s="2728"/>
      <c r="E1508" s="2728"/>
      <c r="G1508" s="2512"/>
      <c r="I1508" s="2748"/>
      <c r="J1508" s="2728"/>
      <c r="L1508" s="2728"/>
      <c r="M1508" s="2748"/>
      <c r="N1508" s="2728"/>
      <c r="O1508" s="2728"/>
      <c r="P1508" s="2728"/>
      <c r="Q1508" s="2748"/>
      <c r="R1508" s="2748"/>
      <c r="S1508" s="2748"/>
      <c r="T1508" s="2748"/>
      <c r="U1508" s="2748"/>
      <c r="V1508" s="2748"/>
      <c r="W1508" s="2748"/>
      <c r="X1508" s="2748"/>
      <c r="Y1508" s="2748"/>
      <c r="Z1508" s="2748"/>
      <c r="AA1508" s="2748"/>
      <c r="AB1508" s="2748"/>
      <c r="AC1508" s="2748"/>
      <c r="AD1508" s="2748"/>
      <c r="AE1508" s="2748"/>
      <c r="AF1508" s="2748"/>
      <c r="AG1508" s="2748"/>
      <c r="AH1508" s="2748"/>
      <c r="AI1508" s="2748"/>
      <c r="AK1508" s="2748"/>
      <c r="AL1508" s="2748"/>
      <c r="AN1508" s="2748"/>
      <c r="AO1508" s="2748"/>
      <c r="AP1508" s="2748"/>
    </row>
    <row r="1509" spans="2:42" ht="18" customHeight="1">
      <c r="B1509" s="2728"/>
      <c r="C1509" s="2728"/>
      <c r="D1509" s="2728"/>
      <c r="E1509" s="2728"/>
      <c r="G1509" s="2512"/>
      <c r="I1509" s="2748"/>
      <c r="J1509" s="2728"/>
      <c r="L1509" s="2728"/>
      <c r="M1509" s="2748"/>
      <c r="N1509" s="2728"/>
      <c r="O1509" s="2728"/>
      <c r="P1509" s="2728"/>
      <c r="Q1509" s="2748"/>
      <c r="R1509" s="2748"/>
      <c r="S1509" s="2748"/>
      <c r="T1509" s="2748"/>
      <c r="U1509" s="2748"/>
      <c r="V1509" s="2748"/>
      <c r="W1509" s="2748"/>
      <c r="X1509" s="2748"/>
      <c r="Y1509" s="2748"/>
      <c r="Z1509" s="2748"/>
      <c r="AA1509" s="2748"/>
      <c r="AB1509" s="2748"/>
      <c r="AC1509" s="2748"/>
      <c r="AD1509" s="2748"/>
      <c r="AE1509" s="2748"/>
      <c r="AF1509" s="2748"/>
      <c r="AG1509" s="2748"/>
      <c r="AH1509" s="2748"/>
      <c r="AI1509" s="2748"/>
      <c r="AK1509" s="2748"/>
      <c r="AL1509" s="2748"/>
      <c r="AN1509" s="2748"/>
      <c r="AO1509" s="2748"/>
      <c r="AP1509" s="2748"/>
    </row>
    <row r="1510" spans="2:42" ht="18" customHeight="1">
      <c r="B1510" s="2728"/>
      <c r="C1510" s="2728"/>
      <c r="D1510" s="2728"/>
      <c r="E1510" s="2728"/>
      <c r="G1510" s="2512"/>
      <c r="I1510" s="2748"/>
      <c r="J1510" s="2728"/>
      <c r="L1510" s="2728"/>
      <c r="M1510" s="2748"/>
      <c r="N1510" s="2728"/>
      <c r="O1510" s="2728"/>
      <c r="P1510" s="2728"/>
      <c r="Q1510" s="2748"/>
      <c r="R1510" s="2748"/>
      <c r="S1510" s="2748"/>
      <c r="T1510" s="2748"/>
      <c r="U1510" s="2748"/>
      <c r="V1510" s="2748"/>
      <c r="W1510" s="2748"/>
      <c r="X1510" s="2748"/>
      <c r="Y1510" s="2748"/>
      <c r="Z1510" s="2748"/>
      <c r="AA1510" s="2748"/>
      <c r="AB1510" s="2748"/>
      <c r="AC1510" s="2748"/>
      <c r="AD1510" s="2748"/>
      <c r="AE1510" s="2748"/>
      <c r="AF1510" s="2748"/>
      <c r="AG1510" s="2748"/>
      <c r="AH1510" s="2748"/>
      <c r="AI1510" s="2748"/>
      <c r="AK1510" s="2748"/>
      <c r="AL1510" s="2748"/>
      <c r="AN1510" s="2748"/>
      <c r="AO1510" s="2748"/>
      <c r="AP1510" s="2748"/>
    </row>
    <row r="1511" spans="2:42" ht="18" customHeight="1">
      <c r="B1511" s="2728"/>
      <c r="C1511" s="2728"/>
      <c r="D1511" s="2728"/>
      <c r="E1511" s="2728"/>
      <c r="G1511" s="2512"/>
      <c r="I1511" s="2748"/>
      <c r="J1511" s="2728"/>
      <c r="L1511" s="2728"/>
      <c r="M1511" s="2748"/>
      <c r="N1511" s="2728"/>
      <c r="O1511" s="2728"/>
      <c r="P1511" s="2728"/>
      <c r="Q1511" s="2748"/>
      <c r="R1511" s="2748"/>
      <c r="S1511" s="2748"/>
      <c r="T1511" s="2748"/>
      <c r="U1511" s="2748"/>
      <c r="V1511" s="2748"/>
      <c r="W1511" s="2748"/>
      <c r="X1511" s="2748"/>
      <c r="Y1511" s="2748"/>
      <c r="Z1511" s="2748"/>
      <c r="AA1511" s="2748"/>
      <c r="AB1511" s="2748"/>
      <c r="AC1511" s="2748"/>
      <c r="AD1511" s="2748"/>
      <c r="AE1511" s="2748"/>
      <c r="AF1511" s="2748"/>
      <c r="AG1511" s="2748"/>
      <c r="AH1511" s="2748"/>
      <c r="AI1511" s="2748"/>
      <c r="AK1511" s="2748"/>
      <c r="AL1511" s="2748"/>
      <c r="AN1511" s="2748"/>
      <c r="AO1511" s="2748"/>
      <c r="AP1511" s="2748"/>
    </row>
    <row r="1512" spans="2:42" ht="18" customHeight="1">
      <c r="B1512" s="2728"/>
      <c r="C1512" s="2728"/>
      <c r="D1512" s="2728"/>
      <c r="E1512" s="2728"/>
      <c r="G1512" s="2512"/>
      <c r="I1512" s="2748"/>
      <c r="J1512" s="2728"/>
      <c r="L1512" s="2728"/>
      <c r="M1512" s="2748"/>
      <c r="N1512" s="2728"/>
      <c r="O1512" s="2728"/>
      <c r="P1512" s="2728"/>
      <c r="Q1512" s="2748"/>
      <c r="R1512" s="2748"/>
      <c r="S1512" s="2748"/>
      <c r="T1512" s="2748"/>
      <c r="U1512" s="2748"/>
      <c r="V1512" s="2748"/>
      <c r="W1512" s="2748"/>
      <c r="X1512" s="2748"/>
      <c r="Y1512" s="2748"/>
      <c r="Z1512" s="2748"/>
      <c r="AA1512" s="2748"/>
      <c r="AB1512" s="2748"/>
      <c r="AC1512" s="2748"/>
      <c r="AD1512" s="2748"/>
      <c r="AE1512" s="2748"/>
      <c r="AF1512" s="2748"/>
      <c r="AG1512" s="2748"/>
      <c r="AH1512" s="2748"/>
      <c r="AI1512" s="2748"/>
      <c r="AK1512" s="2748"/>
      <c r="AL1512" s="2748"/>
      <c r="AN1512" s="2748"/>
      <c r="AO1512" s="2748"/>
      <c r="AP1512" s="2748"/>
    </row>
    <row r="1513" spans="2:42" ht="18" customHeight="1">
      <c r="B1513" s="2728"/>
      <c r="C1513" s="2728"/>
      <c r="D1513" s="2728"/>
      <c r="E1513" s="2728"/>
      <c r="G1513" s="2512"/>
      <c r="I1513" s="2748"/>
      <c r="J1513" s="2728"/>
      <c r="L1513" s="2728"/>
      <c r="M1513" s="2748"/>
      <c r="N1513" s="2728"/>
      <c r="O1513" s="2728"/>
      <c r="P1513" s="2728"/>
      <c r="Q1513" s="2748"/>
      <c r="R1513" s="2748"/>
      <c r="S1513" s="2748"/>
      <c r="T1513" s="2748"/>
      <c r="U1513" s="2748"/>
      <c r="V1513" s="2748"/>
      <c r="W1513" s="2748"/>
      <c r="X1513" s="2748"/>
      <c r="Y1513" s="2748"/>
      <c r="Z1513" s="2748"/>
      <c r="AA1513" s="2748"/>
      <c r="AB1513" s="2748"/>
      <c r="AC1513" s="2748"/>
      <c r="AD1513" s="2748"/>
      <c r="AE1513" s="2748"/>
      <c r="AF1513" s="2748"/>
      <c r="AG1513" s="2748"/>
      <c r="AH1513" s="2748"/>
      <c r="AI1513" s="2748"/>
      <c r="AK1513" s="2748"/>
      <c r="AL1513" s="2748"/>
      <c r="AN1513" s="2748"/>
      <c r="AO1513" s="2748"/>
      <c r="AP1513" s="2748"/>
    </row>
    <row r="1514" spans="2:42" ht="18" customHeight="1">
      <c r="B1514" s="2728"/>
      <c r="C1514" s="2728"/>
      <c r="D1514" s="2728"/>
      <c r="E1514" s="2728"/>
      <c r="G1514" s="2512"/>
      <c r="I1514" s="2748"/>
      <c r="J1514" s="2728"/>
      <c r="L1514" s="2728"/>
      <c r="M1514" s="2748"/>
      <c r="N1514" s="2728"/>
      <c r="O1514" s="2728"/>
      <c r="P1514" s="2728"/>
      <c r="Q1514" s="2748"/>
      <c r="R1514" s="2748"/>
      <c r="S1514" s="2748"/>
      <c r="T1514" s="2748"/>
      <c r="U1514" s="2748"/>
      <c r="V1514" s="2748"/>
      <c r="W1514" s="2748"/>
      <c r="X1514" s="2748"/>
      <c r="Y1514" s="2748"/>
      <c r="Z1514" s="2748"/>
      <c r="AA1514" s="2748"/>
      <c r="AB1514" s="2748"/>
      <c r="AC1514" s="2748"/>
      <c r="AD1514" s="2748"/>
      <c r="AE1514" s="2748"/>
      <c r="AF1514" s="2748"/>
      <c r="AG1514" s="2748"/>
      <c r="AH1514" s="2748"/>
      <c r="AI1514" s="2748"/>
      <c r="AK1514" s="2748"/>
      <c r="AL1514" s="2748"/>
      <c r="AN1514" s="2748"/>
      <c r="AO1514" s="2748"/>
      <c r="AP1514" s="2748"/>
    </row>
    <row r="1515" spans="2:42" ht="18" customHeight="1">
      <c r="B1515" s="2728"/>
      <c r="C1515" s="2728"/>
      <c r="D1515" s="2728"/>
      <c r="E1515" s="2728"/>
      <c r="G1515" s="2512"/>
      <c r="I1515" s="2748"/>
      <c r="J1515" s="2728"/>
      <c r="L1515" s="2728"/>
      <c r="M1515" s="2748"/>
      <c r="N1515" s="2728"/>
      <c r="O1515" s="2728"/>
      <c r="P1515" s="2728"/>
      <c r="Q1515" s="2748"/>
      <c r="R1515" s="2748"/>
      <c r="S1515" s="2748"/>
      <c r="T1515" s="2748"/>
      <c r="U1515" s="2748"/>
      <c r="V1515" s="2748"/>
      <c r="W1515" s="2748"/>
      <c r="X1515" s="2748"/>
      <c r="Y1515" s="2748"/>
      <c r="Z1515" s="2748"/>
      <c r="AA1515" s="2748"/>
      <c r="AB1515" s="2748"/>
      <c r="AC1515" s="2748"/>
      <c r="AD1515" s="2748"/>
      <c r="AE1515" s="2748"/>
      <c r="AF1515" s="2748"/>
      <c r="AG1515" s="2748"/>
      <c r="AH1515" s="2748"/>
      <c r="AI1515" s="2748"/>
      <c r="AK1515" s="2748"/>
      <c r="AL1515" s="2748"/>
      <c r="AN1515" s="2748"/>
      <c r="AO1515" s="2748"/>
      <c r="AP1515" s="2748"/>
    </row>
    <row r="1516" spans="2:42" ht="18" customHeight="1">
      <c r="B1516" s="2728"/>
      <c r="C1516" s="2728"/>
      <c r="D1516" s="2728"/>
      <c r="E1516" s="2728"/>
      <c r="G1516" s="2512"/>
      <c r="I1516" s="2748"/>
      <c r="J1516" s="2728"/>
      <c r="L1516" s="2728"/>
      <c r="M1516" s="2748"/>
      <c r="N1516" s="2728"/>
      <c r="O1516" s="2728"/>
      <c r="P1516" s="2728"/>
      <c r="Q1516" s="2748"/>
      <c r="R1516" s="2748"/>
      <c r="S1516" s="2748"/>
      <c r="T1516" s="2748"/>
      <c r="U1516" s="2748"/>
      <c r="V1516" s="2748"/>
      <c r="W1516" s="2748"/>
      <c r="X1516" s="2748"/>
      <c r="Y1516" s="2748"/>
      <c r="Z1516" s="2748"/>
      <c r="AA1516" s="2748"/>
      <c r="AB1516" s="2748"/>
      <c r="AC1516" s="2748"/>
      <c r="AD1516" s="2748"/>
      <c r="AE1516" s="2748"/>
      <c r="AF1516" s="2748"/>
      <c r="AG1516" s="2748"/>
      <c r="AH1516" s="2748"/>
      <c r="AI1516" s="2748"/>
      <c r="AK1516" s="2748"/>
      <c r="AL1516" s="2748"/>
      <c r="AN1516" s="2748"/>
      <c r="AO1516" s="2748"/>
      <c r="AP1516" s="2748"/>
    </row>
    <row r="1517" spans="2:42" ht="18" customHeight="1">
      <c r="B1517" s="2728"/>
      <c r="C1517" s="2728"/>
      <c r="D1517" s="2728"/>
      <c r="E1517" s="2728"/>
      <c r="G1517" s="2512"/>
      <c r="I1517" s="2748"/>
      <c r="J1517" s="2728"/>
      <c r="L1517" s="2728"/>
      <c r="M1517" s="2748"/>
      <c r="N1517" s="2728"/>
      <c r="O1517" s="2728"/>
      <c r="P1517" s="2728"/>
      <c r="Q1517" s="2748"/>
      <c r="R1517" s="2748"/>
      <c r="S1517" s="2748"/>
      <c r="T1517" s="2748"/>
      <c r="U1517" s="2748"/>
      <c r="V1517" s="2748"/>
      <c r="W1517" s="2748"/>
      <c r="X1517" s="2748"/>
      <c r="Y1517" s="2748"/>
      <c r="Z1517" s="2748"/>
      <c r="AA1517" s="2748"/>
      <c r="AB1517" s="2748"/>
      <c r="AC1517" s="2748"/>
      <c r="AD1517" s="2748"/>
      <c r="AE1517" s="2748"/>
      <c r="AF1517" s="2748"/>
      <c r="AG1517" s="2748"/>
      <c r="AH1517" s="2748"/>
      <c r="AI1517" s="2748"/>
      <c r="AK1517" s="2748"/>
      <c r="AL1517" s="2748"/>
      <c r="AN1517" s="2748"/>
      <c r="AO1517" s="2748"/>
      <c r="AP1517" s="2748"/>
    </row>
    <row r="1518" spans="2:42" ht="18" customHeight="1">
      <c r="B1518" s="2728"/>
      <c r="C1518" s="2728"/>
      <c r="D1518" s="2728"/>
      <c r="E1518" s="2728"/>
      <c r="G1518" s="2512"/>
      <c r="I1518" s="2748"/>
      <c r="J1518" s="2728"/>
      <c r="L1518" s="2728"/>
      <c r="M1518" s="2748"/>
      <c r="N1518" s="2728"/>
      <c r="O1518" s="2728"/>
      <c r="P1518" s="2728"/>
      <c r="Q1518" s="2748"/>
      <c r="R1518" s="2748"/>
      <c r="S1518" s="2748"/>
      <c r="T1518" s="2748"/>
      <c r="U1518" s="2748"/>
      <c r="V1518" s="2748"/>
      <c r="W1518" s="2748"/>
      <c r="X1518" s="2748"/>
      <c r="Y1518" s="2748"/>
      <c r="Z1518" s="2748"/>
      <c r="AA1518" s="2748"/>
      <c r="AB1518" s="2748"/>
      <c r="AC1518" s="2748"/>
      <c r="AD1518" s="2748"/>
      <c r="AE1518" s="2748"/>
      <c r="AF1518" s="2748"/>
      <c r="AG1518" s="2748"/>
      <c r="AH1518" s="2748"/>
      <c r="AI1518" s="2748"/>
      <c r="AK1518" s="2748"/>
      <c r="AL1518" s="2748"/>
      <c r="AN1518" s="2748"/>
      <c r="AO1518" s="2748"/>
      <c r="AP1518" s="2748"/>
    </row>
    <row r="1519" spans="2:42" ht="18" customHeight="1">
      <c r="B1519" s="2728"/>
      <c r="C1519" s="2728"/>
      <c r="D1519" s="2728"/>
      <c r="E1519" s="2728"/>
      <c r="G1519" s="2512"/>
      <c r="I1519" s="2748"/>
      <c r="J1519" s="2728"/>
      <c r="L1519" s="2728"/>
      <c r="M1519" s="2748"/>
      <c r="N1519" s="2728"/>
      <c r="O1519" s="2728"/>
      <c r="P1519" s="2728"/>
      <c r="Q1519" s="2748"/>
      <c r="R1519" s="2748"/>
      <c r="S1519" s="2748"/>
      <c r="T1519" s="2748"/>
      <c r="U1519" s="2748"/>
      <c r="V1519" s="2748"/>
      <c r="W1519" s="2748"/>
      <c r="X1519" s="2748"/>
      <c r="Y1519" s="2748"/>
      <c r="Z1519" s="2748"/>
      <c r="AA1519" s="2748"/>
      <c r="AB1519" s="2748"/>
      <c r="AC1519" s="2748"/>
      <c r="AD1519" s="2748"/>
      <c r="AE1519" s="2748"/>
      <c r="AF1519" s="2748"/>
      <c r="AG1519" s="2748"/>
      <c r="AH1519" s="2748"/>
      <c r="AI1519" s="2748"/>
      <c r="AK1519" s="2748"/>
      <c r="AL1519" s="2748"/>
      <c r="AN1519" s="2748"/>
      <c r="AO1519" s="2748"/>
      <c r="AP1519" s="2748"/>
    </row>
    <row r="1520" spans="2:42" ht="18" customHeight="1">
      <c r="B1520" s="2728"/>
      <c r="C1520" s="2728"/>
      <c r="D1520" s="2728"/>
      <c r="E1520" s="2728"/>
      <c r="G1520" s="2512"/>
      <c r="I1520" s="2748"/>
      <c r="J1520" s="2728"/>
      <c r="L1520" s="2728"/>
      <c r="M1520" s="2748"/>
      <c r="N1520" s="2728"/>
      <c r="O1520" s="2728"/>
      <c r="P1520" s="2728"/>
      <c r="Q1520" s="2748"/>
      <c r="R1520" s="2748"/>
      <c r="S1520" s="2748"/>
      <c r="T1520" s="2748"/>
      <c r="U1520" s="2748"/>
      <c r="V1520" s="2748"/>
      <c r="W1520" s="2748"/>
      <c r="X1520" s="2748"/>
      <c r="Y1520" s="2748"/>
      <c r="Z1520" s="2748"/>
      <c r="AA1520" s="2748"/>
      <c r="AB1520" s="2748"/>
      <c r="AC1520" s="2748"/>
      <c r="AD1520" s="2748"/>
      <c r="AE1520" s="2748"/>
      <c r="AF1520" s="2748"/>
      <c r="AG1520" s="2748"/>
      <c r="AH1520" s="2748"/>
      <c r="AI1520" s="2748"/>
      <c r="AK1520" s="2748"/>
      <c r="AL1520" s="2748"/>
      <c r="AN1520" s="2748"/>
      <c r="AO1520" s="2748"/>
      <c r="AP1520" s="2748"/>
    </row>
    <row r="1521" spans="2:42" ht="18" customHeight="1">
      <c r="B1521" s="2728"/>
      <c r="C1521" s="2728"/>
      <c r="D1521" s="2728"/>
      <c r="E1521" s="2728"/>
      <c r="G1521" s="2512"/>
      <c r="I1521" s="2748"/>
      <c r="J1521" s="2728"/>
      <c r="L1521" s="2728"/>
      <c r="M1521" s="2748"/>
      <c r="N1521" s="2728"/>
      <c r="O1521" s="2728"/>
      <c r="P1521" s="2728"/>
      <c r="Q1521" s="2748"/>
      <c r="R1521" s="2748"/>
      <c r="S1521" s="2748"/>
      <c r="T1521" s="2748"/>
      <c r="U1521" s="2748"/>
      <c r="V1521" s="2748"/>
      <c r="W1521" s="2748"/>
      <c r="X1521" s="2748"/>
      <c r="Y1521" s="2748"/>
      <c r="Z1521" s="2748"/>
      <c r="AA1521" s="2748"/>
      <c r="AB1521" s="2748"/>
      <c r="AC1521" s="2748"/>
      <c r="AD1521" s="2748"/>
      <c r="AE1521" s="2748"/>
      <c r="AF1521" s="2748"/>
      <c r="AG1521" s="2748"/>
      <c r="AH1521" s="2748"/>
      <c r="AI1521" s="2748"/>
      <c r="AK1521" s="2748"/>
      <c r="AL1521" s="2748"/>
      <c r="AN1521" s="2748"/>
      <c r="AO1521" s="2748"/>
      <c r="AP1521" s="2748"/>
    </row>
    <row r="1522" spans="2:42" ht="18" customHeight="1">
      <c r="B1522" s="2728"/>
      <c r="C1522" s="2728"/>
      <c r="D1522" s="2728"/>
      <c r="E1522" s="2728"/>
      <c r="G1522" s="2512"/>
      <c r="I1522" s="2748"/>
      <c r="J1522" s="2728"/>
      <c r="L1522" s="2728"/>
      <c r="M1522" s="2748"/>
      <c r="N1522" s="2728"/>
      <c r="O1522" s="2728"/>
      <c r="P1522" s="2728"/>
      <c r="Q1522" s="2748"/>
      <c r="R1522" s="2748"/>
      <c r="S1522" s="2748"/>
      <c r="T1522" s="2748"/>
      <c r="U1522" s="2748"/>
      <c r="V1522" s="2748"/>
      <c r="W1522" s="2748"/>
      <c r="X1522" s="2748"/>
      <c r="Y1522" s="2748"/>
      <c r="Z1522" s="2748"/>
      <c r="AA1522" s="2748"/>
      <c r="AB1522" s="2748"/>
      <c r="AC1522" s="2748"/>
      <c r="AD1522" s="2748"/>
      <c r="AE1522" s="2748"/>
      <c r="AF1522" s="2748"/>
      <c r="AG1522" s="2748"/>
      <c r="AH1522" s="2748"/>
      <c r="AI1522" s="2748"/>
      <c r="AK1522" s="2748"/>
      <c r="AL1522" s="2748"/>
      <c r="AN1522" s="2748"/>
      <c r="AO1522" s="2748"/>
      <c r="AP1522" s="2748"/>
    </row>
    <row r="1523" spans="2:42" ht="18" customHeight="1">
      <c r="B1523" s="2728"/>
      <c r="C1523" s="2728"/>
      <c r="D1523" s="2728"/>
      <c r="E1523" s="2728"/>
      <c r="G1523" s="2512"/>
      <c r="I1523" s="2748"/>
      <c r="J1523" s="2728"/>
      <c r="L1523" s="2728"/>
      <c r="M1523" s="2748"/>
      <c r="N1523" s="2728"/>
      <c r="O1523" s="2728"/>
      <c r="P1523" s="2728"/>
      <c r="Q1523" s="2748"/>
      <c r="R1523" s="2748"/>
      <c r="S1523" s="2748"/>
      <c r="T1523" s="2748"/>
      <c r="U1523" s="2748"/>
      <c r="V1523" s="2748"/>
      <c r="W1523" s="2748"/>
      <c r="X1523" s="2748"/>
      <c r="Y1523" s="2748"/>
      <c r="Z1523" s="2748"/>
      <c r="AA1523" s="2748"/>
      <c r="AB1523" s="2748"/>
      <c r="AC1523" s="2748"/>
      <c r="AD1523" s="2748"/>
      <c r="AE1523" s="2748"/>
      <c r="AF1523" s="2748"/>
      <c r="AG1523" s="2748"/>
      <c r="AH1523" s="2748"/>
      <c r="AI1523" s="2748"/>
      <c r="AK1523" s="2748"/>
      <c r="AL1523" s="2748"/>
      <c r="AN1523" s="2748"/>
      <c r="AO1523" s="2748"/>
      <c r="AP1523" s="2748"/>
    </row>
    <row r="1524" spans="2:42" ht="18" customHeight="1">
      <c r="B1524" s="2728"/>
      <c r="C1524" s="2728"/>
      <c r="D1524" s="2728"/>
      <c r="E1524" s="2728"/>
      <c r="G1524" s="2512"/>
      <c r="I1524" s="2748"/>
      <c r="J1524" s="2728"/>
      <c r="L1524" s="2728"/>
      <c r="M1524" s="2748"/>
      <c r="N1524" s="2728"/>
      <c r="O1524" s="2728"/>
      <c r="P1524" s="2728"/>
      <c r="Q1524" s="2748"/>
      <c r="R1524" s="2748"/>
      <c r="S1524" s="2748"/>
      <c r="T1524" s="2748"/>
      <c r="U1524" s="2748"/>
      <c r="V1524" s="2748"/>
      <c r="W1524" s="2748"/>
      <c r="X1524" s="2748"/>
      <c r="Y1524" s="2748"/>
      <c r="Z1524" s="2748"/>
      <c r="AA1524" s="2748"/>
      <c r="AB1524" s="2748"/>
      <c r="AC1524" s="2748"/>
      <c r="AD1524" s="2748"/>
      <c r="AE1524" s="2748"/>
      <c r="AF1524" s="2748"/>
      <c r="AG1524" s="2748"/>
      <c r="AH1524" s="2748"/>
      <c r="AI1524" s="2748"/>
      <c r="AK1524" s="2748"/>
      <c r="AL1524" s="2748"/>
      <c r="AN1524" s="2748"/>
      <c r="AO1524" s="2748"/>
      <c r="AP1524" s="2748"/>
    </row>
    <row r="1525" spans="2:42" ht="18" customHeight="1">
      <c r="B1525" s="2728"/>
      <c r="C1525" s="2728"/>
      <c r="D1525" s="2728"/>
      <c r="E1525" s="2728"/>
      <c r="G1525" s="2512"/>
      <c r="I1525" s="2748"/>
      <c r="J1525" s="2728"/>
      <c r="L1525" s="2728"/>
      <c r="M1525" s="2748"/>
      <c r="N1525" s="2728"/>
      <c r="O1525" s="2728"/>
      <c r="P1525" s="2728"/>
      <c r="Q1525" s="2748"/>
      <c r="R1525" s="2748"/>
      <c r="S1525" s="2748"/>
      <c r="T1525" s="2748"/>
      <c r="U1525" s="2748"/>
      <c r="V1525" s="2748"/>
      <c r="W1525" s="2748"/>
      <c r="X1525" s="2748"/>
      <c r="Y1525" s="2748"/>
      <c r="Z1525" s="2748"/>
      <c r="AA1525" s="2748"/>
      <c r="AB1525" s="2748"/>
      <c r="AC1525" s="2748"/>
      <c r="AD1525" s="2748"/>
      <c r="AE1525" s="2748"/>
      <c r="AF1525" s="2748"/>
      <c r="AG1525" s="2748"/>
      <c r="AH1525" s="2748"/>
      <c r="AI1525" s="2748"/>
      <c r="AK1525" s="2748"/>
      <c r="AL1525" s="2748"/>
      <c r="AN1525" s="2748"/>
      <c r="AO1525" s="2748"/>
      <c r="AP1525" s="2748"/>
    </row>
    <row r="1526" spans="2:42" ht="18" customHeight="1">
      <c r="B1526" s="2728"/>
      <c r="C1526" s="2728"/>
      <c r="D1526" s="2728"/>
      <c r="E1526" s="2728"/>
      <c r="G1526" s="2512"/>
      <c r="I1526" s="2748"/>
      <c r="J1526" s="2728"/>
      <c r="L1526" s="2728"/>
      <c r="M1526" s="2748"/>
      <c r="N1526" s="2728"/>
      <c r="O1526" s="2728"/>
      <c r="P1526" s="2728"/>
      <c r="Q1526" s="2748"/>
      <c r="R1526" s="2748"/>
      <c r="S1526" s="2748"/>
      <c r="T1526" s="2748"/>
      <c r="U1526" s="2748"/>
      <c r="V1526" s="2748"/>
      <c r="W1526" s="2748"/>
      <c r="X1526" s="2748"/>
      <c r="Y1526" s="2748"/>
      <c r="Z1526" s="2748"/>
      <c r="AA1526" s="2748"/>
      <c r="AB1526" s="2748"/>
      <c r="AC1526" s="2748"/>
      <c r="AD1526" s="2748"/>
      <c r="AE1526" s="2748"/>
      <c r="AF1526" s="2748"/>
      <c r="AG1526" s="2748"/>
      <c r="AH1526" s="2748"/>
      <c r="AI1526" s="2748"/>
      <c r="AK1526" s="2748"/>
      <c r="AL1526" s="2748"/>
      <c r="AN1526" s="2748"/>
      <c r="AO1526" s="2748"/>
      <c r="AP1526" s="2748"/>
    </row>
    <row r="1527" spans="2:42" ht="18" customHeight="1">
      <c r="B1527" s="2728"/>
      <c r="C1527" s="2728"/>
      <c r="D1527" s="2728"/>
      <c r="E1527" s="2728"/>
      <c r="G1527" s="2512"/>
      <c r="I1527" s="2748"/>
      <c r="J1527" s="2728"/>
      <c r="L1527" s="2728"/>
      <c r="M1527" s="2748"/>
      <c r="N1527" s="2728"/>
      <c r="O1527" s="2728"/>
      <c r="P1527" s="2728"/>
      <c r="Q1527" s="2748"/>
      <c r="R1527" s="2748"/>
      <c r="S1527" s="2748"/>
      <c r="T1527" s="2748"/>
      <c r="U1527" s="2748"/>
      <c r="V1527" s="2748"/>
      <c r="W1527" s="2748"/>
      <c r="X1527" s="2748"/>
      <c r="Y1527" s="2748"/>
      <c r="Z1527" s="2748"/>
      <c r="AA1527" s="2748"/>
      <c r="AB1527" s="2748"/>
      <c r="AC1527" s="2748"/>
      <c r="AD1527" s="2748"/>
      <c r="AE1527" s="2748"/>
      <c r="AF1527" s="2748"/>
      <c r="AG1527" s="2748"/>
      <c r="AH1527" s="2748"/>
      <c r="AI1527" s="2748"/>
      <c r="AK1527" s="2748"/>
      <c r="AL1527" s="2748"/>
      <c r="AN1527" s="2748"/>
      <c r="AO1527" s="2748"/>
      <c r="AP1527" s="2748"/>
    </row>
    <row r="1528" spans="2:42" ht="18" customHeight="1">
      <c r="B1528" s="2728"/>
      <c r="C1528" s="2728"/>
      <c r="D1528" s="2728"/>
      <c r="E1528" s="2728"/>
      <c r="G1528" s="2512"/>
      <c r="I1528" s="2748"/>
      <c r="J1528" s="2728"/>
      <c r="L1528" s="2728"/>
      <c r="M1528" s="2748"/>
      <c r="N1528" s="2728"/>
      <c r="O1528" s="2728"/>
      <c r="P1528" s="2728"/>
      <c r="Q1528" s="2748"/>
      <c r="R1528" s="2748"/>
      <c r="S1528" s="2748"/>
      <c r="T1528" s="2748"/>
      <c r="U1528" s="2748"/>
      <c r="V1528" s="2748"/>
      <c r="W1528" s="2748"/>
      <c r="X1528" s="2748"/>
      <c r="Y1528" s="2748"/>
      <c r="Z1528" s="2748"/>
      <c r="AA1528" s="2748"/>
      <c r="AB1528" s="2748"/>
      <c r="AC1528" s="2748"/>
      <c r="AD1528" s="2748"/>
      <c r="AE1528" s="2748"/>
      <c r="AF1528" s="2748"/>
      <c r="AG1528" s="2748"/>
      <c r="AH1528" s="2748"/>
      <c r="AI1528" s="2748"/>
      <c r="AK1528" s="2748"/>
      <c r="AL1528" s="2748"/>
      <c r="AN1528" s="2748"/>
      <c r="AO1528" s="2748"/>
      <c r="AP1528" s="2748"/>
    </row>
    <row r="1529" spans="2:42" ht="18" customHeight="1">
      <c r="B1529" s="2728"/>
      <c r="C1529" s="2728"/>
      <c r="D1529" s="2728"/>
      <c r="E1529" s="2728"/>
      <c r="G1529" s="2512"/>
      <c r="I1529" s="2748"/>
      <c r="J1529" s="2728"/>
      <c r="L1529" s="2728"/>
      <c r="M1529" s="2748"/>
      <c r="N1529" s="2728"/>
      <c r="O1529" s="2728"/>
      <c r="P1529" s="2728"/>
      <c r="Q1529" s="2748"/>
      <c r="R1529" s="2748"/>
      <c r="S1529" s="2748"/>
      <c r="T1529" s="2748"/>
      <c r="U1529" s="2748"/>
      <c r="V1529" s="2748"/>
      <c r="W1529" s="2748"/>
      <c r="X1529" s="2748"/>
      <c r="Y1529" s="2748"/>
      <c r="Z1529" s="2748"/>
      <c r="AA1529" s="2748"/>
      <c r="AB1529" s="2748"/>
      <c r="AC1529" s="2748"/>
      <c r="AD1529" s="2748"/>
      <c r="AE1529" s="2748"/>
      <c r="AF1529" s="2748"/>
      <c r="AG1529" s="2748"/>
      <c r="AH1529" s="2748"/>
      <c r="AI1529" s="2748"/>
      <c r="AK1529" s="2748"/>
      <c r="AL1529" s="2748"/>
      <c r="AN1529" s="2748"/>
      <c r="AO1529" s="2748"/>
      <c r="AP1529" s="2748"/>
    </row>
    <row r="1530" spans="2:42" ht="18" customHeight="1">
      <c r="B1530" s="2728"/>
      <c r="C1530" s="2728"/>
      <c r="D1530" s="2728"/>
      <c r="E1530" s="2728"/>
      <c r="G1530" s="2512"/>
      <c r="I1530" s="2748"/>
      <c r="J1530" s="2728"/>
      <c r="L1530" s="2728"/>
      <c r="M1530" s="2748"/>
      <c r="N1530" s="2728"/>
      <c r="O1530" s="2728"/>
      <c r="P1530" s="2728"/>
      <c r="Q1530" s="2748"/>
      <c r="R1530" s="2748"/>
      <c r="S1530" s="2748"/>
      <c r="T1530" s="2748"/>
      <c r="U1530" s="2748"/>
      <c r="V1530" s="2748"/>
      <c r="W1530" s="2748"/>
      <c r="X1530" s="2748"/>
      <c r="Y1530" s="2748"/>
      <c r="Z1530" s="2748"/>
      <c r="AA1530" s="2748"/>
      <c r="AB1530" s="2748"/>
      <c r="AC1530" s="2748"/>
      <c r="AD1530" s="2748"/>
      <c r="AE1530" s="2748"/>
      <c r="AF1530" s="2748"/>
      <c r="AG1530" s="2748"/>
      <c r="AH1530" s="2748"/>
      <c r="AI1530" s="2748"/>
      <c r="AK1530" s="2748"/>
      <c r="AL1530" s="2748"/>
      <c r="AN1530" s="2748"/>
      <c r="AO1530" s="2748"/>
      <c r="AP1530" s="2748"/>
    </row>
    <row r="1531" spans="2:42" ht="18" customHeight="1">
      <c r="B1531" s="2728"/>
      <c r="C1531" s="2728"/>
      <c r="D1531" s="2728"/>
      <c r="E1531" s="2728"/>
      <c r="G1531" s="2512"/>
      <c r="I1531" s="2748"/>
      <c r="J1531" s="2728"/>
      <c r="L1531" s="2728"/>
      <c r="M1531" s="2748"/>
      <c r="N1531" s="2728"/>
      <c r="O1531" s="2728"/>
      <c r="P1531" s="2728"/>
      <c r="Q1531" s="2748"/>
      <c r="R1531" s="2748"/>
      <c r="S1531" s="2748"/>
      <c r="T1531" s="2748"/>
      <c r="U1531" s="2748"/>
      <c r="V1531" s="2748"/>
      <c r="W1531" s="2748"/>
      <c r="X1531" s="2748"/>
      <c r="Y1531" s="2748"/>
      <c r="Z1531" s="2748"/>
      <c r="AA1531" s="2748"/>
      <c r="AB1531" s="2748"/>
      <c r="AC1531" s="2748"/>
      <c r="AD1531" s="2748"/>
      <c r="AE1531" s="2748"/>
      <c r="AF1531" s="2748"/>
      <c r="AG1531" s="2748"/>
      <c r="AH1531" s="2748"/>
      <c r="AI1531" s="2748"/>
      <c r="AK1531" s="2748"/>
      <c r="AL1531" s="2748"/>
      <c r="AN1531" s="2748"/>
      <c r="AO1531" s="2748"/>
      <c r="AP1531" s="2748"/>
    </row>
    <row r="1532" spans="2:42" ht="18" customHeight="1">
      <c r="B1532" s="2728"/>
      <c r="C1532" s="2728"/>
      <c r="D1532" s="2728"/>
      <c r="E1532" s="2728"/>
      <c r="G1532" s="2512"/>
      <c r="I1532" s="2748"/>
      <c r="J1532" s="2728"/>
      <c r="L1532" s="2728"/>
      <c r="M1532" s="2748"/>
      <c r="N1532" s="2728"/>
      <c r="O1532" s="2728"/>
      <c r="P1532" s="2728"/>
      <c r="Q1532" s="2748"/>
      <c r="R1532" s="2748"/>
      <c r="S1532" s="2748"/>
      <c r="T1532" s="2748"/>
      <c r="U1532" s="2748"/>
      <c r="V1532" s="2748"/>
      <c r="W1532" s="2748"/>
      <c r="X1532" s="2748"/>
      <c r="Y1532" s="2748"/>
      <c r="Z1532" s="2748"/>
      <c r="AA1532" s="2748"/>
      <c r="AB1532" s="2748"/>
      <c r="AC1532" s="2748"/>
      <c r="AD1532" s="2748"/>
      <c r="AE1532" s="2748"/>
      <c r="AF1532" s="2748"/>
      <c r="AG1532" s="2748"/>
      <c r="AH1532" s="2748"/>
      <c r="AI1532" s="2748"/>
      <c r="AK1532" s="2748"/>
      <c r="AL1532" s="2748"/>
      <c r="AN1532" s="2748"/>
      <c r="AO1532" s="2748"/>
      <c r="AP1532" s="2748"/>
    </row>
    <row r="1533" spans="2:42" ht="18" customHeight="1">
      <c r="B1533" s="2728"/>
      <c r="C1533" s="2728"/>
      <c r="D1533" s="2728"/>
      <c r="E1533" s="2728"/>
      <c r="G1533" s="2512"/>
      <c r="I1533" s="2748"/>
      <c r="J1533" s="2728"/>
      <c r="L1533" s="2728"/>
      <c r="M1533" s="2748"/>
      <c r="N1533" s="2728"/>
      <c r="O1533" s="2728"/>
      <c r="P1533" s="2728"/>
      <c r="Q1533" s="2748"/>
      <c r="R1533" s="2748"/>
      <c r="S1533" s="2748"/>
      <c r="T1533" s="2748"/>
      <c r="U1533" s="2748"/>
      <c r="V1533" s="2748"/>
      <c r="W1533" s="2748"/>
      <c r="X1533" s="2748"/>
      <c r="Y1533" s="2748"/>
      <c r="Z1533" s="2748"/>
      <c r="AA1533" s="2748"/>
      <c r="AB1533" s="2748"/>
      <c r="AC1533" s="2748"/>
      <c r="AD1533" s="2748"/>
      <c r="AE1533" s="2748"/>
      <c r="AF1533" s="2748"/>
      <c r="AG1533" s="2748"/>
      <c r="AH1533" s="2748"/>
      <c r="AI1533" s="2748"/>
      <c r="AK1533" s="2748"/>
      <c r="AL1533" s="2748"/>
      <c r="AN1533" s="2748"/>
      <c r="AO1533" s="2748"/>
      <c r="AP1533" s="2748"/>
    </row>
    <row r="1534" spans="2:42" ht="18" customHeight="1">
      <c r="B1534" s="2728"/>
      <c r="C1534" s="2728"/>
      <c r="D1534" s="2728"/>
      <c r="E1534" s="2728"/>
      <c r="G1534" s="2512"/>
      <c r="I1534" s="2748"/>
      <c r="J1534" s="2728"/>
      <c r="L1534" s="2728"/>
      <c r="M1534" s="2748"/>
      <c r="N1534" s="2728"/>
      <c r="O1534" s="2728"/>
      <c r="P1534" s="2728"/>
      <c r="Q1534" s="2748"/>
      <c r="R1534" s="2748"/>
      <c r="S1534" s="2748"/>
      <c r="T1534" s="2748"/>
      <c r="U1534" s="2748"/>
      <c r="V1534" s="2748"/>
      <c r="W1534" s="2748"/>
      <c r="X1534" s="2748"/>
      <c r="Y1534" s="2748"/>
      <c r="Z1534" s="2748"/>
      <c r="AA1534" s="2748"/>
      <c r="AB1534" s="2748"/>
      <c r="AC1534" s="2748"/>
      <c r="AD1534" s="2748"/>
      <c r="AE1534" s="2748"/>
      <c r="AF1534" s="2748"/>
      <c r="AG1534" s="2748"/>
      <c r="AH1534" s="2748"/>
      <c r="AI1534" s="2748"/>
      <c r="AK1534" s="2748"/>
      <c r="AL1534" s="2748"/>
      <c r="AN1534" s="2748"/>
      <c r="AO1534" s="2748"/>
      <c r="AP1534" s="2748"/>
    </row>
    <row r="1535" spans="2:42" ht="18" customHeight="1">
      <c r="B1535" s="2728"/>
      <c r="C1535" s="2728"/>
      <c r="D1535" s="2728"/>
      <c r="E1535" s="2728"/>
      <c r="G1535" s="2512"/>
      <c r="I1535" s="2748"/>
      <c r="J1535" s="2728"/>
      <c r="L1535" s="2728"/>
      <c r="M1535" s="2748"/>
      <c r="N1535" s="2728"/>
      <c r="O1535" s="2728"/>
      <c r="P1535" s="2728"/>
      <c r="Q1535" s="2748"/>
      <c r="R1535" s="2748"/>
      <c r="S1535" s="2748"/>
      <c r="T1535" s="2748"/>
      <c r="U1535" s="2748"/>
      <c r="V1535" s="2748"/>
      <c r="W1535" s="2748"/>
      <c r="X1535" s="2748"/>
      <c r="Y1535" s="2748"/>
      <c r="Z1535" s="2748"/>
      <c r="AA1535" s="2748"/>
      <c r="AB1535" s="2748"/>
      <c r="AC1535" s="2748"/>
      <c r="AD1535" s="2748"/>
      <c r="AE1535" s="2748"/>
      <c r="AF1535" s="2748"/>
      <c r="AG1535" s="2748"/>
      <c r="AH1535" s="2748"/>
      <c r="AI1535" s="2748"/>
      <c r="AK1535" s="2748"/>
      <c r="AL1535" s="2748"/>
      <c r="AN1535" s="2748"/>
      <c r="AO1535" s="2748"/>
      <c r="AP1535" s="2748"/>
    </row>
    <row r="1536" spans="2:42" ht="18" customHeight="1">
      <c r="B1536" s="2728"/>
      <c r="C1536" s="2728"/>
      <c r="D1536" s="2728"/>
      <c r="E1536" s="2728"/>
      <c r="G1536" s="2512"/>
      <c r="I1536" s="2748"/>
      <c r="J1536" s="2728"/>
      <c r="L1536" s="2728"/>
      <c r="M1536" s="2748"/>
      <c r="N1536" s="2728"/>
      <c r="O1536" s="2728"/>
      <c r="P1536" s="2728"/>
      <c r="Q1536" s="2748"/>
      <c r="R1536" s="2748"/>
      <c r="S1536" s="2748"/>
      <c r="T1536" s="2748"/>
      <c r="U1536" s="2748"/>
      <c r="V1536" s="2748"/>
      <c r="W1536" s="2748"/>
      <c r="X1536" s="2748"/>
      <c r="Y1536" s="2748"/>
      <c r="Z1536" s="2748"/>
      <c r="AA1536" s="2748"/>
      <c r="AB1536" s="2748"/>
      <c r="AC1536" s="2748"/>
      <c r="AD1536" s="2748"/>
      <c r="AE1536" s="2748"/>
      <c r="AF1536" s="2748"/>
      <c r="AG1536" s="2748"/>
      <c r="AH1536" s="2748"/>
      <c r="AI1536" s="2748"/>
      <c r="AK1536" s="2748"/>
      <c r="AL1536" s="2748"/>
      <c r="AN1536" s="2748"/>
      <c r="AO1536" s="2748"/>
      <c r="AP1536" s="2748"/>
    </row>
    <row r="1537" spans="2:42" ht="18" customHeight="1">
      <c r="B1537" s="2728"/>
      <c r="C1537" s="2728"/>
      <c r="D1537" s="2728"/>
      <c r="E1537" s="2728"/>
      <c r="G1537" s="2512"/>
      <c r="I1537" s="2748"/>
      <c r="J1537" s="2728"/>
      <c r="L1537" s="2728"/>
      <c r="M1537" s="2748"/>
      <c r="N1537" s="2728"/>
      <c r="O1537" s="2728"/>
      <c r="P1537" s="2728"/>
      <c r="Q1537" s="2748"/>
      <c r="R1537" s="2748"/>
      <c r="S1537" s="2748"/>
      <c r="T1537" s="2748"/>
      <c r="U1537" s="2748"/>
      <c r="V1537" s="2748"/>
      <c r="W1537" s="2748"/>
      <c r="X1537" s="2748"/>
      <c r="Y1537" s="2748"/>
      <c r="Z1537" s="2748"/>
      <c r="AA1537" s="2748"/>
      <c r="AB1537" s="2748"/>
      <c r="AC1537" s="2748"/>
      <c r="AD1537" s="2748"/>
      <c r="AE1537" s="2748"/>
      <c r="AF1537" s="2748"/>
      <c r="AG1537" s="2748"/>
      <c r="AH1537" s="2748"/>
      <c r="AI1537" s="2748"/>
      <c r="AK1537" s="2748"/>
      <c r="AL1537" s="2748"/>
      <c r="AN1537" s="2748"/>
      <c r="AO1537" s="2748"/>
      <c r="AP1537" s="2748"/>
    </row>
    <row r="1538" spans="2:42" ht="18" customHeight="1">
      <c r="B1538" s="2728"/>
      <c r="C1538" s="2728"/>
      <c r="D1538" s="2728"/>
      <c r="E1538" s="2728"/>
      <c r="G1538" s="2512"/>
      <c r="I1538" s="2748"/>
      <c r="J1538" s="2728"/>
      <c r="L1538" s="2728"/>
      <c r="M1538" s="2748"/>
      <c r="N1538" s="2728"/>
      <c r="O1538" s="2728"/>
      <c r="P1538" s="2728"/>
      <c r="Q1538" s="2748"/>
      <c r="R1538" s="2748"/>
      <c r="S1538" s="2748"/>
      <c r="T1538" s="2748"/>
      <c r="U1538" s="2748"/>
      <c r="V1538" s="2748"/>
      <c r="W1538" s="2748"/>
      <c r="X1538" s="2748"/>
      <c r="Y1538" s="2748"/>
      <c r="Z1538" s="2748"/>
      <c r="AA1538" s="2748"/>
      <c r="AB1538" s="2748"/>
      <c r="AC1538" s="2748"/>
      <c r="AD1538" s="2748"/>
      <c r="AE1538" s="2748"/>
      <c r="AF1538" s="2748"/>
      <c r="AG1538" s="2748"/>
      <c r="AH1538" s="2748"/>
      <c r="AI1538" s="2748"/>
      <c r="AK1538" s="2748"/>
      <c r="AL1538" s="2748"/>
      <c r="AN1538" s="2748"/>
      <c r="AO1538" s="2748"/>
      <c r="AP1538" s="2748"/>
    </row>
    <row r="1539" spans="2:42" ht="18" customHeight="1">
      <c r="B1539" s="2728"/>
      <c r="C1539" s="2728"/>
      <c r="D1539" s="2728"/>
      <c r="E1539" s="2728"/>
      <c r="G1539" s="2512"/>
      <c r="I1539" s="2748"/>
      <c r="J1539" s="2728"/>
      <c r="L1539" s="2728"/>
      <c r="M1539" s="2748"/>
      <c r="N1539" s="2728"/>
      <c r="O1539" s="2728"/>
      <c r="P1539" s="2728"/>
      <c r="Q1539" s="2748"/>
      <c r="R1539" s="2748"/>
      <c r="S1539" s="2748"/>
      <c r="T1539" s="2748"/>
      <c r="U1539" s="2748"/>
      <c r="V1539" s="2748"/>
      <c r="W1539" s="2748"/>
      <c r="X1539" s="2748"/>
      <c r="Y1539" s="2748"/>
      <c r="Z1539" s="2748"/>
      <c r="AA1539" s="2748"/>
      <c r="AB1539" s="2748"/>
      <c r="AC1539" s="2748"/>
      <c r="AD1539" s="2748"/>
      <c r="AE1539" s="2748"/>
      <c r="AF1539" s="2748"/>
      <c r="AG1539" s="2748"/>
      <c r="AH1539" s="2748"/>
      <c r="AI1539" s="2748"/>
      <c r="AK1539" s="2748"/>
      <c r="AL1539" s="2748"/>
      <c r="AN1539" s="2748"/>
      <c r="AO1539" s="2748"/>
      <c r="AP1539" s="2748"/>
    </row>
    <row r="1540" spans="2:42" ht="18" customHeight="1">
      <c r="B1540" s="2728"/>
      <c r="C1540" s="2728"/>
      <c r="D1540" s="2728"/>
      <c r="E1540" s="2728"/>
      <c r="G1540" s="2512"/>
      <c r="I1540" s="2748"/>
      <c r="J1540" s="2728"/>
      <c r="L1540" s="2728"/>
      <c r="M1540" s="2748"/>
      <c r="N1540" s="2728"/>
      <c r="O1540" s="2728"/>
      <c r="P1540" s="2728"/>
      <c r="Q1540" s="2748"/>
      <c r="R1540" s="2748"/>
      <c r="S1540" s="2748"/>
      <c r="T1540" s="2748"/>
      <c r="U1540" s="2748"/>
      <c r="V1540" s="2748"/>
      <c r="W1540" s="2748"/>
      <c r="X1540" s="2748"/>
      <c r="Y1540" s="2748"/>
      <c r="Z1540" s="2748"/>
      <c r="AA1540" s="2748"/>
      <c r="AB1540" s="2748"/>
      <c r="AC1540" s="2748"/>
      <c r="AD1540" s="2748"/>
      <c r="AE1540" s="2748"/>
      <c r="AF1540" s="2748"/>
      <c r="AG1540" s="2748"/>
      <c r="AH1540" s="2748"/>
      <c r="AI1540" s="2748"/>
      <c r="AK1540" s="2748"/>
      <c r="AL1540" s="2748"/>
      <c r="AN1540" s="2748"/>
      <c r="AO1540" s="2748"/>
      <c r="AP1540" s="2748"/>
    </row>
    <row r="1541" spans="2:42" ht="18" customHeight="1">
      <c r="B1541" s="2728"/>
      <c r="C1541" s="2728"/>
      <c r="D1541" s="2728"/>
      <c r="E1541" s="2728"/>
      <c r="G1541" s="2512"/>
      <c r="I1541" s="2748"/>
      <c r="J1541" s="2728"/>
      <c r="L1541" s="2728"/>
      <c r="M1541" s="2748"/>
      <c r="N1541" s="2728"/>
      <c r="O1541" s="2728"/>
      <c r="P1541" s="2728"/>
      <c r="Q1541" s="2748"/>
      <c r="R1541" s="2748"/>
      <c r="S1541" s="2748"/>
      <c r="T1541" s="2748"/>
      <c r="U1541" s="2748"/>
      <c r="V1541" s="2748"/>
      <c r="W1541" s="2748"/>
      <c r="X1541" s="2748"/>
      <c r="Y1541" s="2748"/>
      <c r="Z1541" s="2748"/>
      <c r="AA1541" s="2748"/>
      <c r="AB1541" s="2748"/>
      <c r="AC1541" s="2748"/>
      <c r="AD1541" s="2748"/>
      <c r="AE1541" s="2748"/>
      <c r="AF1541" s="2748"/>
      <c r="AG1541" s="2748"/>
      <c r="AH1541" s="2748"/>
      <c r="AI1541" s="2748"/>
      <c r="AK1541" s="2748"/>
      <c r="AL1541" s="2748"/>
      <c r="AN1541" s="2748"/>
      <c r="AO1541" s="2748"/>
      <c r="AP1541" s="2748"/>
    </row>
    <row r="1542" spans="2:42" ht="18" customHeight="1">
      <c r="B1542" s="2728"/>
      <c r="C1542" s="2728"/>
      <c r="D1542" s="2728"/>
      <c r="E1542" s="2728"/>
      <c r="G1542" s="2512"/>
      <c r="I1542" s="2748"/>
      <c r="J1542" s="2728"/>
      <c r="L1542" s="2728"/>
      <c r="M1542" s="2748"/>
      <c r="N1542" s="2728"/>
      <c r="O1542" s="2728"/>
      <c r="P1542" s="2728"/>
      <c r="Q1542" s="2748"/>
      <c r="R1542" s="2748"/>
      <c r="S1542" s="2748"/>
      <c r="T1542" s="2748"/>
      <c r="U1542" s="2748"/>
      <c r="V1542" s="2748"/>
      <c r="W1542" s="2748"/>
      <c r="X1542" s="2748"/>
      <c r="Y1542" s="2748"/>
      <c r="Z1542" s="2748"/>
      <c r="AA1542" s="2748"/>
      <c r="AB1542" s="2748"/>
      <c r="AC1542" s="2748"/>
      <c r="AD1542" s="2748"/>
      <c r="AE1542" s="2748"/>
      <c r="AF1542" s="2748"/>
      <c r="AG1542" s="2748"/>
      <c r="AH1542" s="2748"/>
      <c r="AI1542" s="2748"/>
      <c r="AK1542" s="2748"/>
      <c r="AL1542" s="2748"/>
      <c r="AN1542" s="2748"/>
      <c r="AO1542" s="2748"/>
      <c r="AP1542" s="2748"/>
    </row>
    <row r="1543" spans="2:42" ht="18" customHeight="1">
      <c r="B1543" s="2728"/>
      <c r="C1543" s="2728"/>
      <c r="D1543" s="2728"/>
      <c r="E1543" s="2728"/>
      <c r="G1543" s="2512"/>
      <c r="I1543" s="2748"/>
      <c r="J1543" s="2728"/>
      <c r="L1543" s="2728"/>
      <c r="M1543" s="2748"/>
      <c r="N1543" s="2728"/>
      <c r="O1543" s="2728"/>
      <c r="P1543" s="2728"/>
      <c r="Q1543" s="2748"/>
      <c r="R1543" s="2748"/>
      <c r="S1543" s="2748"/>
      <c r="T1543" s="2748"/>
      <c r="U1543" s="2748"/>
      <c r="V1543" s="2748"/>
      <c r="W1543" s="2748"/>
      <c r="X1543" s="2748"/>
      <c r="Y1543" s="2748"/>
      <c r="Z1543" s="2748"/>
      <c r="AA1543" s="2748"/>
      <c r="AB1543" s="2748"/>
      <c r="AC1543" s="2748"/>
      <c r="AD1543" s="2748"/>
      <c r="AE1543" s="2748"/>
      <c r="AF1543" s="2748"/>
      <c r="AG1543" s="2748"/>
      <c r="AH1543" s="2748"/>
      <c r="AI1543" s="2748"/>
      <c r="AK1543" s="2748"/>
      <c r="AL1543" s="2748"/>
      <c r="AN1543" s="2748"/>
      <c r="AO1543" s="2748"/>
      <c r="AP1543" s="2748"/>
    </row>
    <row r="1544" spans="2:42" ht="18" customHeight="1">
      <c r="B1544" s="2728"/>
      <c r="C1544" s="2728"/>
      <c r="D1544" s="2728"/>
      <c r="E1544" s="2728"/>
      <c r="G1544" s="2512"/>
      <c r="I1544" s="2748"/>
      <c r="J1544" s="2728"/>
      <c r="L1544" s="2728"/>
      <c r="M1544" s="2748"/>
      <c r="N1544" s="2728"/>
      <c r="O1544" s="2728"/>
      <c r="P1544" s="2728"/>
      <c r="Q1544" s="2748"/>
      <c r="R1544" s="2748"/>
      <c r="S1544" s="2748"/>
      <c r="T1544" s="2748"/>
      <c r="U1544" s="2748"/>
      <c r="V1544" s="2748"/>
      <c r="W1544" s="2748"/>
      <c r="X1544" s="2748"/>
      <c r="Y1544" s="2748"/>
      <c r="Z1544" s="2748"/>
      <c r="AA1544" s="2748"/>
      <c r="AB1544" s="2748"/>
      <c r="AC1544" s="2748"/>
      <c r="AD1544" s="2748"/>
      <c r="AE1544" s="2748"/>
      <c r="AF1544" s="2748"/>
      <c r="AG1544" s="2748"/>
      <c r="AH1544" s="2748"/>
      <c r="AI1544" s="2748"/>
      <c r="AK1544" s="2748"/>
      <c r="AL1544" s="2748"/>
      <c r="AN1544" s="2748"/>
      <c r="AO1544" s="2748"/>
      <c r="AP1544" s="2748"/>
    </row>
    <row r="1545" spans="2:42" ht="18" customHeight="1">
      <c r="B1545" s="2728"/>
      <c r="C1545" s="2728"/>
      <c r="D1545" s="2728"/>
      <c r="E1545" s="2728"/>
      <c r="G1545" s="2512"/>
      <c r="I1545" s="2748"/>
      <c r="J1545" s="2728"/>
      <c r="L1545" s="2728"/>
      <c r="M1545" s="2748"/>
      <c r="N1545" s="2728"/>
      <c r="O1545" s="2728"/>
      <c r="P1545" s="2728"/>
      <c r="Q1545" s="2748"/>
      <c r="R1545" s="2748"/>
      <c r="S1545" s="2748"/>
      <c r="T1545" s="2748"/>
      <c r="U1545" s="2748"/>
      <c r="V1545" s="2748"/>
      <c r="W1545" s="2748"/>
      <c r="X1545" s="2748"/>
      <c r="Y1545" s="2748"/>
      <c r="Z1545" s="2748"/>
      <c r="AA1545" s="2748"/>
      <c r="AB1545" s="2748"/>
      <c r="AC1545" s="2748"/>
      <c r="AD1545" s="2748"/>
      <c r="AE1545" s="2748"/>
      <c r="AF1545" s="2748"/>
      <c r="AG1545" s="2748"/>
      <c r="AH1545" s="2748"/>
      <c r="AI1545" s="2748"/>
      <c r="AK1545" s="2748"/>
      <c r="AL1545" s="2748"/>
      <c r="AN1545" s="2748"/>
      <c r="AO1545" s="2748"/>
      <c r="AP1545" s="2748"/>
    </row>
    <row r="1546" spans="2:42" ht="18" customHeight="1">
      <c r="B1546" s="2728"/>
      <c r="C1546" s="2728"/>
      <c r="D1546" s="2728"/>
      <c r="E1546" s="2728"/>
      <c r="G1546" s="2512"/>
      <c r="I1546" s="2748"/>
      <c r="J1546" s="2728"/>
      <c r="L1546" s="2728"/>
      <c r="M1546" s="2748"/>
      <c r="N1546" s="2728"/>
      <c r="O1546" s="2728"/>
      <c r="P1546" s="2728"/>
      <c r="Q1546" s="2748"/>
      <c r="R1546" s="2748"/>
      <c r="S1546" s="2748"/>
      <c r="T1546" s="2748"/>
      <c r="U1546" s="2748"/>
      <c r="V1546" s="2748"/>
      <c r="W1546" s="2748"/>
      <c r="X1546" s="2748"/>
      <c r="Y1546" s="2748"/>
      <c r="Z1546" s="2748"/>
      <c r="AA1546" s="2748"/>
      <c r="AB1546" s="2748"/>
      <c r="AC1546" s="2748"/>
      <c r="AD1546" s="2748"/>
      <c r="AE1546" s="2748"/>
      <c r="AF1546" s="2748"/>
      <c r="AG1546" s="2748"/>
      <c r="AH1546" s="2748"/>
      <c r="AI1546" s="2748"/>
      <c r="AK1546" s="2748"/>
      <c r="AL1546" s="2748"/>
      <c r="AN1546" s="2748"/>
      <c r="AO1546" s="2748"/>
      <c r="AP1546" s="2748"/>
    </row>
    <row r="1547" spans="2:42" ht="18" customHeight="1">
      <c r="B1547" s="2728"/>
      <c r="C1547" s="2728"/>
      <c r="D1547" s="2728"/>
      <c r="E1547" s="2728"/>
      <c r="G1547" s="2512"/>
      <c r="I1547" s="2748"/>
      <c r="J1547" s="2728"/>
      <c r="L1547" s="2728"/>
      <c r="M1547" s="2748"/>
      <c r="N1547" s="2728"/>
      <c r="O1547" s="2728"/>
      <c r="P1547" s="2728"/>
      <c r="Q1547" s="2748"/>
      <c r="R1547" s="2748"/>
      <c r="S1547" s="2748"/>
      <c r="T1547" s="2748"/>
      <c r="U1547" s="2748"/>
      <c r="V1547" s="2748"/>
      <c r="W1547" s="2748"/>
      <c r="X1547" s="2748"/>
      <c r="Y1547" s="2748"/>
      <c r="Z1547" s="2748"/>
      <c r="AA1547" s="2748"/>
      <c r="AB1547" s="2748"/>
      <c r="AC1547" s="2748"/>
      <c r="AD1547" s="2748"/>
      <c r="AE1547" s="2748"/>
      <c r="AF1547" s="2748"/>
      <c r="AG1547" s="2748"/>
      <c r="AH1547" s="2748"/>
      <c r="AI1547" s="2748"/>
      <c r="AK1547" s="2748"/>
      <c r="AL1547" s="2748"/>
      <c r="AN1547" s="2748"/>
      <c r="AO1547" s="2748"/>
      <c r="AP1547" s="2748"/>
    </row>
    <row r="1548" spans="2:42" ht="18" customHeight="1">
      <c r="B1548" s="2728"/>
      <c r="C1548" s="2728"/>
      <c r="D1548" s="2728"/>
      <c r="E1548" s="2728"/>
      <c r="G1548" s="2512"/>
      <c r="I1548" s="2748"/>
      <c r="J1548" s="2728"/>
      <c r="L1548" s="2728"/>
      <c r="M1548" s="2748"/>
      <c r="N1548" s="2728"/>
      <c r="O1548" s="2728"/>
      <c r="P1548" s="2728"/>
      <c r="Q1548" s="2748"/>
      <c r="R1548" s="2748"/>
      <c r="S1548" s="2748"/>
      <c r="T1548" s="2748"/>
      <c r="U1548" s="2748"/>
      <c r="V1548" s="2748"/>
      <c r="W1548" s="2748"/>
      <c r="X1548" s="2748"/>
      <c r="Y1548" s="2748"/>
      <c r="Z1548" s="2748"/>
      <c r="AA1548" s="2748"/>
      <c r="AB1548" s="2748"/>
      <c r="AC1548" s="2748"/>
      <c r="AD1548" s="2748"/>
      <c r="AE1548" s="2748"/>
      <c r="AF1548" s="2748"/>
      <c r="AG1548" s="2748"/>
      <c r="AH1548" s="2748"/>
      <c r="AI1548" s="2748"/>
      <c r="AK1548" s="2748"/>
      <c r="AL1548" s="2748"/>
      <c r="AN1548" s="2748"/>
      <c r="AO1548" s="2748"/>
      <c r="AP1548" s="2748"/>
    </row>
    <row r="1549" spans="2:42" ht="18" customHeight="1">
      <c r="B1549" s="2728"/>
      <c r="C1549" s="2728"/>
      <c r="D1549" s="2728"/>
      <c r="E1549" s="2728"/>
      <c r="G1549" s="2512"/>
      <c r="I1549" s="2748"/>
      <c r="J1549" s="2728"/>
      <c r="L1549" s="2728"/>
      <c r="M1549" s="2748"/>
      <c r="N1549" s="2728"/>
      <c r="O1549" s="2728"/>
      <c r="P1549" s="2728"/>
      <c r="Q1549" s="2748"/>
      <c r="R1549" s="2748"/>
      <c r="S1549" s="2748"/>
      <c r="T1549" s="2748"/>
      <c r="U1549" s="2748"/>
      <c r="V1549" s="2748"/>
      <c r="W1549" s="2748"/>
      <c r="X1549" s="2748"/>
      <c r="Y1549" s="2748"/>
      <c r="Z1549" s="2748"/>
      <c r="AA1549" s="2748"/>
      <c r="AB1549" s="2748"/>
      <c r="AC1549" s="2748"/>
      <c r="AD1549" s="2748"/>
      <c r="AE1549" s="2748"/>
      <c r="AF1549" s="2748"/>
      <c r="AG1549" s="2748"/>
      <c r="AH1549" s="2748"/>
      <c r="AI1549" s="2748"/>
      <c r="AK1549" s="2748"/>
      <c r="AL1549" s="2748"/>
      <c r="AN1549" s="2748"/>
      <c r="AO1549" s="2748"/>
      <c r="AP1549" s="2748"/>
    </row>
    <row r="1550" spans="2:42" ht="18" customHeight="1">
      <c r="B1550" s="2728"/>
      <c r="C1550" s="2728"/>
      <c r="D1550" s="2728"/>
      <c r="E1550" s="2728"/>
      <c r="G1550" s="2512"/>
      <c r="I1550" s="2748"/>
      <c r="J1550" s="2728"/>
      <c r="L1550" s="2728"/>
      <c r="M1550" s="2748"/>
      <c r="N1550" s="2728"/>
      <c r="O1550" s="2728"/>
      <c r="P1550" s="2728"/>
      <c r="Q1550" s="2748"/>
      <c r="R1550" s="2748"/>
      <c r="S1550" s="2748"/>
      <c r="T1550" s="2748"/>
      <c r="U1550" s="2748"/>
      <c r="V1550" s="2748"/>
      <c r="W1550" s="2748"/>
      <c r="X1550" s="2748"/>
      <c r="Y1550" s="2748"/>
      <c r="Z1550" s="2748"/>
      <c r="AA1550" s="2748"/>
      <c r="AB1550" s="2748"/>
      <c r="AC1550" s="2748"/>
      <c r="AD1550" s="2748"/>
      <c r="AE1550" s="2748"/>
      <c r="AF1550" s="2748"/>
      <c r="AG1550" s="2748"/>
      <c r="AH1550" s="2748"/>
      <c r="AI1550" s="2748"/>
      <c r="AK1550" s="2748"/>
      <c r="AL1550" s="2748"/>
      <c r="AN1550" s="2748"/>
      <c r="AO1550" s="2748"/>
      <c r="AP1550" s="2748"/>
    </row>
    <row r="1551" spans="2:42" ht="18" customHeight="1">
      <c r="B1551" s="2728"/>
      <c r="C1551" s="2728"/>
      <c r="D1551" s="2728"/>
      <c r="E1551" s="2728"/>
      <c r="G1551" s="2512"/>
      <c r="I1551" s="2748"/>
      <c r="J1551" s="2728"/>
      <c r="L1551" s="2728"/>
      <c r="M1551" s="2748"/>
      <c r="N1551" s="2728"/>
      <c r="O1551" s="2728"/>
      <c r="P1551" s="2728"/>
      <c r="Q1551" s="2748"/>
      <c r="R1551" s="2748"/>
      <c r="S1551" s="2748"/>
      <c r="T1551" s="2748"/>
      <c r="U1551" s="2748"/>
      <c r="V1551" s="2748"/>
      <c r="W1551" s="2748"/>
      <c r="X1551" s="2748"/>
      <c r="Y1551" s="2748"/>
      <c r="Z1551" s="2748"/>
      <c r="AA1551" s="2748"/>
      <c r="AB1551" s="2748"/>
      <c r="AC1551" s="2748"/>
      <c r="AD1551" s="2748"/>
      <c r="AE1551" s="2748"/>
      <c r="AF1551" s="2748"/>
      <c r="AG1551" s="2748"/>
      <c r="AH1551" s="2748"/>
      <c r="AI1551" s="2748"/>
      <c r="AK1551" s="2748"/>
      <c r="AL1551" s="2748"/>
      <c r="AN1551" s="2748"/>
      <c r="AO1551" s="2748"/>
      <c r="AP1551" s="2748"/>
    </row>
    <row r="1552" spans="2:42" ht="18" customHeight="1">
      <c r="B1552" s="2728"/>
      <c r="C1552" s="2728"/>
      <c r="D1552" s="2728"/>
      <c r="E1552" s="2728"/>
      <c r="G1552" s="2512"/>
      <c r="I1552" s="2748"/>
      <c r="J1552" s="2728"/>
      <c r="L1552" s="2728"/>
      <c r="M1552" s="2748"/>
      <c r="N1552" s="2728"/>
      <c r="O1552" s="2728"/>
      <c r="P1552" s="2728"/>
      <c r="Q1552" s="2748"/>
      <c r="R1552" s="2748"/>
      <c r="S1552" s="2748"/>
      <c r="T1552" s="2748"/>
      <c r="U1552" s="2748"/>
      <c r="V1552" s="2748"/>
      <c r="W1552" s="2748"/>
      <c r="X1552" s="2748"/>
      <c r="Y1552" s="2748"/>
      <c r="Z1552" s="2748"/>
      <c r="AA1552" s="2748"/>
      <c r="AB1552" s="2748"/>
      <c r="AC1552" s="2748"/>
      <c r="AD1552" s="2748"/>
      <c r="AE1552" s="2748"/>
      <c r="AF1552" s="2748"/>
      <c r="AG1552" s="2748"/>
      <c r="AH1552" s="2748"/>
      <c r="AI1552" s="2748"/>
      <c r="AK1552" s="2748"/>
      <c r="AL1552" s="2748"/>
      <c r="AN1552" s="2748"/>
      <c r="AO1552" s="2748"/>
      <c r="AP1552" s="2748"/>
    </row>
    <row r="1553" spans="2:42" ht="18" customHeight="1">
      <c r="B1553" s="2728"/>
      <c r="C1553" s="2728"/>
      <c r="D1553" s="2728"/>
      <c r="E1553" s="2728"/>
      <c r="G1553" s="2512"/>
      <c r="I1553" s="2748"/>
      <c r="J1553" s="2728"/>
      <c r="L1553" s="2728"/>
      <c r="M1553" s="2748"/>
      <c r="N1553" s="2728"/>
      <c r="O1553" s="2728"/>
      <c r="P1553" s="2728"/>
      <c r="Q1553" s="2748"/>
      <c r="R1553" s="2748"/>
      <c r="S1553" s="2748"/>
      <c r="T1553" s="2748"/>
      <c r="U1553" s="2748"/>
      <c r="V1553" s="2748"/>
      <c r="W1553" s="2748"/>
      <c r="X1553" s="2748"/>
      <c r="Y1553" s="2748"/>
      <c r="Z1553" s="2748"/>
      <c r="AA1553" s="2748"/>
      <c r="AB1553" s="2748"/>
      <c r="AC1553" s="2748"/>
      <c r="AD1553" s="2748"/>
      <c r="AE1553" s="2748"/>
      <c r="AF1553" s="2748"/>
      <c r="AG1553" s="2748"/>
      <c r="AH1553" s="2748"/>
      <c r="AI1553" s="2748"/>
      <c r="AK1553" s="2748"/>
      <c r="AL1553" s="2748"/>
      <c r="AN1553" s="2748"/>
      <c r="AO1553" s="2748"/>
      <c r="AP1553" s="2748"/>
    </row>
    <row r="1554" spans="2:42" ht="18" customHeight="1">
      <c r="B1554" s="2728"/>
      <c r="C1554" s="2728"/>
      <c r="D1554" s="2728"/>
      <c r="E1554" s="2728"/>
      <c r="G1554" s="2512"/>
      <c r="I1554" s="2748"/>
      <c r="J1554" s="2728"/>
      <c r="L1554" s="2728"/>
      <c r="M1554" s="2748"/>
      <c r="N1554" s="2728"/>
      <c r="O1554" s="2728"/>
      <c r="P1554" s="2728"/>
      <c r="Q1554" s="2748"/>
      <c r="R1554" s="2748"/>
      <c r="S1554" s="2748"/>
      <c r="T1554" s="2748"/>
      <c r="U1554" s="2748"/>
      <c r="V1554" s="2748"/>
      <c r="W1554" s="2748"/>
      <c r="X1554" s="2748"/>
      <c r="Y1554" s="2748"/>
      <c r="Z1554" s="2748"/>
      <c r="AA1554" s="2748"/>
      <c r="AB1554" s="2748"/>
      <c r="AC1554" s="2748"/>
      <c r="AD1554" s="2748"/>
      <c r="AE1554" s="2748"/>
      <c r="AF1554" s="2748"/>
      <c r="AG1554" s="2748"/>
      <c r="AH1554" s="2748"/>
      <c r="AI1554" s="2748"/>
      <c r="AK1554" s="2748"/>
      <c r="AL1554" s="2748"/>
      <c r="AN1554" s="2748"/>
      <c r="AO1554" s="2748"/>
      <c r="AP1554" s="2748"/>
    </row>
    <row r="1555" spans="2:42" ht="18" customHeight="1">
      <c r="B1555" s="2728"/>
      <c r="C1555" s="2728"/>
      <c r="D1555" s="2728"/>
      <c r="E1555" s="2728"/>
      <c r="G1555" s="2512"/>
      <c r="I1555" s="2748"/>
      <c r="J1555" s="2728"/>
      <c r="L1555" s="2728"/>
      <c r="M1555" s="2748"/>
      <c r="N1555" s="2728"/>
      <c r="O1555" s="2728"/>
      <c r="P1555" s="2728"/>
      <c r="Q1555" s="2748"/>
      <c r="R1555" s="2748"/>
      <c r="S1555" s="2748"/>
      <c r="T1555" s="2748"/>
      <c r="U1555" s="2748"/>
      <c r="V1555" s="2748"/>
      <c r="W1555" s="2748"/>
      <c r="X1555" s="2748"/>
      <c r="Y1555" s="2748"/>
      <c r="Z1555" s="2748"/>
      <c r="AA1555" s="2748"/>
      <c r="AB1555" s="2748"/>
      <c r="AC1555" s="2748"/>
      <c r="AD1555" s="2748"/>
      <c r="AE1555" s="2748"/>
      <c r="AF1555" s="2748"/>
      <c r="AG1555" s="2748"/>
      <c r="AH1555" s="2748"/>
      <c r="AI1555" s="2748"/>
      <c r="AK1555" s="2748"/>
      <c r="AL1555" s="2748"/>
      <c r="AN1555" s="2748"/>
      <c r="AO1555" s="2748"/>
      <c r="AP1555" s="2748"/>
    </row>
    <row r="1556" spans="2:42" ht="18" customHeight="1">
      <c r="B1556" s="2728"/>
      <c r="C1556" s="2728"/>
      <c r="D1556" s="2728"/>
      <c r="E1556" s="2728"/>
      <c r="G1556" s="2512"/>
      <c r="I1556" s="2748"/>
      <c r="J1556" s="2728"/>
      <c r="L1556" s="2728"/>
      <c r="M1556" s="2748"/>
      <c r="N1556" s="2728"/>
      <c r="O1556" s="2728"/>
      <c r="P1556" s="2728"/>
      <c r="Q1556" s="2748"/>
      <c r="R1556" s="2748"/>
      <c r="S1556" s="2748"/>
      <c r="T1556" s="2748"/>
      <c r="U1556" s="2748"/>
      <c r="V1556" s="2748"/>
      <c r="W1556" s="2748"/>
      <c r="X1556" s="2748"/>
      <c r="Y1556" s="2748"/>
      <c r="Z1556" s="2748"/>
      <c r="AA1556" s="2748"/>
      <c r="AB1556" s="2748"/>
      <c r="AC1556" s="2748"/>
      <c r="AD1556" s="2748"/>
      <c r="AE1556" s="2748"/>
      <c r="AF1556" s="2748"/>
      <c r="AG1556" s="2748"/>
      <c r="AH1556" s="2748"/>
      <c r="AI1556" s="2748"/>
      <c r="AK1556" s="2748"/>
      <c r="AL1556" s="2748"/>
      <c r="AN1556" s="2748"/>
      <c r="AO1556" s="2748"/>
      <c r="AP1556" s="2748"/>
    </row>
    <row r="1557" spans="2:42" ht="18" customHeight="1">
      <c r="B1557" s="2728"/>
      <c r="C1557" s="2728"/>
      <c r="D1557" s="2728"/>
      <c r="E1557" s="2728"/>
      <c r="G1557" s="2512"/>
      <c r="I1557" s="2748"/>
      <c r="J1557" s="2728"/>
      <c r="L1557" s="2728"/>
      <c r="M1557" s="2748"/>
      <c r="N1557" s="2728"/>
      <c r="O1557" s="2728"/>
      <c r="P1557" s="2728"/>
      <c r="Q1557" s="2748"/>
      <c r="R1557" s="2748"/>
      <c r="S1557" s="2748"/>
      <c r="T1557" s="2748"/>
      <c r="U1557" s="2748"/>
      <c r="V1557" s="2748"/>
      <c r="W1557" s="2748"/>
      <c r="X1557" s="2748"/>
      <c r="Y1557" s="2748"/>
      <c r="Z1557" s="2748"/>
      <c r="AA1557" s="2748"/>
      <c r="AB1557" s="2748"/>
      <c r="AC1557" s="2748"/>
      <c r="AD1557" s="2748"/>
      <c r="AE1557" s="2748"/>
      <c r="AF1557" s="2748"/>
      <c r="AG1557" s="2748"/>
      <c r="AH1557" s="2748"/>
      <c r="AI1557" s="2748"/>
      <c r="AK1557" s="2748"/>
      <c r="AL1557" s="2748"/>
      <c r="AN1557" s="2748"/>
      <c r="AO1557" s="2748"/>
      <c r="AP1557" s="2748"/>
    </row>
    <row r="1558" spans="2:42" ht="18" customHeight="1">
      <c r="B1558" s="2728"/>
      <c r="C1558" s="2728"/>
      <c r="D1558" s="2728"/>
      <c r="E1558" s="2728"/>
      <c r="G1558" s="2512"/>
      <c r="I1558" s="2748"/>
      <c r="J1558" s="2728"/>
      <c r="L1558" s="2728"/>
      <c r="M1558" s="2748"/>
      <c r="N1558" s="2728"/>
      <c r="O1558" s="2728"/>
      <c r="P1558" s="2728"/>
      <c r="Q1558" s="2748"/>
      <c r="R1558" s="2748"/>
      <c r="S1558" s="2748"/>
      <c r="T1558" s="2748"/>
      <c r="U1558" s="2748"/>
      <c r="V1558" s="2748"/>
      <c r="W1558" s="2748"/>
      <c r="X1558" s="2748"/>
      <c r="Y1558" s="2748"/>
      <c r="Z1558" s="2748"/>
      <c r="AA1558" s="2748"/>
      <c r="AB1558" s="2748"/>
      <c r="AC1558" s="2748"/>
      <c r="AD1558" s="2748"/>
      <c r="AE1558" s="2748"/>
      <c r="AF1558" s="2748"/>
      <c r="AG1558" s="2748"/>
      <c r="AH1558" s="2748"/>
      <c r="AI1558" s="2748"/>
      <c r="AK1558" s="2748"/>
      <c r="AL1558" s="2748"/>
      <c r="AN1558" s="2748"/>
      <c r="AO1558" s="2748"/>
      <c r="AP1558" s="2748"/>
    </row>
    <row r="1559" spans="2:42" ht="18" customHeight="1">
      <c r="B1559" s="2728"/>
      <c r="C1559" s="2728"/>
      <c r="D1559" s="2728"/>
      <c r="E1559" s="2728"/>
      <c r="G1559" s="2512"/>
      <c r="I1559" s="2748"/>
      <c r="J1559" s="2728"/>
      <c r="L1559" s="2728"/>
      <c r="M1559" s="2748"/>
      <c r="N1559" s="2728"/>
      <c r="O1559" s="2728"/>
      <c r="P1559" s="2728"/>
      <c r="Q1559" s="2748"/>
      <c r="R1559" s="2748"/>
      <c r="S1559" s="2748"/>
      <c r="T1559" s="2748"/>
      <c r="U1559" s="2748"/>
      <c r="V1559" s="2748"/>
      <c r="W1559" s="2748"/>
      <c r="X1559" s="2748"/>
      <c r="Y1559" s="2748"/>
      <c r="Z1559" s="2748"/>
      <c r="AA1559" s="2748"/>
      <c r="AB1559" s="2748"/>
      <c r="AC1559" s="2748"/>
      <c r="AD1559" s="2748"/>
      <c r="AE1559" s="2748"/>
      <c r="AF1559" s="2748"/>
      <c r="AG1559" s="2748"/>
      <c r="AH1559" s="2748"/>
      <c r="AI1559" s="2748"/>
      <c r="AK1559" s="2748"/>
      <c r="AL1559" s="2748"/>
      <c r="AN1559" s="2748"/>
      <c r="AO1559" s="2748"/>
      <c r="AP1559" s="2748"/>
    </row>
    <row r="1560" spans="2:42" ht="18" customHeight="1">
      <c r="B1560" s="2728"/>
      <c r="C1560" s="2728"/>
      <c r="D1560" s="2728"/>
      <c r="E1560" s="2728"/>
      <c r="G1560" s="2512"/>
      <c r="I1560" s="2748"/>
      <c r="J1560" s="2728"/>
      <c r="L1560" s="2728"/>
      <c r="M1560" s="2748"/>
      <c r="N1560" s="2728"/>
      <c r="O1560" s="2728"/>
      <c r="P1560" s="2728"/>
      <c r="Q1560" s="2748"/>
      <c r="R1560" s="2748"/>
      <c r="S1560" s="2748"/>
      <c r="T1560" s="2748"/>
      <c r="U1560" s="2748"/>
      <c r="V1560" s="2748"/>
      <c r="W1560" s="2748"/>
      <c r="X1560" s="2748"/>
      <c r="Y1560" s="2748"/>
      <c r="Z1560" s="2748"/>
      <c r="AA1560" s="2748"/>
      <c r="AB1560" s="2748"/>
      <c r="AC1560" s="2748"/>
      <c r="AD1560" s="2748"/>
      <c r="AE1560" s="2748"/>
      <c r="AF1560" s="2748"/>
      <c r="AG1560" s="2748"/>
      <c r="AH1560" s="2748"/>
      <c r="AI1560" s="2748"/>
      <c r="AK1560" s="2748"/>
      <c r="AL1560" s="2748"/>
      <c r="AN1560" s="2748"/>
      <c r="AO1560" s="2748"/>
      <c r="AP1560" s="2748"/>
    </row>
    <row r="1561" spans="2:42" ht="18" customHeight="1">
      <c r="B1561" s="2728"/>
      <c r="C1561" s="2728"/>
      <c r="D1561" s="2728"/>
      <c r="E1561" s="2728"/>
      <c r="G1561" s="2512"/>
      <c r="I1561" s="2748"/>
      <c r="J1561" s="2728"/>
      <c r="L1561" s="2728"/>
      <c r="M1561" s="2748"/>
      <c r="N1561" s="2728"/>
      <c r="O1561" s="2728"/>
      <c r="P1561" s="2728"/>
      <c r="Q1561" s="2748"/>
      <c r="R1561" s="2748"/>
      <c r="S1561" s="2748"/>
      <c r="T1561" s="2748"/>
      <c r="U1561" s="2748"/>
      <c r="V1561" s="2748"/>
      <c r="W1561" s="2748"/>
      <c r="X1561" s="2748"/>
      <c r="Y1561" s="2748"/>
      <c r="Z1561" s="2748"/>
      <c r="AA1561" s="2748"/>
      <c r="AB1561" s="2748"/>
      <c r="AC1561" s="2748"/>
      <c r="AD1561" s="2748"/>
      <c r="AE1561" s="2748"/>
      <c r="AF1561" s="2748"/>
      <c r="AG1561" s="2748"/>
      <c r="AH1561" s="2748"/>
      <c r="AI1561" s="2748"/>
      <c r="AK1561" s="2748"/>
      <c r="AL1561" s="2748"/>
      <c r="AN1561" s="2748"/>
      <c r="AO1561" s="2748"/>
      <c r="AP1561" s="2748"/>
    </row>
    <row r="1562" spans="2:42" ht="18" customHeight="1">
      <c r="B1562" s="2728"/>
      <c r="C1562" s="2728"/>
      <c r="D1562" s="2728"/>
      <c r="E1562" s="2728"/>
      <c r="G1562" s="2512"/>
      <c r="I1562" s="2748"/>
      <c r="J1562" s="2728"/>
      <c r="L1562" s="2728"/>
      <c r="M1562" s="2748"/>
      <c r="N1562" s="2728"/>
      <c r="O1562" s="2728"/>
      <c r="P1562" s="2728"/>
      <c r="Q1562" s="2748"/>
      <c r="R1562" s="2748"/>
      <c r="S1562" s="2748"/>
      <c r="T1562" s="2748"/>
      <c r="U1562" s="2748"/>
      <c r="V1562" s="2748"/>
      <c r="W1562" s="2748"/>
      <c r="X1562" s="2748"/>
      <c r="Y1562" s="2748"/>
      <c r="Z1562" s="2748"/>
      <c r="AA1562" s="2748"/>
      <c r="AB1562" s="2748"/>
      <c r="AC1562" s="2748"/>
      <c r="AD1562" s="2748"/>
      <c r="AE1562" s="2748"/>
      <c r="AF1562" s="2748"/>
      <c r="AG1562" s="2748"/>
      <c r="AH1562" s="2748"/>
      <c r="AI1562" s="2748"/>
      <c r="AK1562" s="2748"/>
      <c r="AL1562" s="2748"/>
      <c r="AN1562" s="2748"/>
      <c r="AO1562" s="2748"/>
      <c r="AP1562" s="2748"/>
    </row>
    <row r="1563" spans="2:42" ht="18" customHeight="1">
      <c r="B1563" s="2728"/>
      <c r="C1563" s="2728"/>
      <c r="D1563" s="2728"/>
      <c r="E1563" s="2728"/>
      <c r="G1563" s="2512"/>
      <c r="I1563" s="2748"/>
      <c r="J1563" s="2728"/>
      <c r="L1563" s="2728"/>
      <c r="M1563" s="2748"/>
      <c r="N1563" s="2728"/>
      <c r="O1563" s="2728"/>
      <c r="P1563" s="2728"/>
      <c r="Q1563" s="2748"/>
      <c r="R1563" s="2748"/>
      <c r="S1563" s="2748"/>
      <c r="T1563" s="2748"/>
      <c r="U1563" s="2748"/>
      <c r="V1563" s="2748"/>
      <c r="W1563" s="2748"/>
      <c r="X1563" s="2748"/>
      <c r="Y1563" s="2748"/>
      <c r="Z1563" s="2748"/>
      <c r="AA1563" s="2748"/>
      <c r="AB1563" s="2748"/>
      <c r="AC1563" s="2748"/>
      <c r="AD1563" s="2748"/>
      <c r="AE1563" s="2748"/>
      <c r="AF1563" s="2748"/>
      <c r="AG1563" s="2748"/>
      <c r="AH1563" s="2748"/>
      <c r="AI1563" s="2748"/>
      <c r="AK1563" s="2748"/>
      <c r="AL1563" s="2748"/>
      <c r="AN1563" s="2748"/>
      <c r="AO1563" s="2748"/>
      <c r="AP1563" s="2748"/>
    </row>
    <row r="1564" spans="2:42" ht="18" customHeight="1">
      <c r="B1564" s="2728"/>
      <c r="C1564" s="2728"/>
      <c r="D1564" s="2728"/>
      <c r="E1564" s="2728"/>
      <c r="G1564" s="2512"/>
      <c r="I1564" s="2748"/>
      <c r="J1564" s="2728"/>
      <c r="L1564" s="2728"/>
      <c r="M1564" s="2748"/>
      <c r="N1564" s="2728"/>
      <c r="O1564" s="2728"/>
      <c r="P1564" s="2728"/>
      <c r="Q1564" s="2748"/>
      <c r="R1564" s="2748"/>
      <c r="S1564" s="2748"/>
      <c r="T1564" s="2748"/>
      <c r="U1564" s="2748"/>
      <c r="V1564" s="2748"/>
      <c r="W1564" s="2748"/>
      <c r="X1564" s="2748"/>
      <c r="Y1564" s="2748"/>
      <c r="Z1564" s="2748"/>
      <c r="AA1564" s="2748"/>
      <c r="AB1564" s="2748"/>
      <c r="AC1564" s="2748"/>
      <c r="AD1564" s="2748"/>
      <c r="AE1564" s="2748"/>
      <c r="AF1564" s="2748"/>
      <c r="AG1564" s="2748"/>
      <c r="AH1564" s="2748"/>
      <c r="AI1564" s="2748"/>
      <c r="AK1564" s="2748"/>
      <c r="AL1564" s="2748"/>
      <c r="AN1564" s="2748"/>
      <c r="AO1564" s="2748"/>
      <c r="AP1564" s="2748"/>
    </row>
    <row r="1565" spans="2:42" ht="18" customHeight="1">
      <c r="B1565" s="2728"/>
      <c r="C1565" s="2728"/>
      <c r="D1565" s="2728"/>
      <c r="E1565" s="2728"/>
      <c r="G1565" s="2512"/>
      <c r="I1565" s="2748"/>
      <c r="J1565" s="2728"/>
      <c r="L1565" s="2728"/>
      <c r="M1565" s="2748"/>
      <c r="N1565" s="2728"/>
      <c r="O1565" s="2728"/>
      <c r="P1565" s="2728"/>
      <c r="Q1565" s="2748"/>
      <c r="R1565" s="2748"/>
      <c r="S1565" s="2748"/>
      <c r="T1565" s="2748"/>
      <c r="U1565" s="2748"/>
      <c r="V1565" s="2748"/>
      <c r="W1565" s="2748"/>
      <c r="X1565" s="2748"/>
      <c r="Y1565" s="2748"/>
      <c r="Z1565" s="2748"/>
      <c r="AA1565" s="2748"/>
      <c r="AB1565" s="2748"/>
      <c r="AC1565" s="2748"/>
      <c r="AD1565" s="2748"/>
      <c r="AE1565" s="2748"/>
      <c r="AF1565" s="2748"/>
      <c r="AG1565" s="2748"/>
      <c r="AH1565" s="2748"/>
      <c r="AI1565" s="2748"/>
      <c r="AK1565" s="2748"/>
      <c r="AL1565" s="2748"/>
      <c r="AN1565" s="2748"/>
      <c r="AO1565" s="2748"/>
      <c r="AP1565" s="2748"/>
    </row>
    <row r="1566" spans="2:42" ht="18" customHeight="1">
      <c r="B1566" s="2728"/>
      <c r="C1566" s="2728"/>
      <c r="D1566" s="2728"/>
      <c r="E1566" s="2728"/>
      <c r="G1566" s="2512"/>
      <c r="I1566" s="2748"/>
      <c r="J1566" s="2728"/>
      <c r="L1566" s="2728"/>
      <c r="M1566" s="2748"/>
      <c r="N1566" s="2728"/>
      <c r="O1566" s="2728"/>
      <c r="P1566" s="2728"/>
      <c r="Q1566" s="2748"/>
      <c r="R1566" s="2748"/>
      <c r="S1566" s="2748"/>
      <c r="T1566" s="2748"/>
      <c r="U1566" s="2748"/>
      <c r="V1566" s="2748"/>
      <c r="W1566" s="2748"/>
      <c r="X1566" s="2748"/>
      <c r="Y1566" s="2748"/>
      <c r="Z1566" s="2748"/>
      <c r="AA1566" s="2748"/>
      <c r="AB1566" s="2748"/>
      <c r="AC1566" s="2748"/>
      <c r="AD1566" s="2748"/>
      <c r="AE1566" s="2748"/>
      <c r="AF1566" s="2748"/>
      <c r="AG1566" s="2748"/>
      <c r="AH1566" s="2748"/>
      <c r="AI1566" s="2748"/>
      <c r="AK1566" s="2748"/>
      <c r="AL1566" s="2748"/>
      <c r="AN1566" s="2748"/>
      <c r="AO1566" s="2748"/>
      <c r="AP1566" s="2748"/>
    </row>
    <row r="1567" spans="2:42" ht="18" customHeight="1">
      <c r="B1567" s="2728"/>
      <c r="C1567" s="2728"/>
      <c r="D1567" s="2728"/>
      <c r="E1567" s="2728"/>
      <c r="G1567" s="2512"/>
      <c r="I1567" s="2748"/>
      <c r="J1567" s="2728"/>
      <c r="L1567" s="2728"/>
      <c r="M1567" s="2748"/>
      <c r="N1567" s="2728"/>
      <c r="O1567" s="2728"/>
      <c r="P1567" s="2728"/>
      <c r="Q1567" s="2748"/>
      <c r="R1567" s="2748"/>
      <c r="S1567" s="2748"/>
      <c r="T1567" s="2748"/>
      <c r="U1567" s="2748"/>
      <c r="V1567" s="2748"/>
      <c r="W1567" s="2748"/>
      <c r="X1567" s="2748"/>
      <c r="Y1567" s="2748"/>
      <c r="Z1567" s="2748"/>
      <c r="AA1567" s="2748"/>
      <c r="AB1567" s="2748"/>
      <c r="AC1567" s="2748"/>
      <c r="AD1567" s="2748"/>
      <c r="AE1567" s="2748"/>
      <c r="AF1567" s="2748"/>
      <c r="AG1567" s="2748"/>
      <c r="AH1567" s="2748"/>
      <c r="AI1567" s="2748"/>
      <c r="AK1567" s="2748"/>
      <c r="AL1567" s="2748"/>
      <c r="AN1567" s="2748"/>
      <c r="AO1567" s="2748"/>
      <c r="AP1567" s="2748"/>
    </row>
    <row r="1568" spans="2:42" ht="18" customHeight="1">
      <c r="B1568" s="2728"/>
      <c r="C1568" s="2728"/>
      <c r="D1568" s="2728"/>
      <c r="E1568" s="2728"/>
      <c r="G1568" s="2512"/>
      <c r="I1568" s="2748"/>
      <c r="J1568" s="2728"/>
      <c r="L1568" s="2728"/>
      <c r="M1568" s="2748"/>
      <c r="N1568" s="2728"/>
      <c r="O1568" s="2728"/>
      <c r="P1568" s="2728"/>
      <c r="Q1568" s="2748"/>
      <c r="R1568" s="2748"/>
      <c r="S1568" s="2748"/>
      <c r="T1568" s="2748"/>
      <c r="U1568" s="2748"/>
      <c r="V1568" s="2748"/>
      <c r="W1568" s="2748"/>
      <c r="X1568" s="2748"/>
      <c r="Y1568" s="2748"/>
      <c r="Z1568" s="2748"/>
      <c r="AA1568" s="2748"/>
      <c r="AB1568" s="2748"/>
      <c r="AC1568" s="2748"/>
      <c r="AD1568" s="2748"/>
      <c r="AE1568" s="2748"/>
      <c r="AF1568" s="2748"/>
      <c r="AG1568" s="2748"/>
      <c r="AH1568" s="2748"/>
      <c r="AI1568" s="2748"/>
      <c r="AK1568" s="2748"/>
      <c r="AL1568" s="2748"/>
      <c r="AN1568" s="2748"/>
      <c r="AO1568" s="2748"/>
      <c r="AP1568" s="2748"/>
    </row>
    <row r="1569" spans="2:42" ht="18" customHeight="1">
      <c r="B1569" s="2728"/>
      <c r="C1569" s="2728"/>
      <c r="D1569" s="2728"/>
      <c r="E1569" s="2728"/>
      <c r="G1569" s="2512"/>
      <c r="I1569" s="2748"/>
      <c r="J1569" s="2728"/>
      <c r="L1569" s="2728"/>
      <c r="M1569" s="2748"/>
      <c r="N1569" s="2728"/>
      <c r="O1569" s="2728"/>
      <c r="P1569" s="2728"/>
      <c r="Q1569" s="2748"/>
      <c r="R1569" s="2748"/>
      <c r="S1569" s="2748"/>
      <c r="T1569" s="2748"/>
      <c r="U1569" s="2748"/>
      <c r="V1569" s="2748"/>
      <c r="W1569" s="2748"/>
      <c r="X1569" s="2748"/>
      <c r="Y1569" s="2748"/>
      <c r="Z1569" s="2748"/>
      <c r="AA1569" s="2748"/>
      <c r="AB1569" s="2748"/>
      <c r="AC1569" s="2748"/>
      <c r="AD1569" s="2748"/>
      <c r="AE1569" s="2748"/>
      <c r="AF1569" s="2748"/>
      <c r="AG1569" s="2748"/>
      <c r="AH1569" s="2748"/>
      <c r="AI1569" s="2748"/>
      <c r="AK1569" s="2748"/>
      <c r="AL1569" s="2748"/>
      <c r="AN1569" s="2748"/>
      <c r="AO1569" s="2748"/>
      <c r="AP1569" s="2748"/>
    </row>
    <row r="1570" spans="2:42" ht="18" customHeight="1">
      <c r="B1570" s="2728"/>
      <c r="C1570" s="2728"/>
      <c r="D1570" s="2728"/>
      <c r="E1570" s="2728"/>
      <c r="G1570" s="2512"/>
      <c r="I1570" s="2748"/>
      <c r="J1570" s="2728"/>
      <c r="L1570" s="2728"/>
      <c r="M1570" s="2748"/>
      <c r="N1570" s="2728"/>
      <c r="O1570" s="2728"/>
      <c r="P1570" s="2728"/>
      <c r="Q1570" s="2748"/>
      <c r="R1570" s="2748"/>
      <c r="S1570" s="2748"/>
      <c r="T1570" s="2748"/>
      <c r="U1570" s="2748"/>
      <c r="V1570" s="2748"/>
      <c r="W1570" s="2748"/>
      <c r="X1570" s="2748"/>
      <c r="Y1570" s="2748"/>
      <c r="Z1570" s="2748"/>
      <c r="AA1570" s="2748"/>
      <c r="AB1570" s="2748"/>
      <c r="AC1570" s="2748"/>
      <c r="AD1570" s="2748"/>
      <c r="AE1570" s="2748"/>
      <c r="AF1570" s="2748"/>
      <c r="AG1570" s="2748"/>
      <c r="AH1570" s="2748"/>
      <c r="AI1570" s="2748"/>
      <c r="AK1570" s="2748"/>
      <c r="AL1570" s="2748"/>
      <c r="AN1570" s="2748"/>
      <c r="AO1570" s="2748"/>
      <c r="AP1570" s="2748"/>
    </row>
    <row r="1571" spans="2:42" ht="18" customHeight="1">
      <c r="B1571" s="2728"/>
      <c r="C1571" s="2728"/>
      <c r="D1571" s="2728"/>
      <c r="E1571" s="2728"/>
      <c r="G1571" s="2512"/>
      <c r="I1571" s="2748"/>
      <c r="J1571" s="2728"/>
      <c r="L1571" s="2728"/>
      <c r="M1571" s="2748"/>
      <c r="N1571" s="2728"/>
      <c r="O1571" s="2728"/>
      <c r="P1571" s="2728"/>
      <c r="Q1571" s="2748"/>
      <c r="R1571" s="2748"/>
      <c r="S1571" s="2748"/>
      <c r="T1571" s="2748"/>
      <c r="U1571" s="2748"/>
      <c r="V1571" s="2748"/>
      <c r="W1571" s="2748"/>
      <c r="X1571" s="2748"/>
      <c r="Y1571" s="2748"/>
      <c r="Z1571" s="2748"/>
      <c r="AA1571" s="2748"/>
      <c r="AB1571" s="2748"/>
      <c r="AC1571" s="2748"/>
      <c r="AD1571" s="2748"/>
      <c r="AE1571" s="2748"/>
      <c r="AF1571" s="2748"/>
      <c r="AG1571" s="2748"/>
      <c r="AH1571" s="2748"/>
      <c r="AI1571" s="2748"/>
      <c r="AK1571" s="2748"/>
      <c r="AL1571" s="2748"/>
      <c r="AN1571" s="2748"/>
      <c r="AO1571" s="2748"/>
      <c r="AP1571" s="2748"/>
    </row>
    <row r="1572" spans="2:42" ht="18" customHeight="1">
      <c r="B1572" s="2728"/>
      <c r="C1572" s="2728"/>
      <c r="D1572" s="2728"/>
      <c r="E1572" s="2728"/>
      <c r="G1572" s="2512"/>
      <c r="I1572" s="2748"/>
      <c r="J1572" s="2728"/>
      <c r="L1572" s="2728"/>
      <c r="M1572" s="2748"/>
      <c r="N1572" s="2728"/>
      <c r="O1572" s="2728"/>
      <c r="P1572" s="2728"/>
      <c r="Q1572" s="2748"/>
      <c r="R1572" s="2748"/>
      <c r="S1572" s="2748"/>
      <c r="T1572" s="2748"/>
      <c r="U1572" s="2748"/>
      <c r="V1572" s="2748"/>
      <c r="W1572" s="2748"/>
      <c r="X1572" s="2748"/>
      <c r="Y1572" s="2748"/>
      <c r="Z1572" s="2748"/>
      <c r="AA1572" s="2748"/>
      <c r="AB1572" s="2748"/>
      <c r="AC1572" s="2748"/>
      <c r="AD1572" s="2748"/>
      <c r="AE1572" s="2748"/>
      <c r="AF1572" s="2748"/>
      <c r="AG1572" s="2748"/>
      <c r="AH1572" s="2748"/>
      <c r="AI1572" s="2748"/>
      <c r="AK1572" s="2748"/>
      <c r="AL1572" s="2748"/>
      <c r="AN1572" s="2748"/>
      <c r="AO1572" s="2748"/>
      <c r="AP1572" s="2748"/>
    </row>
    <row r="1573" spans="2:42" ht="18" customHeight="1">
      <c r="B1573" s="2728"/>
      <c r="C1573" s="2728"/>
      <c r="D1573" s="2728"/>
      <c r="E1573" s="2728"/>
      <c r="G1573" s="2512"/>
      <c r="I1573" s="2748"/>
      <c r="J1573" s="2728"/>
      <c r="L1573" s="2728"/>
      <c r="M1573" s="2748"/>
      <c r="N1573" s="2728"/>
      <c r="O1573" s="2728"/>
      <c r="P1573" s="2728"/>
      <c r="Q1573" s="2748"/>
      <c r="R1573" s="2748"/>
      <c r="S1573" s="2748"/>
      <c r="T1573" s="2748"/>
      <c r="U1573" s="2748"/>
      <c r="V1573" s="2748"/>
      <c r="W1573" s="2748"/>
      <c r="X1573" s="2748"/>
      <c r="Y1573" s="2748"/>
      <c r="Z1573" s="2748"/>
      <c r="AA1573" s="2748"/>
      <c r="AB1573" s="2748"/>
      <c r="AC1573" s="2748"/>
      <c r="AD1573" s="2748"/>
      <c r="AE1573" s="2748"/>
      <c r="AF1573" s="2748"/>
      <c r="AG1573" s="2748"/>
      <c r="AH1573" s="2748"/>
      <c r="AI1573" s="2748"/>
      <c r="AK1573" s="2748"/>
      <c r="AL1573" s="2748"/>
      <c r="AN1573" s="2748"/>
      <c r="AO1573" s="2748"/>
      <c r="AP1573" s="2748"/>
    </row>
    <row r="1574" spans="2:42" ht="18" customHeight="1">
      <c r="B1574" s="2728"/>
      <c r="C1574" s="2728"/>
      <c r="D1574" s="2728"/>
      <c r="E1574" s="2728"/>
      <c r="G1574" s="2512"/>
      <c r="I1574" s="2748"/>
      <c r="J1574" s="2728"/>
      <c r="L1574" s="2728"/>
      <c r="M1574" s="2748"/>
      <c r="N1574" s="2728"/>
      <c r="O1574" s="2728"/>
      <c r="P1574" s="2728"/>
      <c r="Q1574" s="2748"/>
      <c r="R1574" s="2748"/>
      <c r="S1574" s="2748"/>
      <c r="T1574" s="2748"/>
      <c r="U1574" s="2748"/>
      <c r="V1574" s="2748"/>
      <c r="W1574" s="2748"/>
      <c r="X1574" s="2748"/>
      <c r="Y1574" s="2748"/>
      <c r="Z1574" s="2748"/>
      <c r="AA1574" s="2748"/>
      <c r="AB1574" s="2748"/>
      <c r="AC1574" s="2748"/>
      <c r="AD1574" s="2748"/>
      <c r="AE1574" s="2748"/>
      <c r="AF1574" s="2748"/>
      <c r="AG1574" s="2748"/>
      <c r="AH1574" s="2748"/>
      <c r="AI1574" s="2748"/>
      <c r="AK1574" s="2748"/>
      <c r="AL1574" s="2748"/>
      <c r="AN1574" s="2748"/>
      <c r="AO1574" s="2748"/>
      <c r="AP1574" s="2748"/>
    </row>
    <row r="1575" spans="2:42" ht="18" customHeight="1">
      <c r="B1575" s="2728"/>
      <c r="C1575" s="2728"/>
      <c r="D1575" s="2728"/>
      <c r="E1575" s="2728"/>
      <c r="G1575" s="2512"/>
      <c r="I1575" s="2748"/>
      <c r="J1575" s="2728"/>
      <c r="L1575" s="2728"/>
      <c r="M1575" s="2748"/>
      <c r="N1575" s="2728"/>
      <c r="O1575" s="2728"/>
      <c r="P1575" s="2728"/>
      <c r="Q1575" s="2748"/>
      <c r="R1575" s="2748"/>
      <c r="S1575" s="2748"/>
      <c r="T1575" s="2748"/>
      <c r="U1575" s="2748"/>
      <c r="V1575" s="2748"/>
      <c r="W1575" s="2748"/>
      <c r="X1575" s="2748"/>
      <c r="Y1575" s="2748"/>
      <c r="Z1575" s="2748"/>
      <c r="AA1575" s="2748"/>
      <c r="AB1575" s="2748"/>
      <c r="AC1575" s="2748"/>
      <c r="AD1575" s="2748"/>
      <c r="AE1575" s="2748"/>
      <c r="AF1575" s="2748"/>
      <c r="AG1575" s="2748"/>
      <c r="AH1575" s="2748"/>
      <c r="AI1575" s="2748"/>
      <c r="AK1575" s="2748"/>
      <c r="AL1575" s="2748"/>
      <c r="AN1575" s="2748"/>
      <c r="AO1575" s="2748"/>
      <c r="AP1575" s="2748"/>
    </row>
    <row r="1576" spans="2:42" ht="18" customHeight="1">
      <c r="B1576" s="2728"/>
      <c r="C1576" s="2728"/>
      <c r="D1576" s="2728"/>
      <c r="E1576" s="2728"/>
      <c r="G1576" s="2512"/>
      <c r="I1576" s="2748"/>
      <c r="J1576" s="2728"/>
      <c r="L1576" s="2728"/>
      <c r="M1576" s="2748"/>
      <c r="N1576" s="2728"/>
      <c r="O1576" s="2728"/>
      <c r="P1576" s="2728"/>
      <c r="Q1576" s="2748"/>
      <c r="R1576" s="2748"/>
      <c r="S1576" s="2748"/>
      <c r="T1576" s="2748"/>
      <c r="U1576" s="2748"/>
      <c r="V1576" s="2748"/>
      <c r="W1576" s="2748"/>
      <c r="X1576" s="2748"/>
      <c r="Y1576" s="2748"/>
      <c r="Z1576" s="2748"/>
      <c r="AA1576" s="2748"/>
      <c r="AB1576" s="2748"/>
      <c r="AC1576" s="2748"/>
      <c r="AD1576" s="2748"/>
      <c r="AE1576" s="2748"/>
      <c r="AF1576" s="2748"/>
      <c r="AG1576" s="2748"/>
      <c r="AH1576" s="2748"/>
      <c r="AI1576" s="2748"/>
      <c r="AK1576" s="2748"/>
      <c r="AL1576" s="2748"/>
      <c r="AN1576" s="2748"/>
      <c r="AO1576" s="2748"/>
      <c r="AP1576" s="2748"/>
    </row>
    <row r="1577" spans="2:42" ht="18" customHeight="1">
      <c r="B1577" s="2728"/>
      <c r="C1577" s="2728"/>
      <c r="D1577" s="2728"/>
      <c r="E1577" s="2728"/>
      <c r="G1577" s="2512"/>
      <c r="I1577" s="2748"/>
      <c r="J1577" s="2728"/>
      <c r="L1577" s="2728"/>
      <c r="M1577" s="2748"/>
      <c r="N1577" s="2728"/>
      <c r="O1577" s="2728"/>
      <c r="P1577" s="2728"/>
      <c r="Q1577" s="2748"/>
      <c r="R1577" s="2748"/>
      <c r="S1577" s="2748"/>
      <c r="T1577" s="2748"/>
      <c r="U1577" s="2748"/>
      <c r="V1577" s="2748"/>
      <c r="W1577" s="2748"/>
      <c r="X1577" s="2748"/>
      <c r="Y1577" s="2748"/>
      <c r="Z1577" s="2748"/>
      <c r="AA1577" s="2748"/>
      <c r="AB1577" s="2748"/>
      <c r="AC1577" s="2748"/>
      <c r="AD1577" s="2748"/>
      <c r="AE1577" s="2748"/>
      <c r="AF1577" s="2748"/>
      <c r="AG1577" s="2748"/>
      <c r="AH1577" s="2748"/>
      <c r="AI1577" s="2748"/>
      <c r="AK1577" s="2748"/>
      <c r="AL1577" s="2748"/>
      <c r="AN1577" s="2748"/>
      <c r="AO1577" s="2748"/>
      <c r="AP1577" s="2748"/>
    </row>
    <row r="1578" spans="2:42" ht="18" customHeight="1">
      <c r="B1578" s="2728"/>
      <c r="C1578" s="2728"/>
      <c r="D1578" s="2728"/>
      <c r="E1578" s="2728"/>
      <c r="G1578" s="2512"/>
      <c r="I1578" s="2748"/>
      <c r="J1578" s="2728"/>
      <c r="L1578" s="2728"/>
      <c r="M1578" s="2748"/>
      <c r="N1578" s="2728"/>
      <c r="O1578" s="2728"/>
      <c r="P1578" s="2728"/>
      <c r="Q1578" s="2748"/>
      <c r="R1578" s="2748"/>
      <c r="S1578" s="2748"/>
      <c r="T1578" s="2748"/>
      <c r="U1578" s="2748"/>
      <c r="V1578" s="2748"/>
      <c r="W1578" s="2748"/>
      <c r="X1578" s="2748"/>
      <c r="Y1578" s="2748"/>
      <c r="Z1578" s="2748"/>
      <c r="AA1578" s="2748"/>
      <c r="AB1578" s="2748"/>
      <c r="AC1578" s="2748"/>
      <c r="AD1578" s="2748"/>
      <c r="AE1578" s="2748"/>
      <c r="AF1578" s="2748"/>
      <c r="AG1578" s="2748"/>
      <c r="AH1578" s="2748"/>
      <c r="AI1578" s="2748"/>
      <c r="AK1578" s="2748"/>
      <c r="AL1578" s="2748"/>
      <c r="AN1578" s="2748"/>
      <c r="AO1578" s="2748"/>
      <c r="AP1578" s="2748"/>
    </row>
    <row r="1579" spans="2:42" ht="18" customHeight="1">
      <c r="B1579" s="2728"/>
      <c r="C1579" s="2728"/>
      <c r="D1579" s="2728"/>
      <c r="E1579" s="2728"/>
      <c r="G1579" s="2512"/>
      <c r="I1579" s="2748"/>
      <c r="J1579" s="2728"/>
      <c r="L1579" s="2728"/>
      <c r="M1579" s="2748"/>
      <c r="N1579" s="2728"/>
      <c r="O1579" s="2728"/>
      <c r="P1579" s="2728"/>
      <c r="Q1579" s="2748"/>
      <c r="R1579" s="2748"/>
      <c r="S1579" s="2748"/>
      <c r="T1579" s="2748"/>
      <c r="U1579" s="2748"/>
      <c r="V1579" s="2748"/>
      <c r="W1579" s="2748"/>
      <c r="X1579" s="2748"/>
      <c r="Y1579" s="2748"/>
      <c r="Z1579" s="2748"/>
      <c r="AA1579" s="2748"/>
      <c r="AB1579" s="2748"/>
      <c r="AC1579" s="2748"/>
      <c r="AD1579" s="2748"/>
      <c r="AE1579" s="2748"/>
      <c r="AF1579" s="2748"/>
      <c r="AG1579" s="2748"/>
      <c r="AH1579" s="2748"/>
      <c r="AI1579" s="2748"/>
      <c r="AK1579" s="2748"/>
      <c r="AL1579" s="2748"/>
      <c r="AN1579" s="2748"/>
      <c r="AO1579" s="2748"/>
      <c r="AP1579" s="2748"/>
    </row>
    <row r="1580" spans="2:42" ht="18" customHeight="1">
      <c r="B1580" s="2728"/>
      <c r="C1580" s="2728"/>
      <c r="D1580" s="2728"/>
      <c r="E1580" s="2728"/>
      <c r="G1580" s="2512"/>
      <c r="I1580" s="2748"/>
      <c r="J1580" s="2728"/>
      <c r="L1580" s="2728"/>
      <c r="M1580" s="2748"/>
      <c r="N1580" s="2728"/>
      <c r="O1580" s="2728"/>
      <c r="P1580" s="2728"/>
      <c r="Q1580" s="2748"/>
      <c r="R1580" s="2748"/>
      <c r="S1580" s="2748"/>
      <c r="T1580" s="2748"/>
      <c r="U1580" s="2748"/>
      <c r="V1580" s="2748"/>
      <c r="W1580" s="2748"/>
      <c r="X1580" s="2748"/>
      <c r="Y1580" s="2748"/>
      <c r="Z1580" s="2748"/>
      <c r="AA1580" s="2748"/>
      <c r="AB1580" s="2748"/>
      <c r="AC1580" s="2748"/>
      <c r="AD1580" s="2748"/>
      <c r="AE1580" s="2748"/>
      <c r="AF1580" s="2748"/>
      <c r="AG1580" s="2748"/>
      <c r="AH1580" s="2748"/>
      <c r="AI1580" s="2748"/>
      <c r="AK1580" s="2748"/>
      <c r="AL1580" s="2748"/>
      <c r="AN1580" s="2748"/>
      <c r="AO1580" s="2748"/>
      <c r="AP1580" s="2748"/>
    </row>
    <row r="1581" spans="2:42" ht="18" customHeight="1">
      <c r="B1581" s="2728"/>
      <c r="C1581" s="2728"/>
      <c r="D1581" s="2728"/>
      <c r="E1581" s="2728"/>
      <c r="G1581" s="2512"/>
      <c r="I1581" s="2748"/>
      <c r="J1581" s="2728"/>
      <c r="L1581" s="2728"/>
      <c r="M1581" s="2748"/>
      <c r="N1581" s="2728"/>
      <c r="O1581" s="2728"/>
      <c r="P1581" s="2728"/>
      <c r="Q1581" s="2748"/>
      <c r="R1581" s="2748"/>
      <c r="S1581" s="2748"/>
      <c r="T1581" s="2748"/>
      <c r="U1581" s="2748"/>
      <c r="V1581" s="2748"/>
      <c r="W1581" s="2748"/>
      <c r="X1581" s="2748"/>
      <c r="Y1581" s="2748"/>
      <c r="Z1581" s="2748"/>
      <c r="AA1581" s="2748"/>
      <c r="AB1581" s="2748"/>
      <c r="AC1581" s="2748"/>
      <c r="AD1581" s="2748"/>
      <c r="AE1581" s="2748"/>
      <c r="AF1581" s="2748"/>
      <c r="AG1581" s="2748"/>
      <c r="AH1581" s="2748"/>
      <c r="AI1581" s="2748"/>
      <c r="AK1581" s="2748"/>
      <c r="AL1581" s="2748"/>
      <c r="AN1581" s="2748"/>
      <c r="AO1581" s="2748"/>
      <c r="AP1581" s="2748"/>
    </row>
    <row r="1582" spans="2:42" ht="18" customHeight="1">
      <c r="B1582" s="2728"/>
      <c r="C1582" s="2728"/>
      <c r="D1582" s="2728"/>
      <c r="E1582" s="2728"/>
      <c r="G1582" s="2512"/>
      <c r="I1582" s="2748"/>
      <c r="J1582" s="2728"/>
      <c r="L1582" s="2728"/>
      <c r="M1582" s="2748"/>
      <c r="N1582" s="2728"/>
      <c r="O1582" s="2728"/>
      <c r="P1582" s="2728"/>
      <c r="Q1582" s="2748"/>
      <c r="R1582" s="2748"/>
      <c r="S1582" s="2748"/>
      <c r="T1582" s="2748"/>
      <c r="U1582" s="2748"/>
      <c r="V1582" s="2748"/>
      <c r="W1582" s="2748"/>
      <c r="X1582" s="2748"/>
      <c r="Y1582" s="2748"/>
      <c r="Z1582" s="2748"/>
      <c r="AA1582" s="2748"/>
      <c r="AB1582" s="2748"/>
      <c r="AC1582" s="2748"/>
      <c r="AD1582" s="2748"/>
      <c r="AE1582" s="2748"/>
      <c r="AF1582" s="2748"/>
      <c r="AG1582" s="2748"/>
      <c r="AH1582" s="2748"/>
      <c r="AI1582" s="2748"/>
      <c r="AK1582" s="2748"/>
      <c r="AL1582" s="2748"/>
      <c r="AN1582" s="2748"/>
      <c r="AO1582" s="2748"/>
      <c r="AP1582" s="2748"/>
    </row>
    <row r="1583" spans="2:42" ht="18" customHeight="1">
      <c r="B1583" s="2728"/>
      <c r="C1583" s="2728"/>
      <c r="D1583" s="2728"/>
      <c r="E1583" s="2728"/>
      <c r="G1583" s="2512"/>
      <c r="I1583" s="2748"/>
      <c r="J1583" s="2728"/>
      <c r="L1583" s="2728"/>
      <c r="M1583" s="2748"/>
      <c r="N1583" s="2728"/>
      <c r="O1583" s="2728"/>
      <c r="P1583" s="2728"/>
      <c r="Q1583" s="2748"/>
      <c r="R1583" s="2748"/>
      <c r="S1583" s="2748"/>
      <c r="T1583" s="2748"/>
      <c r="U1583" s="2748"/>
      <c r="V1583" s="2748"/>
      <c r="W1583" s="2748"/>
      <c r="X1583" s="2748"/>
      <c r="Y1583" s="2748"/>
      <c r="Z1583" s="2748"/>
      <c r="AA1583" s="2748"/>
      <c r="AB1583" s="2748"/>
      <c r="AC1583" s="2748"/>
      <c r="AD1583" s="2748"/>
      <c r="AE1583" s="2748"/>
      <c r="AF1583" s="2748"/>
      <c r="AG1583" s="2748"/>
      <c r="AH1583" s="2748"/>
      <c r="AI1583" s="2748"/>
      <c r="AK1583" s="2748"/>
      <c r="AL1583" s="2748"/>
      <c r="AN1583" s="2748"/>
      <c r="AO1583" s="2748"/>
      <c r="AP1583" s="2748"/>
    </row>
    <row r="1584" spans="2:42" ht="18" customHeight="1">
      <c r="B1584" s="2728"/>
      <c r="C1584" s="2728"/>
      <c r="D1584" s="2728"/>
      <c r="E1584" s="2728"/>
      <c r="G1584" s="2512"/>
      <c r="I1584" s="2748"/>
      <c r="J1584" s="2728"/>
      <c r="L1584" s="2728"/>
      <c r="M1584" s="2748"/>
      <c r="N1584" s="2728"/>
      <c r="O1584" s="2728"/>
      <c r="P1584" s="2728"/>
      <c r="Q1584" s="2748"/>
      <c r="R1584" s="2748"/>
      <c r="S1584" s="2748"/>
      <c r="T1584" s="2748"/>
      <c r="U1584" s="2748"/>
      <c r="V1584" s="2748"/>
      <c r="W1584" s="2748"/>
      <c r="X1584" s="2748"/>
      <c r="Y1584" s="2748"/>
      <c r="Z1584" s="2748"/>
      <c r="AA1584" s="2748"/>
      <c r="AB1584" s="2748"/>
      <c r="AC1584" s="2748"/>
      <c r="AD1584" s="2748"/>
      <c r="AE1584" s="2748"/>
      <c r="AF1584" s="2748"/>
      <c r="AG1584" s="2748"/>
      <c r="AH1584" s="2748"/>
      <c r="AI1584" s="2748"/>
      <c r="AK1584" s="2748"/>
      <c r="AL1584" s="2748"/>
      <c r="AN1584" s="2748"/>
      <c r="AO1584" s="2748"/>
      <c r="AP1584" s="2748"/>
    </row>
    <row r="1585" spans="2:42" ht="18" customHeight="1">
      <c r="B1585" s="2728"/>
      <c r="C1585" s="2728"/>
      <c r="D1585" s="2728"/>
      <c r="E1585" s="2728"/>
      <c r="G1585" s="2512"/>
      <c r="I1585" s="2748"/>
      <c r="J1585" s="2728"/>
      <c r="L1585" s="2728"/>
      <c r="M1585" s="2748"/>
      <c r="N1585" s="2728"/>
      <c r="O1585" s="2728"/>
      <c r="P1585" s="2728"/>
      <c r="Q1585" s="2748"/>
      <c r="R1585" s="2748"/>
      <c r="S1585" s="2748"/>
      <c r="T1585" s="2748"/>
      <c r="U1585" s="2748"/>
      <c r="V1585" s="2748"/>
      <c r="W1585" s="2748"/>
      <c r="X1585" s="2748"/>
      <c r="Y1585" s="2748"/>
      <c r="Z1585" s="2748"/>
      <c r="AA1585" s="2748"/>
      <c r="AB1585" s="2748"/>
      <c r="AC1585" s="2748"/>
      <c r="AD1585" s="2748"/>
      <c r="AE1585" s="2748"/>
      <c r="AF1585" s="2748"/>
      <c r="AG1585" s="2748"/>
      <c r="AH1585" s="2748"/>
      <c r="AI1585" s="2748"/>
      <c r="AK1585" s="2748"/>
      <c r="AL1585" s="2748"/>
      <c r="AN1585" s="2748"/>
      <c r="AO1585" s="2748"/>
      <c r="AP1585" s="2748"/>
    </row>
    <row r="1586" spans="2:42" ht="18" customHeight="1">
      <c r="B1586" s="2728"/>
      <c r="C1586" s="2728"/>
      <c r="D1586" s="2728"/>
      <c r="E1586" s="2728"/>
      <c r="G1586" s="2512"/>
      <c r="I1586" s="2748"/>
      <c r="J1586" s="2728"/>
      <c r="L1586" s="2728"/>
      <c r="M1586" s="2748"/>
      <c r="N1586" s="2728"/>
      <c r="O1586" s="2728"/>
      <c r="P1586" s="2728"/>
      <c r="Q1586" s="2748"/>
      <c r="R1586" s="2748"/>
      <c r="S1586" s="2748"/>
      <c r="T1586" s="2748"/>
      <c r="U1586" s="2748"/>
      <c r="V1586" s="2748"/>
      <c r="W1586" s="2748"/>
      <c r="X1586" s="2748"/>
      <c r="Y1586" s="2748"/>
      <c r="Z1586" s="2748"/>
      <c r="AA1586" s="2748"/>
      <c r="AB1586" s="2748"/>
      <c r="AC1586" s="2748"/>
      <c r="AD1586" s="2748"/>
      <c r="AE1586" s="2748"/>
      <c r="AF1586" s="2748"/>
      <c r="AG1586" s="2748"/>
      <c r="AH1586" s="2748"/>
      <c r="AI1586" s="2748"/>
      <c r="AK1586" s="2748"/>
      <c r="AL1586" s="2748"/>
      <c r="AN1586" s="2748"/>
      <c r="AO1586" s="2748"/>
      <c r="AP1586" s="2748"/>
    </row>
    <row r="1587" spans="2:42" ht="18" customHeight="1">
      <c r="B1587" s="2728"/>
      <c r="C1587" s="2728"/>
      <c r="D1587" s="2728"/>
      <c r="E1587" s="2728"/>
      <c r="G1587" s="2512"/>
      <c r="I1587" s="2748"/>
      <c r="J1587" s="2728"/>
      <c r="L1587" s="2728"/>
      <c r="M1587" s="2748"/>
      <c r="N1587" s="2728"/>
      <c r="O1587" s="2728"/>
      <c r="P1587" s="2728"/>
      <c r="Q1587" s="2748"/>
      <c r="R1587" s="2748"/>
      <c r="S1587" s="2748"/>
      <c r="T1587" s="2748"/>
      <c r="U1587" s="2748"/>
      <c r="V1587" s="2748"/>
      <c r="W1587" s="2748"/>
      <c r="X1587" s="2748"/>
      <c r="Y1587" s="2748"/>
      <c r="Z1587" s="2748"/>
      <c r="AA1587" s="2748"/>
      <c r="AB1587" s="2748"/>
      <c r="AC1587" s="2748"/>
      <c r="AD1587" s="2748"/>
      <c r="AE1587" s="2748"/>
      <c r="AF1587" s="2748"/>
      <c r="AG1587" s="2748"/>
      <c r="AH1587" s="2748"/>
      <c r="AI1587" s="2748"/>
      <c r="AK1587" s="2748"/>
      <c r="AL1587" s="2748"/>
      <c r="AN1587" s="2748"/>
      <c r="AO1587" s="2748"/>
      <c r="AP1587" s="2748"/>
    </row>
    <row r="1588" spans="2:42" ht="18" customHeight="1">
      <c r="B1588" s="2728"/>
      <c r="C1588" s="2728"/>
      <c r="D1588" s="2728"/>
      <c r="E1588" s="2728"/>
      <c r="G1588" s="2512"/>
      <c r="I1588" s="2748"/>
      <c r="J1588" s="2728"/>
      <c r="L1588" s="2728"/>
      <c r="M1588" s="2748"/>
      <c r="N1588" s="2728"/>
      <c r="O1588" s="2728"/>
      <c r="P1588" s="2728"/>
      <c r="Q1588" s="2748"/>
      <c r="R1588" s="2748"/>
      <c r="S1588" s="2748"/>
      <c r="T1588" s="2748"/>
      <c r="U1588" s="2748"/>
      <c r="V1588" s="2748"/>
      <c r="W1588" s="2748"/>
      <c r="X1588" s="2748"/>
      <c r="Y1588" s="2748"/>
      <c r="Z1588" s="2748"/>
      <c r="AA1588" s="2748"/>
      <c r="AB1588" s="2748"/>
      <c r="AC1588" s="2748"/>
      <c r="AD1588" s="2748"/>
      <c r="AE1588" s="2748"/>
      <c r="AF1588" s="2748"/>
      <c r="AG1588" s="2748"/>
      <c r="AH1588" s="2748"/>
      <c r="AI1588" s="2748"/>
      <c r="AK1588" s="2748"/>
      <c r="AL1588" s="2748"/>
      <c r="AN1588" s="2748"/>
      <c r="AO1588" s="2748"/>
      <c r="AP1588" s="2748"/>
    </row>
    <row r="1589" spans="2:42" ht="18" customHeight="1">
      <c r="B1589" s="2728"/>
      <c r="C1589" s="2728"/>
      <c r="D1589" s="2728"/>
      <c r="E1589" s="2728"/>
      <c r="G1589" s="2512"/>
      <c r="I1589" s="2748"/>
      <c r="J1589" s="2728"/>
      <c r="L1589" s="2728"/>
      <c r="M1589" s="2748"/>
      <c r="N1589" s="2728"/>
      <c r="O1589" s="2728"/>
      <c r="P1589" s="2728"/>
      <c r="Q1589" s="2748"/>
      <c r="R1589" s="2748"/>
      <c r="S1589" s="2748"/>
      <c r="T1589" s="2748"/>
      <c r="U1589" s="2748"/>
      <c r="V1589" s="2748"/>
      <c r="W1589" s="2748"/>
      <c r="X1589" s="2748"/>
      <c r="Y1589" s="2748"/>
      <c r="Z1589" s="2748"/>
      <c r="AA1589" s="2748"/>
      <c r="AB1589" s="2748"/>
      <c r="AC1589" s="2748"/>
      <c r="AD1589" s="2748"/>
      <c r="AE1589" s="2748"/>
      <c r="AF1589" s="2748"/>
      <c r="AG1589" s="2748"/>
      <c r="AH1589" s="2748"/>
      <c r="AI1589" s="2748"/>
      <c r="AK1589" s="2748"/>
      <c r="AL1589" s="2748"/>
      <c r="AN1589" s="2748"/>
      <c r="AO1589" s="2748"/>
      <c r="AP1589" s="2748"/>
    </row>
    <row r="1590" spans="2:42" ht="18" customHeight="1">
      <c r="B1590" s="2728"/>
      <c r="C1590" s="2728"/>
      <c r="D1590" s="2728"/>
      <c r="E1590" s="2728"/>
      <c r="G1590" s="2512"/>
      <c r="I1590" s="2748"/>
      <c r="J1590" s="2728"/>
      <c r="L1590" s="2728"/>
      <c r="M1590" s="2748"/>
      <c r="N1590" s="2728"/>
      <c r="O1590" s="2728"/>
      <c r="P1590" s="2728"/>
      <c r="Q1590" s="2748"/>
      <c r="R1590" s="2748"/>
      <c r="S1590" s="2748"/>
      <c r="T1590" s="2748"/>
      <c r="U1590" s="2748"/>
      <c r="V1590" s="2748"/>
      <c r="W1590" s="2748"/>
      <c r="X1590" s="2748"/>
      <c r="Y1590" s="2748"/>
      <c r="Z1590" s="2748"/>
      <c r="AA1590" s="2748"/>
      <c r="AB1590" s="2748"/>
      <c r="AC1590" s="2748"/>
      <c r="AD1590" s="2748"/>
      <c r="AE1590" s="2748"/>
      <c r="AF1590" s="2748"/>
      <c r="AG1590" s="2748"/>
      <c r="AH1590" s="2748"/>
      <c r="AI1590" s="2748"/>
      <c r="AK1590" s="2748"/>
      <c r="AL1590" s="2748"/>
      <c r="AN1590" s="2748"/>
      <c r="AO1590" s="2748"/>
      <c r="AP1590" s="2748"/>
    </row>
    <row r="1591" spans="2:42" ht="18" customHeight="1">
      <c r="B1591" s="2728"/>
      <c r="C1591" s="2728"/>
      <c r="D1591" s="2728"/>
      <c r="E1591" s="2728"/>
      <c r="G1591" s="2512"/>
      <c r="I1591" s="2748"/>
      <c r="J1591" s="2728"/>
      <c r="L1591" s="2728"/>
      <c r="M1591" s="2748"/>
      <c r="N1591" s="2728"/>
      <c r="O1591" s="2728"/>
      <c r="P1591" s="2728"/>
      <c r="Q1591" s="2748"/>
      <c r="R1591" s="2748"/>
      <c r="S1591" s="2748"/>
      <c r="T1591" s="2748"/>
      <c r="U1591" s="2748"/>
      <c r="V1591" s="2748"/>
      <c r="W1591" s="2748"/>
      <c r="X1591" s="2748"/>
      <c r="Y1591" s="2748"/>
      <c r="Z1591" s="2748"/>
      <c r="AA1591" s="2748"/>
      <c r="AB1591" s="2748"/>
      <c r="AC1591" s="2748"/>
      <c r="AD1591" s="2748"/>
      <c r="AE1591" s="2748"/>
      <c r="AF1591" s="2748"/>
      <c r="AG1591" s="2748"/>
      <c r="AH1591" s="2748"/>
      <c r="AI1591" s="2748"/>
      <c r="AK1591" s="2748"/>
      <c r="AL1591" s="2748"/>
      <c r="AN1591" s="2748"/>
      <c r="AO1591" s="2748"/>
      <c r="AP1591" s="2748"/>
    </row>
    <row r="1592" spans="2:42" ht="18" customHeight="1">
      <c r="B1592" s="2728"/>
      <c r="C1592" s="2728"/>
      <c r="D1592" s="2728"/>
      <c r="E1592" s="2728"/>
      <c r="G1592" s="2512"/>
      <c r="I1592" s="2748"/>
      <c r="J1592" s="2728"/>
      <c r="L1592" s="2728"/>
      <c r="M1592" s="2748"/>
      <c r="N1592" s="2728"/>
      <c r="O1592" s="2728"/>
      <c r="P1592" s="2728"/>
      <c r="Q1592" s="2748"/>
      <c r="R1592" s="2748"/>
      <c r="S1592" s="2748"/>
      <c r="T1592" s="2748"/>
      <c r="U1592" s="2748"/>
      <c r="V1592" s="2748"/>
      <c r="W1592" s="2748"/>
      <c r="X1592" s="2748"/>
      <c r="Y1592" s="2748"/>
      <c r="Z1592" s="2748"/>
      <c r="AA1592" s="2748"/>
      <c r="AB1592" s="2748"/>
      <c r="AC1592" s="2748"/>
      <c r="AD1592" s="2748"/>
      <c r="AE1592" s="2748"/>
      <c r="AF1592" s="2748"/>
      <c r="AG1592" s="2748"/>
      <c r="AH1592" s="2748"/>
      <c r="AI1592" s="2748"/>
      <c r="AK1592" s="2748"/>
      <c r="AL1592" s="2748"/>
      <c r="AN1592" s="2748"/>
      <c r="AO1592" s="2748"/>
      <c r="AP1592" s="2748"/>
    </row>
    <row r="1593" spans="2:42" ht="18" customHeight="1">
      <c r="B1593" s="2728"/>
      <c r="C1593" s="2728"/>
      <c r="D1593" s="2728"/>
      <c r="E1593" s="2728"/>
      <c r="G1593" s="2512"/>
      <c r="I1593" s="2748"/>
      <c r="J1593" s="2728"/>
      <c r="L1593" s="2728"/>
      <c r="M1593" s="2748"/>
      <c r="N1593" s="2728"/>
      <c r="O1593" s="2728"/>
      <c r="P1593" s="2728"/>
      <c r="Q1593" s="2748"/>
      <c r="R1593" s="2748"/>
      <c r="S1593" s="2748"/>
      <c r="T1593" s="2748"/>
      <c r="U1593" s="2748"/>
      <c r="V1593" s="2748"/>
      <c r="W1593" s="2748"/>
      <c r="X1593" s="2748"/>
      <c r="Y1593" s="2748"/>
      <c r="Z1593" s="2748"/>
      <c r="AA1593" s="2748"/>
      <c r="AB1593" s="2748"/>
      <c r="AC1593" s="2748"/>
      <c r="AD1593" s="2748"/>
      <c r="AE1593" s="2748"/>
      <c r="AF1593" s="2748"/>
      <c r="AG1593" s="2748"/>
      <c r="AH1593" s="2748"/>
      <c r="AI1593" s="2748"/>
      <c r="AK1593" s="2748"/>
      <c r="AL1593" s="2748"/>
      <c r="AN1593" s="2748"/>
      <c r="AO1593" s="2748"/>
      <c r="AP1593" s="2748"/>
    </row>
    <row r="1594" spans="2:42" ht="18" customHeight="1">
      <c r="B1594" s="2728"/>
      <c r="C1594" s="2728"/>
      <c r="D1594" s="2728"/>
      <c r="E1594" s="2728"/>
      <c r="G1594" s="2512"/>
      <c r="I1594" s="2748"/>
      <c r="J1594" s="2728"/>
      <c r="L1594" s="2728"/>
      <c r="M1594" s="2748"/>
      <c r="N1594" s="2728"/>
      <c r="O1594" s="2728"/>
      <c r="P1594" s="2728"/>
      <c r="Q1594" s="2748"/>
      <c r="R1594" s="2748"/>
      <c r="S1594" s="2748"/>
      <c r="T1594" s="2748"/>
      <c r="U1594" s="2748"/>
      <c r="V1594" s="2748"/>
      <c r="W1594" s="2748"/>
      <c r="X1594" s="2748"/>
      <c r="Y1594" s="2748"/>
      <c r="Z1594" s="2748"/>
      <c r="AA1594" s="2748"/>
      <c r="AB1594" s="2748"/>
      <c r="AC1594" s="2748"/>
      <c r="AD1594" s="2748"/>
      <c r="AE1594" s="2748"/>
      <c r="AF1594" s="2748"/>
      <c r="AG1594" s="2748"/>
      <c r="AH1594" s="2748"/>
      <c r="AI1594" s="2748"/>
      <c r="AK1594" s="2748"/>
      <c r="AL1594" s="2748"/>
      <c r="AN1594" s="2748"/>
      <c r="AO1594" s="2748"/>
      <c r="AP1594" s="2748"/>
    </row>
    <row r="1595" spans="2:42" ht="18" customHeight="1">
      <c r="B1595" s="2728"/>
      <c r="C1595" s="2728"/>
      <c r="D1595" s="2728"/>
      <c r="E1595" s="2728"/>
      <c r="G1595" s="2512"/>
      <c r="I1595" s="2748"/>
      <c r="J1595" s="2728"/>
      <c r="L1595" s="2728"/>
      <c r="M1595" s="2748"/>
      <c r="N1595" s="2728"/>
      <c r="O1595" s="2728"/>
      <c r="P1595" s="2728"/>
      <c r="Q1595" s="2748"/>
      <c r="R1595" s="2748"/>
      <c r="S1595" s="2748"/>
      <c r="T1595" s="2748"/>
      <c r="U1595" s="2748"/>
      <c r="V1595" s="2748"/>
      <c r="W1595" s="2748"/>
      <c r="X1595" s="2748"/>
      <c r="Y1595" s="2748"/>
      <c r="Z1595" s="2748"/>
      <c r="AA1595" s="2748"/>
      <c r="AB1595" s="2748"/>
      <c r="AC1595" s="2748"/>
      <c r="AD1595" s="2748"/>
      <c r="AE1595" s="2748"/>
      <c r="AF1595" s="2748"/>
      <c r="AG1595" s="2748"/>
      <c r="AH1595" s="2748"/>
      <c r="AI1595" s="2748"/>
      <c r="AK1595" s="2748"/>
      <c r="AL1595" s="2748"/>
      <c r="AN1595" s="2748"/>
      <c r="AO1595" s="2748"/>
      <c r="AP1595" s="2748"/>
    </row>
    <row r="1596" spans="2:42" ht="18" customHeight="1">
      <c r="B1596" s="2728"/>
      <c r="C1596" s="2728"/>
      <c r="D1596" s="2728"/>
      <c r="E1596" s="2728"/>
      <c r="G1596" s="2512"/>
      <c r="I1596" s="2748"/>
      <c r="J1596" s="2728"/>
      <c r="L1596" s="2728"/>
      <c r="M1596" s="2748"/>
      <c r="N1596" s="2728"/>
      <c r="O1596" s="2728"/>
      <c r="P1596" s="2728"/>
      <c r="Q1596" s="2748"/>
      <c r="R1596" s="2748"/>
      <c r="S1596" s="2748"/>
      <c r="T1596" s="2748"/>
      <c r="U1596" s="2748"/>
      <c r="V1596" s="2748"/>
      <c r="W1596" s="2748"/>
      <c r="X1596" s="2748"/>
      <c r="Y1596" s="2748"/>
      <c r="Z1596" s="2748"/>
      <c r="AA1596" s="2748"/>
      <c r="AB1596" s="2748"/>
      <c r="AC1596" s="2748"/>
      <c r="AD1596" s="2748"/>
      <c r="AE1596" s="2748"/>
      <c r="AF1596" s="2748"/>
      <c r="AG1596" s="2748"/>
      <c r="AH1596" s="2748"/>
      <c r="AI1596" s="2748"/>
      <c r="AK1596" s="2748"/>
      <c r="AL1596" s="2748"/>
      <c r="AN1596" s="2748"/>
      <c r="AO1596" s="2748"/>
      <c r="AP1596" s="2748"/>
    </row>
    <row r="1597" spans="2:42" ht="18" customHeight="1">
      <c r="B1597" s="2728"/>
      <c r="C1597" s="2728"/>
      <c r="D1597" s="2728"/>
      <c r="E1597" s="2728"/>
      <c r="G1597" s="2512"/>
      <c r="I1597" s="2748"/>
      <c r="J1597" s="2728"/>
      <c r="L1597" s="2728"/>
      <c r="M1597" s="2748"/>
      <c r="N1597" s="2728"/>
      <c r="O1597" s="2728"/>
      <c r="P1597" s="2728"/>
      <c r="Q1597" s="2748"/>
      <c r="R1597" s="2748"/>
      <c r="S1597" s="2748"/>
      <c r="T1597" s="2748"/>
      <c r="U1597" s="2748"/>
      <c r="V1597" s="2748"/>
      <c r="W1597" s="2748"/>
      <c r="X1597" s="2748"/>
      <c r="Y1597" s="2748"/>
      <c r="Z1597" s="2748"/>
      <c r="AA1597" s="2748"/>
      <c r="AB1597" s="2748"/>
      <c r="AC1597" s="2748"/>
      <c r="AD1597" s="2748"/>
      <c r="AE1597" s="2748"/>
      <c r="AF1597" s="2748"/>
      <c r="AG1597" s="2748"/>
      <c r="AH1597" s="2748"/>
      <c r="AI1597" s="2748"/>
      <c r="AK1597" s="2748"/>
      <c r="AL1597" s="2748"/>
      <c r="AN1597" s="2748"/>
      <c r="AO1597" s="2748"/>
      <c r="AP1597" s="2748"/>
    </row>
    <row r="1598" spans="2:42" ht="18" customHeight="1">
      <c r="B1598" s="2728"/>
      <c r="C1598" s="2728"/>
      <c r="D1598" s="2728"/>
      <c r="E1598" s="2728"/>
      <c r="G1598" s="2512"/>
      <c r="I1598" s="2748"/>
      <c r="J1598" s="2728"/>
      <c r="L1598" s="2728"/>
      <c r="M1598" s="2748"/>
      <c r="N1598" s="2728"/>
      <c r="O1598" s="2728"/>
      <c r="P1598" s="2728"/>
      <c r="Q1598" s="2748"/>
      <c r="R1598" s="2748"/>
      <c r="S1598" s="2748"/>
      <c r="T1598" s="2748"/>
      <c r="U1598" s="2748"/>
      <c r="V1598" s="2748"/>
      <c r="W1598" s="2748"/>
      <c r="X1598" s="2748"/>
      <c r="Y1598" s="2748"/>
      <c r="Z1598" s="2748"/>
      <c r="AA1598" s="2748"/>
      <c r="AB1598" s="2748"/>
      <c r="AC1598" s="2748"/>
      <c r="AD1598" s="2748"/>
      <c r="AE1598" s="2748"/>
      <c r="AF1598" s="2748"/>
      <c r="AG1598" s="2748"/>
      <c r="AH1598" s="2748"/>
      <c r="AI1598" s="2748"/>
      <c r="AK1598" s="2748"/>
      <c r="AL1598" s="2748"/>
      <c r="AN1598" s="2748"/>
      <c r="AO1598" s="2748"/>
      <c r="AP1598" s="2748"/>
    </row>
    <row r="1599" spans="2:42" ht="18" customHeight="1">
      <c r="B1599" s="2728"/>
      <c r="C1599" s="2728"/>
      <c r="D1599" s="2728"/>
      <c r="E1599" s="2728"/>
      <c r="G1599" s="2512"/>
      <c r="I1599" s="2748"/>
      <c r="J1599" s="2728"/>
      <c r="L1599" s="2728"/>
      <c r="M1599" s="2748"/>
      <c r="N1599" s="2728"/>
      <c r="O1599" s="2728"/>
      <c r="P1599" s="2728"/>
      <c r="Q1599" s="2748"/>
      <c r="R1599" s="2748"/>
      <c r="S1599" s="2748"/>
      <c r="T1599" s="2748"/>
      <c r="U1599" s="2748"/>
      <c r="V1599" s="2748"/>
      <c r="W1599" s="2748"/>
      <c r="X1599" s="2748"/>
      <c r="Y1599" s="2748"/>
      <c r="Z1599" s="2748"/>
      <c r="AA1599" s="2748"/>
      <c r="AB1599" s="2748"/>
      <c r="AC1599" s="2748"/>
      <c r="AD1599" s="2748"/>
      <c r="AE1599" s="2748"/>
      <c r="AF1599" s="2748"/>
      <c r="AG1599" s="2748"/>
      <c r="AH1599" s="2748"/>
      <c r="AI1599" s="2748"/>
      <c r="AK1599" s="2748"/>
      <c r="AL1599" s="2748"/>
      <c r="AN1599" s="2748"/>
      <c r="AO1599" s="2748"/>
      <c r="AP1599" s="2748"/>
    </row>
    <row r="1600" spans="2:42" ht="18" customHeight="1">
      <c r="B1600" s="2728"/>
      <c r="C1600" s="2728"/>
      <c r="D1600" s="2728"/>
      <c r="E1600" s="2728"/>
      <c r="G1600" s="2512"/>
      <c r="I1600" s="2748"/>
      <c r="J1600" s="2728"/>
      <c r="L1600" s="2728"/>
      <c r="M1600" s="2748"/>
      <c r="N1600" s="2728"/>
      <c r="O1600" s="2728"/>
      <c r="P1600" s="2728"/>
      <c r="Q1600" s="2748"/>
      <c r="R1600" s="2748"/>
      <c r="S1600" s="2748"/>
      <c r="T1600" s="2748"/>
      <c r="U1600" s="2748"/>
      <c r="V1600" s="2748"/>
      <c r="W1600" s="2748"/>
      <c r="X1600" s="2748"/>
      <c r="Y1600" s="2748"/>
      <c r="Z1600" s="2748"/>
      <c r="AA1600" s="2748"/>
      <c r="AB1600" s="2748"/>
      <c r="AC1600" s="2748"/>
      <c r="AD1600" s="2748"/>
      <c r="AE1600" s="2748"/>
      <c r="AF1600" s="2748"/>
      <c r="AG1600" s="2748"/>
      <c r="AH1600" s="2748"/>
      <c r="AI1600" s="2748"/>
      <c r="AK1600" s="2748"/>
      <c r="AL1600" s="2748"/>
      <c r="AN1600" s="2748"/>
      <c r="AO1600" s="2748"/>
      <c r="AP1600" s="2748"/>
    </row>
    <row r="1601" spans="2:42" ht="18" customHeight="1">
      <c r="B1601" s="2728"/>
      <c r="C1601" s="2728"/>
      <c r="D1601" s="2728"/>
      <c r="E1601" s="2728"/>
      <c r="G1601" s="2512"/>
      <c r="I1601" s="2748"/>
      <c r="J1601" s="2728"/>
      <c r="L1601" s="2728"/>
      <c r="M1601" s="2748"/>
      <c r="N1601" s="2728"/>
      <c r="O1601" s="2728"/>
      <c r="P1601" s="2728"/>
      <c r="Q1601" s="2748"/>
      <c r="R1601" s="2748"/>
      <c r="S1601" s="2748"/>
      <c r="T1601" s="2748"/>
      <c r="U1601" s="2748"/>
      <c r="V1601" s="2748"/>
      <c r="W1601" s="2748"/>
      <c r="X1601" s="2748"/>
      <c r="Y1601" s="2748"/>
      <c r="Z1601" s="2748"/>
      <c r="AA1601" s="2748"/>
      <c r="AB1601" s="2748"/>
      <c r="AC1601" s="2748"/>
      <c r="AD1601" s="2748"/>
      <c r="AE1601" s="2748"/>
      <c r="AF1601" s="2748"/>
      <c r="AG1601" s="2748"/>
      <c r="AH1601" s="2748"/>
      <c r="AI1601" s="2748"/>
      <c r="AK1601" s="2748"/>
      <c r="AL1601" s="2748"/>
      <c r="AN1601" s="2748"/>
      <c r="AO1601" s="2748"/>
      <c r="AP1601" s="2748"/>
    </row>
    <row r="1602" spans="2:42" ht="18" customHeight="1">
      <c r="B1602" s="2728"/>
      <c r="C1602" s="2728"/>
      <c r="D1602" s="2728"/>
      <c r="E1602" s="2728"/>
      <c r="G1602" s="2512"/>
      <c r="I1602" s="2748"/>
      <c r="J1602" s="2728"/>
      <c r="L1602" s="2728"/>
      <c r="M1602" s="2748"/>
      <c r="N1602" s="2728"/>
      <c r="O1602" s="2728"/>
      <c r="P1602" s="2728"/>
      <c r="Q1602" s="2748"/>
      <c r="R1602" s="2748"/>
      <c r="S1602" s="2748"/>
      <c r="T1602" s="2748"/>
      <c r="U1602" s="2748"/>
      <c r="V1602" s="2748"/>
      <c r="W1602" s="2748"/>
      <c r="X1602" s="2748"/>
      <c r="Y1602" s="2748"/>
      <c r="Z1602" s="2748"/>
      <c r="AA1602" s="2748"/>
      <c r="AB1602" s="2748"/>
      <c r="AC1602" s="2748"/>
      <c r="AD1602" s="2748"/>
      <c r="AE1602" s="2748"/>
      <c r="AF1602" s="2748"/>
      <c r="AG1602" s="2748"/>
      <c r="AH1602" s="2748"/>
      <c r="AI1602" s="2748"/>
      <c r="AK1602" s="2748"/>
      <c r="AL1602" s="2748"/>
      <c r="AN1602" s="2748"/>
      <c r="AO1602" s="2748"/>
      <c r="AP1602" s="2748"/>
    </row>
    <row r="1603" spans="2:42" ht="18" customHeight="1">
      <c r="B1603" s="2728"/>
      <c r="C1603" s="2728"/>
      <c r="D1603" s="2728"/>
      <c r="E1603" s="2728"/>
      <c r="G1603" s="2512"/>
      <c r="I1603" s="2748"/>
      <c r="J1603" s="2728"/>
      <c r="L1603" s="2728"/>
      <c r="M1603" s="2748"/>
      <c r="N1603" s="2728"/>
      <c r="O1603" s="2728"/>
      <c r="P1603" s="2728"/>
      <c r="Q1603" s="2748"/>
      <c r="R1603" s="2748"/>
      <c r="S1603" s="2748"/>
      <c r="T1603" s="2748"/>
      <c r="U1603" s="2748"/>
      <c r="V1603" s="2748"/>
      <c r="W1603" s="2748"/>
      <c r="X1603" s="2748"/>
      <c r="Y1603" s="2748"/>
      <c r="Z1603" s="2748"/>
      <c r="AA1603" s="2748"/>
      <c r="AB1603" s="2748"/>
      <c r="AC1603" s="2748"/>
      <c r="AD1603" s="2748"/>
      <c r="AE1603" s="2748"/>
      <c r="AF1603" s="2748"/>
      <c r="AG1603" s="2748"/>
      <c r="AH1603" s="2748"/>
      <c r="AI1603" s="2748"/>
      <c r="AK1603" s="2748"/>
      <c r="AL1603" s="2748"/>
      <c r="AN1603" s="2748"/>
      <c r="AO1603" s="2748"/>
      <c r="AP1603" s="2748"/>
    </row>
    <row r="1604" spans="2:42" ht="18" customHeight="1">
      <c r="B1604" s="2728"/>
      <c r="C1604" s="2728"/>
      <c r="D1604" s="2728"/>
      <c r="E1604" s="2728"/>
      <c r="G1604" s="2512"/>
      <c r="I1604" s="2748"/>
      <c r="J1604" s="2728"/>
      <c r="L1604" s="2728"/>
      <c r="M1604" s="2748"/>
      <c r="N1604" s="2728"/>
      <c r="O1604" s="2728"/>
      <c r="P1604" s="2728"/>
      <c r="Q1604" s="2748"/>
      <c r="R1604" s="2748"/>
      <c r="S1604" s="2748"/>
      <c r="T1604" s="2748"/>
      <c r="U1604" s="2748"/>
      <c r="V1604" s="2748"/>
      <c r="W1604" s="2748"/>
      <c r="X1604" s="2748"/>
      <c r="Y1604" s="2748"/>
      <c r="Z1604" s="2748"/>
      <c r="AA1604" s="2748"/>
      <c r="AB1604" s="2748"/>
      <c r="AC1604" s="2748"/>
      <c r="AD1604" s="2748"/>
      <c r="AE1604" s="2748"/>
      <c r="AF1604" s="2748"/>
      <c r="AG1604" s="2748"/>
      <c r="AH1604" s="2748"/>
      <c r="AI1604" s="2748"/>
      <c r="AK1604" s="2748"/>
      <c r="AL1604" s="2748"/>
      <c r="AN1604" s="2748"/>
      <c r="AO1604" s="2748"/>
      <c r="AP1604" s="2748"/>
    </row>
    <row r="1605" spans="2:42" ht="18" customHeight="1">
      <c r="B1605" s="2728"/>
      <c r="C1605" s="2728"/>
      <c r="D1605" s="2728"/>
      <c r="E1605" s="2728"/>
      <c r="G1605" s="2512"/>
      <c r="I1605" s="2748"/>
      <c r="J1605" s="2728"/>
      <c r="L1605" s="2728"/>
      <c r="M1605" s="2748"/>
      <c r="N1605" s="2728"/>
      <c r="O1605" s="2728"/>
      <c r="P1605" s="2728"/>
      <c r="Q1605" s="2748"/>
      <c r="R1605" s="2748"/>
      <c r="S1605" s="2748"/>
      <c r="T1605" s="2748"/>
      <c r="U1605" s="2748"/>
      <c r="V1605" s="2748"/>
      <c r="W1605" s="2748"/>
      <c r="X1605" s="2748"/>
      <c r="Y1605" s="2748"/>
      <c r="Z1605" s="2748"/>
      <c r="AA1605" s="2748"/>
      <c r="AB1605" s="2748"/>
      <c r="AC1605" s="2748"/>
      <c r="AD1605" s="2748"/>
      <c r="AE1605" s="2748"/>
      <c r="AF1605" s="2748"/>
      <c r="AG1605" s="2748"/>
      <c r="AH1605" s="2748"/>
      <c r="AI1605" s="2748"/>
      <c r="AK1605" s="2748"/>
      <c r="AL1605" s="2748"/>
      <c r="AN1605" s="2748"/>
      <c r="AO1605" s="2748"/>
      <c r="AP1605" s="2748"/>
    </row>
    <row r="1606" spans="2:42" ht="18" customHeight="1">
      <c r="B1606" s="2728"/>
      <c r="C1606" s="2728"/>
      <c r="D1606" s="2728"/>
      <c r="E1606" s="2728"/>
      <c r="G1606" s="2512"/>
      <c r="I1606" s="2748"/>
      <c r="J1606" s="2728"/>
      <c r="L1606" s="2728"/>
      <c r="M1606" s="2748"/>
      <c r="N1606" s="2728"/>
      <c r="O1606" s="2728"/>
      <c r="P1606" s="2728"/>
      <c r="Q1606" s="2748"/>
      <c r="R1606" s="2748"/>
      <c r="S1606" s="2748"/>
      <c r="T1606" s="2748"/>
      <c r="U1606" s="2748"/>
      <c r="V1606" s="2748"/>
      <c r="W1606" s="2748"/>
      <c r="X1606" s="2748"/>
      <c r="Y1606" s="2748"/>
      <c r="Z1606" s="2748"/>
      <c r="AA1606" s="2748"/>
      <c r="AB1606" s="2748"/>
      <c r="AC1606" s="2748"/>
      <c r="AD1606" s="2748"/>
      <c r="AE1606" s="2748"/>
      <c r="AF1606" s="2748"/>
      <c r="AG1606" s="2748"/>
      <c r="AH1606" s="2748"/>
      <c r="AI1606" s="2748"/>
      <c r="AK1606" s="2748"/>
      <c r="AL1606" s="2748"/>
      <c r="AN1606" s="2748"/>
      <c r="AO1606" s="2748"/>
      <c r="AP1606" s="2748"/>
    </row>
    <row r="1607" spans="2:42" ht="18" customHeight="1">
      <c r="B1607" s="2728"/>
      <c r="C1607" s="2728"/>
      <c r="D1607" s="2728"/>
      <c r="E1607" s="2728"/>
      <c r="G1607" s="2512"/>
      <c r="I1607" s="2748"/>
      <c r="J1607" s="2728"/>
      <c r="L1607" s="2728"/>
      <c r="M1607" s="2748"/>
      <c r="N1607" s="2728"/>
      <c r="O1607" s="2728"/>
      <c r="P1607" s="2728"/>
      <c r="Q1607" s="2748"/>
      <c r="R1607" s="2748"/>
      <c r="S1607" s="2748"/>
      <c r="T1607" s="2748"/>
      <c r="U1607" s="2748"/>
      <c r="V1607" s="2748"/>
      <c r="W1607" s="2748"/>
      <c r="X1607" s="2748"/>
      <c r="Y1607" s="2748"/>
      <c r="Z1607" s="2748"/>
      <c r="AA1607" s="2748"/>
      <c r="AB1607" s="2748"/>
      <c r="AC1607" s="2748"/>
      <c r="AD1607" s="2748"/>
      <c r="AE1607" s="2748"/>
      <c r="AF1607" s="2748"/>
      <c r="AG1607" s="2748"/>
      <c r="AH1607" s="2748"/>
      <c r="AI1607" s="2748"/>
      <c r="AK1607" s="2748"/>
      <c r="AL1607" s="2748"/>
      <c r="AN1607" s="2748"/>
      <c r="AO1607" s="2748"/>
      <c r="AP1607" s="2748"/>
    </row>
    <row r="1608" spans="2:42" ht="18" customHeight="1">
      <c r="B1608" s="2728"/>
      <c r="C1608" s="2728"/>
      <c r="D1608" s="2728"/>
      <c r="E1608" s="2728"/>
      <c r="G1608" s="2512"/>
      <c r="I1608" s="2748"/>
      <c r="J1608" s="2728"/>
      <c r="L1608" s="2728"/>
      <c r="M1608" s="2748"/>
      <c r="N1608" s="2728"/>
      <c r="O1608" s="2728"/>
      <c r="P1608" s="2728"/>
      <c r="Q1608" s="2748"/>
      <c r="R1608" s="2748"/>
      <c r="S1608" s="2748"/>
      <c r="T1608" s="2748"/>
      <c r="U1608" s="2748"/>
      <c r="V1608" s="2748"/>
      <c r="W1608" s="2748"/>
      <c r="X1608" s="2748"/>
      <c r="Y1608" s="2748"/>
      <c r="Z1608" s="2748"/>
      <c r="AA1608" s="2748"/>
      <c r="AB1608" s="2748"/>
      <c r="AC1608" s="2748"/>
      <c r="AD1608" s="2748"/>
      <c r="AE1608" s="2748"/>
      <c r="AF1608" s="2748"/>
      <c r="AG1608" s="2748"/>
      <c r="AH1608" s="2748"/>
      <c r="AI1608" s="2748"/>
      <c r="AK1608" s="2748"/>
      <c r="AL1608" s="2748"/>
      <c r="AN1608" s="2748"/>
      <c r="AO1608" s="2748"/>
      <c r="AP1608" s="2748"/>
    </row>
    <row r="1609" spans="2:42" ht="18" customHeight="1">
      <c r="B1609" s="2728"/>
      <c r="C1609" s="2728"/>
      <c r="D1609" s="2728"/>
      <c r="E1609" s="2728"/>
      <c r="G1609" s="2512"/>
      <c r="I1609" s="2748"/>
      <c r="J1609" s="2728"/>
      <c r="L1609" s="2728"/>
      <c r="M1609" s="2748"/>
      <c r="N1609" s="2728"/>
      <c r="O1609" s="2728"/>
      <c r="P1609" s="2728"/>
      <c r="Q1609" s="2748"/>
      <c r="R1609" s="2748"/>
      <c r="S1609" s="2748"/>
      <c r="T1609" s="2748"/>
      <c r="U1609" s="2748"/>
      <c r="V1609" s="2748"/>
      <c r="W1609" s="2748"/>
      <c r="X1609" s="2748"/>
      <c r="Y1609" s="2748"/>
      <c r="Z1609" s="2748"/>
      <c r="AA1609" s="2748"/>
      <c r="AB1609" s="2748"/>
      <c r="AC1609" s="2748"/>
      <c r="AD1609" s="2748"/>
      <c r="AE1609" s="2748"/>
      <c r="AF1609" s="2748"/>
      <c r="AG1609" s="2748"/>
      <c r="AH1609" s="2748"/>
      <c r="AI1609" s="2748"/>
      <c r="AK1609" s="2748"/>
      <c r="AL1609" s="2748"/>
      <c r="AN1609" s="2748"/>
      <c r="AO1609" s="2748"/>
      <c r="AP1609" s="2748"/>
    </row>
    <row r="1610" spans="2:42" ht="18" customHeight="1">
      <c r="B1610" s="2728"/>
      <c r="C1610" s="2728"/>
      <c r="D1610" s="2728"/>
      <c r="E1610" s="2728"/>
      <c r="G1610" s="2512"/>
      <c r="I1610" s="2748"/>
      <c r="J1610" s="2728"/>
      <c r="L1610" s="2728"/>
      <c r="M1610" s="2748"/>
      <c r="N1610" s="2728"/>
      <c r="O1610" s="2728"/>
      <c r="P1610" s="2728"/>
      <c r="Q1610" s="2748"/>
      <c r="R1610" s="2748"/>
      <c r="S1610" s="2748"/>
      <c r="T1610" s="2748"/>
      <c r="U1610" s="2748"/>
      <c r="V1610" s="2748"/>
      <c r="W1610" s="2748"/>
      <c r="X1610" s="2748"/>
      <c r="Y1610" s="2748"/>
      <c r="Z1610" s="2748"/>
      <c r="AA1610" s="2748"/>
      <c r="AB1610" s="2748"/>
      <c r="AC1610" s="2748"/>
      <c r="AD1610" s="2748"/>
      <c r="AE1610" s="2748"/>
      <c r="AF1610" s="2748"/>
      <c r="AG1610" s="2748"/>
      <c r="AH1610" s="2748"/>
      <c r="AI1610" s="2748"/>
      <c r="AK1610" s="2748"/>
      <c r="AL1610" s="2748"/>
      <c r="AN1610" s="2748"/>
      <c r="AO1610" s="2748"/>
      <c r="AP1610" s="2748"/>
    </row>
    <row r="1611" spans="2:42" ht="18" customHeight="1">
      <c r="B1611" s="2728"/>
      <c r="C1611" s="2728"/>
      <c r="D1611" s="2728"/>
      <c r="E1611" s="2728"/>
      <c r="G1611" s="2512"/>
      <c r="I1611" s="2748"/>
      <c r="J1611" s="2728"/>
      <c r="L1611" s="2728"/>
      <c r="M1611" s="2748"/>
      <c r="N1611" s="2728"/>
      <c r="O1611" s="2728"/>
      <c r="P1611" s="2728"/>
      <c r="Q1611" s="2748"/>
      <c r="R1611" s="2748"/>
      <c r="S1611" s="2748"/>
      <c r="T1611" s="2748"/>
      <c r="U1611" s="2748"/>
      <c r="V1611" s="2748"/>
      <c r="W1611" s="2748"/>
      <c r="X1611" s="2748"/>
      <c r="Y1611" s="2748"/>
      <c r="Z1611" s="2748"/>
      <c r="AA1611" s="2748"/>
      <c r="AB1611" s="2748"/>
      <c r="AC1611" s="2748"/>
      <c r="AD1611" s="2748"/>
      <c r="AE1611" s="2748"/>
      <c r="AF1611" s="2748"/>
      <c r="AG1611" s="2748"/>
      <c r="AH1611" s="2748"/>
      <c r="AI1611" s="2748"/>
      <c r="AK1611" s="2748"/>
      <c r="AL1611" s="2748"/>
      <c r="AN1611" s="2748"/>
      <c r="AO1611" s="2748"/>
      <c r="AP1611" s="2748"/>
    </row>
    <row r="1612" spans="2:42" ht="18" customHeight="1">
      <c r="B1612" s="2728"/>
      <c r="C1612" s="2728"/>
      <c r="D1612" s="2728"/>
      <c r="E1612" s="2728"/>
      <c r="G1612" s="2512"/>
      <c r="I1612" s="2748"/>
      <c r="J1612" s="2728"/>
      <c r="L1612" s="2728"/>
      <c r="M1612" s="2748"/>
      <c r="N1612" s="2728"/>
      <c r="O1612" s="2728"/>
      <c r="P1612" s="2728"/>
      <c r="Q1612" s="2748"/>
      <c r="R1612" s="2748"/>
      <c r="S1612" s="2748"/>
      <c r="T1612" s="2748"/>
      <c r="U1612" s="2748"/>
      <c r="V1612" s="2748"/>
      <c r="W1612" s="2748"/>
      <c r="X1612" s="2748"/>
      <c r="Y1612" s="2748"/>
      <c r="Z1612" s="2748"/>
      <c r="AA1612" s="2748"/>
      <c r="AB1612" s="2748"/>
      <c r="AC1612" s="2748"/>
      <c r="AD1612" s="2748"/>
      <c r="AE1612" s="2748"/>
      <c r="AF1612" s="2748"/>
      <c r="AG1612" s="2748"/>
      <c r="AH1612" s="2748"/>
      <c r="AI1612" s="2748"/>
      <c r="AK1612" s="2748"/>
      <c r="AL1612" s="2748"/>
      <c r="AN1612" s="2748"/>
      <c r="AO1612" s="2748"/>
      <c r="AP1612" s="2748"/>
    </row>
    <row r="1613" spans="2:42" ht="18" customHeight="1">
      <c r="B1613" s="2728"/>
      <c r="C1613" s="2728"/>
      <c r="D1613" s="2728"/>
      <c r="E1613" s="2728"/>
      <c r="G1613" s="2512"/>
      <c r="I1613" s="2748"/>
      <c r="J1613" s="2728"/>
      <c r="L1613" s="2728"/>
      <c r="M1613" s="2748"/>
      <c r="N1613" s="2728"/>
      <c r="O1613" s="2728"/>
      <c r="P1613" s="2728"/>
      <c r="Q1613" s="2748"/>
      <c r="R1613" s="2748"/>
      <c r="S1613" s="2748"/>
      <c r="T1613" s="2748"/>
      <c r="U1613" s="2748"/>
      <c r="V1613" s="2748"/>
      <c r="W1613" s="2748"/>
      <c r="X1613" s="2748"/>
      <c r="Y1613" s="2748"/>
      <c r="Z1613" s="2748"/>
      <c r="AA1613" s="2748"/>
      <c r="AB1613" s="2748"/>
      <c r="AC1613" s="2748"/>
      <c r="AD1613" s="2748"/>
      <c r="AE1613" s="2748"/>
      <c r="AF1613" s="2748"/>
      <c r="AG1613" s="2748"/>
      <c r="AH1613" s="2748"/>
      <c r="AI1613" s="2748"/>
      <c r="AK1613" s="2748"/>
      <c r="AL1613" s="2748"/>
      <c r="AN1613" s="2748"/>
      <c r="AO1613" s="2748"/>
      <c r="AP1613" s="2748"/>
    </row>
    <row r="1614" spans="2:42" ht="18" customHeight="1">
      <c r="B1614" s="2728"/>
      <c r="C1614" s="2728"/>
      <c r="D1614" s="2728"/>
      <c r="E1614" s="2728"/>
      <c r="G1614" s="2512"/>
      <c r="I1614" s="2748"/>
      <c r="J1614" s="2728"/>
      <c r="L1614" s="2728"/>
      <c r="M1614" s="2748"/>
      <c r="N1614" s="2728"/>
      <c r="O1614" s="2728"/>
      <c r="P1614" s="2728"/>
      <c r="Q1614" s="2748"/>
      <c r="R1614" s="2748"/>
      <c r="S1614" s="2748"/>
      <c r="T1614" s="2748"/>
      <c r="U1614" s="2748"/>
      <c r="V1614" s="2748"/>
      <c r="W1614" s="2748"/>
      <c r="X1614" s="2748"/>
      <c r="Y1614" s="2748"/>
      <c r="Z1614" s="2748"/>
      <c r="AA1614" s="2748"/>
      <c r="AB1614" s="2748"/>
      <c r="AC1614" s="2748"/>
      <c r="AD1614" s="2748"/>
      <c r="AE1614" s="2748"/>
      <c r="AF1614" s="2748"/>
      <c r="AG1614" s="2748"/>
      <c r="AH1614" s="2748"/>
      <c r="AI1614" s="2748"/>
      <c r="AK1614" s="2748"/>
      <c r="AL1614" s="2748"/>
      <c r="AN1614" s="2748"/>
      <c r="AO1614" s="2748"/>
      <c r="AP1614" s="2748"/>
    </row>
    <row r="1615" spans="2:42" ht="18" customHeight="1">
      <c r="B1615" s="2728"/>
      <c r="C1615" s="2728"/>
      <c r="D1615" s="2728"/>
      <c r="E1615" s="2728"/>
      <c r="G1615" s="2512"/>
      <c r="I1615" s="2748"/>
      <c r="J1615" s="2728"/>
      <c r="L1615" s="2728"/>
      <c r="M1615" s="2748"/>
      <c r="N1615" s="2728"/>
      <c r="O1615" s="2728"/>
      <c r="P1615" s="2728"/>
      <c r="Q1615" s="2748"/>
      <c r="R1615" s="2748"/>
      <c r="S1615" s="2748"/>
      <c r="T1615" s="2748"/>
      <c r="U1615" s="2748"/>
      <c r="V1615" s="2748"/>
      <c r="W1615" s="2748"/>
      <c r="X1615" s="2748"/>
      <c r="Y1615" s="2748"/>
      <c r="Z1615" s="2748"/>
      <c r="AA1615" s="2748"/>
      <c r="AB1615" s="2748"/>
      <c r="AC1615" s="2748"/>
      <c r="AD1615" s="2748"/>
      <c r="AE1615" s="2748"/>
      <c r="AF1615" s="2748"/>
      <c r="AG1615" s="2748"/>
      <c r="AH1615" s="2748"/>
      <c r="AI1615" s="2748"/>
      <c r="AK1615" s="2748"/>
      <c r="AL1615" s="2748"/>
      <c r="AN1615" s="2748"/>
      <c r="AO1615" s="2748"/>
      <c r="AP1615" s="2748"/>
    </row>
    <row r="1616" spans="2:42" ht="18" customHeight="1">
      <c r="B1616" s="2728"/>
      <c r="C1616" s="2728"/>
      <c r="D1616" s="2728"/>
      <c r="E1616" s="2728"/>
      <c r="G1616" s="2512"/>
      <c r="I1616" s="2748"/>
      <c r="J1616" s="2728"/>
      <c r="L1616" s="2728"/>
      <c r="M1616" s="2748"/>
      <c r="N1616" s="2728"/>
      <c r="O1616" s="2728"/>
      <c r="P1616" s="2728"/>
      <c r="Q1616" s="2748"/>
      <c r="R1616" s="2748"/>
      <c r="S1616" s="2748"/>
      <c r="T1616" s="2748"/>
      <c r="U1616" s="2748"/>
      <c r="V1616" s="2748"/>
      <c r="W1616" s="2748"/>
      <c r="X1616" s="2748"/>
      <c r="Y1616" s="2748"/>
      <c r="Z1616" s="2748"/>
      <c r="AA1616" s="2748"/>
      <c r="AB1616" s="2748"/>
      <c r="AC1616" s="2748"/>
      <c r="AD1616" s="2748"/>
      <c r="AE1616" s="2748"/>
      <c r="AF1616" s="2748"/>
      <c r="AG1616" s="2748"/>
      <c r="AH1616" s="2748"/>
      <c r="AI1616" s="2748"/>
      <c r="AK1616" s="2748"/>
      <c r="AL1616" s="2748"/>
      <c r="AN1616" s="2748"/>
      <c r="AO1616" s="2748"/>
      <c r="AP1616" s="2748"/>
    </row>
    <row r="1617" spans="2:42" ht="18" customHeight="1">
      <c r="B1617" s="2728"/>
      <c r="C1617" s="2728"/>
      <c r="D1617" s="2728"/>
      <c r="E1617" s="2728"/>
      <c r="G1617" s="2512"/>
      <c r="I1617" s="2748"/>
      <c r="J1617" s="2728"/>
      <c r="L1617" s="2728"/>
      <c r="M1617" s="2748"/>
      <c r="N1617" s="2728"/>
      <c r="O1617" s="2728"/>
      <c r="P1617" s="2728"/>
      <c r="Q1617" s="2748"/>
      <c r="R1617" s="2748"/>
      <c r="S1617" s="2748"/>
      <c r="T1617" s="2748"/>
      <c r="U1617" s="2748"/>
      <c r="V1617" s="2748"/>
      <c r="W1617" s="2748"/>
      <c r="X1617" s="2748"/>
      <c r="Y1617" s="2748"/>
      <c r="Z1617" s="2748"/>
      <c r="AA1617" s="2748"/>
      <c r="AB1617" s="2748"/>
      <c r="AC1617" s="2748"/>
      <c r="AD1617" s="2748"/>
      <c r="AE1617" s="2748"/>
      <c r="AF1617" s="2748"/>
      <c r="AG1617" s="2748"/>
      <c r="AH1617" s="2748"/>
      <c r="AI1617" s="2748"/>
      <c r="AK1617" s="2748"/>
      <c r="AL1617" s="2748"/>
      <c r="AN1617" s="2748"/>
      <c r="AO1617" s="2748"/>
      <c r="AP1617" s="2748"/>
    </row>
    <row r="1618" spans="2:42" ht="18" customHeight="1">
      <c r="B1618" s="2728"/>
      <c r="C1618" s="2728"/>
      <c r="D1618" s="2728"/>
      <c r="E1618" s="2728"/>
      <c r="G1618" s="2512"/>
      <c r="I1618" s="2748"/>
      <c r="J1618" s="2728"/>
      <c r="L1618" s="2728"/>
      <c r="M1618" s="2748"/>
      <c r="N1618" s="2728"/>
      <c r="O1618" s="2728"/>
      <c r="P1618" s="2728"/>
      <c r="Q1618" s="2748"/>
      <c r="R1618" s="2748"/>
      <c r="S1618" s="2748"/>
      <c r="T1618" s="2748"/>
      <c r="U1618" s="2748"/>
      <c r="V1618" s="2748"/>
      <c r="W1618" s="2748"/>
      <c r="X1618" s="2748"/>
      <c r="Y1618" s="2748"/>
      <c r="Z1618" s="2748"/>
      <c r="AA1618" s="2748"/>
      <c r="AB1618" s="2748"/>
      <c r="AC1618" s="2748"/>
      <c r="AD1618" s="2748"/>
      <c r="AE1618" s="2748"/>
      <c r="AF1618" s="2748"/>
      <c r="AG1618" s="2748"/>
      <c r="AH1618" s="2748"/>
      <c r="AI1618" s="2748"/>
      <c r="AK1618" s="2748"/>
      <c r="AL1618" s="2748"/>
      <c r="AN1618" s="2748"/>
      <c r="AO1618" s="2748"/>
      <c r="AP1618" s="2748"/>
    </row>
    <row r="1619" spans="2:42" ht="18" customHeight="1">
      <c r="B1619" s="2728"/>
      <c r="C1619" s="2728"/>
      <c r="D1619" s="2728"/>
      <c r="E1619" s="2728"/>
      <c r="G1619" s="2512"/>
      <c r="I1619" s="2748"/>
      <c r="J1619" s="2728"/>
      <c r="L1619" s="2728"/>
      <c r="M1619" s="2748"/>
      <c r="N1619" s="2728"/>
      <c r="O1619" s="2728"/>
      <c r="P1619" s="2728"/>
      <c r="Q1619" s="2748"/>
      <c r="R1619" s="2748"/>
      <c r="S1619" s="2748"/>
      <c r="T1619" s="2748"/>
      <c r="U1619" s="2748"/>
      <c r="V1619" s="2748"/>
      <c r="W1619" s="2748"/>
      <c r="X1619" s="2748"/>
      <c r="Y1619" s="2748"/>
      <c r="Z1619" s="2748"/>
      <c r="AA1619" s="2748"/>
      <c r="AB1619" s="2748"/>
      <c r="AC1619" s="2748"/>
      <c r="AD1619" s="2748"/>
      <c r="AE1619" s="2748"/>
      <c r="AF1619" s="2748"/>
      <c r="AG1619" s="2748"/>
      <c r="AH1619" s="2748"/>
      <c r="AI1619" s="2748"/>
      <c r="AK1619" s="2748"/>
      <c r="AL1619" s="2748"/>
      <c r="AN1619" s="2748"/>
      <c r="AO1619" s="2748"/>
      <c r="AP1619" s="2748"/>
    </row>
    <row r="1620" spans="2:42" ht="18" customHeight="1">
      <c r="B1620" s="2728"/>
      <c r="C1620" s="2728"/>
      <c r="D1620" s="2728"/>
      <c r="E1620" s="2728"/>
      <c r="G1620" s="2512"/>
      <c r="I1620" s="2748"/>
      <c r="J1620" s="2728"/>
      <c r="L1620" s="2728"/>
      <c r="M1620" s="2748"/>
      <c r="N1620" s="2728"/>
      <c r="O1620" s="2728"/>
      <c r="P1620" s="2728"/>
      <c r="Q1620" s="2748"/>
      <c r="R1620" s="2748"/>
      <c r="S1620" s="2748"/>
      <c r="T1620" s="2748"/>
      <c r="U1620" s="2748"/>
      <c r="V1620" s="2748"/>
      <c r="W1620" s="2748"/>
      <c r="X1620" s="2748"/>
      <c r="Y1620" s="2748"/>
      <c r="Z1620" s="2748"/>
      <c r="AA1620" s="2748"/>
      <c r="AB1620" s="2748"/>
      <c r="AC1620" s="2748"/>
      <c r="AD1620" s="2748"/>
      <c r="AE1620" s="2748"/>
      <c r="AF1620" s="2748"/>
      <c r="AG1620" s="2748"/>
      <c r="AH1620" s="2748"/>
      <c r="AI1620" s="2748"/>
      <c r="AK1620" s="2748"/>
      <c r="AL1620" s="2748"/>
      <c r="AN1620" s="2748"/>
      <c r="AO1620" s="2748"/>
      <c r="AP1620" s="2748"/>
    </row>
    <row r="1621" spans="2:42" ht="18" customHeight="1">
      <c r="B1621" s="2728"/>
      <c r="C1621" s="2728"/>
      <c r="D1621" s="2728"/>
      <c r="E1621" s="2728"/>
      <c r="G1621" s="2512"/>
      <c r="I1621" s="2748"/>
      <c r="J1621" s="2728"/>
      <c r="L1621" s="2728"/>
      <c r="M1621" s="2748"/>
      <c r="N1621" s="2728"/>
      <c r="O1621" s="2728"/>
      <c r="P1621" s="2728"/>
      <c r="Q1621" s="2748"/>
      <c r="R1621" s="2748"/>
      <c r="S1621" s="2748"/>
      <c r="T1621" s="2748"/>
      <c r="U1621" s="2748"/>
      <c r="V1621" s="2748"/>
      <c r="W1621" s="2748"/>
      <c r="X1621" s="2748"/>
      <c r="Y1621" s="2748"/>
      <c r="Z1621" s="2748"/>
      <c r="AA1621" s="2748"/>
      <c r="AB1621" s="2748"/>
      <c r="AC1621" s="2748"/>
      <c r="AD1621" s="2748"/>
      <c r="AE1621" s="2748"/>
      <c r="AF1621" s="2748"/>
      <c r="AG1621" s="2748"/>
      <c r="AH1621" s="2748"/>
      <c r="AI1621" s="2748"/>
      <c r="AK1621" s="2748"/>
      <c r="AL1621" s="2748"/>
      <c r="AN1621" s="2748"/>
      <c r="AO1621" s="2748"/>
      <c r="AP1621" s="2748"/>
    </row>
    <row r="1622" spans="2:42" ht="18" customHeight="1">
      <c r="B1622" s="2728"/>
      <c r="C1622" s="2728"/>
      <c r="D1622" s="2728"/>
      <c r="E1622" s="2728"/>
      <c r="G1622" s="2512"/>
      <c r="I1622" s="2748"/>
      <c r="J1622" s="2728"/>
      <c r="L1622" s="2728"/>
      <c r="M1622" s="2748"/>
      <c r="N1622" s="2728"/>
      <c r="O1622" s="2728"/>
      <c r="P1622" s="2728"/>
      <c r="Q1622" s="2748"/>
      <c r="R1622" s="2748"/>
      <c r="S1622" s="2748"/>
      <c r="T1622" s="2748"/>
      <c r="U1622" s="2748"/>
      <c r="V1622" s="2748"/>
      <c r="W1622" s="2748"/>
      <c r="X1622" s="2748"/>
      <c r="Y1622" s="2748"/>
      <c r="Z1622" s="2748"/>
      <c r="AA1622" s="2748"/>
      <c r="AB1622" s="2748"/>
      <c r="AC1622" s="2748"/>
      <c r="AD1622" s="2748"/>
      <c r="AE1622" s="2748"/>
      <c r="AF1622" s="2748"/>
      <c r="AG1622" s="2748"/>
      <c r="AH1622" s="2748"/>
      <c r="AI1622" s="2748"/>
      <c r="AK1622" s="2748"/>
      <c r="AL1622" s="2748"/>
      <c r="AN1622" s="2748"/>
      <c r="AO1622" s="2748"/>
      <c r="AP1622" s="2748"/>
    </row>
    <row r="1623" spans="2:42" ht="18" customHeight="1">
      <c r="B1623" s="2728"/>
      <c r="C1623" s="2728"/>
      <c r="D1623" s="2728"/>
      <c r="E1623" s="2728"/>
      <c r="G1623" s="2512"/>
      <c r="I1623" s="2748"/>
      <c r="J1623" s="2728"/>
      <c r="L1623" s="2728"/>
      <c r="M1623" s="2748"/>
      <c r="N1623" s="2728"/>
      <c r="O1623" s="2728"/>
      <c r="P1623" s="2728"/>
      <c r="Q1623" s="2748"/>
      <c r="R1623" s="2748"/>
      <c r="S1623" s="2748"/>
      <c r="T1623" s="2748"/>
      <c r="U1623" s="2748"/>
      <c r="V1623" s="2748"/>
      <c r="W1623" s="2748"/>
      <c r="X1623" s="2748"/>
      <c r="Y1623" s="2748"/>
      <c r="Z1623" s="2748"/>
      <c r="AA1623" s="2748"/>
      <c r="AB1623" s="2748"/>
      <c r="AC1623" s="2748"/>
      <c r="AD1623" s="2748"/>
      <c r="AE1623" s="2748"/>
      <c r="AF1623" s="2748"/>
      <c r="AG1623" s="2748"/>
      <c r="AH1623" s="2748"/>
      <c r="AI1623" s="2748"/>
      <c r="AK1623" s="2748"/>
      <c r="AL1623" s="2748"/>
      <c r="AN1623" s="2748"/>
      <c r="AO1623" s="2748"/>
      <c r="AP1623" s="2748"/>
    </row>
    <row r="1624" spans="2:42" ht="18" customHeight="1">
      <c r="B1624" s="2728"/>
      <c r="C1624" s="2728"/>
      <c r="D1624" s="2728"/>
      <c r="E1624" s="2728"/>
      <c r="G1624" s="2512"/>
      <c r="I1624" s="2748"/>
      <c r="J1624" s="2728"/>
      <c r="L1624" s="2728"/>
      <c r="M1624" s="2748"/>
      <c r="N1624" s="2728"/>
      <c r="O1624" s="2728"/>
      <c r="P1624" s="2728"/>
      <c r="Q1624" s="2748"/>
      <c r="R1624" s="2748"/>
      <c r="S1624" s="2748"/>
      <c r="T1624" s="2748"/>
      <c r="U1624" s="2748"/>
      <c r="V1624" s="2748"/>
      <c r="W1624" s="2748"/>
      <c r="X1624" s="2748"/>
      <c r="Y1624" s="2748"/>
      <c r="Z1624" s="2748"/>
      <c r="AA1624" s="2748"/>
      <c r="AB1624" s="2748"/>
      <c r="AC1624" s="2748"/>
      <c r="AD1624" s="2748"/>
      <c r="AE1624" s="2748"/>
      <c r="AF1624" s="2748"/>
      <c r="AG1624" s="2748"/>
      <c r="AH1624" s="2748"/>
      <c r="AI1624" s="2748"/>
      <c r="AK1624" s="2748"/>
      <c r="AL1624" s="2748"/>
      <c r="AN1624" s="2748"/>
      <c r="AO1624" s="2748"/>
      <c r="AP1624" s="2748"/>
    </row>
    <row r="1625" spans="2:42" ht="18" customHeight="1">
      <c r="B1625" s="2728"/>
      <c r="C1625" s="2728"/>
      <c r="D1625" s="2728"/>
      <c r="E1625" s="2728"/>
      <c r="G1625" s="2512"/>
      <c r="I1625" s="2748"/>
      <c r="J1625" s="2728"/>
      <c r="L1625" s="2728"/>
      <c r="M1625" s="2748"/>
      <c r="N1625" s="2728"/>
      <c r="O1625" s="2728"/>
      <c r="P1625" s="2728"/>
      <c r="Q1625" s="2748"/>
      <c r="R1625" s="2748"/>
      <c r="S1625" s="2748"/>
      <c r="T1625" s="2748"/>
      <c r="U1625" s="2748"/>
      <c r="V1625" s="2748"/>
      <c r="W1625" s="2748"/>
      <c r="X1625" s="2748"/>
      <c r="Y1625" s="2748"/>
      <c r="Z1625" s="2748"/>
      <c r="AA1625" s="2748"/>
      <c r="AB1625" s="2748"/>
      <c r="AC1625" s="2748"/>
      <c r="AD1625" s="2748"/>
      <c r="AE1625" s="2748"/>
      <c r="AF1625" s="2748"/>
      <c r="AG1625" s="2748"/>
      <c r="AH1625" s="2748"/>
      <c r="AI1625" s="2748"/>
      <c r="AK1625" s="2748"/>
      <c r="AL1625" s="2748"/>
      <c r="AN1625" s="2748"/>
      <c r="AO1625" s="2748"/>
      <c r="AP1625" s="2748"/>
    </row>
    <row r="1626" spans="2:42" ht="18" customHeight="1">
      <c r="B1626" s="2728"/>
      <c r="C1626" s="2728"/>
      <c r="D1626" s="2728"/>
      <c r="E1626" s="2728"/>
      <c r="G1626" s="2512"/>
      <c r="I1626" s="2748"/>
      <c r="J1626" s="2728"/>
      <c r="L1626" s="2728"/>
      <c r="M1626" s="2748"/>
      <c r="N1626" s="2728"/>
      <c r="O1626" s="2728"/>
      <c r="P1626" s="2728"/>
      <c r="Q1626" s="2748"/>
      <c r="R1626" s="2748"/>
      <c r="S1626" s="2748"/>
      <c r="T1626" s="2748"/>
      <c r="U1626" s="2748"/>
      <c r="V1626" s="2748"/>
      <c r="W1626" s="2748"/>
      <c r="X1626" s="2748"/>
      <c r="Y1626" s="2748"/>
      <c r="Z1626" s="2748"/>
      <c r="AA1626" s="2748"/>
      <c r="AB1626" s="2748"/>
      <c r="AC1626" s="2748"/>
      <c r="AD1626" s="2748"/>
      <c r="AE1626" s="2748"/>
      <c r="AF1626" s="2748"/>
      <c r="AG1626" s="2748"/>
      <c r="AH1626" s="2748"/>
      <c r="AI1626" s="2748"/>
      <c r="AK1626" s="2748"/>
      <c r="AL1626" s="2748"/>
      <c r="AN1626" s="2748"/>
      <c r="AO1626" s="2748"/>
      <c r="AP1626" s="2748"/>
    </row>
    <row r="1627" spans="2:42" ht="18" customHeight="1">
      <c r="B1627" s="2728"/>
      <c r="C1627" s="2728"/>
      <c r="D1627" s="2728"/>
      <c r="E1627" s="2728"/>
      <c r="G1627" s="2512"/>
      <c r="I1627" s="2748"/>
      <c r="J1627" s="2728"/>
      <c r="L1627" s="2728"/>
      <c r="M1627" s="2748"/>
      <c r="N1627" s="2728"/>
      <c r="O1627" s="2728"/>
      <c r="P1627" s="2728"/>
      <c r="Q1627" s="2748"/>
      <c r="R1627" s="2748"/>
      <c r="S1627" s="2748"/>
      <c r="T1627" s="2748"/>
      <c r="U1627" s="2748"/>
      <c r="V1627" s="2748"/>
      <c r="W1627" s="2748"/>
      <c r="X1627" s="2748"/>
      <c r="Y1627" s="2748"/>
      <c r="Z1627" s="2748"/>
      <c r="AA1627" s="2748"/>
      <c r="AB1627" s="2748"/>
      <c r="AC1627" s="2748"/>
      <c r="AD1627" s="2748"/>
      <c r="AE1627" s="2748"/>
      <c r="AF1627" s="2748"/>
      <c r="AG1627" s="2748"/>
      <c r="AH1627" s="2748"/>
      <c r="AI1627" s="2748"/>
      <c r="AK1627" s="2748"/>
      <c r="AL1627" s="2748"/>
      <c r="AN1627" s="2748"/>
      <c r="AO1627" s="2748"/>
      <c r="AP1627" s="2748"/>
    </row>
    <row r="1628" spans="2:42" ht="18" customHeight="1">
      <c r="B1628" s="2728"/>
      <c r="C1628" s="2728"/>
      <c r="D1628" s="2728"/>
      <c r="E1628" s="2728"/>
      <c r="G1628" s="2512"/>
      <c r="I1628" s="2748"/>
      <c r="J1628" s="2728"/>
      <c r="L1628" s="2728"/>
      <c r="M1628" s="2748"/>
      <c r="N1628" s="2728"/>
      <c r="O1628" s="2728"/>
      <c r="P1628" s="2728"/>
      <c r="Q1628" s="2748"/>
      <c r="R1628" s="2748"/>
      <c r="S1628" s="2748"/>
      <c r="T1628" s="2748"/>
      <c r="U1628" s="2748"/>
      <c r="V1628" s="2748"/>
      <c r="W1628" s="2748"/>
      <c r="X1628" s="2748"/>
      <c r="Y1628" s="2748"/>
      <c r="Z1628" s="2748"/>
      <c r="AA1628" s="2748"/>
      <c r="AB1628" s="2748"/>
      <c r="AC1628" s="2748"/>
      <c r="AD1628" s="2748"/>
      <c r="AE1628" s="2748"/>
      <c r="AF1628" s="2748"/>
      <c r="AG1628" s="2748"/>
      <c r="AH1628" s="2748"/>
      <c r="AI1628" s="2748"/>
      <c r="AK1628" s="2748"/>
      <c r="AL1628" s="2748"/>
      <c r="AN1628" s="2748"/>
      <c r="AO1628" s="2748"/>
      <c r="AP1628" s="2748"/>
    </row>
    <row r="1629" spans="2:42" ht="18" customHeight="1">
      <c r="B1629" s="2728"/>
      <c r="C1629" s="2728"/>
      <c r="D1629" s="2728"/>
      <c r="E1629" s="2728"/>
      <c r="G1629" s="2512"/>
      <c r="I1629" s="2748"/>
      <c r="J1629" s="2728"/>
      <c r="L1629" s="2728"/>
      <c r="M1629" s="2748"/>
      <c r="N1629" s="2728"/>
      <c r="O1629" s="2728"/>
      <c r="P1629" s="2728"/>
      <c r="Q1629" s="2748"/>
      <c r="R1629" s="2748"/>
      <c r="S1629" s="2748"/>
      <c r="T1629" s="2748"/>
      <c r="U1629" s="2748"/>
      <c r="V1629" s="2748"/>
      <c r="W1629" s="2748"/>
      <c r="X1629" s="2748"/>
      <c r="Y1629" s="2748"/>
      <c r="Z1629" s="2748"/>
      <c r="AA1629" s="2748"/>
      <c r="AB1629" s="2748"/>
      <c r="AC1629" s="2748"/>
      <c r="AD1629" s="2748"/>
      <c r="AE1629" s="2748"/>
      <c r="AF1629" s="2748"/>
      <c r="AG1629" s="2748"/>
      <c r="AH1629" s="2748"/>
      <c r="AI1629" s="2748"/>
      <c r="AK1629" s="2748"/>
      <c r="AL1629" s="2748"/>
      <c r="AN1629" s="2748"/>
      <c r="AO1629" s="2748"/>
      <c r="AP1629" s="2748"/>
    </row>
    <row r="1630" spans="2:42" ht="18" customHeight="1">
      <c r="B1630" s="2728"/>
      <c r="C1630" s="2728"/>
      <c r="D1630" s="2728"/>
      <c r="E1630" s="2728"/>
      <c r="G1630" s="2512"/>
      <c r="I1630" s="2748"/>
      <c r="J1630" s="2728"/>
      <c r="L1630" s="2728"/>
      <c r="M1630" s="2748"/>
      <c r="N1630" s="2728"/>
      <c r="O1630" s="2728"/>
      <c r="P1630" s="2728"/>
      <c r="Q1630" s="2748"/>
      <c r="R1630" s="2748"/>
      <c r="S1630" s="2748"/>
      <c r="T1630" s="2748"/>
      <c r="U1630" s="2748"/>
      <c r="V1630" s="2748"/>
      <c r="W1630" s="2748"/>
      <c r="X1630" s="2748"/>
      <c r="Y1630" s="2748"/>
      <c r="Z1630" s="2748"/>
      <c r="AA1630" s="2748"/>
      <c r="AB1630" s="2748"/>
      <c r="AC1630" s="2748"/>
      <c r="AD1630" s="2748"/>
      <c r="AE1630" s="2748"/>
      <c r="AF1630" s="2748"/>
      <c r="AG1630" s="2748"/>
      <c r="AH1630" s="2748"/>
      <c r="AI1630" s="2748"/>
      <c r="AK1630" s="2748"/>
      <c r="AL1630" s="2748"/>
      <c r="AN1630" s="2748"/>
      <c r="AO1630" s="2748"/>
      <c r="AP1630" s="2748"/>
    </row>
    <row r="1631" spans="2:42" ht="18" customHeight="1">
      <c r="B1631" s="2728"/>
      <c r="C1631" s="2728"/>
      <c r="D1631" s="2728"/>
      <c r="E1631" s="2728"/>
      <c r="G1631" s="2512"/>
      <c r="I1631" s="2748"/>
      <c r="J1631" s="2728"/>
      <c r="L1631" s="2728"/>
      <c r="M1631" s="2748"/>
      <c r="N1631" s="2728"/>
      <c r="O1631" s="2728"/>
      <c r="P1631" s="2728"/>
      <c r="Q1631" s="2748"/>
      <c r="R1631" s="2748"/>
      <c r="S1631" s="2748"/>
      <c r="T1631" s="2748"/>
      <c r="U1631" s="2748"/>
      <c r="V1631" s="2748"/>
      <c r="W1631" s="2748"/>
      <c r="X1631" s="2748"/>
      <c r="Y1631" s="2748"/>
      <c r="Z1631" s="2748"/>
      <c r="AA1631" s="2748"/>
      <c r="AB1631" s="2748"/>
      <c r="AC1631" s="2748"/>
      <c r="AD1631" s="2748"/>
      <c r="AE1631" s="2748"/>
      <c r="AF1631" s="2748"/>
      <c r="AG1631" s="2748"/>
      <c r="AH1631" s="2748"/>
      <c r="AI1631" s="2748"/>
      <c r="AK1631" s="2748"/>
      <c r="AL1631" s="2748"/>
      <c r="AN1631" s="2748"/>
      <c r="AO1631" s="2748"/>
      <c r="AP1631" s="2748"/>
    </row>
    <row r="1632" spans="2:42" ht="18" customHeight="1">
      <c r="B1632" s="2728"/>
      <c r="C1632" s="2728"/>
      <c r="D1632" s="2728"/>
      <c r="E1632" s="2728"/>
      <c r="G1632" s="2512"/>
      <c r="I1632" s="2748"/>
      <c r="J1632" s="2728"/>
      <c r="L1632" s="2728"/>
      <c r="M1632" s="2748"/>
      <c r="N1632" s="2728"/>
      <c r="O1632" s="2728"/>
      <c r="P1632" s="2728"/>
      <c r="Q1632" s="2748"/>
      <c r="R1632" s="2748"/>
      <c r="S1632" s="2748"/>
      <c r="T1632" s="2748"/>
      <c r="U1632" s="2748"/>
      <c r="V1632" s="2748"/>
      <c r="W1632" s="2748"/>
      <c r="X1632" s="2748"/>
      <c r="Y1632" s="2748"/>
      <c r="Z1632" s="2748"/>
      <c r="AA1632" s="2748"/>
      <c r="AB1632" s="2748"/>
      <c r="AC1632" s="2748"/>
      <c r="AD1632" s="2748"/>
      <c r="AE1632" s="2748"/>
      <c r="AF1632" s="2748"/>
      <c r="AG1632" s="2748"/>
      <c r="AH1632" s="2748"/>
      <c r="AI1632" s="2748"/>
      <c r="AK1632" s="2748"/>
      <c r="AL1632" s="2748"/>
      <c r="AN1632" s="2748"/>
      <c r="AO1632" s="2748"/>
      <c r="AP1632" s="2748"/>
    </row>
    <row r="1633" spans="2:42" ht="18" customHeight="1">
      <c r="B1633" s="2728"/>
      <c r="C1633" s="2728"/>
      <c r="D1633" s="2728"/>
      <c r="E1633" s="2728"/>
      <c r="G1633" s="2512"/>
      <c r="I1633" s="2748"/>
      <c r="J1633" s="2728"/>
      <c r="L1633" s="2728"/>
      <c r="M1633" s="2748"/>
      <c r="N1633" s="2728"/>
      <c r="O1633" s="2728"/>
      <c r="P1633" s="2728"/>
      <c r="Q1633" s="2748"/>
      <c r="R1633" s="2748"/>
      <c r="S1633" s="2748"/>
      <c r="T1633" s="2748"/>
      <c r="U1633" s="2748"/>
      <c r="V1633" s="2748"/>
      <c r="W1633" s="2748"/>
      <c r="X1633" s="2748"/>
      <c r="Y1633" s="2748"/>
      <c r="Z1633" s="2748"/>
      <c r="AA1633" s="2748"/>
      <c r="AB1633" s="2748"/>
      <c r="AC1633" s="2748"/>
      <c r="AD1633" s="2748"/>
      <c r="AE1633" s="2748"/>
      <c r="AF1633" s="2748"/>
      <c r="AG1633" s="2748"/>
      <c r="AH1633" s="2748"/>
      <c r="AI1633" s="2748"/>
      <c r="AK1633" s="2748"/>
      <c r="AL1633" s="2748"/>
      <c r="AN1633" s="2748"/>
      <c r="AO1633" s="2748"/>
      <c r="AP1633" s="2748"/>
    </row>
    <row r="1634" spans="2:42" ht="18" customHeight="1">
      <c r="B1634" s="2728"/>
      <c r="C1634" s="2728"/>
      <c r="D1634" s="2728"/>
      <c r="E1634" s="2728"/>
      <c r="G1634" s="2512"/>
      <c r="I1634" s="2748"/>
      <c r="J1634" s="2728"/>
      <c r="L1634" s="2728"/>
      <c r="M1634" s="2748"/>
      <c r="N1634" s="2728"/>
      <c r="O1634" s="2728"/>
      <c r="P1634" s="2728"/>
      <c r="Q1634" s="2748"/>
      <c r="R1634" s="2748"/>
      <c r="S1634" s="2748"/>
      <c r="T1634" s="2748"/>
      <c r="U1634" s="2748"/>
      <c r="V1634" s="2748"/>
      <c r="W1634" s="2748"/>
      <c r="X1634" s="2748"/>
      <c r="Y1634" s="2748"/>
      <c r="Z1634" s="2748"/>
      <c r="AA1634" s="2748"/>
      <c r="AB1634" s="2748"/>
      <c r="AC1634" s="2748"/>
      <c r="AD1634" s="2748"/>
      <c r="AE1634" s="2748"/>
      <c r="AF1634" s="2748"/>
      <c r="AG1634" s="2748"/>
      <c r="AH1634" s="2748"/>
      <c r="AI1634" s="2748"/>
      <c r="AK1634" s="2748"/>
      <c r="AL1634" s="2748"/>
      <c r="AN1634" s="2748"/>
      <c r="AO1634" s="2748"/>
      <c r="AP1634" s="2748"/>
    </row>
    <row r="1635" spans="2:42" ht="18" customHeight="1">
      <c r="B1635" s="2728"/>
      <c r="C1635" s="2728"/>
      <c r="D1635" s="2728"/>
      <c r="E1635" s="2728"/>
      <c r="G1635" s="2512"/>
      <c r="I1635" s="2748"/>
      <c r="J1635" s="2728"/>
      <c r="L1635" s="2728"/>
      <c r="M1635" s="2748"/>
      <c r="N1635" s="2728"/>
      <c r="O1635" s="2728"/>
      <c r="P1635" s="2728"/>
      <c r="Q1635" s="2748"/>
      <c r="R1635" s="2748"/>
      <c r="S1635" s="2748"/>
      <c r="T1635" s="2748"/>
      <c r="U1635" s="2748"/>
      <c r="V1635" s="2748"/>
      <c r="W1635" s="2748"/>
      <c r="X1635" s="2748"/>
      <c r="Y1635" s="2748"/>
      <c r="Z1635" s="2748"/>
      <c r="AA1635" s="2748"/>
      <c r="AB1635" s="2748"/>
      <c r="AC1635" s="2748"/>
      <c r="AD1635" s="2748"/>
      <c r="AE1635" s="2748"/>
      <c r="AF1635" s="2748"/>
      <c r="AG1635" s="2748"/>
      <c r="AH1635" s="2748"/>
      <c r="AI1635" s="2748"/>
      <c r="AK1635" s="2748"/>
      <c r="AL1635" s="2748"/>
      <c r="AN1635" s="2748"/>
      <c r="AO1635" s="2748"/>
      <c r="AP1635" s="2748"/>
    </row>
    <row r="1636" spans="2:42" ht="18" customHeight="1">
      <c r="B1636" s="2728"/>
      <c r="C1636" s="2728"/>
      <c r="D1636" s="2728"/>
      <c r="E1636" s="2728"/>
      <c r="G1636" s="2512"/>
      <c r="I1636" s="2748"/>
      <c r="J1636" s="2728"/>
      <c r="L1636" s="2728"/>
      <c r="M1636" s="2748"/>
      <c r="N1636" s="2728"/>
      <c r="O1636" s="2728"/>
      <c r="P1636" s="2728"/>
      <c r="Q1636" s="2748"/>
      <c r="R1636" s="2748"/>
      <c r="S1636" s="2748"/>
      <c r="T1636" s="2748"/>
      <c r="U1636" s="2748"/>
      <c r="V1636" s="2748"/>
      <c r="W1636" s="2748"/>
      <c r="X1636" s="2748"/>
      <c r="Y1636" s="2748"/>
      <c r="Z1636" s="2748"/>
      <c r="AA1636" s="2748"/>
      <c r="AB1636" s="2748"/>
      <c r="AC1636" s="2748"/>
      <c r="AD1636" s="2748"/>
      <c r="AE1636" s="2748"/>
      <c r="AF1636" s="2748"/>
      <c r="AG1636" s="2748"/>
      <c r="AH1636" s="2748"/>
      <c r="AI1636" s="2748"/>
      <c r="AK1636" s="2748"/>
      <c r="AL1636" s="2748"/>
      <c r="AN1636" s="2748"/>
      <c r="AO1636" s="2748"/>
      <c r="AP1636" s="2748"/>
    </row>
    <row r="1637" spans="2:42" ht="18" customHeight="1">
      <c r="B1637" s="2728"/>
      <c r="C1637" s="2728"/>
      <c r="D1637" s="2728"/>
      <c r="E1637" s="2728"/>
      <c r="G1637" s="2512"/>
      <c r="I1637" s="2748"/>
      <c r="J1637" s="2728"/>
      <c r="L1637" s="2728"/>
      <c r="M1637" s="2748"/>
      <c r="N1637" s="2728"/>
      <c r="O1637" s="2728"/>
      <c r="P1637" s="2728"/>
      <c r="Q1637" s="2748"/>
      <c r="R1637" s="2748"/>
      <c r="S1637" s="2748"/>
      <c r="T1637" s="2748"/>
      <c r="U1637" s="2748"/>
      <c r="V1637" s="2748"/>
      <c r="W1637" s="2748"/>
      <c r="X1637" s="2748"/>
      <c r="Y1637" s="2748"/>
      <c r="Z1637" s="2748"/>
      <c r="AA1637" s="2748"/>
      <c r="AB1637" s="2748"/>
      <c r="AC1637" s="2748"/>
      <c r="AD1637" s="2748"/>
      <c r="AE1637" s="2748"/>
      <c r="AF1637" s="2748"/>
      <c r="AG1637" s="2748"/>
      <c r="AH1637" s="2748"/>
      <c r="AI1637" s="2748"/>
      <c r="AK1637" s="2748"/>
      <c r="AL1637" s="2748"/>
      <c r="AN1637" s="2748"/>
      <c r="AO1637" s="2748"/>
      <c r="AP1637" s="2748"/>
    </row>
    <row r="1638" spans="2:42" ht="18" customHeight="1">
      <c r="B1638" s="2728"/>
      <c r="C1638" s="2728"/>
      <c r="D1638" s="2728"/>
      <c r="E1638" s="2728"/>
      <c r="G1638" s="2512"/>
      <c r="I1638" s="2748"/>
      <c r="J1638" s="2728"/>
      <c r="L1638" s="2728"/>
      <c r="M1638" s="2748"/>
      <c r="N1638" s="2728"/>
      <c r="O1638" s="2728"/>
      <c r="P1638" s="2728"/>
      <c r="Q1638" s="2748"/>
      <c r="R1638" s="2748"/>
      <c r="S1638" s="2748"/>
      <c r="T1638" s="2748"/>
      <c r="U1638" s="2748"/>
      <c r="V1638" s="2748"/>
      <c r="W1638" s="2748"/>
      <c r="X1638" s="2748"/>
      <c r="Y1638" s="2748"/>
      <c r="Z1638" s="2748"/>
      <c r="AA1638" s="2748"/>
      <c r="AB1638" s="2748"/>
      <c r="AC1638" s="2748"/>
      <c r="AD1638" s="2748"/>
      <c r="AE1638" s="2748"/>
      <c r="AF1638" s="2748"/>
      <c r="AG1638" s="2748"/>
      <c r="AH1638" s="2748"/>
      <c r="AI1638" s="2748"/>
      <c r="AK1638" s="2748"/>
      <c r="AL1638" s="2748"/>
      <c r="AN1638" s="2748"/>
      <c r="AO1638" s="2748"/>
      <c r="AP1638" s="2748"/>
    </row>
    <row r="1639" spans="2:42" ht="18" customHeight="1">
      <c r="B1639" s="2728"/>
      <c r="C1639" s="2728"/>
      <c r="D1639" s="2728"/>
      <c r="E1639" s="2728"/>
      <c r="G1639" s="2512"/>
      <c r="I1639" s="2748"/>
      <c r="J1639" s="2728"/>
      <c r="L1639" s="2728"/>
      <c r="M1639" s="2748"/>
      <c r="N1639" s="2728"/>
      <c r="O1639" s="2728"/>
      <c r="P1639" s="2728"/>
      <c r="Q1639" s="2748"/>
      <c r="R1639" s="2748"/>
      <c r="S1639" s="2748"/>
      <c r="T1639" s="2748"/>
      <c r="U1639" s="2748"/>
      <c r="V1639" s="2748"/>
      <c r="W1639" s="2748"/>
      <c r="X1639" s="2748"/>
      <c r="Y1639" s="2748"/>
      <c r="Z1639" s="2748"/>
      <c r="AA1639" s="2748"/>
      <c r="AB1639" s="2748"/>
      <c r="AC1639" s="2748"/>
      <c r="AD1639" s="2748"/>
      <c r="AE1639" s="2748"/>
      <c r="AF1639" s="2748"/>
      <c r="AG1639" s="2748"/>
      <c r="AH1639" s="2748"/>
      <c r="AI1639" s="2748"/>
      <c r="AK1639" s="2748"/>
      <c r="AL1639" s="2748"/>
      <c r="AN1639" s="2748"/>
      <c r="AO1639" s="2748"/>
      <c r="AP1639" s="2748"/>
    </row>
    <row r="1640" spans="2:42" ht="18" customHeight="1">
      <c r="B1640" s="2728"/>
      <c r="C1640" s="2728"/>
      <c r="D1640" s="2728"/>
      <c r="E1640" s="2728"/>
      <c r="G1640" s="2512"/>
      <c r="I1640" s="2748"/>
      <c r="J1640" s="2728"/>
      <c r="L1640" s="2728"/>
      <c r="M1640" s="2748"/>
      <c r="N1640" s="2728"/>
      <c r="O1640" s="2728"/>
      <c r="P1640" s="2728"/>
      <c r="Q1640" s="2748"/>
      <c r="R1640" s="2748"/>
      <c r="S1640" s="2748"/>
      <c r="T1640" s="2748"/>
      <c r="U1640" s="2748"/>
      <c r="V1640" s="2748"/>
      <c r="W1640" s="2748"/>
      <c r="X1640" s="2748"/>
      <c r="Y1640" s="2748"/>
      <c r="Z1640" s="2748"/>
      <c r="AA1640" s="2748"/>
      <c r="AB1640" s="2748"/>
      <c r="AC1640" s="2748"/>
      <c r="AD1640" s="2748"/>
      <c r="AE1640" s="2748"/>
      <c r="AF1640" s="2748"/>
      <c r="AG1640" s="2748"/>
      <c r="AH1640" s="2748"/>
      <c r="AI1640" s="2748"/>
      <c r="AK1640" s="2748"/>
      <c r="AL1640" s="2748"/>
      <c r="AN1640" s="2748"/>
      <c r="AO1640" s="2748"/>
      <c r="AP1640" s="2748"/>
    </row>
    <row r="1641" spans="2:42" ht="18" customHeight="1">
      <c r="B1641" s="2728"/>
      <c r="C1641" s="2728"/>
      <c r="D1641" s="2728"/>
      <c r="E1641" s="2728"/>
      <c r="G1641" s="2512"/>
      <c r="I1641" s="2748"/>
      <c r="J1641" s="2728"/>
      <c r="L1641" s="2728"/>
      <c r="M1641" s="2748"/>
      <c r="N1641" s="2728"/>
      <c r="O1641" s="2728"/>
      <c r="P1641" s="2728"/>
      <c r="Q1641" s="2748"/>
      <c r="R1641" s="2748"/>
      <c r="S1641" s="2748"/>
      <c r="T1641" s="2748"/>
      <c r="U1641" s="2748"/>
      <c r="V1641" s="2748"/>
      <c r="W1641" s="2748"/>
      <c r="X1641" s="2748"/>
      <c r="Y1641" s="2748"/>
      <c r="Z1641" s="2748"/>
      <c r="AA1641" s="2748"/>
      <c r="AB1641" s="2748"/>
      <c r="AC1641" s="2748"/>
      <c r="AD1641" s="2748"/>
      <c r="AE1641" s="2748"/>
      <c r="AF1641" s="2748"/>
      <c r="AG1641" s="2748"/>
      <c r="AH1641" s="2748"/>
      <c r="AI1641" s="2748"/>
      <c r="AK1641" s="2748"/>
      <c r="AL1641" s="2748"/>
      <c r="AN1641" s="2748"/>
      <c r="AO1641" s="2748"/>
      <c r="AP1641" s="2748"/>
    </row>
    <row r="1642" spans="2:42" ht="18" customHeight="1">
      <c r="B1642" s="2728"/>
      <c r="C1642" s="2728"/>
      <c r="D1642" s="2728"/>
      <c r="E1642" s="2728"/>
      <c r="G1642" s="2512"/>
      <c r="I1642" s="2748"/>
      <c r="J1642" s="2728"/>
      <c r="L1642" s="2728"/>
      <c r="M1642" s="2748"/>
      <c r="N1642" s="2728"/>
      <c r="O1642" s="2728"/>
      <c r="P1642" s="2728"/>
      <c r="Q1642" s="2748"/>
      <c r="R1642" s="2748"/>
      <c r="S1642" s="2748"/>
      <c r="T1642" s="2748"/>
      <c r="U1642" s="2748"/>
      <c r="V1642" s="2748"/>
      <c r="W1642" s="2748"/>
      <c r="X1642" s="2748"/>
      <c r="Y1642" s="2748"/>
      <c r="Z1642" s="2748"/>
      <c r="AA1642" s="2748"/>
      <c r="AB1642" s="2748"/>
      <c r="AC1642" s="2748"/>
      <c r="AD1642" s="2748"/>
      <c r="AE1642" s="2748"/>
      <c r="AF1642" s="2748"/>
      <c r="AG1642" s="2748"/>
      <c r="AH1642" s="2748"/>
      <c r="AI1642" s="2748"/>
      <c r="AK1642" s="2748"/>
      <c r="AL1642" s="2748"/>
      <c r="AN1642" s="2748"/>
      <c r="AO1642" s="2748"/>
      <c r="AP1642" s="2748"/>
    </row>
    <row r="1643" spans="2:42" ht="18" customHeight="1">
      <c r="B1643" s="2728"/>
      <c r="C1643" s="2728"/>
      <c r="D1643" s="2728"/>
      <c r="E1643" s="2728"/>
      <c r="G1643" s="2512"/>
      <c r="I1643" s="2748"/>
      <c r="J1643" s="2728"/>
      <c r="L1643" s="2728"/>
      <c r="M1643" s="2748"/>
      <c r="N1643" s="2728"/>
      <c r="O1643" s="2728"/>
      <c r="P1643" s="2728"/>
      <c r="Q1643" s="2748"/>
      <c r="R1643" s="2748"/>
      <c r="S1643" s="2748"/>
      <c r="T1643" s="2748"/>
      <c r="U1643" s="2748"/>
      <c r="V1643" s="2748"/>
      <c r="W1643" s="2748"/>
      <c r="X1643" s="2748"/>
      <c r="Y1643" s="2748"/>
      <c r="Z1643" s="2748"/>
      <c r="AA1643" s="2748"/>
      <c r="AB1643" s="2748"/>
      <c r="AC1643" s="2748"/>
      <c r="AD1643" s="2748"/>
      <c r="AE1643" s="2748"/>
      <c r="AF1643" s="2748"/>
      <c r="AG1643" s="2748"/>
      <c r="AH1643" s="2748"/>
      <c r="AI1643" s="2748"/>
      <c r="AK1643" s="2748"/>
      <c r="AL1643" s="2748"/>
      <c r="AN1643" s="2748"/>
      <c r="AO1643" s="2748"/>
      <c r="AP1643" s="2748"/>
    </row>
    <row r="1644" spans="2:42" ht="18" customHeight="1">
      <c r="B1644" s="2728"/>
      <c r="C1644" s="2728"/>
      <c r="D1644" s="2728"/>
      <c r="E1644" s="2728"/>
      <c r="G1644" s="2512"/>
      <c r="I1644" s="2748"/>
      <c r="J1644" s="2728"/>
      <c r="L1644" s="2728"/>
      <c r="M1644" s="2748"/>
      <c r="N1644" s="2728"/>
      <c r="O1644" s="2728"/>
      <c r="P1644" s="2728"/>
      <c r="Q1644" s="2748"/>
      <c r="R1644" s="2748"/>
      <c r="S1644" s="2748"/>
      <c r="T1644" s="2748"/>
      <c r="U1644" s="2748"/>
      <c r="V1644" s="2748"/>
      <c r="W1644" s="2748"/>
      <c r="X1644" s="2748"/>
      <c r="Y1644" s="2748"/>
      <c r="Z1644" s="2748"/>
      <c r="AA1644" s="2748"/>
      <c r="AB1644" s="2748"/>
      <c r="AC1644" s="2748"/>
      <c r="AD1644" s="2748"/>
      <c r="AE1644" s="2748"/>
      <c r="AF1644" s="2748"/>
      <c r="AG1644" s="2748"/>
      <c r="AH1644" s="2748"/>
      <c r="AI1644" s="2748"/>
      <c r="AK1644" s="2748"/>
      <c r="AL1644" s="2748"/>
      <c r="AN1644" s="2748"/>
      <c r="AO1644" s="2748"/>
      <c r="AP1644" s="2748"/>
    </row>
    <row r="1645" spans="2:42" ht="18" customHeight="1">
      <c r="B1645" s="2728"/>
      <c r="C1645" s="2728"/>
      <c r="D1645" s="2728"/>
      <c r="E1645" s="2728"/>
      <c r="G1645" s="2512"/>
      <c r="I1645" s="2748"/>
      <c r="J1645" s="2728"/>
      <c r="L1645" s="2728"/>
      <c r="M1645" s="2748"/>
      <c r="N1645" s="2728"/>
      <c r="O1645" s="2728"/>
      <c r="P1645" s="2728"/>
      <c r="Q1645" s="2748"/>
      <c r="R1645" s="2748"/>
      <c r="S1645" s="2748"/>
      <c r="T1645" s="2748"/>
      <c r="U1645" s="2748"/>
      <c r="V1645" s="2748"/>
      <c r="W1645" s="2748"/>
      <c r="X1645" s="2748"/>
      <c r="Y1645" s="2748"/>
      <c r="Z1645" s="2748"/>
      <c r="AA1645" s="2748"/>
      <c r="AB1645" s="2748"/>
      <c r="AC1645" s="2748"/>
      <c r="AD1645" s="2748"/>
      <c r="AE1645" s="2748"/>
      <c r="AF1645" s="2748"/>
      <c r="AG1645" s="2748"/>
      <c r="AH1645" s="2748"/>
      <c r="AI1645" s="2748"/>
      <c r="AK1645" s="2748"/>
      <c r="AL1645" s="2748"/>
      <c r="AN1645" s="2748"/>
      <c r="AO1645" s="2748"/>
      <c r="AP1645" s="2748"/>
    </row>
    <row r="1646" spans="2:42" ht="18" customHeight="1">
      <c r="B1646" s="2728"/>
      <c r="C1646" s="2728"/>
      <c r="D1646" s="2728"/>
      <c r="E1646" s="2728"/>
      <c r="G1646" s="2512"/>
      <c r="I1646" s="2748"/>
      <c r="J1646" s="2728"/>
      <c r="L1646" s="2728"/>
      <c r="M1646" s="2748"/>
      <c r="N1646" s="2728"/>
      <c r="O1646" s="2728"/>
      <c r="P1646" s="2728"/>
      <c r="Q1646" s="2748"/>
      <c r="R1646" s="2748"/>
      <c r="S1646" s="2748"/>
      <c r="T1646" s="2748"/>
      <c r="U1646" s="2748"/>
      <c r="V1646" s="2748"/>
      <c r="W1646" s="2748"/>
      <c r="X1646" s="2748"/>
      <c r="Y1646" s="2748"/>
      <c r="Z1646" s="2748"/>
      <c r="AA1646" s="2748"/>
      <c r="AB1646" s="2748"/>
      <c r="AC1646" s="2748"/>
      <c r="AD1646" s="2748"/>
      <c r="AE1646" s="2748"/>
      <c r="AF1646" s="2748"/>
      <c r="AG1646" s="2748"/>
      <c r="AH1646" s="2748"/>
      <c r="AI1646" s="2748"/>
      <c r="AK1646" s="2748"/>
      <c r="AL1646" s="2748"/>
      <c r="AN1646" s="2748"/>
      <c r="AO1646" s="2748"/>
      <c r="AP1646" s="2748"/>
    </row>
    <row r="1647" spans="2:42" ht="18" customHeight="1">
      <c r="B1647" s="2728"/>
      <c r="C1647" s="2728"/>
      <c r="D1647" s="2728"/>
      <c r="E1647" s="2728"/>
      <c r="G1647" s="2512"/>
      <c r="I1647" s="2748"/>
      <c r="J1647" s="2728"/>
      <c r="L1647" s="2728"/>
      <c r="M1647" s="2748"/>
      <c r="N1647" s="2728"/>
      <c r="O1647" s="2728"/>
      <c r="P1647" s="2728"/>
      <c r="Q1647" s="2748"/>
      <c r="R1647" s="2748"/>
      <c r="S1647" s="2748"/>
      <c r="T1647" s="2748"/>
      <c r="U1647" s="2748"/>
      <c r="V1647" s="2748"/>
      <c r="W1647" s="2748"/>
      <c r="X1647" s="2748"/>
      <c r="Y1647" s="2748"/>
      <c r="Z1647" s="2748"/>
      <c r="AA1647" s="2748"/>
      <c r="AB1647" s="2748"/>
      <c r="AC1647" s="2748"/>
      <c r="AD1647" s="2748"/>
      <c r="AE1647" s="2748"/>
      <c r="AF1647" s="2748"/>
      <c r="AG1647" s="2748"/>
      <c r="AH1647" s="2748"/>
      <c r="AI1647" s="2748"/>
      <c r="AK1647" s="2748"/>
      <c r="AL1647" s="2748"/>
      <c r="AN1647" s="2748"/>
      <c r="AO1647" s="2748"/>
      <c r="AP1647" s="2748"/>
    </row>
    <row r="1648" spans="2:42" ht="18" customHeight="1">
      <c r="B1648" s="2728"/>
      <c r="C1648" s="2728"/>
      <c r="D1648" s="2728"/>
      <c r="E1648" s="2728"/>
      <c r="G1648" s="2512"/>
      <c r="I1648" s="2748"/>
      <c r="J1648" s="2728"/>
      <c r="L1648" s="2728"/>
      <c r="M1648" s="2748"/>
      <c r="N1648" s="2728"/>
      <c r="O1648" s="2728"/>
      <c r="P1648" s="2728"/>
      <c r="Q1648" s="2748"/>
      <c r="R1648" s="2748"/>
      <c r="S1648" s="2748"/>
      <c r="T1648" s="2748"/>
      <c r="U1648" s="2748"/>
      <c r="V1648" s="2748"/>
      <c r="W1648" s="2748"/>
      <c r="X1648" s="2748"/>
      <c r="Y1648" s="2748"/>
      <c r="Z1648" s="2748"/>
      <c r="AA1648" s="2748"/>
      <c r="AB1648" s="2748"/>
      <c r="AC1648" s="2748"/>
      <c r="AD1648" s="2748"/>
      <c r="AE1648" s="2748"/>
      <c r="AF1648" s="2748"/>
      <c r="AG1648" s="2748"/>
      <c r="AH1648" s="2748"/>
      <c r="AI1648" s="2748"/>
      <c r="AK1648" s="2748"/>
      <c r="AL1648" s="2748"/>
      <c r="AN1648" s="2748"/>
      <c r="AO1648" s="2748"/>
      <c r="AP1648" s="2748"/>
    </row>
    <row r="1649" spans="2:42" ht="18" customHeight="1">
      <c r="B1649" s="2728"/>
      <c r="C1649" s="2728"/>
      <c r="D1649" s="2728"/>
      <c r="E1649" s="2728"/>
      <c r="G1649" s="2512"/>
      <c r="I1649" s="2748"/>
      <c r="J1649" s="2728"/>
      <c r="L1649" s="2728"/>
      <c r="M1649" s="2748"/>
      <c r="N1649" s="2728"/>
      <c r="O1649" s="2728"/>
      <c r="P1649" s="2728"/>
      <c r="Q1649" s="2748"/>
      <c r="R1649" s="2748"/>
      <c r="S1649" s="2748"/>
      <c r="T1649" s="2748"/>
      <c r="U1649" s="2748"/>
      <c r="V1649" s="2748"/>
      <c r="W1649" s="2748"/>
      <c r="X1649" s="2748"/>
      <c r="Y1649" s="2748"/>
      <c r="Z1649" s="2748"/>
      <c r="AA1649" s="2748"/>
      <c r="AB1649" s="2748"/>
      <c r="AC1649" s="2748"/>
      <c r="AD1649" s="2748"/>
      <c r="AE1649" s="2748"/>
      <c r="AF1649" s="2748"/>
      <c r="AG1649" s="2748"/>
      <c r="AH1649" s="2748"/>
      <c r="AI1649" s="2748"/>
      <c r="AK1649" s="2748"/>
      <c r="AL1649" s="2748"/>
      <c r="AN1649" s="2748"/>
      <c r="AO1649" s="2748"/>
      <c r="AP1649" s="2748"/>
    </row>
    <row r="1650" spans="2:42" ht="18" customHeight="1">
      <c r="B1650" s="2728"/>
      <c r="C1650" s="2728"/>
      <c r="D1650" s="2728"/>
      <c r="E1650" s="2728"/>
      <c r="G1650" s="2512"/>
      <c r="I1650" s="2748"/>
      <c r="J1650" s="2728"/>
      <c r="L1650" s="2728"/>
      <c r="M1650" s="2748"/>
      <c r="N1650" s="2728"/>
      <c r="O1650" s="2728"/>
      <c r="P1650" s="2728"/>
      <c r="Q1650" s="2748"/>
      <c r="R1650" s="2748"/>
      <c r="S1650" s="2748"/>
      <c r="T1650" s="2748"/>
      <c r="U1650" s="2748"/>
      <c r="V1650" s="2748"/>
      <c r="W1650" s="2748"/>
      <c r="X1650" s="2748"/>
      <c r="Y1650" s="2748"/>
      <c r="Z1650" s="2748"/>
      <c r="AA1650" s="2748"/>
      <c r="AB1650" s="2748"/>
      <c r="AC1650" s="2748"/>
      <c r="AD1650" s="2748"/>
      <c r="AE1650" s="2748"/>
      <c r="AF1650" s="2748"/>
      <c r="AG1650" s="2748"/>
      <c r="AH1650" s="2748"/>
      <c r="AI1650" s="2748"/>
      <c r="AK1650" s="2748"/>
      <c r="AL1650" s="2748"/>
      <c r="AN1650" s="2748"/>
      <c r="AO1650" s="2748"/>
      <c r="AP1650" s="2748"/>
    </row>
    <row r="1651" spans="2:42" ht="18" customHeight="1">
      <c r="B1651" s="2728"/>
      <c r="C1651" s="2728"/>
      <c r="D1651" s="2728"/>
      <c r="E1651" s="2728"/>
      <c r="G1651" s="2512"/>
      <c r="I1651" s="2748"/>
      <c r="J1651" s="2728"/>
      <c r="L1651" s="2728"/>
      <c r="M1651" s="2748"/>
      <c r="N1651" s="2728"/>
      <c r="O1651" s="2728"/>
      <c r="P1651" s="2728"/>
      <c r="Q1651" s="2748"/>
      <c r="R1651" s="2748"/>
      <c r="S1651" s="2748"/>
      <c r="T1651" s="2748"/>
      <c r="U1651" s="2748"/>
      <c r="V1651" s="2748"/>
      <c r="W1651" s="2748"/>
      <c r="X1651" s="2748"/>
      <c r="Y1651" s="2748"/>
      <c r="Z1651" s="2748"/>
      <c r="AA1651" s="2748"/>
      <c r="AB1651" s="2748"/>
      <c r="AC1651" s="2748"/>
      <c r="AD1651" s="2748"/>
      <c r="AE1651" s="2748"/>
      <c r="AF1651" s="2748"/>
      <c r="AG1651" s="2748"/>
      <c r="AH1651" s="2748"/>
      <c r="AI1651" s="2748"/>
      <c r="AK1651" s="2748"/>
      <c r="AL1651" s="2748"/>
      <c r="AN1651" s="2748"/>
      <c r="AO1651" s="2748"/>
      <c r="AP1651" s="2748"/>
    </row>
    <row r="1652" spans="2:42" ht="18" customHeight="1">
      <c r="B1652" s="2728"/>
      <c r="C1652" s="2728"/>
      <c r="D1652" s="2728"/>
      <c r="E1652" s="2728"/>
      <c r="G1652" s="2512"/>
      <c r="I1652" s="2748"/>
      <c r="J1652" s="2728"/>
      <c r="L1652" s="2728"/>
      <c r="M1652" s="2748"/>
      <c r="N1652" s="2728"/>
      <c r="O1652" s="2728"/>
      <c r="P1652" s="2728"/>
      <c r="Q1652" s="2748"/>
      <c r="R1652" s="2748"/>
      <c r="S1652" s="2748"/>
      <c r="T1652" s="2748"/>
      <c r="U1652" s="2748"/>
      <c r="V1652" s="2748"/>
      <c r="W1652" s="2748"/>
      <c r="X1652" s="2748"/>
      <c r="Y1652" s="2748"/>
      <c r="Z1652" s="2748"/>
      <c r="AA1652" s="2748"/>
      <c r="AB1652" s="2748"/>
      <c r="AC1652" s="2748"/>
      <c r="AD1652" s="2748"/>
      <c r="AE1652" s="2748"/>
      <c r="AF1652" s="2748"/>
      <c r="AG1652" s="2748"/>
      <c r="AH1652" s="2748"/>
      <c r="AI1652" s="2748"/>
      <c r="AK1652" s="2748"/>
      <c r="AL1652" s="2748"/>
      <c r="AN1652" s="2748"/>
      <c r="AO1652" s="2748"/>
      <c r="AP1652" s="2748"/>
    </row>
    <row r="1653" spans="2:42" ht="18" customHeight="1">
      <c r="B1653" s="2728"/>
      <c r="C1653" s="2728"/>
      <c r="D1653" s="2728"/>
      <c r="E1653" s="2728"/>
      <c r="G1653" s="2512"/>
      <c r="I1653" s="2748"/>
      <c r="J1653" s="2728"/>
      <c r="L1653" s="2728"/>
      <c r="M1653" s="2748"/>
      <c r="N1653" s="2728"/>
      <c r="O1653" s="2728"/>
      <c r="P1653" s="2728"/>
      <c r="Q1653" s="2748"/>
      <c r="R1653" s="2748"/>
      <c r="S1653" s="2748"/>
      <c r="T1653" s="2748"/>
      <c r="U1653" s="2748"/>
      <c r="V1653" s="2748"/>
      <c r="W1653" s="2748"/>
      <c r="X1653" s="2748"/>
      <c r="Y1653" s="2748"/>
      <c r="Z1653" s="2748"/>
      <c r="AA1653" s="2748"/>
      <c r="AB1653" s="2748"/>
      <c r="AC1653" s="2748"/>
      <c r="AD1653" s="2748"/>
      <c r="AE1653" s="2748"/>
      <c r="AF1653" s="2748"/>
      <c r="AG1653" s="2748"/>
      <c r="AH1653" s="2748"/>
      <c r="AI1653" s="2748"/>
      <c r="AK1653" s="2748"/>
      <c r="AL1653" s="2748"/>
      <c r="AN1653" s="2748"/>
      <c r="AO1653" s="2748"/>
      <c r="AP1653" s="2748"/>
    </row>
    <row r="1654" spans="2:42" ht="18" customHeight="1">
      <c r="B1654" s="2728"/>
      <c r="C1654" s="2728"/>
      <c r="D1654" s="2728"/>
      <c r="E1654" s="2728"/>
      <c r="G1654" s="2512"/>
      <c r="I1654" s="2748"/>
      <c r="J1654" s="2728"/>
      <c r="L1654" s="2728"/>
      <c r="M1654" s="2748"/>
      <c r="N1654" s="2728"/>
      <c r="O1654" s="2728"/>
      <c r="P1654" s="2728"/>
      <c r="Q1654" s="2748"/>
      <c r="R1654" s="2748"/>
      <c r="S1654" s="2748"/>
      <c r="T1654" s="2748"/>
      <c r="U1654" s="2748"/>
      <c r="V1654" s="2748"/>
      <c r="W1654" s="2748"/>
      <c r="X1654" s="2748"/>
      <c r="Y1654" s="2748"/>
      <c r="Z1654" s="2748"/>
      <c r="AA1654" s="2748"/>
      <c r="AB1654" s="2748"/>
      <c r="AC1654" s="2748"/>
      <c r="AD1654" s="2748"/>
      <c r="AE1654" s="2748"/>
      <c r="AF1654" s="2748"/>
      <c r="AG1654" s="2748"/>
      <c r="AH1654" s="2748"/>
      <c r="AI1654" s="2748"/>
      <c r="AK1654" s="2748"/>
      <c r="AL1654" s="2748"/>
      <c r="AN1654" s="2748"/>
      <c r="AO1654" s="2748"/>
      <c r="AP1654" s="2748"/>
    </row>
    <row r="1655" spans="2:42" ht="18" customHeight="1">
      <c r="B1655" s="2728"/>
      <c r="C1655" s="2728"/>
      <c r="D1655" s="2728"/>
      <c r="E1655" s="2728"/>
      <c r="G1655" s="2512"/>
      <c r="I1655" s="2748"/>
      <c r="J1655" s="2728"/>
      <c r="L1655" s="2728"/>
      <c r="M1655" s="2748"/>
      <c r="N1655" s="2728"/>
      <c r="O1655" s="2728"/>
      <c r="P1655" s="2728"/>
      <c r="Q1655" s="2748"/>
      <c r="R1655" s="2748"/>
      <c r="S1655" s="2748"/>
      <c r="T1655" s="2748"/>
      <c r="U1655" s="2748"/>
      <c r="V1655" s="2748"/>
      <c r="W1655" s="2748"/>
      <c r="X1655" s="2748"/>
      <c r="Y1655" s="2748"/>
      <c r="Z1655" s="2748"/>
      <c r="AA1655" s="2748"/>
      <c r="AB1655" s="2748"/>
      <c r="AC1655" s="2748"/>
      <c r="AD1655" s="2748"/>
      <c r="AE1655" s="2748"/>
      <c r="AF1655" s="2748"/>
      <c r="AG1655" s="2748"/>
      <c r="AH1655" s="2748"/>
      <c r="AI1655" s="2748"/>
      <c r="AK1655" s="2748"/>
      <c r="AL1655" s="2748"/>
      <c r="AN1655" s="2748"/>
      <c r="AO1655" s="2748"/>
      <c r="AP1655" s="2748"/>
    </row>
    <row r="1656" spans="2:42" ht="18" customHeight="1">
      <c r="B1656" s="2728"/>
      <c r="C1656" s="2728"/>
      <c r="D1656" s="2728"/>
      <c r="E1656" s="2728"/>
      <c r="G1656" s="2512"/>
      <c r="I1656" s="2748"/>
      <c r="J1656" s="2728"/>
      <c r="L1656" s="2728"/>
      <c r="M1656" s="2748"/>
      <c r="N1656" s="2728"/>
      <c r="O1656" s="2728"/>
      <c r="P1656" s="2728"/>
      <c r="Q1656" s="2748"/>
      <c r="R1656" s="2748"/>
      <c r="S1656" s="2748"/>
      <c r="T1656" s="2748"/>
      <c r="U1656" s="2748"/>
      <c r="V1656" s="2748"/>
      <c r="W1656" s="2748"/>
      <c r="X1656" s="2748"/>
      <c r="Y1656" s="2748"/>
      <c r="Z1656" s="2748"/>
      <c r="AA1656" s="2748"/>
      <c r="AB1656" s="2748"/>
      <c r="AC1656" s="2748"/>
      <c r="AD1656" s="2748"/>
      <c r="AE1656" s="2748"/>
      <c r="AF1656" s="2748"/>
      <c r="AG1656" s="2748"/>
      <c r="AH1656" s="2748"/>
      <c r="AI1656" s="2748"/>
      <c r="AK1656" s="2748"/>
      <c r="AL1656" s="2748"/>
      <c r="AN1656" s="2748"/>
      <c r="AO1656" s="2748"/>
      <c r="AP1656" s="2748"/>
    </row>
    <row r="1657" spans="2:42" ht="18" customHeight="1">
      <c r="B1657" s="2728"/>
      <c r="C1657" s="2728"/>
      <c r="D1657" s="2728"/>
      <c r="E1657" s="2728"/>
      <c r="G1657" s="2512"/>
      <c r="I1657" s="2748"/>
      <c r="J1657" s="2728"/>
      <c r="L1657" s="2728"/>
      <c r="M1657" s="2748"/>
      <c r="N1657" s="2728"/>
      <c r="O1657" s="2728"/>
      <c r="P1657" s="2728"/>
      <c r="Q1657" s="2748"/>
      <c r="R1657" s="2748"/>
      <c r="S1657" s="2748"/>
      <c r="T1657" s="2748"/>
      <c r="U1657" s="2748"/>
      <c r="V1657" s="2748"/>
      <c r="W1657" s="2748"/>
      <c r="X1657" s="2748"/>
      <c r="Y1657" s="2748"/>
      <c r="Z1657" s="2748"/>
      <c r="AA1657" s="2748"/>
      <c r="AB1657" s="2748"/>
      <c r="AC1657" s="2748"/>
      <c r="AD1657" s="2748"/>
      <c r="AE1657" s="2748"/>
      <c r="AF1657" s="2748"/>
      <c r="AG1657" s="2748"/>
      <c r="AH1657" s="2748"/>
      <c r="AI1657" s="2748"/>
      <c r="AK1657" s="2748"/>
      <c r="AL1657" s="2748"/>
      <c r="AN1657" s="2748"/>
      <c r="AO1657" s="2748"/>
      <c r="AP1657" s="2748"/>
    </row>
    <row r="1658" spans="2:42" ht="18" customHeight="1">
      <c r="B1658" s="2728"/>
      <c r="C1658" s="2728"/>
      <c r="D1658" s="2728"/>
      <c r="E1658" s="2728"/>
      <c r="G1658" s="2512"/>
      <c r="I1658" s="2748"/>
      <c r="J1658" s="2728"/>
      <c r="L1658" s="2728"/>
      <c r="M1658" s="2748"/>
      <c r="N1658" s="2728"/>
      <c r="O1658" s="2728"/>
      <c r="P1658" s="2728"/>
      <c r="Q1658" s="2748"/>
      <c r="R1658" s="2748"/>
      <c r="S1658" s="2748"/>
      <c r="T1658" s="2748"/>
      <c r="U1658" s="2748"/>
      <c r="V1658" s="2748"/>
      <c r="W1658" s="2748"/>
      <c r="X1658" s="2748"/>
      <c r="Y1658" s="2748"/>
      <c r="Z1658" s="2748"/>
      <c r="AA1658" s="2748"/>
      <c r="AB1658" s="2748"/>
      <c r="AC1658" s="2748"/>
      <c r="AD1658" s="2748"/>
      <c r="AE1658" s="2748"/>
      <c r="AF1658" s="2748"/>
      <c r="AG1658" s="2748"/>
      <c r="AH1658" s="2748"/>
      <c r="AI1658" s="2748"/>
      <c r="AK1658" s="2748"/>
      <c r="AL1658" s="2748"/>
      <c r="AN1658" s="2748"/>
      <c r="AO1658" s="2748"/>
      <c r="AP1658" s="2748"/>
    </row>
    <row r="1659" spans="2:42" ht="18" customHeight="1">
      <c r="B1659" s="2728"/>
      <c r="C1659" s="2728"/>
      <c r="D1659" s="2728"/>
      <c r="E1659" s="2728"/>
      <c r="G1659" s="2512"/>
      <c r="I1659" s="2748"/>
      <c r="J1659" s="2728"/>
      <c r="L1659" s="2728"/>
      <c r="M1659" s="2748"/>
      <c r="N1659" s="2728"/>
      <c r="O1659" s="2728"/>
      <c r="P1659" s="2728"/>
      <c r="Q1659" s="2748"/>
      <c r="R1659" s="2748"/>
      <c r="S1659" s="2748"/>
      <c r="T1659" s="2748"/>
      <c r="U1659" s="2748"/>
      <c r="V1659" s="2748"/>
      <c r="W1659" s="2748"/>
      <c r="X1659" s="2748"/>
      <c r="Y1659" s="2748"/>
      <c r="Z1659" s="2748"/>
      <c r="AA1659" s="2748"/>
      <c r="AB1659" s="2748"/>
      <c r="AC1659" s="2748"/>
      <c r="AD1659" s="2748"/>
      <c r="AE1659" s="2748"/>
      <c r="AF1659" s="2748"/>
      <c r="AG1659" s="2748"/>
      <c r="AH1659" s="2748"/>
      <c r="AI1659" s="2748"/>
      <c r="AK1659" s="2748"/>
      <c r="AL1659" s="2748"/>
      <c r="AN1659" s="2748"/>
      <c r="AO1659" s="2748"/>
      <c r="AP1659" s="2748"/>
    </row>
    <row r="1660" spans="2:42" ht="18" customHeight="1">
      <c r="B1660" s="2728"/>
      <c r="C1660" s="2728"/>
      <c r="D1660" s="2728"/>
      <c r="E1660" s="2728"/>
      <c r="G1660" s="2512"/>
      <c r="I1660" s="2748"/>
      <c r="J1660" s="2728"/>
      <c r="L1660" s="2728"/>
      <c r="M1660" s="2748"/>
      <c r="N1660" s="2728"/>
      <c r="O1660" s="2728"/>
      <c r="P1660" s="2728"/>
      <c r="Q1660" s="2748"/>
      <c r="R1660" s="2748"/>
      <c r="S1660" s="2748"/>
      <c r="T1660" s="2748"/>
      <c r="U1660" s="2748"/>
      <c r="V1660" s="2748"/>
      <c r="W1660" s="2748"/>
      <c r="X1660" s="2748"/>
      <c r="Y1660" s="2748"/>
      <c r="Z1660" s="2748"/>
      <c r="AA1660" s="2748"/>
      <c r="AB1660" s="2748"/>
      <c r="AC1660" s="2748"/>
      <c r="AD1660" s="2748"/>
      <c r="AE1660" s="2748"/>
      <c r="AF1660" s="2748"/>
      <c r="AG1660" s="2748"/>
      <c r="AH1660" s="2748"/>
      <c r="AI1660" s="2748"/>
      <c r="AK1660" s="2748"/>
      <c r="AL1660" s="2748"/>
      <c r="AN1660" s="2748"/>
      <c r="AO1660" s="2748"/>
      <c r="AP1660" s="2748"/>
    </row>
    <row r="1661" spans="2:42" ht="18" customHeight="1">
      <c r="B1661" s="2728"/>
      <c r="C1661" s="2728"/>
      <c r="D1661" s="2728"/>
      <c r="E1661" s="2728"/>
      <c r="G1661" s="2512"/>
      <c r="I1661" s="2748"/>
      <c r="J1661" s="2728"/>
      <c r="L1661" s="2728"/>
      <c r="M1661" s="2748"/>
      <c r="N1661" s="2728"/>
      <c r="O1661" s="2728"/>
      <c r="P1661" s="2728"/>
      <c r="Q1661" s="2748"/>
      <c r="R1661" s="2748"/>
      <c r="S1661" s="2748"/>
      <c r="T1661" s="2748"/>
      <c r="U1661" s="2748"/>
      <c r="V1661" s="2748"/>
      <c r="W1661" s="2748"/>
      <c r="X1661" s="2748"/>
      <c r="Y1661" s="2748"/>
      <c r="Z1661" s="2748"/>
      <c r="AA1661" s="2748"/>
      <c r="AB1661" s="2748"/>
      <c r="AC1661" s="2748"/>
      <c r="AD1661" s="2748"/>
      <c r="AE1661" s="2748"/>
      <c r="AF1661" s="2748"/>
      <c r="AG1661" s="2748"/>
      <c r="AH1661" s="2748"/>
      <c r="AI1661" s="2748"/>
      <c r="AK1661" s="2748"/>
      <c r="AL1661" s="2748"/>
      <c r="AN1661" s="2748"/>
      <c r="AO1661" s="2748"/>
      <c r="AP1661" s="2748"/>
    </row>
    <row r="1662" spans="2:42" ht="18" customHeight="1">
      <c r="B1662" s="2728"/>
      <c r="C1662" s="2728"/>
      <c r="D1662" s="2728"/>
      <c r="E1662" s="2728"/>
      <c r="G1662" s="2512"/>
      <c r="I1662" s="2748"/>
      <c r="J1662" s="2728"/>
      <c r="L1662" s="2728"/>
      <c r="M1662" s="2748"/>
      <c r="N1662" s="2728"/>
      <c r="O1662" s="2728"/>
      <c r="P1662" s="2728"/>
      <c r="Q1662" s="2748"/>
      <c r="R1662" s="2748"/>
      <c r="S1662" s="2748"/>
      <c r="T1662" s="2748"/>
      <c r="U1662" s="2748"/>
      <c r="V1662" s="2748"/>
      <c r="W1662" s="2748"/>
      <c r="X1662" s="2748"/>
      <c r="Y1662" s="2748"/>
      <c r="Z1662" s="2748"/>
      <c r="AA1662" s="2748"/>
      <c r="AB1662" s="2748"/>
      <c r="AC1662" s="2748"/>
      <c r="AD1662" s="2748"/>
      <c r="AE1662" s="2748"/>
      <c r="AF1662" s="2748"/>
      <c r="AG1662" s="2748"/>
      <c r="AH1662" s="2748"/>
      <c r="AI1662" s="2748"/>
      <c r="AK1662" s="2748"/>
      <c r="AL1662" s="2748"/>
      <c r="AN1662" s="2748"/>
      <c r="AO1662" s="2748"/>
      <c r="AP1662" s="2748"/>
    </row>
    <row r="1663" spans="2:42" ht="18" customHeight="1">
      <c r="B1663" s="2728"/>
      <c r="C1663" s="2728"/>
      <c r="D1663" s="2728"/>
      <c r="E1663" s="2728"/>
      <c r="G1663" s="2512"/>
      <c r="I1663" s="2748"/>
      <c r="J1663" s="2728"/>
      <c r="L1663" s="2728"/>
      <c r="M1663" s="2748"/>
      <c r="N1663" s="2728"/>
      <c r="O1663" s="2728"/>
      <c r="P1663" s="2728"/>
      <c r="Q1663" s="2748"/>
      <c r="R1663" s="2748"/>
      <c r="S1663" s="2748"/>
      <c r="T1663" s="2748"/>
      <c r="U1663" s="2748"/>
      <c r="V1663" s="2748"/>
      <c r="W1663" s="2748"/>
      <c r="X1663" s="2748"/>
      <c r="Y1663" s="2748"/>
      <c r="Z1663" s="2748"/>
      <c r="AA1663" s="2748"/>
      <c r="AB1663" s="2748"/>
      <c r="AC1663" s="2748"/>
      <c r="AD1663" s="2748"/>
      <c r="AE1663" s="2748"/>
      <c r="AF1663" s="2748"/>
      <c r="AG1663" s="2748"/>
      <c r="AH1663" s="2748"/>
      <c r="AI1663" s="2748"/>
      <c r="AK1663" s="2748"/>
      <c r="AL1663" s="2748"/>
      <c r="AN1663" s="2748"/>
      <c r="AO1663" s="2748"/>
      <c r="AP1663" s="2748"/>
    </row>
    <row r="1664" spans="2:42" ht="18" customHeight="1">
      <c r="B1664" s="2728"/>
      <c r="C1664" s="2728"/>
      <c r="D1664" s="2728"/>
      <c r="E1664" s="2728"/>
      <c r="G1664" s="2512"/>
      <c r="I1664" s="2748"/>
      <c r="J1664" s="2728"/>
      <c r="L1664" s="2728"/>
      <c r="M1664" s="2748"/>
      <c r="N1664" s="2728"/>
      <c r="O1664" s="2728"/>
      <c r="P1664" s="2728"/>
      <c r="Q1664" s="2748"/>
      <c r="R1664" s="2748"/>
      <c r="S1664" s="2748"/>
      <c r="T1664" s="2748"/>
      <c r="U1664" s="2748"/>
      <c r="V1664" s="2748"/>
      <c r="W1664" s="2748"/>
      <c r="X1664" s="2748"/>
      <c r="Y1664" s="2748"/>
      <c r="Z1664" s="2748"/>
      <c r="AA1664" s="2748"/>
      <c r="AB1664" s="2748"/>
      <c r="AC1664" s="2748"/>
      <c r="AD1664" s="2748"/>
      <c r="AE1664" s="2748"/>
      <c r="AF1664" s="2748"/>
      <c r="AG1664" s="2748"/>
      <c r="AH1664" s="2748"/>
      <c r="AI1664" s="2748"/>
      <c r="AK1664" s="2748"/>
      <c r="AL1664" s="2748"/>
      <c r="AN1664" s="2748"/>
      <c r="AO1664" s="2748"/>
      <c r="AP1664" s="2748"/>
    </row>
    <row r="1665" spans="2:42" ht="18" customHeight="1">
      <c r="B1665" s="2728"/>
      <c r="C1665" s="2728"/>
      <c r="D1665" s="2728"/>
      <c r="E1665" s="2728"/>
      <c r="G1665" s="2512"/>
      <c r="I1665" s="2748"/>
      <c r="J1665" s="2728"/>
      <c r="L1665" s="2728"/>
      <c r="M1665" s="2748"/>
      <c r="N1665" s="2728"/>
      <c r="O1665" s="2728"/>
      <c r="P1665" s="2728"/>
      <c r="Q1665" s="2748"/>
      <c r="R1665" s="2748"/>
      <c r="S1665" s="2748"/>
      <c r="T1665" s="2748"/>
      <c r="U1665" s="2748"/>
      <c r="V1665" s="2748"/>
      <c r="W1665" s="2748"/>
      <c r="X1665" s="2748"/>
      <c r="Y1665" s="2748"/>
      <c r="Z1665" s="2748"/>
      <c r="AA1665" s="2748"/>
      <c r="AB1665" s="2748"/>
      <c r="AC1665" s="2748"/>
      <c r="AD1665" s="2748"/>
      <c r="AE1665" s="2748"/>
      <c r="AF1665" s="2748"/>
      <c r="AG1665" s="2748"/>
      <c r="AH1665" s="2748"/>
      <c r="AI1665" s="2748"/>
      <c r="AK1665" s="2748"/>
      <c r="AL1665" s="2748"/>
      <c r="AN1665" s="2748"/>
      <c r="AO1665" s="2748"/>
      <c r="AP1665" s="2748"/>
    </row>
    <row r="1666" spans="2:42" ht="18" customHeight="1">
      <c r="B1666" s="2728"/>
      <c r="C1666" s="2728"/>
      <c r="D1666" s="2728"/>
      <c r="E1666" s="2728"/>
      <c r="G1666" s="2512"/>
      <c r="I1666" s="2748"/>
      <c r="J1666" s="2728"/>
      <c r="L1666" s="2728"/>
      <c r="M1666" s="2748"/>
      <c r="N1666" s="2728"/>
      <c r="O1666" s="2728"/>
      <c r="P1666" s="2728"/>
      <c r="Q1666" s="2748"/>
      <c r="R1666" s="2748"/>
      <c r="S1666" s="2748"/>
      <c r="T1666" s="2748"/>
      <c r="U1666" s="2748"/>
      <c r="V1666" s="2748"/>
      <c r="W1666" s="2748"/>
      <c r="X1666" s="2748"/>
      <c r="Y1666" s="2748"/>
      <c r="Z1666" s="2748"/>
      <c r="AA1666" s="2748"/>
      <c r="AB1666" s="2748"/>
      <c r="AC1666" s="2748"/>
      <c r="AD1666" s="2748"/>
      <c r="AE1666" s="2748"/>
      <c r="AF1666" s="2748"/>
      <c r="AG1666" s="2748"/>
      <c r="AH1666" s="2748"/>
      <c r="AI1666" s="2748"/>
      <c r="AK1666" s="2748"/>
      <c r="AL1666" s="2748"/>
      <c r="AN1666" s="2748"/>
      <c r="AO1666" s="2748"/>
      <c r="AP1666" s="2748"/>
    </row>
    <row r="1667" spans="2:42" ht="18" customHeight="1">
      <c r="B1667" s="2728"/>
      <c r="C1667" s="2728"/>
      <c r="D1667" s="2728"/>
      <c r="E1667" s="2728"/>
      <c r="G1667" s="2512"/>
      <c r="I1667" s="2748"/>
      <c r="J1667" s="2728"/>
      <c r="L1667" s="2728"/>
      <c r="M1667" s="2748"/>
      <c r="N1667" s="2728"/>
      <c r="O1667" s="2728"/>
      <c r="P1667" s="2728"/>
      <c r="Q1667" s="2748"/>
      <c r="R1667" s="2748"/>
      <c r="S1667" s="2748"/>
      <c r="T1667" s="2748"/>
      <c r="U1667" s="2748"/>
      <c r="V1667" s="2748"/>
      <c r="W1667" s="2748"/>
      <c r="X1667" s="2748"/>
      <c r="Y1667" s="2748"/>
      <c r="Z1667" s="2748"/>
      <c r="AA1667" s="2748"/>
      <c r="AB1667" s="2748"/>
      <c r="AC1667" s="2748"/>
      <c r="AD1667" s="2748"/>
      <c r="AE1667" s="2748"/>
      <c r="AF1667" s="2748"/>
      <c r="AG1667" s="2748"/>
      <c r="AH1667" s="2748"/>
      <c r="AI1667" s="2748"/>
      <c r="AK1667" s="2748"/>
      <c r="AL1667" s="2748"/>
      <c r="AN1667" s="2748"/>
      <c r="AO1667" s="2748"/>
      <c r="AP1667" s="2748"/>
    </row>
    <row r="1668" spans="2:42" ht="18" customHeight="1">
      <c r="B1668" s="2728"/>
      <c r="C1668" s="2728"/>
      <c r="D1668" s="2728"/>
      <c r="E1668" s="2728"/>
      <c r="G1668" s="2512"/>
      <c r="I1668" s="2748"/>
      <c r="J1668" s="2728"/>
      <c r="L1668" s="2728"/>
      <c r="M1668" s="2748"/>
      <c r="N1668" s="2728"/>
      <c r="O1668" s="2728"/>
      <c r="P1668" s="2728"/>
      <c r="Q1668" s="2748"/>
      <c r="R1668" s="2748"/>
      <c r="S1668" s="2748"/>
      <c r="T1668" s="2748"/>
      <c r="U1668" s="2748"/>
      <c r="V1668" s="2748"/>
      <c r="W1668" s="2748"/>
      <c r="X1668" s="2748"/>
      <c r="Y1668" s="2748"/>
      <c r="Z1668" s="2748"/>
      <c r="AA1668" s="2748"/>
      <c r="AB1668" s="2748"/>
      <c r="AC1668" s="2748"/>
      <c r="AD1668" s="2748"/>
      <c r="AE1668" s="2748"/>
      <c r="AF1668" s="2748"/>
      <c r="AG1668" s="2748"/>
      <c r="AH1668" s="2748"/>
      <c r="AI1668" s="2748"/>
      <c r="AK1668" s="2748"/>
      <c r="AL1668" s="2748"/>
      <c r="AN1668" s="2748"/>
      <c r="AO1668" s="2748"/>
      <c r="AP1668" s="2748"/>
    </row>
    <row r="1669" spans="2:42" ht="18" customHeight="1">
      <c r="B1669" s="2728"/>
      <c r="C1669" s="2728"/>
      <c r="D1669" s="2728"/>
      <c r="E1669" s="2728"/>
      <c r="G1669" s="2512"/>
      <c r="I1669" s="2748"/>
      <c r="J1669" s="2728"/>
      <c r="L1669" s="2728"/>
      <c r="M1669" s="2748"/>
      <c r="N1669" s="2728"/>
      <c r="O1669" s="2728"/>
      <c r="P1669" s="2728"/>
      <c r="Q1669" s="2748"/>
      <c r="R1669" s="2748"/>
      <c r="S1669" s="2748"/>
      <c r="T1669" s="2748"/>
      <c r="U1669" s="2748"/>
      <c r="V1669" s="2748"/>
      <c r="W1669" s="2748"/>
      <c r="X1669" s="2748"/>
      <c r="Y1669" s="2748"/>
      <c r="Z1669" s="2748"/>
      <c r="AA1669" s="2748"/>
      <c r="AB1669" s="2748"/>
      <c r="AC1669" s="2748"/>
      <c r="AD1669" s="2748"/>
      <c r="AE1669" s="2748"/>
      <c r="AF1669" s="2748"/>
      <c r="AG1669" s="2748"/>
      <c r="AH1669" s="2748"/>
      <c r="AI1669" s="2748"/>
      <c r="AK1669" s="2748"/>
      <c r="AL1669" s="2748"/>
      <c r="AN1669" s="2748"/>
      <c r="AO1669" s="2748"/>
      <c r="AP1669" s="2748"/>
    </row>
    <row r="1670" spans="2:42" ht="18" customHeight="1">
      <c r="B1670" s="2728"/>
      <c r="C1670" s="2728"/>
      <c r="D1670" s="2728"/>
      <c r="E1670" s="2728"/>
      <c r="G1670" s="2512"/>
      <c r="I1670" s="2748"/>
      <c r="J1670" s="2728"/>
      <c r="L1670" s="2728"/>
      <c r="M1670" s="2748"/>
      <c r="N1670" s="2728"/>
      <c r="O1670" s="2728"/>
      <c r="P1670" s="2728"/>
      <c r="Q1670" s="2748"/>
      <c r="R1670" s="2748"/>
      <c r="S1670" s="2748"/>
      <c r="T1670" s="2748"/>
      <c r="U1670" s="2748"/>
      <c r="V1670" s="2748"/>
      <c r="W1670" s="2748"/>
      <c r="X1670" s="2748"/>
      <c r="Y1670" s="2748"/>
      <c r="Z1670" s="2748"/>
      <c r="AA1670" s="2748"/>
      <c r="AB1670" s="2748"/>
      <c r="AC1670" s="2748"/>
      <c r="AD1670" s="2748"/>
      <c r="AE1670" s="2748"/>
      <c r="AF1670" s="2748"/>
      <c r="AG1670" s="2748"/>
      <c r="AH1670" s="2748"/>
      <c r="AI1670" s="2748"/>
      <c r="AK1670" s="2748"/>
      <c r="AL1670" s="2748"/>
      <c r="AN1670" s="2748"/>
      <c r="AO1670" s="2748"/>
      <c r="AP1670" s="2748"/>
    </row>
    <row r="1671" spans="2:42" ht="18" customHeight="1">
      <c r="B1671" s="2728"/>
      <c r="C1671" s="2728"/>
      <c r="D1671" s="2728"/>
      <c r="E1671" s="2728"/>
      <c r="G1671" s="2512"/>
      <c r="I1671" s="2748"/>
      <c r="J1671" s="2728"/>
      <c r="L1671" s="2728"/>
      <c r="M1671" s="2748"/>
      <c r="N1671" s="2728"/>
      <c r="O1671" s="2728"/>
      <c r="P1671" s="2728"/>
      <c r="Q1671" s="2748"/>
      <c r="R1671" s="2748"/>
      <c r="S1671" s="2748"/>
      <c r="T1671" s="2748"/>
      <c r="U1671" s="2748"/>
      <c r="V1671" s="2748"/>
      <c r="W1671" s="2748"/>
      <c r="X1671" s="2748"/>
      <c r="Y1671" s="2748"/>
      <c r="Z1671" s="2748"/>
      <c r="AA1671" s="2748"/>
      <c r="AB1671" s="2748"/>
      <c r="AC1671" s="2748"/>
      <c r="AD1671" s="2748"/>
      <c r="AE1671" s="2748"/>
      <c r="AF1671" s="2748"/>
      <c r="AG1671" s="2748"/>
      <c r="AH1671" s="2748"/>
      <c r="AI1671" s="2748"/>
      <c r="AK1671" s="2748"/>
      <c r="AL1671" s="2748"/>
      <c r="AN1671" s="2748"/>
      <c r="AO1671" s="2748"/>
      <c r="AP1671" s="2748"/>
    </row>
    <row r="1672" spans="2:42" ht="18" customHeight="1">
      <c r="B1672" s="2728"/>
      <c r="C1672" s="2728"/>
      <c r="D1672" s="2728"/>
      <c r="E1672" s="2728"/>
      <c r="G1672" s="2512"/>
      <c r="I1672" s="2748"/>
      <c r="J1672" s="2728"/>
      <c r="L1672" s="2728"/>
      <c r="M1672" s="2748"/>
      <c r="N1672" s="2728"/>
      <c r="O1672" s="2728"/>
      <c r="P1672" s="2728"/>
      <c r="Q1672" s="2748"/>
      <c r="R1672" s="2748"/>
      <c r="S1672" s="2748"/>
      <c r="T1672" s="2748"/>
      <c r="U1672" s="2748"/>
      <c r="V1672" s="2748"/>
      <c r="W1672" s="2748"/>
      <c r="X1672" s="2748"/>
      <c r="Y1672" s="2748"/>
      <c r="Z1672" s="2748"/>
      <c r="AA1672" s="2748"/>
      <c r="AB1672" s="2748"/>
      <c r="AC1672" s="2748"/>
      <c r="AD1672" s="2748"/>
      <c r="AE1672" s="2748"/>
      <c r="AF1672" s="2748"/>
      <c r="AG1672" s="2748"/>
      <c r="AH1672" s="2748"/>
      <c r="AI1672" s="2748"/>
      <c r="AK1672" s="2748"/>
      <c r="AL1672" s="2748"/>
      <c r="AN1672" s="2748"/>
      <c r="AO1672" s="2748"/>
      <c r="AP1672" s="2748"/>
    </row>
    <row r="1673" spans="2:42" ht="18" customHeight="1">
      <c r="B1673" s="2728"/>
      <c r="C1673" s="2728"/>
      <c r="D1673" s="2728"/>
      <c r="E1673" s="2728"/>
      <c r="G1673" s="2512"/>
      <c r="I1673" s="2748"/>
      <c r="J1673" s="2728"/>
      <c r="L1673" s="2728"/>
      <c r="M1673" s="2748"/>
      <c r="N1673" s="2728"/>
      <c r="O1673" s="2728"/>
      <c r="P1673" s="2728"/>
      <c r="Q1673" s="2748"/>
      <c r="R1673" s="2748"/>
      <c r="S1673" s="2748"/>
      <c r="T1673" s="2748"/>
      <c r="U1673" s="2748"/>
      <c r="V1673" s="2748"/>
      <c r="W1673" s="2748"/>
      <c r="X1673" s="2748"/>
      <c r="Y1673" s="2748"/>
      <c r="Z1673" s="2748"/>
      <c r="AA1673" s="2748"/>
      <c r="AB1673" s="2748"/>
      <c r="AC1673" s="2748"/>
      <c r="AD1673" s="2748"/>
      <c r="AE1673" s="2748"/>
      <c r="AF1673" s="2748"/>
      <c r="AG1673" s="2748"/>
      <c r="AH1673" s="2748"/>
      <c r="AI1673" s="2748"/>
      <c r="AK1673" s="2748"/>
      <c r="AL1673" s="2748"/>
      <c r="AN1673" s="2748"/>
      <c r="AO1673" s="2748"/>
      <c r="AP1673" s="2748"/>
    </row>
    <row r="1674" spans="2:42" ht="18" customHeight="1">
      <c r="B1674" s="2728"/>
      <c r="C1674" s="2728"/>
      <c r="D1674" s="2728"/>
      <c r="E1674" s="2728"/>
      <c r="G1674" s="2512"/>
      <c r="I1674" s="2748"/>
      <c r="J1674" s="2728"/>
      <c r="L1674" s="2728"/>
      <c r="M1674" s="2748"/>
      <c r="N1674" s="2728"/>
      <c r="O1674" s="2728"/>
      <c r="P1674" s="2728"/>
      <c r="Q1674" s="2748"/>
      <c r="R1674" s="2748"/>
      <c r="S1674" s="2748"/>
      <c r="T1674" s="2748"/>
      <c r="U1674" s="2748"/>
      <c r="V1674" s="2748"/>
      <c r="W1674" s="2748"/>
      <c r="X1674" s="2748"/>
      <c r="Y1674" s="2748"/>
      <c r="Z1674" s="2748"/>
      <c r="AA1674" s="2748"/>
      <c r="AB1674" s="2748"/>
      <c r="AC1674" s="2748"/>
      <c r="AD1674" s="2748"/>
      <c r="AE1674" s="2748"/>
      <c r="AF1674" s="2748"/>
      <c r="AG1674" s="2748"/>
      <c r="AH1674" s="2748"/>
      <c r="AI1674" s="2748"/>
      <c r="AK1674" s="2748"/>
      <c r="AL1674" s="2748"/>
      <c r="AN1674" s="2748"/>
      <c r="AO1674" s="2748"/>
      <c r="AP1674" s="2748"/>
    </row>
    <row r="1675" spans="2:42" ht="18" customHeight="1">
      <c r="B1675" s="2728"/>
      <c r="C1675" s="2728"/>
      <c r="D1675" s="2728"/>
      <c r="E1675" s="2728"/>
      <c r="G1675" s="2512"/>
      <c r="I1675" s="2748"/>
      <c r="J1675" s="2728"/>
      <c r="L1675" s="2728"/>
      <c r="M1675" s="2748"/>
      <c r="N1675" s="2728"/>
      <c r="O1675" s="2728"/>
      <c r="P1675" s="2728"/>
      <c r="Q1675" s="2748"/>
      <c r="R1675" s="2748"/>
      <c r="S1675" s="2748"/>
      <c r="T1675" s="2748"/>
      <c r="U1675" s="2748"/>
      <c r="V1675" s="2748"/>
      <c r="W1675" s="2748"/>
      <c r="X1675" s="2748"/>
      <c r="Y1675" s="2748"/>
      <c r="Z1675" s="2748"/>
      <c r="AA1675" s="2748"/>
      <c r="AB1675" s="2748"/>
      <c r="AC1675" s="2748"/>
      <c r="AD1675" s="2748"/>
      <c r="AE1675" s="2748"/>
      <c r="AF1675" s="2748"/>
      <c r="AG1675" s="2748"/>
      <c r="AH1675" s="2748"/>
      <c r="AI1675" s="2748"/>
      <c r="AK1675" s="2748"/>
      <c r="AL1675" s="2748"/>
      <c r="AN1675" s="2748"/>
      <c r="AO1675" s="2748"/>
      <c r="AP1675" s="2748"/>
    </row>
    <row r="1676" spans="2:42" ht="18" customHeight="1">
      <c r="B1676" s="2728"/>
      <c r="C1676" s="2728"/>
      <c r="D1676" s="2728"/>
      <c r="E1676" s="2728"/>
      <c r="G1676" s="2512"/>
      <c r="I1676" s="2748"/>
      <c r="J1676" s="2728"/>
      <c r="L1676" s="2728"/>
      <c r="M1676" s="2748"/>
      <c r="N1676" s="2728"/>
      <c r="O1676" s="2728"/>
      <c r="P1676" s="2728"/>
      <c r="Q1676" s="2748"/>
      <c r="R1676" s="2748"/>
      <c r="S1676" s="2748"/>
      <c r="T1676" s="2748"/>
      <c r="U1676" s="2748"/>
      <c r="V1676" s="2748"/>
      <c r="W1676" s="2748"/>
      <c r="X1676" s="2748"/>
      <c r="Y1676" s="2748"/>
      <c r="Z1676" s="2748"/>
      <c r="AA1676" s="2748"/>
      <c r="AB1676" s="2748"/>
      <c r="AC1676" s="2748"/>
      <c r="AD1676" s="2748"/>
      <c r="AE1676" s="2748"/>
      <c r="AF1676" s="2748"/>
      <c r="AG1676" s="2748"/>
      <c r="AH1676" s="2748"/>
      <c r="AI1676" s="2748"/>
      <c r="AK1676" s="2748"/>
      <c r="AL1676" s="2748"/>
      <c r="AN1676" s="2748"/>
      <c r="AO1676" s="2748"/>
      <c r="AP1676" s="2748"/>
    </row>
    <row r="1677" spans="2:42" ht="18" customHeight="1">
      <c r="B1677" s="2728"/>
      <c r="C1677" s="2728"/>
      <c r="D1677" s="2728"/>
      <c r="E1677" s="2728"/>
      <c r="G1677" s="2512"/>
      <c r="I1677" s="2748"/>
      <c r="J1677" s="2728"/>
      <c r="L1677" s="2728"/>
      <c r="M1677" s="2748"/>
      <c r="N1677" s="2728"/>
      <c r="O1677" s="2728"/>
      <c r="P1677" s="2728"/>
      <c r="Q1677" s="2748"/>
      <c r="R1677" s="2748"/>
      <c r="S1677" s="2748"/>
      <c r="T1677" s="2748"/>
      <c r="U1677" s="2748"/>
      <c r="V1677" s="2748"/>
      <c r="W1677" s="2748"/>
      <c r="X1677" s="2748"/>
      <c r="Y1677" s="2748"/>
      <c r="Z1677" s="2748"/>
      <c r="AA1677" s="2748"/>
      <c r="AB1677" s="2748"/>
      <c r="AC1677" s="2748"/>
      <c r="AD1677" s="2748"/>
      <c r="AE1677" s="2748"/>
      <c r="AF1677" s="2748"/>
      <c r="AG1677" s="2748"/>
      <c r="AH1677" s="2748"/>
      <c r="AI1677" s="2748"/>
      <c r="AK1677" s="2748"/>
      <c r="AL1677" s="2748"/>
      <c r="AN1677" s="2748"/>
      <c r="AO1677" s="2748"/>
      <c r="AP1677" s="2748"/>
    </row>
    <row r="1678" spans="2:42" ht="18" customHeight="1">
      <c r="B1678" s="2728"/>
      <c r="C1678" s="2728"/>
      <c r="D1678" s="2728"/>
      <c r="E1678" s="2728"/>
      <c r="G1678" s="2512"/>
      <c r="I1678" s="2748"/>
      <c r="J1678" s="2728"/>
      <c r="L1678" s="2728"/>
      <c r="M1678" s="2748"/>
      <c r="N1678" s="2728"/>
      <c r="O1678" s="2728"/>
      <c r="P1678" s="2728"/>
      <c r="Q1678" s="2748"/>
      <c r="R1678" s="2748"/>
      <c r="S1678" s="2748"/>
      <c r="T1678" s="2748"/>
      <c r="U1678" s="2748"/>
      <c r="V1678" s="2748"/>
      <c r="W1678" s="2748"/>
      <c r="X1678" s="2748"/>
      <c r="Y1678" s="2748"/>
      <c r="Z1678" s="2748"/>
      <c r="AA1678" s="2748"/>
      <c r="AB1678" s="2748"/>
      <c r="AC1678" s="2748"/>
      <c r="AD1678" s="2748"/>
      <c r="AE1678" s="2748"/>
      <c r="AF1678" s="2748"/>
      <c r="AG1678" s="2748"/>
      <c r="AH1678" s="2748"/>
      <c r="AI1678" s="2748"/>
      <c r="AK1678" s="2748"/>
      <c r="AL1678" s="2748"/>
      <c r="AN1678" s="2748"/>
      <c r="AO1678" s="2748"/>
      <c r="AP1678" s="2748"/>
    </row>
    <row r="1679" spans="2:42" ht="18" customHeight="1">
      <c r="B1679" s="2728"/>
      <c r="C1679" s="2728"/>
      <c r="D1679" s="2728"/>
      <c r="E1679" s="2728"/>
      <c r="G1679" s="2512"/>
      <c r="I1679" s="2748"/>
      <c r="J1679" s="2728"/>
      <c r="L1679" s="2728"/>
      <c r="M1679" s="2748"/>
      <c r="N1679" s="2728"/>
      <c r="O1679" s="2728"/>
      <c r="P1679" s="2728"/>
      <c r="Q1679" s="2748"/>
      <c r="R1679" s="2748"/>
      <c r="S1679" s="2748"/>
      <c r="T1679" s="2748"/>
      <c r="U1679" s="2748"/>
      <c r="V1679" s="2748"/>
      <c r="W1679" s="2748"/>
      <c r="X1679" s="2748"/>
      <c r="Y1679" s="2748"/>
      <c r="Z1679" s="2748"/>
      <c r="AA1679" s="2748"/>
      <c r="AB1679" s="2748"/>
      <c r="AC1679" s="2748"/>
      <c r="AD1679" s="2748"/>
      <c r="AE1679" s="2748"/>
      <c r="AF1679" s="2748"/>
      <c r="AG1679" s="2748"/>
      <c r="AH1679" s="2748"/>
      <c r="AI1679" s="2748"/>
      <c r="AK1679" s="2748"/>
      <c r="AL1679" s="2748"/>
      <c r="AN1679" s="2748"/>
      <c r="AO1679" s="2748"/>
      <c r="AP1679" s="2748"/>
    </row>
    <row r="1680" spans="2:42" ht="18" customHeight="1">
      <c r="B1680" s="2728"/>
      <c r="C1680" s="2728"/>
      <c r="D1680" s="2728"/>
      <c r="E1680" s="2728"/>
      <c r="G1680" s="2512"/>
      <c r="I1680" s="2748"/>
      <c r="J1680" s="2728"/>
      <c r="L1680" s="2728"/>
      <c r="M1680" s="2748"/>
      <c r="N1680" s="2728"/>
      <c r="O1680" s="2728"/>
      <c r="P1680" s="2728"/>
      <c r="Q1680" s="2748"/>
      <c r="R1680" s="2748"/>
      <c r="S1680" s="2748"/>
      <c r="T1680" s="2748"/>
      <c r="U1680" s="2748"/>
      <c r="V1680" s="2748"/>
      <c r="W1680" s="2748"/>
      <c r="X1680" s="2748"/>
      <c r="Y1680" s="2748"/>
      <c r="Z1680" s="2748"/>
      <c r="AA1680" s="2748"/>
      <c r="AB1680" s="2748"/>
      <c r="AC1680" s="2748"/>
      <c r="AD1680" s="2748"/>
      <c r="AE1680" s="2748"/>
      <c r="AF1680" s="2748"/>
      <c r="AG1680" s="2748"/>
      <c r="AH1680" s="2748"/>
      <c r="AI1680" s="2748"/>
      <c r="AK1680" s="2748"/>
      <c r="AL1680" s="2748"/>
      <c r="AN1680" s="2748"/>
      <c r="AO1680" s="2748"/>
      <c r="AP1680" s="2748"/>
    </row>
    <row r="1681" spans="2:42" ht="18" customHeight="1">
      <c r="B1681" s="2728"/>
      <c r="C1681" s="2728"/>
      <c r="D1681" s="2728"/>
      <c r="E1681" s="2728"/>
      <c r="G1681" s="2512"/>
      <c r="I1681" s="2748"/>
      <c r="J1681" s="2728"/>
      <c r="L1681" s="2728"/>
      <c r="M1681" s="2748"/>
      <c r="N1681" s="2728"/>
      <c r="O1681" s="2728"/>
      <c r="P1681" s="2728"/>
      <c r="Q1681" s="2748"/>
      <c r="R1681" s="2748"/>
      <c r="S1681" s="2748"/>
      <c r="T1681" s="2748"/>
      <c r="U1681" s="2748"/>
      <c r="V1681" s="2748"/>
      <c r="W1681" s="2748"/>
      <c r="X1681" s="2748"/>
      <c r="Y1681" s="2748"/>
      <c r="Z1681" s="2748"/>
      <c r="AA1681" s="2748"/>
      <c r="AB1681" s="2748"/>
      <c r="AC1681" s="2748"/>
      <c r="AD1681" s="2748"/>
      <c r="AE1681" s="2748"/>
      <c r="AF1681" s="2748"/>
      <c r="AG1681" s="2748"/>
      <c r="AH1681" s="2748"/>
      <c r="AI1681" s="2748"/>
      <c r="AK1681" s="2748"/>
      <c r="AL1681" s="2748"/>
      <c r="AN1681" s="2748"/>
      <c r="AO1681" s="2748"/>
      <c r="AP1681" s="2748"/>
    </row>
    <row r="1682" spans="2:42" ht="18" customHeight="1">
      <c r="B1682" s="2728"/>
      <c r="C1682" s="2728"/>
      <c r="D1682" s="2728"/>
      <c r="E1682" s="2728"/>
      <c r="G1682" s="2512"/>
      <c r="I1682" s="2748"/>
      <c r="J1682" s="2728"/>
      <c r="L1682" s="2728"/>
      <c r="M1682" s="2748"/>
      <c r="N1682" s="2728"/>
      <c r="O1682" s="2728"/>
      <c r="P1682" s="2728"/>
      <c r="Q1682" s="2748"/>
      <c r="R1682" s="2748"/>
      <c r="S1682" s="2748"/>
      <c r="T1682" s="2748"/>
      <c r="U1682" s="2748"/>
      <c r="V1682" s="2748"/>
      <c r="W1682" s="2748"/>
      <c r="X1682" s="2748"/>
      <c r="Y1682" s="2748"/>
      <c r="Z1682" s="2748"/>
      <c r="AA1682" s="2748"/>
      <c r="AB1682" s="2748"/>
      <c r="AC1682" s="2748"/>
      <c r="AD1682" s="2748"/>
      <c r="AE1682" s="2748"/>
      <c r="AF1682" s="2748"/>
      <c r="AG1682" s="2748"/>
      <c r="AH1682" s="2748"/>
      <c r="AI1682" s="2748"/>
      <c r="AK1682" s="2748"/>
      <c r="AL1682" s="2748"/>
      <c r="AN1682" s="2748"/>
      <c r="AO1682" s="2748"/>
      <c r="AP1682" s="2748"/>
    </row>
    <row r="1683" spans="2:42" ht="18" customHeight="1">
      <c r="B1683" s="2728"/>
      <c r="C1683" s="2728"/>
      <c r="D1683" s="2728"/>
      <c r="E1683" s="2728"/>
      <c r="G1683" s="2512"/>
      <c r="I1683" s="2748"/>
      <c r="J1683" s="2728"/>
      <c r="L1683" s="2728"/>
      <c r="M1683" s="2748"/>
      <c r="N1683" s="2728"/>
      <c r="O1683" s="2728"/>
      <c r="P1683" s="2728"/>
      <c r="Q1683" s="2748"/>
      <c r="R1683" s="2748"/>
      <c r="S1683" s="2748"/>
      <c r="T1683" s="2748"/>
      <c r="U1683" s="2748"/>
      <c r="V1683" s="2748"/>
      <c r="W1683" s="2748"/>
      <c r="X1683" s="2748"/>
      <c r="Y1683" s="2748"/>
      <c r="Z1683" s="2748"/>
      <c r="AA1683" s="2748"/>
      <c r="AB1683" s="2748"/>
      <c r="AC1683" s="2748"/>
      <c r="AD1683" s="2748"/>
      <c r="AE1683" s="2748"/>
      <c r="AF1683" s="2748"/>
      <c r="AG1683" s="2748"/>
      <c r="AH1683" s="2748"/>
      <c r="AI1683" s="2748"/>
      <c r="AK1683" s="2748"/>
      <c r="AL1683" s="2748"/>
      <c r="AN1683" s="2748"/>
      <c r="AO1683" s="2748"/>
      <c r="AP1683" s="2748"/>
    </row>
    <row r="1684" spans="2:42" ht="18" customHeight="1">
      <c r="B1684" s="2728"/>
      <c r="C1684" s="2728"/>
      <c r="D1684" s="2728"/>
      <c r="E1684" s="2728"/>
      <c r="G1684" s="2512"/>
      <c r="I1684" s="2748"/>
      <c r="J1684" s="2728"/>
      <c r="L1684" s="2728"/>
      <c r="M1684" s="2748"/>
      <c r="N1684" s="2728"/>
      <c r="O1684" s="2728"/>
      <c r="P1684" s="2728"/>
      <c r="Q1684" s="2748"/>
      <c r="R1684" s="2748"/>
      <c r="S1684" s="2748"/>
      <c r="T1684" s="2748"/>
      <c r="U1684" s="2748"/>
      <c r="V1684" s="2748"/>
      <c r="W1684" s="2748"/>
      <c r="X1684" s="2748"/>
      <c r="Y1684" s="2748"/>
      <c r="Z1684" s="2748"/>
      <c r="AA1684" s="2748"/>
      <c r="AB1684" s="2748"/>
      <c r="AC1684" s="2748"/>
      <c r="AD1684" s="2748"/>
      <c r="AE1684" s="2748"/>
      <c r="AF1684" s="2748"/>
      <c r="AG1684" s="2748"/>
      <c r="AH1684" s="2748"/>
      <c r="AI1684" s="2748"/>
      <c r="AK1684" s="2748"/>
      <c r="AL1684" s="2748"/>
      <c r="AN1684" s="2748"/>
      <c r="AO1684" s="2748"/>
      <c r="AP1684" s="2748"/>
    </row>
    <row r="1685" spans="2:42" ht="18" customHeight="1">
      <c r="B1685" s="2728"/>
      <c r="C1685" s="2728"/>
      <c r="D1685" s="2728"/>
      <c r="E1685" s="2728"/>
      <c r="G1685" s="2512"/>
      <c r="I1685" s="2748"/>
      <c r="J1685" s="2728"/>
      <c r="L1685" s="2728"/>
      <c r="M1685" s="2748"/>
      <c r="N1685" s="2728"/>
      <c r="O1685" s="2728"/>
      <c r="P1685" s="2728"/>
      <c r="Q1685" s="2748"/>
      <c r="R1685" s="2748"/>
      <c r="S1685" s="2748"/>
      <c r="T1685" s="2748"/>
      <c r="U1685" s="2748"/>
      <c r="V1685" s="2748"/>
      <c r="W1685" s="2748"/>
      <c r="X1685" s="2748"/>
      <c r="Y1685" s="2748"/>
      <c r="Z1685" s="2748"/>
      <c r="AA1685" s="2748"/>
      <c r="AB1685" s="2748"/>
      <c r="AC1685" s="2748"/>
      <c r="AD1685" s="2748"/>
      <c r="AE1685" s="2748"/>
      <c r="AF1685" s="2748"/>
      <c r="AG1685" s="2748"/>
      <c r="AH1685" s="2748"/>
      <c r="AI1685" s="2748"/>
      <c r="AK1685" s="2748"/>
      <c r="AL1685" s="2748"/>
      <c r="AN1685" s="2748"/>
      <c r="AO1685" s="2748"/>
      <c r="AP1685" s="2748"/>
    </row>
    <row r="1686" spans="2:42" ht="18" customHeight="1">
      <c r="B1686" s="2728"/>
      <c r="C1686" s="2728"/>
      <c r="D1686" s="2728"/>
      <c r="E1686" s="2728"/>
      <c r="G1686" s="2512"/>
      <c r="I1686" s="2748"/>
      <c r="J1686" s="2728"/>
      <c r="L1686" s="2728"/>
      <c r="M1686" s="2748"/>
      <c r="N1686" s="2728"/>
      <c r="O1686" s="2728"/>
      <c r="P1686" s="2728"/>
      <c r="Q1686" s="2748"/>
      <c r="R1686" s="2748"/>
      <c r="S1686" s="2748"/>
      <c r="T1686" s="2748"/>
      <c r="U1686" s="2748"/>
      <c r="V1686" s="2748"/>
      <c r="W1686" s="2748"/>
      <c r="X1686" s="2748"/>
      <c r="Y1686" s="2748"/>
      <c r="Z1686" s="2748"/>
      <c r="AA1686" s="2748"/>
      <c r="AB1686" s="2748"/>
      <c r="AC1686" s="2748"/>
      <c r="AD1686" s="2748"/>
      <c r="AE1686" s="2748"/>
      <c r="AF1686" s="2748"/>
      <c r="AG1686" s="2748"/>
      <c r="AH1686" s="2748"/>
      <c r="AI1686" s="2748"/>
      <c r="AK1686" s="2748"/>
      <c r="AL1686" s="2748"/>
      <c r="AN1686" s="2748"/>
      <c r="AO1686" s="2748"/>
      <c r="AP1686" s="2748"/>
    </row>
    <row r="1687" spans="2:42" ht="18" customHeight="1">
      <c r="B1687" s="2728"/>
      <c r="C1687" s="2728"/>
      <c r="D1687" s="2728"/>
      <c r="E1687" s="2728"/>
      <c r="G1687" s="2512"/>
      <c r="I1687" s="2748"/>
      <c r="J1687" s="2728"/>
      <c r="L1687" s="2728"/>
      <c r="M1687" s="2748"/>
      <c r="N1687" s="2728"/>
      <c r="O1687" s="2728"/>
      <c r="P1687" s="2728"/>
      <c r="Q1687" s="2748"/>
      <c r="R1687" s="2748"/>
      <c r="S1687" s="2748"/>
      <c r="T1687" s="2748"/>
      <c r="U1687" s="2748"/>
      <c r="V1687" s="2748"/>
      <c r="W1687" s="2748"/>
      <c r="X1687" s="2748"/>
      <c r="Y1687" s="2748"/>
      <c r="Z1687" s="2748"/>
      <c r="AA1687" s="2748"/>
      <c r="AB1687" s="2748"/>
      <c r="AC1687" s="2748"/>
      <c r="AD1687" s="2748"/>
      <c r="AE1687" s="2748"/>
      <c r="AF1687" s="2748"/>
      <c r="AG1687" s="2748"/>
      <c r="AH1687" s="2748"/>
      <c r="AI1687" s="2748"/>
      <c r="AK1687" s="2748"/>
      <c r="AL1687" s="2748"/>
      <c r="AN1687" s="2748"/>
      <c r="AO1687" s="2748"/>
      <c r="AP1687" s="2748"/>
    </row>
    <row r="1688" spans="2:42" ht="18" customHeight="1">
      <c r="B1688" s="2728"/>
      <c r="C1688" s="2728"/>
      <c r="D1688" s="2728"/>
      <c r="E1688" s="2728"/>
      <c r="G1688" s="2512"/>
      <c r="I1688" s="2748"/>
      <c r="J1688" s="2728"/>
      <c r="L1688" s="2728"/>
      <c r="M1688" s="2748"/>
      <c r="N1688" s="2728"/>
      <c r="O1688" s="2728"/>
      <c r="P1688" s="2728"/>
      <c r="Q1688" s="2748"/>
      <c r="R1688" s="2748"/>
      <c r="S1688" s="2748"/>
      <c r="T1688" s="2748"/>
      <c r="U1688" s="2748"/>
      <c r="V1688" s="2748"/>
      <c r="W1688" s="2748"/>
      <c r="X1688" s="2748"/>
      <c r="Y1688" s="2748"/>
      <c r="Z1688" s="2748"/>
      <c r="AA1688" s="2748"/>
      <c r="AB1688" s="2748"/>
      <c r="AC1688" s="2748"/>
      <c r="AD1688" s="2748"/>
      <c r="AE1688" s="2748"/>
      <c r="AF1688" s="2748"/>
      <c r="AG1688" s="2748"/>
      <c r="AH1688" s="2748"/>
      <c r="AI1688" s="2748"/>
      <c r="AK1688" s="2748"/>
      <c r="AL1688" s="2748"/>
      <c r="AN1688" s="2748"/>
      <c r="AO1688" s="2748"/>
      <c r="AP1688" s="2748"/>
    </row>
    <row r="1689" spans="2:42" ht="18" customHeight="1">
      <c r="B1689" s="2728"/>
      <c r="C1689" s="2728"/>
      <c r="D1689" s="2728"/>
      <c r="E1689" s="2728"/>
      <c r="G1689" s="2512"/>
      <c r="I1689" s="2748"/>
      <c r="J1689" s="2728"/>
      <c r="L1689" s="2728"/>
      <c r="M1689" s="2748"/>
      <c r="N1689" s="2728"/>
      <c r="O1689" s="2728"/>
      <c r="P1689" s="2728"/>
      <c r="Q1689" s="2748"/>
      <c r="R1689" s="2748"/>
      <c r="S1689" s="2748"/>
      <c r="T1689" s="2748"/>
      <c r="U1689" s="2748"/>
      <c r="V1689" s="2748"/>
      <c r="W1689" s="2748"/>
      <c r="X1689" s="2748"/>
      <c r="Y1689" s="2748"/>
      <c r="Z1689" s="2748"/>
      <c r="AA1689" s="2748"/>
      <c r="AB1689" s="2748"/>
      <c r="AC1689" s="2748"/>
      <c r="AD1689" s="2748"/>
      <c r="AE1689" s="2748"/>
      <c r="AF1689" s="2748"/>
      <c r="AG1689" s="2748"/>
      <c r="AH1689" s="2748"/>
      <c r="AI1689" s="2748"/>
      <c r="AK1689" s="2748"/>
      <c r="AL1689" s="2748"/>
      <c r="AN1689" s="2748"/>
      <c r="AO1689" s="2748"/>
      <c r="AP1689" s="2748"/>
    </row>
    <row r="1690" spans="2:42" ht="18" customHeight="1">
      <c r="B1690" s="2728"/>
      <c r="C1690" s="2728"/>
      <c r="D1690" s="2728"/>
      <c r="E1690" s="2728"/>
      <c r="G1690" s="2512"/>
      <c r="I1690" s="2748"/>
      <c r="J1690" s="2728"/>
      <c r="L1690" s="2728"/>
      <c r="M1690" s="2748"/>
      <c r="N1690" s="2728"/>
      <c r="O1690" s="2728"/>
      <c r="P1690" s="2728"/>
      <c r="Q1690" s="2748"/>
      <c r="R1690" s="2748"/>
      <c r="S1690" s="2748"/>
      <c r="T1690" s="2748"/>
      <c r="U1690" s="2748"/>
      <c r="V1690" s="2748"/>
      <c r="W1690" s="2748"/>
      <c r="X1690" s="2748"/>
      <c r="Y1690" s="2748"/>
      <c r="Z1690" s="2748"/>
      <c r="AA1690" s="2748"/>
      <c r="AB1690" s="2748"/>
      <c r="AC1690" s="2748"/>
      <c r="AD1690" s="2748"/>
      <c r="AE1690" s="2748"/>
      <c r="AF1690" s="2748"/>
      <c r="AG1690" s="2748"/>
      <c r="AH1690" s="2748"/>
      <c r="AI1690" s="2748"/>
      <c r="AK1690" s="2748"/>
      <c r="AL1690" s="2748"/>
      <c r="AN1690" s="2748"/>
      <c r="AO1690" s="2748"/>
      <c r="AP1690" s="2748"/>
    </row>
    <row r="1691" spans="2:42" ht="18" customHeight="1">
      <c r="B1691" s="2728"/>
      <c r="C1691" s="2728"/>
      <c r="D1691" s="2728"/>
      <c r="E1691" s="2728"/>
      <c r="G1691" s="2512"/>
      <c r="I1691" s="2748"/>
      <c r="J1691" s="2728"/>
      <c r="L1691" s="2728"/>
      <c r="M1691" s="2748"/>
      <c r="N1691" s="2728"/>
      <c r="O1691" s="2728"/>
      <c r="P1691" s="2728"/>
      <c r="Q1691" s="2748"/>
      <c r="R1691" s="2748"/>
      <c r="S1691" s="2748"/>
      <c r="T1691" s="2748"/>
      <c r="U1691" s="2748"/>
      <c r="V1691" s="2748"/>
      <c r="W1691" s="2748"/>
      <c r="X1691" s="2748"/>
      <c r="Y1691" s="2748"/>
      <c r="Z1691" s="2748"/>
      <c r="AA1691" s="2748"/>
      <c r="AB1691" s="2748"/>
      <c r="AC1691" s="2748"/>
      <c r="AD1691" s="2748"/>
      <c r="AE1691" s="2748"/>
      <c r="AF1691" s="2748"/>
      <c r="AG1691" s="2748"/>
      <c r="AH1691" s="2748"/>
      <c r="AI1691" s="2748"/>
      <c r="AK1691" s="2748"/>
      <c r="AL1691" s="2748"/>
      <c r="AN1691" s="2748"/>
      <c r="AO1691" s="2748"/>
      <c r="AP1691" s="2748"/>
    </row>
    <row r="1692" spans="2:42" ht="18" customHeight="1">
      <c r="B1692" s="2728"/>
      <c r="C1692" s="2728"/>
      <c r="D1692" s="2728"/>
      <c r="E1692" s="2728"/>
      <c r="G1692" s="2512"/>
      <c r="I1692" s="2748"/>
      <c r="J1692" s="2728"/>
      <c r="L1692" s="2728"/>
      <c r="M1692" s="2748"/>
      <c r="N1692" s="2728"/>
      <c r="O1692" s="2728"/>
      <c r="P1692" s="2728"/>
      <c r="Q1692" s="2748"/>
      <c r="R1692" s="2748"/>
      <c r="S1692" s="2748"/>
      <c r="T1692" s="2748"/>
      <c r="U1692" s="2748"/>
      <c r="V1692" s="2748"/>
      <c r="W1692" s="2748"/>
      <c r="X1692" s="2748"/>
      <c r="Y1692" s="2748"/>
      <c r="Z1692" s="2748"/>
      <c r="AA1692" s="2748"/>
      <c r="AB1692" s="2748"/>
      <c r="AC1692" s="2748"/>
      <c r="AD1692" s="2748"/>
      <c r="AE1692" s="2748"/>
      <c r="AF1692" s="2748"/>
      <c r="AG1692" s="2748"/>
      <c r="AH1692" s="2748"/>
      <c r="AI1692" s="2748"/>
      <c r="AK1692" s="2748"/>
      <c r="AL1692" s="2748"/>
      <c r="AN1692" s="2748"/>
      <c r="AO1692" s="2748"/>
      <c r="AP1692" s="2748"/>
    </row>
    <row r="1693" spans="2:42" ht="18" customHeight="1">
      <c r="B1693" s="2728"/>
      <c r="C1693" s="2728"/>
      <c r="D1693" s="2728"/>
      <c r="E1693" s="2728"/>
      <c r="G1693" s="2512"/>
      <c r="I1693" s="2748"/>
      <c r="J1693" s="2728"/>
      <c r="L1693" s="2728"/>
      <c r="M1693" s="2748"/>
      <c r="N1693" s="2728"/>
      <c r="O1693" s="2728"/>
      <c r="P1693" s="2728"/>
      <c r="Q1693" s="2748"/>
      <c r="R1693" s="2748"/>
      <c r="S1693" s="2748"/>
      <c r="T1693" s="2748"/>
      <c r="U1693" s="2748"/>
      <c r="V1693" s="2748"/>
      <c r="W1693" s="2748"/>
      <c r="X1693" s="2748"/>
      <c r="Y1693" s="2748"/>
      <c r="Z1693" s="2748"/>
      <c r="AA1693" s="2748"/>
      <c r="AB1693" s="2748"/>
      <c r="AC1693" s="2748"/>
      <c r="AD1693" s="2748"/>
      <c r="AE1693" s="2748"/>
      <c r="AF1693" s="2748"/>
      <c r="AG1693" s="2748"/>
      <c r="AH1693" s="2748"/>
      <c r="AI1693" s="2748"/>
      <c r="AK1693" s="2748"/>
      <c r="AL1693" s="2748"/>
      <c r="AN1693" s="2748"/>
      <c r="AO1693" s="2748"/>
      <c r="AP1693" s="2748"/>
    </row>
    <row r="1694" spans="2:42" ht="18" customHeight="1">
      <c r="B1694" s="2728"/>
      <c r="C1694" s="2728"/>
      <c r="D1694" s="2728"/>
      <c r="E1694" s="2728"/>
      <c r="G1694" s="2512"/>
      <c r="I1694" s="2748"/>
      <c r="J1694" s="2728"/>
      <c r="L1694" s="2728"/>
      <c r="M1694" s="2748"/>
      <c r="N1694" s="2728"/>
      <c r="O1694" s="2728"/>
      <c r="P1694" s="2728"/>
      <c r="Q1694" s="2748"/>
      <c r="R1694" s="2748"/>
      <c r="S1694" s="2748"/>
      <c r="T1694" s="2748"/>
      <c r="U1694" s="2748"/>
      <c r="V1694" s="2748"/>
      <c r="W1694" s="2748"/>
      <c r="X1694" s="2748"/>
      <c r="Y1694" s="2748"/>
      <c r="Z1694" s="2748"/>
      <c r="AA1694" s="2748"/>
      <c r="AB1694" s="2748"/>
      <c r="AC1694" s="2748"/>
      <c r="AD1694" s="2748"/>
      <c r="AE1694" s="2748"/>
      <c r="AF1694" s="2748"/>
      <c r="AG1694" s="2748"/>
      <c r="AH1694" s="2748"/>
      <c r="AI1694" s="2748"/>
      <c r="AK1694" s="2748"/>
      <c r="AL1694" s="2748"/>
      <c r="AN1694" s="2748"/>
      <c r="AO1694" s="2748"/>
      <c r="AP1694" s="2748"/>
    </row>
    <row r="1695" spans="2:42" ht="18" customHeight="1">
      <c r="B1695" s="2728"/>
      <c r="C1695" s="2728"/>
      <c r="D1695" s="2728"/>
      <c r="E1695" s="2728"/>
      <c r="G1695" s="2512"/>
      <c r="I1695" s="2748"/>
      <c r="J1695" s="2728"/>
      <c r="L1695" s="2728"/>
      <c r="M1695" s="2748"/>
      <c r="N1695" s="2728"/>
      <c r="O1695" s="2728"/>
      <c r="P1695" s="2728"/>
      <c r="Q1695" s="2748"/>
      <c r="R1695" s="2748"/>
      <c r="S1695" s="2748"/>
      <c r="T1695" s="2748"/>
      <c r="U1695" s="2748"/>
      <c r="V1695" s="2748"/>
      <c r="W1695" s="2748"/>
      <c r="X1695" s="2748"/>
      <c r="Y1695" s="2748"/>
      <c r="Z1695" s="2748"/>
      <c r="AA1695" s="2748"/>
      <c r="AB1695" s="2748"/>
      <c r="AC1695" s="2748"/>
      <c r="AD1695" s="2748"/>
      <c r="AE1695" s="2748"/>
      <c r="AF1695" s="2748"/>
      <c r="AG1695" s="2748"/>
      <c r="AH1695" s="2748"/>
      <c r="AI1695" s="2748"/>
      <c r="AK1695" s="2748"/>
      <c r="AL1695" s="2748"/>
      <c r="AN1695" s="2748"/>
      <c r="AO1695" s="2748"/>
      <c r="AP1695" s="2748"/>
    </row>
    <row r="1696" spans="2:42" ht="18" customHeight="1">
      <c r="B1696" s="2728"/>
      <c r="C1696" s="2728"/>
      <c r="D1696" s="2728"/>
      <c r="E1696" s="2728"/>
      <c r="G1696" s="2512"/>
      <c r="I1696" s="2748"/>
      <c r="J1696" s="2728"/>
      <c r="L1696" s="2728"/>
      <c r="M1696" s="2748"/>
      <c r="N1696" s="2728"/>
      <c r="O1696" s="2728"/>
      <c r="P1696" s="2728"/>
      <c r="Q1696" s="2748"/>
      <c r="R1696" s="2748"/>
      <c r="S1696" s="2748"/>
      <c r="T1696" s="2748"/>
      <c r="U1696" s="2748"/>
      <c r="V1696" s="2748"/>
      <c r="W1696" s="2748"/>
      <c r="X1696" s="2748"/>
      <c r="Y1696" s="2748"/>
      <c r="Z1696" s="2748"/>
      <c r="AA1696" s="2748"/>
      <c r="AB1696" s="2748"/>
      <c r="AC1696" s="2748"/>
      <c r="AD1696" s="2748"/>
      <c r="AE1696" s="2748"/>
      <c r="AF1696" s="2748"/>
      <c r="AG1696" s="2748"/>
      <c r="AH1696" s="2748"/>
      <c r="AI1696" s="2748"/>
      <c r="AK1696" s="2748"/>
      <c r="AL1696" s="2748"/>
      <c r="AN1696" s="2748"/>
      <c r="AO1696" s="2748"/>
      <c r="AP1696" s="2748"/>
    </row>
    <row r="1697" spans="2:42" ht="18" customHeight="1">
      <c r="B1697" s="2728"/>
      <c r="C1697" s="2728"/>
      <c r="D1697" s="2728"/>
      <c r="E1697" s="2728"/>
      <c r="G1697" s="2512"/>
      <c r="I1697" s="2748"/>
      <c r="J1697" s="2728"/>
      <c r="L1697" s="2728"/>
      <c r="M1697" s="2748"/>
      <c r="N1697" s="2728"/>
      <c r="O1697" s="2728"/>
      <c r="P1697" s="2728"/>
      <c r="Q1697" s="2748"/>
      <c r="R1697" s="2748"/>
      <c r="S1697" s="2748"/>
      <c r="T1697" s="2748"/>
      <c r="U1697" s="2748"/>
      <c r="V1697" s="2748"/>
      <c r="W1697" s="2748"/>
      <c r="X1697" s="2748"/>
      <c r="Y1697" s="2748"/>
      <c r="Z1697" s="2748"/>
      <c r="AA1697" s="2748"/>
      <c r="AB1697" s="2748"/>
      <c r="AC1697" s="2748"/>
      <c r="AD1697" s="2748"/>
      <c r="AE1697" s="2748"/>
      <c r="AF1697" s="2748"/>
      <c r="AG1697" s="2748"/>
      <c r="AH1697" s="2748"/>
      <c r="AI1697" s="2748"/>
      <c r="AK1697" s="2748"/>
      <c r="AL1697" s="2748"/>
      <c r="AN1697" s="2748"/>
      <c r="AO1697" s="2748"/>
      <c r="AP1697" s="2748"/>
    </row>
    <row r="1698" spans="2:42" ht="18" customHeight="1">
      <c r="B1698" s="2728"/>
      <c r="C1698" s="2728"/>
      <c r="D1698" s="2728"/>
      <c r="E1698" s="2728"/>
      <c r="G1698" s="2512"/>
      <c r="I1698" s="2748"/>
      <c r="J1698" s="2728"/>
      <c r="L1698" s="2728"/>
      <c r="M1698" s="2748"/>
      <c r="N1698" s="2728"/>
      <c r="O1698" s="2728"/>
      <c r="P1698" s="2728"/>
      <c r="Q1698" s="2748"/>
      <c r="R1698" s="2748"/>
      <c r="S1698" s="2748"/>
      <c r="T1698" s="2748"/>
      <c r="U1698" s="2748"/>
      <c r="V1698" s="2748"/>
      <c r="W1698" s="2748"/>
      <c r="X1698" s="2748"/>
      <c r="Y1698" s="2748"/>
      <c r="Z1698" s="2748"/>
      <c r="AA1698" s="2748"/>
      <c r="AB1698" s="2748"/>
      <c r="AC1698" s="2748"/>
      <c r="AD1698" s="2748"/>
      <c r="AE1698" s="2748"/>
      <c r="AF1698" s="2748"/>
      <c r="AG1698" s="2748"/>
      <c r="AH1698" s="2748"/>
      <c r="AI1698" s="2748"/>
      <c r="AK1698" s="2748"/>
      <c r="AL1698" s="2748"/>
      <c r="AN1698" s="2748"/>
      <c r="AO1698" s="2748"/>
      <c r="AP1698" s="2748"/>
    </row>
    <row r="1699" spans="2:42" ht="18" customHeight="1">
      <c r="B1699" s="2728"/>
      <c r="C1699" s="2728"/>
      <c r="D1699" s="2728"/>
      <c r="E1699" s="2728"/>
      <c r="G1699" s="2512"/>
      <c r="I1699" s="2748"/>
      <c r="J1699" s="2728"/>
      <c r="L1699" s="2728"/>
      <c r="M1699" s="2748"/>
      <c r="N1699" s="2728"/>
      <c r="O1699" s="2728"/>
      <c r="P1699" s="2728"/>
      <c r="Q1699" s="2748"/>
      <c r="R1699" s="2748"/>
      <c r="S1699" s="2748"/>
      <c r="T1699" s="2748"/>
      <c r="U1699" s="2748"/>
      <c r="V1699" s="2748"/>
      <c r="W1699" s="2748"/>
      <c r="X1699" s="2748"/>
      <c r="Y1699" s="2748"/>
      <c r="Z1699" s="2748"/>
      <c r="AA1699" s="2748"/>
      <c r="AB1699" s="2748"/>
      <c r="AC1699" s="2748"/>
      <c r="AD1699" s="2748"/>
      <c r="AE1699" s="2748"/>
      <c r="AF1699" s="2748"/>
      <c r="AG1699" s="2748"/>
      <c r="AH1699" s="2748"/>
      <c r="AI1699" s="2748"/>
      <c r="AK1699" s="2748"/>
      <c r="AL1699" s="2748"/>
      <c r="AN1699" s="2748"/>
      <c r="AO1699" s="2748"/>
      <c r="AP1699" s="2748"/>
    </row>
    <row r="1700" spans="2:42" ht="18" customHeight="1">
      <c r="B1700" s="2728"/>
      <c r="C1700" s="2728"/>
      <c r="D1700" s="2728"/>
      <c r="E1700" s="2728"/>
      <c r="G1700" s="2512"/>
      <c r="I1700" s="2748"/>
      <c r="J1700" s="2728"/>
      <c r="L1700" s="2728"/>
      <c r="M1700" s="2748"/>
      <c r="N1700" s="2728"/>
      <c r="O1700" s="2728"/>
      <c r="P1700" s="2728"/>
      <c r="Q1700" s="2748"/>
      <c r="R1700" s="2748"/>
      <c r="S1700" s="2748"/>
      <c r="T1700" s="2748"/>
      <c r="U1700" s="2748"/>
      <c r="V1700" s="2748"/>
      <c r="W1700" s="2748"/>
      <c r="X1700" s="2748"/>
      <c r="Y1700" s="2748"/>
      <c r="Z1700" s="2748"/>
      <c r="AA1700" s="2748"/>
      <c r="AB1700" s="2748"/>
      <c r="AC1700" s="2748"/>
      <c r="AD1700" s="2748"/>
      <c r="AE1700" s="2748"/>
      <c r="AF1700" s="2748"/>
      <c r="AG1700" s="2748"/>
      <c r="AH1700" s="2748"/>
      <c r="AI1700" s="2748"/>
      <c r="AK1700" s="2748"/>
      <c r="AL1700" s="2748"/>
      <c r="AN1700" s="2748"/>
      <c r="AO1700" s="2748"/>
      <c r="AP1700" s="2748"/>
    </row>
    <row r="1701" spans="2:42" ht="18" customHeight="1">
      <c r="B1701" s="2728"/>
      <c r="C1701" s="2728"/>
      <c r="D1701" s="2728"/>
      <c r="E1701" s="2728"/>
      <c r="G1701" s="2512"/>
      <c r="I1701" s="2748"/>
      <c r="J1701" s="2728"/>
      <c r="L1701" s="2728"/>
      <c r="M1701" s="2748"/>
      <c r="N1701" s="2728"/>
      <c r="O1701" s="2728"/>
      <c r="P1701" s="2728"/>
      <c r="Q1701" s="2748"/>
      <c r="R1701" s="2748"/>
      <c r="S1701" s="2748"/>
      <c r="T1701" s="2748"/>
      <c r="U1701" s="2748"/>
      <c r="V1701" s="2748"/>
      <c r="W1701" s="2748"/>
      <c r="X1701" s="2748"/>
      <c r="Y1701" s="2748"/>
      <c r="Z1701" s="2748"/>
      <c r="AA1701" s="2748"/>
      <c r="AB1701" s="2748"/>
      <c r="AC1701" s="2748"/>
      <c r="AD1701" s="2748"/>
      <c r="AE1701" s="2748"/>
      <c r="AF1701" s="2748"/>
      <c r="AG1701" s="2748"/>
      <c r="AH1701" s="2748"/>
      <c r="AI1701" s="2748"/>
      <c r="AK1701" s="2748"/>
      <c r="AL1701" s="2748"/>
      <c r="AN1701" s="2748"/>
      <c r="AO1701" s="2748"/>
      <c r="AP1701" s="2748"/>
    </row>
    <row r="1702" spans="2:42" ht="18" customHeight="1">
      <c r="B1702" s="2728"/>
      <c r="C1702" s="2728"/>
      <c r="D1702" s="2728"/>
      <c r="E1702" s="2728"/>
      <c r="G1702" s="2512"/>
      <c r="I1702" s="2748"/>
      <c r="J1702" s="2728"/>
      <c r="L1702" s="2728"/>
      <c r="M1702" s="2748"/>
      <c r="N1702" s="2728"/>
      <c r="O1702" s="2728"/>
      <c r="P1702" s="2728"/>
      <c r="Q1702" s="2748"/>
      <c r="R1702" s="2748"/>
      <c r="S1702" s="2748"/>
      <c r="T1702" s="2748"/>
      <c r="U1702" s="2748"/>
      <c r="V1702" s="2748"/>
      <c r="W1702" s="2748"/>
      <c r="X1702" s="2748"/>
      <c r="Y1702" s="2748"/>
      <c r="Z1702" s="2748"/>
      <c r="AA1702" s="2748"/>
      <c r="AB1702" s="2748"/>
      <c r="AC1702" s="2748"/>
      <c r="AD1702" s="2748"/>
      <c r="AE1702" s="2748"/>
      <c r="AF1702" s="2748"/>
      <c r="AG1702" s="2748"/>
      <c r="AH1702" s="2748"/>
      <c r="AI1702" s="2748"/>
      <c r="AK1702" s="2748"/>
      <c r="AL1702" s="2748"/>
      <c r="AN1702" s="2748"/>
      <c r="AO1702" s="2748"/>
      <c r="AP1702" s="2748"/>
    </row>
    <row r="1703" spans="2:42" ht="18" customHeight="1">
      <c r="B1703" s="2728"/>
      <c r="C1703" s="2728"/>
      <c r="D1703" s="2728"/>
      <c r="E1703" s="2728"/>
      <c r="G1703" s="2512"/>
      <c r="I1703" s="2748"/>
      <c r="J1703" s="2728"/>
      <c r="L1703" s="2728"/>
      <c r="M1703" s="2748"/>
      <c r="N1703" s="2728"/>
      <c r="O1703" s="2728"/>
      <c r="P1703" s="2728"/>
      <c r="Q1703" s="2748"/>
      <c r="R1703" s="2748"/>
      <c r="S1703" s="2748"/>
      <c r="T1703" s="2748"/>
      <c r="U1703" s="2748"/>
      <c r="V1703" s="2748"/>
      <c r="W1703" s="2748"/>
      <c r="X1703" s="2748"/>
      <c r="Y1703" s="2748"/>
      <c r="Z1703" s="2748"/>
      <c r="AA1703" s="2748"/>
      <c r="AB1703" s="2748"/>
      <c r="AC1703" s="2748"/>
      <c r="AD1703" s="2748"/>
      <c r="AE1703" s="2748"/>
      <c r="AF1703" s="2748"/>
      <c r="AG1703" s="2748"/>
      <c r="AH1703" s="2748"/>
      <c r="AI1703" s="2748"/>
      <c r="AK1703" s="2748"/>
      <c r="AL1703" s="2748"/>
      <c r="AN1703" s="2748"/>
      <c r="AO1703" s="2748"/>
      <c r="AP1703" s="2748"/>
    </row>
    <row r="1704" spans="2:42" ht="18" customHeight="1">
      <c r="B1704" s="2728"/>
      <c r="C1704" s="2728"/>
      <c r="D1704" s="2728"/>
      <c r="E1704" s="2728"/>
      <c r="G1704" s="2512"/>
      <c r="I1704" s="2748"/>
      <c r="J1704" s="2728"/>
      <c r="L1704" s="2728"/>
      <c r="M1704" s="2748"/>
      <c r="N1704" s="2728"/>
      <c r="O1704" s="2728"/>
      <c r="P1704" s="2728"/>
      <c r="Q1704" s="2748"/>
      <c r="R1704" s="2748"/>
      <c r="S1704" s="2748"/>
      <c r="T1704" s="2748"/>
      <c r="U1704" s="2748"/>
      <c r="V1704" s="2748"/>
      <c r="W1704" s="2748"/>
      <c r="X1704" s="2748"/>
      <c r="Y1704" s="2748"/>
      <c r="Z1704" s="2748"/>
      <c r="AA1704" s="2748"/>
      <c r="AB1704" s="2748"/>
      <c r="AC1704" s="2748"/>
      <c r="AD1704" s="2748"/>
      <c r="AE1704" s="2748"/>
      <c r="AF1704" s="2748"/>
      <c r="AG1704" s="2748"/>
      <c r="AH1704" s="2748"/>
      <c r="AI1704" s="2748"/>
      <c r="AK1704" s="2748"/>
      <c r="AL1704" s="2748"/>
      <c r="AN1704" s="2748"/>
      <c r="AO1704" s="2748"/>
      <c r="AP1704" s="2748"/>
    </row>
    <row r="1705" spans="2:42" ht="18" customHeight="1">
      <c r="B1705" s="2728"/>
      <c r="C1705" s="2728"/>
      <c r="D1705" s="2728"/>
      <c r="E1705" s="2728"/>
      <c r="G1705" s="2512"/>
      <c r="I1705" s="2748"/>
      <c r="J1705" s="2728"/>
      <c r="L1705" s="2728"/>
      <c r="M1705" s="2748"/>
      <c r="N1705" s="2728"/>
      <c r="O1705" s="2728"/>
      <c r="P1705" s="2728"/>
      <c r="Q1705" s="2748"/>
      <c r="R1705" s="2748"/>
      <c r="S1705" s="2748"/>
      <c r="T1705" s="2748"/>
      <c r="U1705" s="2748"/>
      <c r="V1705" s="2748"/>
      <c r="W1705" s="2748"/>
      <c r="X1705" s="2748"/>
      <c r="Y1705" s="2748"/>
      <c r="Z1705" s="2748"/>
      <c r="AA1705" s="2748"/>
      <c r="AB1705" s="2748"/>
      <c r="AC1705" s="2748"/>
      <c r="AD1705" s="2748"/>
      <c r="AE1705" s="2748"/>
      <c r="AF1705" s="2748"/>
      <c r="AG1705" s="2748"/>
      <c r="AH1705" s="2748"/>
      <c r="AI1705" s="2748"/>
      <c r="AK1705" s="2748"/>
      <c r="AL1705" s="2748"/>
      <c r="AN1705" s="2748"/>
      <c r="AO1705" s="2748"/>
      <c r="AP1705" s="2748"/>
    </row>
    <row r="1706" spans="2:42" ht="18" customHeight="1">
      <c r="B1706" s="2728"/>
      <c r="C1706" s="2728"/>
      <c r="D1706" s="2728"/>
      <c r="E1706" s="2728"/>
      <c r="G1706" s="2512"/>
      <c r="I1706" s="2748"/>
      <c r="J1706" s="2728"/>
      <c r="L1706" s="2728"/>
      <c r="M1706" s="2748"/>
      <c r="N1706" s="2728"/>
      <c r="O1706" s="2728"/>
      <c r="P1706" s="2728"/>
      <c r="Q1706" s="2748"/>
      <c r="R1706" s="2748"/>
      <c r="S1706" s="2748"/>
      <c r="T1706" s="2748"/>
      <c r="U1706" s="2748"/>
      <c r="V1706" s="2748"/>
      <c r="W1706" s="2748"/>
      <c r="X1706" s="2748"/>
      <c r="Y1706" s="2748"/>
      <c r="Z1706" s="2748"/>
      <c r="AA1706" s="2748"/>
      <c r="AB1706" s="2748"/>
      <c r="AC1706" s="2748"/>
      <c r="AD1706" s="2748"/>
      <c r="AE1706" s="2748"/>
      <c r="AF1706" s="2748"/>
      <c r="AG1706" s="2748"/>
      <c r="AH1706" s="2748"/>
      <c r="AI1706" s="2748"/>
      <c r="AK1706" s="2748"/>
      <c r="AL1706" s="2748"/>
      <c r="AN1706" s="2748"/>
      <c r="AO1706" s="2748"/>
      <c r="AP1706" s="2748"/>
    </row>
    <row r="1707" spans="2:42" ht="18" customHeight="1">
      <c r="B1707" s="2728"/>
      <c r="C1707" s="2728"/>
      <c r="D1707" s="2728"/>
      <c r="E1707" s="2728"/>
      <c r="G1707" s="2512"/>
      <c r="I1707" s="2748"/>
      <c r="J1707" s="2728"/>
      <c r="L1707" s="2728"/>
      <c r="M1707" s="2748"/>
      <c r="N1707" s="2728"/>
      <c r="O1707" s="2728"/>
      <c r="P1707" s="2728"/>
      <c r="Q1707" s="2748"/>
      <c r="R1707" s="2748"/>
      <c r="S1707" s="2748"/>
      <c r="T1707" s="2748"/>
      <c r="U1707" s="2748"/>
      <c r="V1707" s="2748"/>
      <c r="W1707" s="2748"/>
      <c r="X1707" s="2748"/>
      <c r="Y1707" s="2748"/>
      <c r="Z1707" s="2748"/>
      <c r="AA1707" s="2748"/>
      <c r="AB1707" s="2748"/>
      <c r="AC1707" s="2748"/>
      <c r="AD1707" s="2748"/>
      <c r="AE1707" s="2748"/>
      <c r="AF1707" s="2748"/>
      <c r="AG1707" s="2748"/>
      <c r="AH1707" s="2748"/>
      <c r="AI1707" s="2748"/>
      <c r="AK1707" s="2748"/>
      <c r="AL1707" s="2748"/>
      <c r="AN1707" s="2748"/>
      <c r="AO1707" s="2748"/>
      <c r="AP1707" s="2748"/>
    </row>
    <row r="1708" spans="2:42" ht="18" customHeight="1">
      <c r="B1708" s="2728"/>
      <c r="C1708" s="2728"/>
      <c r="D1708" s="2728"/>
      <c r="E1708" s="2728"/>
      <c r="G1708" s="2512"/>
      <c r="I1708" s="2748"/>
      <c r="J1708" s="2728"/>
      <c r="L1708" s="2728"/>
      <c r="M1708" s="2748"/>
      <c r="N1708" s="2728"/>
      <c r="O1708" s="2728"/>
      <c r="P1708" s="2728"/>
      <c r="Q1708" s="2748"/>
      <c r="R1708" s="2748"/>
      <c r="S1708" s="2748"/>
      <c r="T1708" s="2748"/>
      <c r="U1708" s="2748"/>
      <c r="V1708" s="2748"/>
      <c r="W1708" s="2748"/>
      <c r="X1708" s="2748"/>
      <c r="Y1708" s="2748"/>
      <c r="Z1708" s="2748"/>
      <c r="AA1708" s="2748"/>
      <c r="AB1708" s="2748"/>
      <c r="AC1708" s="2748"/>
      <c r="AD1708" s="2748"/>
      <c r="AE1708" s="2748"/>
      <c r="AF1708" s="2748"/>
      <c r="AG1708" s="2748"/>
      <c r="AH1708" s="2748"/>
      <c r="AI1708" s="2748"/>
      <c r="AK1708" s="2748"/>
      <c r="AL1708" s="2748"/>
      <c r="AN1708" s="2748"/>
      <c r="AO1708" s="2748"/>
      <c r="AP1708" s="2748"/>
    </row>
    <row r="1709" spans="2:42" ht="18" customHeight="1">
      <c r="B1709" s="2728"/>
      <c r="C1709" s="2728"/>
      <c r="D1709" s="2728"/>
      <c r="E1709" s="2728"/>
      <c r="G1709" s="2512"/>
      <c r="I1709" s="2748"/>
      <c r="J1709" s="2728"/>
      <c r="L1709" s="2728"/>
      <c r="M1709" s="2748"/>
      <c r="N1709" s="2728"/>
      <c r="O1709" s="2728"/>
      <c r="P1709" s="2728"/>
      <c r="Q1709" s="2748"/>
      <c r="R1709" s="2748"/>
      <c r="S1709" s="2748"/>
      <c r="T1709" s="2748"/>
      <c r="U1709" s="2748"/>
      <c r="V1709" s="2748"/>
      <c r="W1709" s="2748"/>
      <c r="X1709" s="2748"/>
      <c r="Y1709" s="2748"/>
      <c r="Z1709" s="2748"/>
      <c r="AA1709" s="2748"/>
      <c r="AB1709" s="2748"/>
      <c r="AC1709" s="2748"/>
      <c r="AD1709" s="2748"/>
      <c r="AE1709" s="2748"/>
      <c r="AF1709" s="2748"/>
      <c r="AG1709" s="2748"/>
      <c r="AH1709" s="2748"/>
      <c r="AI1709" s="2748"/>
      <c r="AK1709" s="2748"/>
      <c r="AL1709" s="2748"/>
      <c r="AN1709" s="2748"/>
      <c r="AO1709" s="2748"/>
      <c r="AP1709" s="2748"/>
    </row>
    <row r="1710" spans="2:42" ht="18" customHeight="1">
      <c r="B1710" s="2728"/>
      <c r="C1710" s="2728"/>
      <c r="D1710" s="2728"/>
      <c r="E1710" s="2728"/>
      <c r="G1710" s="2512"/>
      <c r="I1710" s="2748"/>
      <c r="J1710" s="2728"/>
      <c r="L1710" s="2728"/>
      <c r="M1710" s="2748"/>
      <c r="N1710" s="2728"/>
      <c r="O1710" s="2728"/>
      <c r="P1710" s="2728"/>
      <c r="Q1710" s="2748"/>
      <c r="R1710" s="2748"/>
      <c r="S1710" s="2748"/>
      <c r="T1710" s="2748"/>
      <c r="U1710" s="2748"/>
      <c r="V1710" s="2748"/>
      <c r="W1710" s="2748"/>
      <c r="X1710" s="2748"/>
      <c r="Y1710" s="2748"/>
      <c r="Z1710" s="2748"/>
      <c r="AA1710" s="2748"/>
      <c r="AB1710" s="2748"/>
      <c r="AC1710" s="2748"/>
      <c r="AD1710" s="2748"/>
      <c r="AE1710" s="2748"/>
      <c r="AF1710" s="2748"/>
      <c r="AG1710" s="2748"/>
      <c r="AH1710" s="2748"/>
      <c r="AI1710" s="2748"/>
      <c r="AK1710" s="2748"/>
      <c r="AL1710" s="2748"/>
      <c r="AN1710" s="2748"/>
      <c r="AO1710" s="2748"/>
      <c r="AP1710" s="2748"/>
    </row>
    <row r="1711" spans="2:42" ht="18" customHeight="1">
      <c r="B1711" s="2728"/>
      <c r="C1711" s="2728"/>
      <c r="D1711" s="2728"/>
      <c r="E1711" s="2728"/>
      <c r="G1711" s="2512"/>
      <c r="I1711" s="2748"/>
      <c r="J1711" s="2728"/>
      <c r="L1711" s="2728"/>
      <c r="M1711" s="2748"/>
      <c r="N1711" s="2728"/>
      <c r="O1711" s="2728"/>
      <c r="P1711" s="2728"/>
      <c r="Q1711" s="2748"/>
      <c r="R1711" s="2748"/>
      <c r="S1711" s="2748"/>
      <c r="T1711" s="2748"/>
      <c r="U1711" s="2748"/>
      <c r="V1711" s="2748"/>
      <c r="W1711" s="2748"/>
      <c r="X1711" s="2748"/>
      <c r="Y1711" s="2748"/>
      <c r="Z1711" s="2748"/>
      <c r="AA1711" s="2748"/>
      <c r="AB1711" s="2748"/>
      <c r="AC1711" s="2748"/>
      <c r="AD1711" s="2748"/>
      <c r="AE1711" s="2748"/>
      <c r="AF1711" s="2748"/>
      <c r="AG1711" s="2748"/>
      <c r="AH1711" s="2748"/>
      <c r="AI1711" s="2748"/>
      <c r="AK1711" s="2748"/>
      <c r="AL1711" s="2748"/>
      <c r="AN1711" s="2748"/>
      <c r="AO1711" s="2748"/>
      <c r="AP1711" s="2748"/>
    </row>
    <row r="1712" spans="2:42" ht="18" customHeight="1">
      <c r="B1712" s="2728"/>
      <c r="C1712" s="2728"/>
      <c r="D1712" s="2728"/>
      <c r="E1712" s="2728"/>
      <c r="G1712" s="2512"/>
      <c r="I1712" s="2748"/>
      <c r="J1712" s="2728"/>
      <c r="L1712" s="2728"/>
      <c r="M1712" s="2748"/>
      <c r="N1712" s="2728"/>
      <c r="O1712" s="2728"/>
      <c r="P1712" s="2728"/>
      <c r="Q1712" s="2748"/>
      <c r="R1712" s="2748"/>
      <c r="S1712" s="2748"/>
      <c r="T1712" s="2748"/>
      <c r="U1712" s="2748"/>
      <c r="V1712" s="2748"/>
      <c r="W1712" s="2748"/>
      <c r="X1712" s="2748"/>
      <c r="Y1712" s="2748"/>
      <c r="Z1712" s="2748"/>
      <c r="AA1712" s="2748"/>
      <c r="AB1712" s="2748"/>
      <c r="AC1712" s="2748"/>
      <c r="AD1712" s="2748"/>
      <c r="AE1712" s="2748"/>
      <c r="AF1712" s="2748"/>
      <c r="AG1712" s="2748"/>
      <c r="AH1712" s="2748"/>
      <c r="AI1712" s="2748"/>
      <c r="AK1712" s="2748"/>
      <c r="AL1712" s="2748"/>
      <c r="AN1712" s="2748"/>
      <c r="AO1712" s="2748"/>
      <c r="AP1712" s="2748"/>
    </row>
    <row r="1713" spans="2:42" ht="18" customHeight="1">
      <c r="B1713" s="2728"/>
      <c r="C1713" s="2728"/>
      <c r="D1713" s="2728"/>
      <c r="E1713" s="2728"/>
      <c r="G1713" s="2512"/>
      <c r="I1713" s="2748"/>
      <c r="J1713" s="2728"/>
      <c r="L1713" s="2728"/>
      <c r="M1713" s="2748"/>
      <c r="N1713" s="2728"/>
      <c r="O1713" s="2728"/>
      <c r="P1713" s="2728"/>
      <c r="Q1713" s="2748"/>
      <c r="R1713" s="2748"/>
      <c r="S1713" s="2748"/>
      <c r="T1713" s="2748"/>
      <c r="U1713" s="2748"/>
      <c r="V1713" s="2748"/>
      <c r="W1713" s="2748"/>
      <c r="X1713" s="2748"/>
      <c r="Y1713" s="2748"/>
      <c r="Z1713" s="2748"/>
      <c r="AA1713" s="2748"/>
      <c r="AB1713" s="2748"/>
      <c r="AC1713" s="2748"/>
      <c r="AD1713" s="2748"/>
      <c r="AE1713" s="2748"/>
      <c r="AF1713" s="2748"/>
      <c r="AG1713" s="2748"/>
      <c r="AH1713" s="2748"/>
      <c r="AI1713" s="2748"/>
      <c r="AK1713" s="2748"/>
      <c r="AL1713" s="2748"/>
      <c r="AN1713" s="2748"/>
      <c r="AO1713" s="2748"/>
      <c r="AP1713" s="2748"/>
    </row>
    <row r="1714" spans="2:42" ht="18" customHeight="1">
      <c r="B1714" s="2728"/>
      <c r="C1714" s="2728"/>
      <c r="D1714" s="2728"/>
      <c r="E1714" s="2728"/>
      <c r="G1714" s="2512"/>
      <c r="I1714" s="2748"/>
      <c r="J1714" s="2728"/>
      <c r="L1714" s="2728"/>
      <c r="M1714" s="2748"/>
      <c r="N1714" s="2728"/>
      <c r="O1714" s="2728"/>
      <c r="P1714" s="2728"/>
      <c r="Q1714" s="2748"/>
      <c r="R1714" s="2748"/>
      <c r="S1714" s="2748"/>
      <c r="T1714" s="2748"/>
      <c r="U1714" s="2748"/>
      <c r="V1714" s="2748"/>
      <c r="W1714" s="2748"/>
      <c r="X1714" s="2748"/>
      <c r="Y1714" s="2748"/>
      <c r="Z1714" s="2748"/>
      <c r="AA1714" s="2748"/>
      <c r="AB1714" s="2748"/>
      <c r="AC1714" s="2748"/>
      <c r="AD1714" s="2748"/>
      <c r="AE1714" s="2748"/>
      <c r="AF1714" s="2748"/>
      <c r="AG1714" s="2748"/>
      <c r="AH1714" s="2748"/>
      <c r="AI1714" s="2748"/>
      <c r="AK1714" s="2748"/>
      <c r="AL1714" s="2748"/>
      <c r="AN1714" s="2748"/>
      <c r="AO1714" s="2748"/>
      <c r="AP1714" s="2748"/>
    </row>
    <row r="1715" spans="2:42" ht="18" customHeight="1">
      <c r="B1715" s="2728"/>
      <c r="C1715" s="2728"/>
      <c r="D1715" s="2728"/>
      <c r="E1715" s="2728"/>
      <c r="G1715" s="2512"/>
      <c r="I1715" s="2748"/>
      <c r="J1715" s="2728"/>
      <c r="L1715" s="2728"/>
      <c r="M1715" s="2748"/>
      <c r="N1715" s="2728"/>
      <c r="O1715" s="2728"/>
      <c r="P1715" s="2728"/>
      <c r="Q1715" s="2748"/>
      <c r="R1715" s="2748"/>
      <c r="S1715" s="2748"/>
      <c r="T1715" s="2748"/>
      <c r="U1715" s="2748"/>
      <c r="V1715" s="2748"/>
      <c r="W1715" s="2748"/>
      <c r="X1715" s="2748"/>
      <c r="Y1715" s="2748"/>
      <c r="Z1715" s="2748"/>
      <c r="AA1715" s="2748"/>
      <c r="AB1715" s="2748"/>
      <c r="AC1715" s="2748"/>
      <c r="AD1715" s="2748"/>
      <c r="AE1715" s="2748"/>
      <c r="AF1715" s="2748"/>
      <c r="AG1715" s="2748"/>
      <c r="AH1715" s="2748"/>
      <c r="AI1715" s="2748"/>
      <c r="AK1715" s="2748"/>
      <c r="AL1715" s="2748"/>
      <c r="AN1715" s="2748"/>
      <c r="AO1715" s="2748"/>
      <c r="AP1715" s="2748"/>
    </row>
    <row r="1716" spans="2:42" ht="18" customHeight="1">
      <c r="B1716" s="2728"/>
      <c r="C1716" s="2728"/>
      <c r="D1716" s="2728"/>
      <c r="E1716" s="2728"/>
      <c r="G1716" s="2512"/>
      <c r="I1716" s="2748"/>
      <c r="J1716" s="2728"/>
      <c r="L1716" s="2728"/>
      <c r="M1716" s="2748"/>
      <c r="N1716" s="2728"/>
      <c r="O1716" s="2728"/>
      <c r="P1716" s="2728"/>
      <c r="Q1716" s="2748"/>
      <c r="R1716" s="2748"/>
      <c r="S1716" s="2748"/>
      <c r="T1716" s="2748"/>
      <c r="U1716" s="2748"/>
      <c r="V1716" s="2748"/>
      <c r="W1716" s="2748"/>
      <c r="X1716" s="2748"/>
      <c r="Y1716" s="2748"/>
      <c r="Z1716" s="2748"/>
      <c r="AA1716" s="2748"/>
      <c r="AB1716" s="2748"/>
      <c r="AC1716" s="2748"/>
      <c r="AD1716" s="2748"/>
      <c r="AE1716" s="2748"/>
      <c r="AF1716" s="2748"/>
      <c r="AG1716" s="2748"/>
      <c r="AH1716" s="2748"/>
      <c r="AI1716" s="2748"/>
      <c r="AK1716" s="2748"/>
      <c r="AL1716" s="2748"/>
      <c r="AN1716" s="2748"/>
      <c r="AO1716" s="2748"/>
      <c r="AP1716" s="2748"/>
    </row>
    <row r="1717" spans="2:42" ht="18" customHeight="1">
      <c r="B1717" s="2728"/>
      <c r="C1717" s="2728"/>
      <c r="D1717" s="2728"/>
      <c r="E1717" s="2728"/>
      <c r="G1717" s="2512"/>
      <c r="I1717" s="2748"/>
      <c r="J1717" s="2728"/>
      <c r="L1717" s="2728"/>
      <c r="M1717" s="2748"/>
      <c r="N1717" s="2728"/>
      <c r="O1717" s="2728"/>
      <c r="P1717" s="2728"/>
      <c r="Q1717" s="2748"/>
      <c r="R1717" s="2748"/>
      <c r="S1717" s="2748"/>
      <c r="T1717" s="2748"/>
      <c r="U1717" s="2748"/>
      <c r="V1717" s="2748"/>
      <c r="W1717" s="2748"/>
      <c r="X1717" s="2748"/>
      <c r="Y1717" s="2748"/>
      <c r="Z1717" s="2748"/>
      <c r="AA1717" s="2748"/>
      <c r="AB1717" s="2748"/>
      <c r="AC1717" s="2748"/>
      <c r="AD1717" s="2748"/>
      <c r="AE1717" s="2748"/>
      <c r="AF1717" s="2748"/>
      <c r="AG1717" s="2748"/>
      <c r="AH1717" s="2748"/>
      <c r="AI1717" s="2748"/>
      <c r="AK1717" s="2748"/>
      <c r="AL1717" s="2748"/>
      <c r="AN1717" s="2748"/>
      <c r="AO1717" s="2748"/>
      <c r="AP1717" s="2748"/>
    </row>
    <row r="1718" spans="2:42" ht="18" customHeight="1">
      <c r="B1718" s="2728"/>
      <c r="C1718" s="2728"/>
      <c r="D1718" s="2728"/>
      <c r="E1718" s="2728"/>
      <c r="G1718" s="2512"/>
      <c r="I1718" s="2748"/>
      <c r="J1718" s="2728"/>
      <c r="L1718" s="2728"/>
      <c r="M1718" s="2748"/>
      <c r="N1718" s="2728"/>
      <c r="O1718" s="2728"/>
      <c r="P1718" s="2728"/>
      <c r="Q1718" s="2748"/>
      <c r="R1718" s="2748"/>
      <c r="S1718" s="2748"/>
      <c r="T1718" s="2748"/>
      <c r="U1718" s="2748"/>
      <c r="V1718" s="2748"/>
      <c r="W1718" s="2748"/>
      <c r="X1718" s="2748"/>
      <c r="Y1718" s="2748"/>
      <c r="Z1718" s="2748"/>
      <c r="AA1718" s="2748"/>
      <c r="AB1718" s="2748"/>
      <c r="AC1718" s="2748"/>
      <c r="AD1718" s="2748"/>
      <c r="AE1718" s="2748"/>
      <c r="AF1718" s="2748"/>
      <c r="AG1718" s="2748"/>
      <c r="AH1718" s="2748"/>
      <c r="AI1718" s="2748"/>
      <c r="AK1718" s="2748"/>
      <c r="AL1718" s="2748"/>
      <c r="AN1718" s="2748"/>
      <c r="AO1718" s="2748"/>
      <c r="AP1718" s="2748"/>
    </row>
    <row r="1719" spans="2:42" ht="18" customHeight="1">
      <c r="B1719" s="2728"/>
      <c r="C1719" s="2728"/>
      <c r="D1719" s="2728"/>
      <c r="E1719" s="2728"/>
      <c r="G1719" s="2512"/>
      <c r="I1719" s="2748"/>
      <c r="J1719" s="2728"/>
      <c r="L1719" s="2728"/>
      <c r="M1719" s="2748"/>
      <c r="N1719" s="2728"/>
      <c r="O1719" s="2728"/>
      <c r="P1719" s="2728"/>
      <c r="Q1719" s="2748"/>
      <c r="R1719" s="2748"/>
      <c r="S1719" s="2748"/>
      <c r="T1719" s="2748"/>
      <c r="U1719" s="2748"/>
      <c r="V1719" s="2748"/>
      <c r="W1719" s="2748"/>
      <c r="X1719" s="2748"/>
      <c r="Y1719" s="2748"/>
      <c r="Z1719" s="2748"/>
      <c r="AA1719" s="2748"/>
      <c r="AB1719" s="2748"/>
      <c r="AC1719" s="2748"/>
      <c r="AD1719" s="2748"/>
      <c r="AE1719" s="2748"/>
      <c r="AF1719" s="2748"/>
      <c r="AG1719" s="2748"/>
      <c r="AH1719" s="2748"/>
      <c r="AI1719" s="2748"/>
      <c r="AK1719" s="2748"/>
      <c r="AL1719" s="2748"/>
      <c r="AN1719" s="2748"/>
      <c r="AO1719" s="2748"/>
      <c r="AP1719" s="2748"/>
    </row>
    <row r="1720" spans="2:42" ht="18" customHeight="1">
      <c r="B1720" s="2728"/>
      <c r="C1720" s="2728"/>
      <c r="D1720" s="2728"/>
      <c r="E1720" s="2728"/>
      <c r="G1720" s="2512"/>
      <c r="I1720" s="2748"/>
      <c r="J1720" s="2728"/>
      <c r="L1720" s="2728"/>
      <c r="M1720" s="2748"/>
      <c r="N1720" s="2728"/>
      <c r="O1720" s="2728"/>
      <c r="P1720" s="2728"/>
      <c r="Q1720" s="2748"/>
      <c r="R1720" s="2748"/>
      <c r="S1720" s="2748"/>
      <c r="T1720" s="2748"/>
      <c r="U1720" s="2748"/>
      <c r="V1720" s="2748"/>
      <c r="W1720" s="2748"/>
      <c r="X1720" s="2748"/>
      <c r="Y1720" s="2748"/>
      <c r="Z1720" s="2748"/>
      <c r="AA1720" s="2748"/>
      <c r="AB1720" s="2748"/>
      <c r="AC1720" s="2748"/>
      <c r="AD1720" s="2748"/>
      <c r="AE1720" s="2748"/>
      <c r="AF1720" s="2748"/>
      <c r="AG1720" s="2748"/>
      <c r="AH1720" s="2748"/>
      <c r="AI1720" s="2748"/>
      <c r="AK1720" s="2748"/>
      <c r="AL1720" s="2748"/>
      <c r="AN1720" s="2748"/>
      <c r="AO1720" s="2748"/>
      <c r="AP1720" s="2748"/>
    </row>
    <row r="1721" spans="2:42" ht="18" customHeight="1">
      <c r="B1721" s="2728"/>
      <c r="C1721" s="2728"/>
      <c r="D1721" s="2728"/>
      <c r="E1721" s="2728"/>
      <c r="G1721" s="2512"/>
      <c r="I1721" s="2748"/>
      <c r="J1721" s="2728"/>
      <c r="L1721" s="2728"/>
      <c r="M1721" s="2748"/>
      <c r="N1721" s="2728"/>
      <c r="O1721" s="2728"/>
      <c r="P1721" s="2728"/>
      <c r="Q1721" s="2748"/>
      <c r="R1721" s="2748"/>
      <c r="S1721" s="2748"/>
      <c r="T1721" s="2748"/>
      <c r="U1721" s="2748"/>
      <c r="V1721" s="2748"/>
      <c r="W1721" s="2748"/>
      <c r="X1721" s="2748"/>
      <c r="Y1721" s="2748"/>
      <c r="Z1721" s="2748"/>
      <c r="AA1721" s="2748"/>
      <c r="AB1721" s="2748"/>
      <c r="AC1721" s="2748"/>
      <c r="AD1721" s="2748"/>
      <c r="AE1721" s="2748"/>
      <c r="AF1721" s="2748"/>
      <c r="AG1721" s="2748"/>
      <c r="AH1721" s="2748"/>
      <c r="AI1721" s="2748"/>
      <c r="AK1721" s="2748"/>
      <c r="AL1721" s="2748"/>
      <c r="AN1721" s="2748"/>
      <c r="AO1721" s="2748"/>
      <c r="AP1721" s="2748"/>
    </row>
    <row r="1722" spans="2:42" ht="18" customHeight="1">
      <c r="B1722" s="2728"/>
      <c r="C1722" s="2728"/>
      <c r="D1722" s="2728"/>
      <c r="E1722" s="2728"/>
      <c r="G1722" s="2512"/>
      <c r="I1722" s="2748"/>
      <c r="J1722" s="2728"/>
      <c r="L1722" s="2728"/>
      <c r="M1722" s="2748"/>
      <c r="N1722" s="2728"/>
      <c r="O1722" s="2728"/>
      <c r="P1722" s="2728"/>
      <c r="Q1722" s="2748"/>
      <c r="R1722" s="2748"/>
      <c r="S1722" s="2748"/>
      <c r="T1722" s="2748"/>
      <c r="U1722" s="2748"/>
      <c r="V1722" s="2748"/>
      <c r="W1722" s="2748"/>
      <c r="X1722" s="2748"/>
      <c r="Y1722" s="2748"/>
      <c r="Z1722" s="2748"/>
      <c r="AA1722" s="2748"/>
      <c r="AB1722" s="2748"/>
      <c r="AC1722" s="2748"/>
      <c r="AD1722" s="2748"/>
      <c r="AE1722" s="2748"/>
      <c r="AF1722" s="2748"/>
      <c r="AG1722" s="2748"/>
      <c r="AH1722" s="2748"/>
      <c r="AI1722" s="2748"/>
      <c r="AK1722" s="2748"/>
      <c r="AL1722" s="2748"/>
      <c r="AN1722" s="2748"/>
      <c r="AO1722" s="2748"/>
      <c r="AP1722" s="2748"/>
    </row>
    <row r="1723" spans="2:42" ht="18" customHeight="1">
      <c r="B1723" s="2728"/>
      <c r="C1723" s="2728"/>
      <c r="D1723" s="2728"/>
      <c r="E1723" s="2728"/>
      <c r="G1723" s="2512"/>
      <c r="I1723" s="2748"/>
      <c r="J1723" s="2728"/>
      <c r="L1723" s="2728"/>
      <c r="M1723" s="2748"/>
      <c r="N1723" s="2728"/>
      <c r="O1723" s="2728"/>
      <c r="P1723" s="2728"/>
      <c r="Q1723" s="2748"/>
      <c r="R1723" s="2748"/>
      <c r="S1723" s="2748"/>
      <c r="T1723" s="2748"/>
      <c r="U1723" s="2748"/>
      <c r="V1723" s="2748"/>
      <c r="W1723" s="2748"/>
      <c r="X1723" s="2748"/>
      <c r="Y1723" s="2748"/>
      <c r="Z1723" s="2748"/>
      <c r="AA1723" s="2748"/>
      <c r="AB1723" s="2748"/>
      <c r="AC1723" s="2748"/>
      <c r="AD1723" s="2748"/>
      <c r="AE1723" s="2748"/>
      <c r="AF1723" s="2748"/>
      <c r="AG1723" s="2748"/>
      <c r="AH1723" s="2748"/>
      <c r="AI1723" s="2748"/>
      <c r="AK1723" s="2748"/>
      <c r="AL1723" s="2748"/>
      <c r="AN1723" s="2748"/>
      <c r="AO1723" s="2748"/>
      <c r="AP1723" s="2748"/>
    </row>
    <row r="1724" spans="2:42" ht="18" customHeight="1">
      <c r="B1724" s="2728"/>
      <c r="C1724" s="2728"/>
      <c r="D1724" s="2728"/>
      <c r="E1724" s="2728"/>
      <c r="G1724" s="2512"/>
      <c r="I1724" s="2748"/>
      <c r="J1724" s="2728"/>
      <c r="L1724" s="2728"/>
      <c r="M1724" s="2748"/>
      <c r="N1724" s="2728"/>
      <c r="O1724" s="2728"/>
      <c r="P1724" s="2728"/>
      <c r="Q1724" s="2748"/>
      <c r="R1724" s="2748"/>
      <c r="S1724" s="2748"/>
      <c r="T1724" s="2748"/>
      <c r="U1724" s="2748"/>
      <c r="V1724" s="2748"/>
      <c r="W1724" s="2748"/>
      <c r="X1724" s="2748"/>
      <c r="Y1724" s="2748"/>
      <c r="Z1724" s="2748"/>
      <c r="AA1724" s="2748"/>
      <c r="AB1724" s="2748"/>
      <c r="AC1724" s="2748"/>
      <c r="AD1724" s="2748"/>
      <c r="AE1724" s="2748"/>
      <c r="AF1724" s="2748"/>
      <c r="AG1724" s="2748"/>
      <c r="AH1724" s="2748"/>
      <c r="AI1724" s="2748"/>
      <c r="AK1724" s="2748"/>
      <c r="AL1724" s="2748"/>
      <c r="AN1724" s="2748"/>
      <c r="AO1724" s="2748"/>
      <c r="AP1724" s="2748"/>
    </row>
    <row r="1725" spans="2:42" ht="18" customHeight="1">
      <c r="B1725" s="2728"/>
      <c r="C1725" s="2728"/>
      <c r="D1725" s="2728"/>
      <c r="E1725" s="2728"/>
      <c r="G1725" s="2512"/>
      <c r="I1725" s="2748"/>
      <c r="J1725" s="2728"/>
      <c r="L1725" s="2728"/>
      <c r="M1725" s="2748"/>
      <c r="N1725" s="2728"/>
      <c r="O1725" s="2728"/>
      <c r="P1725" s="2728"/>
      <c r="Q1725" s="2748"/>
      <c r="R1725" s="2748"/>
      <c r="S1725" s="2748"/>
      <c r="T1725" s="2748"/>
      <c r="U1725" s="2748"/>
      <c r="V1725" s="2748"/>
      <c r="W1725" s="2748"/>
      <c r="X1725" s="2748"/>
      <c r="Y1725" s="2748"/>
      <c r="Z1725" s="2748"/>
      <c r="AA1725" s="2748"/>
      <c r="AB1725" s="2748"/>
      <c r="AC1725" s="2748"/>
      <c r="AD1725" s="2748"/>
      <c r="AE1725" s="2748"/>
      <c r="AF1725" s="2748"/>
      <c r="AG1725" s="2748"/>
      <c r="AH1725" s="2748"/>
      <c r="AI1725" s="2748"/>
      <c r="AK1725" s="2748"/>
      <c r="AL1725" s="2748"/>
      <c r="AN1725" s="2748"/>
      <c r="AO1725" s="2748"/>
      <c r="AP1725" s="2748"/>
    </row>
    <row r="1726" spans="2:42" ht="18" customHeight="1">
      <c r="B1726" s="2728"/>
      <c r="C1726" s="2728"/>
      <c r="D1726" s="2728"/>
      <c r="E1726" s="2728"/>
      <c r="G1726" s="2512"/>
      <c r="I1726" s="2748"/>
      <c r="J1726" s="2728"/>
      <c r="L1726" s="2728"/>
      <c r="M1726" s="2748"/>
      <c r="N1726" s="2728"/>
      <c r="O1726" s="2728"/>
      <c r="P1726" s="2728"/>
      <c r="Q1726" s="2748"/>
      <c r="R1726" s="2748"/>
      <c r="S1726" s="2748"/>
      <c r="T1726" s="2748"/>
      <c r="U1726" s="2748"/>
      <c r="V1726" s="2748"/>
      <c r="W1726" s="2748"/>
      <c r="X1726" s="2748"/>
      <c r="Y1726" s="2748"/>
      <c r="Z1726" s="2748"/>
      <c r="AA1726" s="2748"/>
      <c r="AB1726" s="2748"/>
      <c r="AC1726" s="2748"/>
      <c r="AD1726" s="2748"/>
      <c r="AE1726" s="2748"/>
      <c r="AF1726" s="2748"/>
      <c r="AG1726" s="2748"/>
      <c r="AH1726" s="2748"/>
      <c r="AI1726" s="2748"/>
      <c r="AK1726" s="2748"/>
      <c r="AL1726" s="2748"/>
      <c r="AN1726" s="2748"/>
      <c r="AO1726" s="2748"/>
      <c r="AP1726" s="2748"/>
    </row>
    <row r="1727" spans="2:42" ht="18" customHeight="1">
      <c r="B1727" s="2728"/>
      <c r="C1727" s="2728"/>
      <c r="D1727" s="2728"/>
      <c r="E1727" s="2728"/>
      <c r="G1727" s="2512"/>
      <c r="I1727" s="2748"/>
      <c r="J1727" s="2728"/>
      <c r="L1727" s="2728"/>
      <c r="M1727" s="2748"/>
      <c r="N1727" s="2728"/>
      <c r="O1727" s="2728"/>
      <c r="P1727" s="2728"/>
      <c r="Q1727" s="2748"/>
      <c r="R1727" s="2748"/>
      <c r="S1727" s="2748"/>
      <c r="T1727" s="2748"/>
      <c r="U1727" s="2748"/>
      <c r="V1727" s="2748"/>
      <c r="W1727" s="2748"/>
      <c r="X1727" s="2748"/>
      <c r="Y1727" s="2748"/>
      <c r="Z1727" s="2748"/>
      <c r="AA1727" s="2748"/>
      <c r="AB1727" s="2748"/>
      <c r="AC1727" s="2748"/>
      <c r="AD1727" s="2748"/>
      <c r="AE1727" s="2748"/>
      <c r="AF1727" s="2748"/>
      <c r="AG1727" s="2748"/>
      <c r="AH1727" s="2748"/>
      <c r="AI1727" s="2748"/>
      <c r="AK1727" s="2748"/>
      <c r="AL1727" s="2748"/>
      <c r="AN1727" s="2748"/>
      <c r="AO1727" s="2748"/>
      <c r="AP1727" s="2748"/>
    </row>
    <row r="1728" spans="2:42" ht="18" customHeight="1">
      <c r="B1728" s="2728"/>
      <c r="C1728" s="2728"/>
      <c r="D1728" s="2728"/>
      <c r="E1728" s="2728"/>
      <c r="G1728" s="2512"/>
      <c r="I1728" s="2748"/>
      <c r="J1728" s="2728"/>
      <c r="L1728" s="2728"/>
      <c r="M1728" s="2748"/>
      <c r="N1728" s="2728"/>
      <c r="O1728" s="2728"/>
      <c r="P1728" s="2728"/>
      <c r="Q1728" s="2748"/>
      <c r="R1728" s="2748"/>
      <c r="S1728" s="2748"/>
      <c r="T1728" s="2748"/>
      <c r="U1728" s="2748"/>
      <c r="V1728" s="2748"/>
      <c r="W1728" s="2748"/>
      <c r="X1728" s="2748"/>
      <c r="Y1728" s="2748"/>
      <c r="Z1728" s="2748"/>
      <c r="AA1728" s="2748"/>
      <c r="AB1728" s="2748"/>
      <c r="AC1728" s="2748"/>
      <c r="AD1728" s="2748"/>
      <c r="AE1728" s="2748"/>
      <c r="AF1728" s="2748"/>
      <c r="AG1728" s="2748"/>
      <c r="AH1728" s="2748"/>
      <c r="AI1728" s="2748"/>
      <c r="AK1728" s="2748"/>
      <c r="AL1728" s="2748"/>
      <c r="AN1728" s="2748"/>
      <c r="AO1728" s="2748"/>
      <c r="AP1728" s="2748"/>
    </row>
    <row r="1729" spans="2:42" ht="18" customHeight="1">
      <c r="B1729" s="2728"/>
      <c r="C1729" s="2728"/>
      <c r="D1729" s="2728"/>
      <c r="E1729" s="2728"/>
      <c r="G1729" s="2512"/>
      <c r="I1729" s="2748"/>
      <c r="J1729" s="2728"/>
      <c r="L1729" s="2728"/>
      <c r="M1729" s="2748"/>
      <c r="N1729" s="2728"/>
      <c r="O1729" s="2728"/>
      <c r="P1729" s="2728"/>
      <c r="Q1729" s="2748"/>
      <c r="R1729" s="2748"/>
      <c r="S1729" s="2748"/>
      <c r="T1729" s="2748"/>
      <c r="U1729" s="2748"/>
      <c r="V1729" s="2748"/>
      <c r="W1729" s="2748"/>
      <c r="X1729" s="2748"/>
      <c r="Y1729" s="2748"/>
      <c r="Z1729" s="2748"/>
      <c r="AA1729" s="2748"/>
      <c r="AB1729" s="2748"/>
      <c r="AC1729" s="2748"/>
      <c r="AD1729" s="2748"/>
      <c r="AE1729" s="2748"/>
      <c r="AF1729" s="2748"/>
      <c r="AG1729" s="2748"/>
      <c r="AH1729" s="2748"/>
      <c r="AI1729" s="2748"/>
      <c r="AK1729" s="2748"/>
      <c r="AL1729" s="2748"/>
      <c r="AN1729" s="2748"/>
      <c r="AO1729" s="2748"/>
      <c r="AP1729" s="2748"/>
    </row>
    <row r="1730" spans="2:42" ht="18" customHeight="1">
      <c r="B1730" s="2728"/>
      <c r="C1730" s="2728"/>
      <c r="D1730" s="2728"/>
      <c r="E1730" s="2728"/>
      <c r="G1730" s="2512"/>
      <c r="I1730" s="2748"/>
      <c r="J1730" s="2728"/>
      <c r="L1730" s="2728"/>
      <c r="M1730" s="2748"/>
      <c r="N1730" s="2728"/>
      <c r="O1730" s="2728"/>
      <c r="P1730" s="2728"/>
      <c r="Q1730" s="2748"/>
      <c r="R1730" s="2748"/>
      <c r="S1730" s="2748"/>
      <c r="T1730" s="2748"/>
      <c r="U1730" s="2748"/>
      <c r="V1730" s="2748"/>
      <c r="W1730" s="2748"/>
      <c r="X1730" s="2748"/>
      <c r="Y1730" s="2748"/>
      <c r="Z1730" s="2748"/>
      <c r="AA1730" s="2748"/>
      <c r="AB1730" s="2748"/>
      <c r="AC1730" s="2748"/>
      <c r="AD1730" s="2748"/>
      <c r="AE1730" s="2748"/>
      <c r="AF1730" s="2748"/>
      <c r="AG1730" s="2748"/>
      <c r="AH1730" s="2748"/>
      <c r="AI1730" s="2748"/>
      <c r="AK1730" s="2748"/>
      <c r="AL1730" s="2748"/>
      <c r="AN1730" s="2748"/>
      <c r="AO1730" s="2748"/>
      <c r="AP1730" s="2748"/>
    </row>
    <row r="1731" spans="2:42" ht="18" customHeight="1">
      <c r="B1731" s="2728"/>
      <c r="C1731" s="2728"/>
      <c r="D1731" s="2728"/>
      <c r="E1731" s="2728"/>
      <c r="G1731" s="2512"/>
      <c r="I1731" s="2748"/>
      <c r="J1731" s="2728"/>
      <c r="L1731" s="2728"/>
      <c r="M1731" s="2748"/>
      <c r="N1731" s="2728"/>
      <c r="O1731" s="2728"/>
      <c r="P1731" s="2728"/>
      <c r="Q1731" s="2748"/>
      <c r="R1731" s="2748"/>
      <c r="S1731" s="2748"/>
      <c r="T1731" s="2748"/>
      <c r="U1731" s="2748"/>
      <c r="V1731" s="2748"/>
      <c r="W1731" s="2748"/>
      <c r="X1731" s="2748"/>
      <c r="Y1731" s="2748"/>
      <c r="Z1731" s="2748"/>
      <c r="AA1731" s="2748"/>
      <c r="AB1731" s="2748"/>
      <c r="AC1731" s="2748"/>
      <c r="AD1731" s="2748"/>
      <c r="AE1731" s="2748"/>
      <c r="AF1731" s="2748"/>
      <c r="AG1731" s="2748"/>
      <c r="AH1731" s="2748"/>
      <c r="AI1731" s="2748"/>
      <c r="AK1731" s="2748"/>
      <c r="AL1731" s="2748"/>
      <c r="AN1731" s="2748"/>
      <c r="AO1731" s="2748"/>
      <c r="AP1731" s="2748"/>
    </row>
    <row r="1732" spans="2:42" ht="18" customHeight="1">
      <c r="B1732" s="2728"/>
      <c r="C1732" s="2728"/>
      <c r="D1732" s="2728"/>
      <c r="E1732" s="2728"/>
      <c r="G1732" s="2512"/>
      <c r="I1732" s="2748"/>
      <c r="J1732" s="2728"/>
      <c r="L1732" s="2728"/>
      <c r="M1732" s="2748"/>
      <c r="N1732" s="2728"/>
      <c r="O1732" s="2728"/>
      <c r="P1732" s="2728"/>
      <c r="Q1732" s="2748"/>
      <c r="R1732" s="2748"/>
      <c r="S1732" s="2748"/>
      <c r="T1732" s="2748"/>
      <c r="U1732" s="2748"/>
      <c r="V1732" s="2748"/>
      <c r="W1732" s="2748"/>
      <c r="X1732" s="2748"/>
      <c r="Y1732" s="2748"/>
      <c r="Z1732" s="2748"/>
      <c r="AA1732" s="2748"/>
      <c r="AB1732" s="2748"/>
      <c r="AC1732" s="2748"/>
      <c r="AD1732" s="2748"/>
      <c r="AE1732" s="2748"/>
      <c r="AF1732" s="2748"/>
      <c r="AG1732" s="2748"/>
      <c r="AH1732" s="2748"/>
      <c r="AI1732" s="2748"/>
      <c r="AK1732" s="2748"/>
      <c r="AL1732" s="2748"/>
      <c r="AN1732" s="2748"/>
      <c r="AO1732" s="2748"/>
      <c r="AP1732" s="2748"/>
    </row>
    <row r="1733" spans="2:42" ht="18" customHeight="1">
      <c r="B1733" s="2728"/>
      <c r="C1733" s="2728"/>
      <c r="D1733" s="2728"/>
      <c r="E1733" s="2728"/>
      <c r="G1733" s="2512"/>
      <c r="I1733" s="2748"/>
      <c r="J1733" s="2728"/>
      <c r="L1733" s="2728"/>
      <c r="M1733" s="2748"/>
      <c r="N1733" s="2728"/>
      <c r="O1733" s="2728"/>
      <c r="P1733" s="2728"/>
      <c r="Q1733" s="2748"/>
      <c r="R1733" s="2748"/>
      <c r="S1733" s="2748"/>
      <c r="T1733" s="2748"/>
      <c r="U1733" s="2748"/>
      <c r="V1733" s="2748"/>
      <c r="W1733" s="2748"/>
      <c r="X1733" s="2748"/>
      <c r="Y1733" s="2748"/>
      <c r="Z1733" s="2748"/>
      <c r="AA1733" s="2748"/>
      <c r="AB1733" s="2748"/>
      <c r="AC1733" s="2748"/>
      <c r="AD1733" s="2748"/>
      <c r="AE1733" s="2748"/>
      <c r="AF1733" s="2748"/>
      <c r="AG1733" s="2748"/>
      <c r="AH1733" s="2748"/>
      <c r="AI1733" s="2748"/>
      <c r="AK1733" s="2748"/>
      <c r="AL1733" s="2748"/>
      <c r="AN1733" s="2748"/>
      <c r="AO1733" s="2748"/>
      <c r="AP1733" s="2748"/>
    </row>
    <row r="1734" spans="2:42" ht="18" customHeight="1">
      <c r="B1734" s="2728"/>
      <c r="C1734" s="2728"/>
      <c r="D1734" s="2728"/>
      <c r="E1734" s="2728"/>
      <c r="G1734" s="2512"/>
      <c r="I1734" s="2748"/>
      <c r="J1734" s="2728"/>
      <c r="L1734" s="2728"/>
      <c r="M1734" s="2748"/>
      <c r="N1734" s="2728"/>
      <c r="O1734" s="2728"/>
      <c r="P1734" s="2728"/>
      <c r="Q1734" s="2748"/>
      <c r="R1734" s="2748"/>
      <c r="S1734" s="2748"/>
      <c r="T1734" s="2748"/>
      <c r="U1734" s="2748"/>
      <c r="V1734" s="2748"/>
      <c r="W1734" s="2748"/>
      <c r="X1734" s="2748"/>
      <c r="Y1734" s="2748"/>
      <c r="Z1734" s="2748"/>
      <c r="AA1734" s="2748"/>
      <c r="AB1734" s="2748"/>
      <c r="AC1734" s="2748"/>
      <c r="AD1734" s="2748"/>
      <c r="AE1734" s="2748"/>
      <c r="AF1734" s="2748"/>
      <c r="AG1734" s="2748"/>
      <c r="AH1734" s="2748"/>
      <c r="AI1734" s="2748"/>
      <c r="AK1734" s="2748"/>
      <c r="AL1734" s="2748"/>
      <c r="AN1734" s="2748"/>
      <c r="AO1734" s="2748"/>
      <c r="AP1734" s="2748"/>
    </row>
    <row r="1735" spans="2:42" ht="18" customHeight="1">
      <c r="B1735" s="2728"/>
      <c r="C1735" s="2728"/>
      <c r="D1735" s="2728"/>
      <c r="E1735" s="2728"/>
      <c r="G1735" s="2512"/>
      <c r="I1735" s="2748"/>
      <c r="J1735" s="2728"/>
      <c r="L1735" s="2728"/>
      <c r="M1735" s="2748"/>
      <c r="N1735" s="2728"/>
      <c r="O1735" s="2728"/>
      <c r="P1735" s="2728"/>
      <c r="Q1735" s="2748"/>
      <c r="R1735" s="2748"/>
      <c r="S1735" s="2748"/>
      <c r="T1735" s="2748"/>
      <c r="U1735" s="2748"/>
      <c r="V1735" s="2748"/>
      <c r="W1735" s="2748"/>
      <c r="X1735" s="2748"/>
      <c r="Y1735" s="2748"/>
      <c r="Z1735" s="2748"/>
      <c r="AA1735" s="2748"/>
      <c r="AB1735" s="2748"/>
      <c r="AC1735" s="2748"/>
      <c r="AD1735" s="2748"/>
      <c r="AE1735" s="2748"/>
      <c r="AF1735" s="2748"/>
      <c r="AG1735" s="2748"/>
      <c r="AH1735" s="2748"/>
      <c r="AI1735" s="2748"/>
      <c r="AK1735" s="2748"/>
      <c r="AL1735" s="2748"/>
      <c r="AN1735" s="2748"/>
      <c r="AO1735" s="2748"/>
      <c r="AP1735" s="2748"/>
    </row>
    <row r="1736" spans="2:42" ht="18" customHeight="1">
      <c r="B1736" s="2728"/>
      <c r="C1736" s="2728"/>
      <c r="D1736" s="2728"/>
      <c r="E1736" s="2728"/>
      <c r="G1736" s="2512"/>
      <c r="I1736" s="2748"/>
      <c r="J1736" s="2728"/>
      <c r="L1736" s="2728"/>
      <c r="M1736" s="2748"/>
      <c r="N1736" s="2728"/>
      <c r="O1736" s="2728"/>
      <c r="P1736" s="2728"/>
      <c r="Q1736" s="2748"/>
      <c r="R1736" s="2748"/>
      <c r="S1736" s="2748"/>
      <c r="T1736" s="2748"/>
      <c r="U1736" s="2748"/>
      <c r="V1736" s="2748"/>
      <c r="W1736" s="2748"/>
      <c r="X1736" s="2748"/>
      <c r="Y1736" s="2748"/>
      <c r="Z1736" s="2748"/>
      <c r="AA1736" s="2748"/>
      <c r="AB1736" s="2748"/>
      <c r="AC1736" s="2748"/>
      <c r="AD1736" s="2748"/>
      <c r="AE1736" s="2748"/>
      <c r="AF1736" s="2748"/>
      <c r="AG1736" s="2748"/>
      <c r="AH1736" s="2748"/>
      <c r="AI1736" s="2748"/>
      <c r="AK1736" s="2748"/>
      <c r="AL1736" s="2748"/>
      <c r="AN1736" s="2748"/>
      <c r="AO1736" s="2748"/>
      <c r="AP1736" s="2748"/>
    </row>
    <row r="1737" spans="2:42" ht="18" customHeight="1">
      <c r="B1737" s="2728"/>
      <c r="C1737" s="2728"/>
      <c r="D1737" s="2728"/>
      <c r="E1737" s="2728"/>
      <c r="G1737" s="2512"/>
      <c r="I1737" s="2748"/>
      <c r="J1737" s="2728"/>
      <c r="L1737" s="2728"/>
      <c r="M1737" s="2748"/>
      <c r="N1737" s="2728"/>
      <c r="O1737" s="2728"/>
      <c r="P1737" s="2728"/>
      <c r="Q1737" s="2748"/>
      <c r="R1737" s="2748"/>
      <c r="S1737" s="2748"/>
      <c r="T1737" s="2748"/>
      <c r="U1737" s="2748"/>
      <c r="V1737" s="2748"/>
      <c r="W1737" s="2748"/>
      <c r="X1737" s="2748"/>
      <c r="Y1737" s="2748"/>
      <c r="Z1737" s="2748"/>
      <c r="AA1737" s="2748"/>
      <c r="AB1737" s="2748"/>
      <c r="AC1737" s="2748"/>
      <c r="AD1737" s="2748"/>
      <c r="AE1737" s="2748"/>
      <c r="AF1737" s="2748"/>
      <c r="AG1737" s="2748"/>
      <c r="AH1737" s="2748"/>
      <c r="AI1737" s="2748"/>
      <c r="AK1737" s="2748"/>
      <c r="AL1737" s="2748"/>
      <c r="AN1737" s="2748"/>
      <c r="AO1737" s="2748"/>
      <c r="AP1737" s="2748"/>
    </row>
    <row r="1738" spans="2:42" ht="18" customHeight="1">
      <c r="B1738" s="2728"/>
      <c r="C1738" s="2728"/>
      <c r="D1738" s="2728"/>
      <c r="E1738" s="2728"/>
      <c r="G1738" s="2512"/>
      <c r="I1738" s="2748"/>
      <c r="J1738" s="2728"/>
      <c r="L1738" s="2728"/>
      <c r="M1738" s="2748"/>
      <c r="N1738" s="2728"/>
      <c r="O1738" s="2728"/>
      <c r="P1738" s="2728"/>
      <c r="Q1738" s="2748"/>
      <c r="R1738" s="2748"/>
      <c r="S1738" s="2748"/>
      <c r="T1738" s="2748"/>
      <c r="U1738" s="2748"/>
      <c r="V1738" s="2748"/>
      <c r="W1738" s="2748"/>
      <c r="X1738" s="2748"/>
      <c r="Y1738" s="2748"/>
      <c r="Z1738" s="2748"/>
      <c r="AA1738" s="2748"/>
      <c r="AB1738" s="2748"/>
      <c r="AC1738" s="2748"/>
      <c r="AD1738" s="2748"/>
      <c r="AE1738" s="2748"/>
      <c r="AF1738" s="2748"/>
      <c r="AG1738" s="2748"/>
      <c r="AH1738" s="2748"/>
      <c r="AI1738" s="2748"/>
      <c r="AK1738" s="2748"/>
      <c r="AL1738" s="2748"/>
      <c r="AN1738" s="2748"/>
      <c r="AO1738" s="2748"/>
      <c r="AP1738" s="2748"/>
    </row>
    <row r="1739" spans="2:42" ht="18" customHeight="1">
      <c r="B1739" s="2728"/>
      <c r="C1739" s="2728"/>
      <c r="D1739" s="2728"/>
      <c r="E1739" s="2728"/>
      <c r="G1739" s="2512"/>
      <c r="I1739" s="2748"/>
      <c r="J1739" s="2728"/>
      <c r="L1739" s="2728"/>
      <c r="M1739" s="2748"/>
      <c r="N1739" s="2728"/>
      <c r="O1739" s="2728"/>
      <c r="P1739" s="2728"/>
      <c r="Q1739" s="2748"/>
      <c r="R1739" s="2748"/>
      <c r="S1739" s="2748"/>
      <c r="T1739" s="2748"/>
      <c r="U1739" s="2748"/>
      <c r="V1739" s="2748"/>
      <c r="W1739" s="2748"/>
      <c r="X1739" s="2748"/>
      <c r="Y1739" s="2748"/>
      <c r="Z1739" s="2748"/>
      <c r="AA1739" s="2748"/>
      <c r="AB1739" s="2748"/>
      <c r="AC1739" s="2748"/>
      <c r="AD1739" s="2748"/>
      <c r="AE1739" s="2748"/>
      <c r="AF1739" s="2748"/>
      <c r="AG1739" s="2748"/>
      <c r="AH1739" s="2748"/>
      <c r="AI1739" s="2748"/>
      <c r="AK1739" s="2748"/>
      <c r="AL1739" s="2748"/>
      <c r="AN1739" s="2748"/>
      <c r="AO1739" s="2748"/>
      <c r="AP1739" s="2748"/>
    </row>
    <row r="1740" spans="2:42" ht="18" customHeight="1">
      <c r="B1740" s="2728"/>
      <c r="C1740" s="2728"/>
      <c r="D1740" s="2728"/>
      <c r="E1740" s="2728"/>
      <c r="G1740" s="2512"/>
      <c r="I1740" s="2748"/>
      <c r="J1740" s="2728"/>
      <c r="L1740" s="2728"/>
      <c r="M1740" s="2748"/>
      <c r="N1740" s="2728"/>
      <c r="O1740" s="2728"/>
      <c r="P1740" s="2728"/>
      <c r="Q1740" s="2748"/>
      <c r="R1740" s="2748"/>
      <c r="S1740" s="2748"/>
      <c r="T1740" s="2748"/>
      <c r="U1740" s="2748"/>
      <c r="V1740" s="2748"/>
      <c r="W1740" s="2748"/>
      <c r="X1740" s="2748"/>
      <c r="Y1740" s="2748"/>
      <c r="Z1740" s="2748"/>
      <c r="AA1740" s="2748"/>
      <c r="AB1740" s="2748"/>
      <c r="AC1740" s="2748"/>
      <c r="AD1740" s="2748"/>
      <c r="AE1740" s="2748"/>
      <c r="AF1740" s="2748"/>
      <c r="AG1740" s="2748"/>
      <c r="AH1740" s="2748"/>
      <c r="AI1740" s="2748"/>
      <c r="AK1740" s="2748"/>
      <c r="AL1740" s="2748"/>
      <c r="AN1740" s="2748"/>
      <c r="AO1740" s="2748"/>
      <c r="AP1740" s="2748"/>
    </row>
    <row r="1741" spans="2:42" ht="18" customHeight="1">
      <c r="B1741" s="2728"/>
      <c r="C1741" s="2728"/>
      <c r="D1741" s="2728"/>
      <c r="E1741" s="2728"/>
      <c r="G1741" s="2512"/>
      <c r="I1741" s="2748"/>
      <c r="J1741" s="2728"/>
      <c r="L1741" s="2728"/>
      <c r="M1741" s="2748"/>
      <c r="N1741" s="2728"/>
      <c r="O1741" s="2728"/>
      <c r="P1741" s="2728"/>
      <c r="Q1741" s="2748"/>
      <c r="R1741" s="2748"/>
      <c r="S1741" s="2748"/>
      <c r="T1741" s="2748"/>
      <c r="U1741" s="2748"/>
      <c r="V1741" s="2748"/>
      <c r="W1741" s="2748"/>
      <c r="X1741" s="2748"/>
      <c r="Y1741" s="2748"/>
      <c r="Z1741" s="2748"/>
      <c r="AA1741" s="2748"/>
      <c r="AB1741" s="2748"/>
      <c r="AC1741" s="2748"/>
      <c r="AD1741" s="2748"/>
      <c r="AE1741" s="2748"/>
      <c r="AF1741" s="2748"/>
      <c r="AG1741" s="2748"/>
      <c r="AH1741" s="2748"/>
      <c r="AI1741" s="2748"/>
      <c r="AK1741" s="2748"/>
      <c r="AL1741" s="2748"/>
      <c r="AN1741" s="2748"/>
      <c r="AO1741" s="2748"/>
      <c r="AP1741" s="2748"/>
    </row>
    <row r="1742" spans="2:42" ht="18" customHeight="1">
      <c r="B1742" s="2728"/>
      <c r="C1742" s="2728"/>
      <c r="D1742" s="2728"/>
      <c r="E1742" s="2728"/>
      <c r="G1742" s="2512"/>
      <c r="I1742" s="2748"/>
      <c r="J1742" s="2728"/>
      <c r="L1742" s="2728"/>
      <c r="M1742" s="2748"/>
      <c r="N1742" s="2728"/>
      <c r="O1742" s="2728"/>
      <c r="P1742" s="2728"/>
      <c r="Q1742" s="2748"/>
      <c r="R1742" s="2748"/>
      <c r="S1742" s="2748"/>
      <c r="T1742" s="2748"/>
      <c r="U1742" s="2748"/>
      <c r="V1742" s="2748"/>
      <c r="W1742" s="2748"/>
      <c r="X1742" s="2748"/>
      <c r="Y1742" s="2748"/>
      <c r="Z1742" s="2748"/>
      <c r="AA1742" s="2748"/>
      <c r="AB1742" s="2748"/>
      <c r="AC1742" s="2748"/>
      <c r="AD1742" s="2748"/>
      <c r="AE1742" s="2748"/>
      <c r="AF1742" s="2748"/>
      <c r="AG1742" s="2748"/>
      <c r="AH1742" s="2748"/>
      <c r="AI1742" s="2748"/>
      <c r="AK1742" s="2748"/>
      <c r="AL1742" s="2748"/>
      <c r="AN1742" s="2748"/>
      <c r="AO1742" s="2748"/>
      <c r="AP1742" s="2748"/>
    </row>
    <row r="1743" spans="2:42" ht="18" customHeight="1">
      <c r="B1743" s="2728"/>
      <c r="C1743" s="2728"/>
      <c r="D1743" s="2728"/>
      <c r="E1743" s="2728"/>
      <c r="G1743" s="2512"/>
      <c r="I1743" s="2748"/>
      <c r="J1743" s="2728"/>
      <c r="L1743" s="2728"/>
      <c r="M1743" s="2748"/>
      <c r="N1743" s="2728"/>
      <c r="O1743" s="2728"/>
      <c r="P1743" s="2728"/>
      <c r="Q1743" s="2748"/>
      <c r="R1743" s="2748"/>
      <c r="S1743" s="2748"/>
      <c r="T1743" s="2748"/>
      <c r="U1743" s="2748"/>
      <c r="V1743" s="2748"/>
      <c r="W1743" s="2748"/>
      <c r="X1743" s="2748"/>
      <c r="Y1743" s="2748"/>
      <c r="Z1743" s="2748"/>
      <c r="AA1743" s="2748"/>
      <c r="AB1743" s="2748"/>
      <c r="AC1743" s="2748"/>
      <c r="AD1743" s="2748"/>
      <c r="AE1743" s="2748"/>
      <c r="AF1743" s="2748"/>
      <c r="AG1743" s="2748"/>
      <c r="AH1743" s="2748"/>
      <c r="AI1743" s="2748"/>
      <c r="AK1743" s="2748"/>
      <c r="AL1743" s="2748"/>
      <c r="AN1743" s="2748"/>
      <c r="AO1743" s="2748"/>
      <c r="AP1743" s="2748"/>
    </row>
    <row r="1744" spans="2:42" ht="18" customHeight="1">
      <c r="B1744" s="2728"/>
      <c r="C1744" s="2728"/>
      <c r="D1744" s="2728"/>
      <c r="E1744" s="2728"/>
      <c r="G1744" s="2512"/>
      <c r="I1744" s="2748"/>
      <c r="J1744" s="2728"/>
      <c r="L1744" s="2728"/>
      <c r="M1744" s="2748"/>
      <c r="N1744" s="2728"/>
      <c r="O1744" s="2728"/>
      <c r="P1744" s="2728"/>
      <c r="Q1744" s="2748"/>
      <c r="R1744" s="2748"/>
      <c r="S1744" s="2748"/>
      <c r="T1744" s="2748"/>
      <c r="U1744" s="2748"/>
      <c r="V1744" s="2748"/>
      <c r="W1744" s="2748"/>
      <c r="X1744" s="2748"/>
      <c r="Y1744" s="2748"/>
      <c r="Z1744" s="2748"/>
      <c r="AA1744" s="2748"/>
      <c r="AB1744" s="2748"/>
      <c r="AC1744" s="2748"/>
      <c r="AD1744" s="2748"/>
      <c r="AE1744" s="2748"/>
      <c r="AF1744" s="2748"/>
      <c r="AG1744" s="2748"/>
      <c r="AH1744" s="2748"/>
      <c r="AI1744" s="2748"/>
      <c r="AK1744" s="2748"/>
      <c r="AL1744" s="2748"/>
      <c r="AN1744" s="2748"/>
      <c r="AO1744" s="2748"/>
      <c r="AP1744" s="2748"/>
    </row>
    <row r="1745" spans="2:42" ht="18" customHeight="1">
      <c r="B1745" s="2728"/>
      <c r="C1745" s="2728"/>
      <c r="D1745" s="2728"/>
      <c r="E1745" s="2728"/>
      <c r="G1745" s="2512"/>
      <c r="I1745" s="2748"/>
      <c r="J1745" s="2728"/>
      <c r="L1745" s="2728"/>
      <c r="M1745" s="2748"/>
      <c r="N1745" s="2728"/>
      <c r="O1745" s="2728"/>
      <c r="P1745" s="2728"/>
      <c r="Q1745" s="2748"/>
      <c r="R1745" s="2748"/>
      <c r="S1745" s="2748"/>
      <c r="T1745" s="2748"/>
      <c r="U1745" s="2748"/>
      <c r="V1745" s="2748"/>
      <c r="W1745" s="2748"/>
      <c r="X1745" s="2748"/>
      <c r="Y1745" s="2748"/>
      <c r="Z1745" s="2748"/>
      <c r="AA1745" s="2748"/>
      <c r="AB1745" s="2748"/>
      <c r="AC1745" s="2748"/>
      <c r="AD1745" s="2748"/>
      <c r="AE1745" s="2748"/>
      <c r="AF1745" s="2748"/>
      <c r="AG1745" s="2748"/>
      <c r="AH1745" s="2748"/>
      <c r="AI1745" s="2748"/>
      <c r="AK1745" s="2748"/>
      <c r="AL1745" s="2748"/>
      <c r="AN1745" s="2748"/>
      <c r="AO1745" s="2748"/>
      <c r="AP1745" s="2748"/>
    </row>
    <row r="1746" spans="2:42" ht="18" customHeight="1">
      <c r="B1746" s="2728"/>
      <c r="C1746" s="2728"/>
      <c r="D1746" s="2728"/>
      <c r="E1746" s="2728"/>
      <c r="G1746" s="2512"/>
      <c r="I1746" s="2748"/>
      <c r="J1746" s="2728"/>
      <c r="L1746" s="2728"/>
      <c r="M1746" s="2748"/>
      <c r="N1746" s="2728"/>
      <c r="O1746" s="2728"/>
      <c r="P1746" s="2728"/>
      <c r="Q1746" s="2748"/>
      <c r="R1746" s="2748"/>
      <c r="S1746" s="2748"/>
      <c r="T1746" s="2748"/>
      <c r="U1746" s="2748"/>
      <c r="V1746" s="2748"/>
      <c r="W1746" s="2748"/>
      <c r="X1746" s="2748"/>
      <c r="Y1746" s="2748"/>
      <c r="Z1746" s="2748"/>
      <c r="AA1746" s="2748"/>
      <c r="AB1746" s="2748"/>
      <c r="AC1746" s="2748"/>
      <c r="AD1746" s="2748"/>
      <c r="AE1746" s="2748"/>
      <c r="AF1746" s="2748"/>
      <c r="AG1746" s="2748"/>
      <c r="AH1746" s="2748"/>
      <c r="AI1746" s="2748"/>
      <c r="AK1746" s="2748"/>
      <c r="AL1746" s="2748"/>
      <c r="AN1746" s="2748"/>
      <c r="AO1746" s="2748"/>
      <c r="AP1746" s="2748"/>
    </row>
    <row r="1747" spans="2:42" ht="18" customHeight="1">
      <c r="B1747" s="2728"/>
      <c r="C1747" s="2728"/>
      <c r="D1747" s="2728"/>
      <c r="E1747" s="2728"/>
      <c r="G1747" s="2512"/>
      <c r="I1747" s="2748"/>
      <c r="J1747" s="2728"/>
      <c r="L1747" s="2728"/>
      <c r="M1747" s="2748"/>
      <c r="N1747" s="2728"/>
      <c r="O1747" s="2728"/>
      <c r="P1747" s="2728"/>
      <c r="Q1747" s="2748"/>
      <c r="R1747" s="2748"/>
      <c r="S1747" s="2748"/>
      <c r="T1747" s="2748"/>
      <c r="U1747" s="2748"/>
      <c r="V1747" s="2748"/>
      <c r="W1747" s="2748"/>
      <c r="X1747" s="2748"/>
      <c r="Y1747" s="2748"/>
      <c r="Z1747" s="2748"/>
      <c r="AA1747" s="2748"/>
      <c r="AB1747" s="2748"/>
      <c r="AC1747" s="2748"/>
      <c r="AD1747" s="2748"/>
      <c r="AE1747" s="2748"/>
      <c r="AF1747" s="2748"/>
      <c r="AG1747" s="2748"/>
      <c r="AH1747" s="2748"/>
      <c r="AI1747" s="2748"/>
      <c r="AK1747" s="2748"/>
      <c r="AL1747" s="2748"/>
      <c r="AN1747" s="2748"/>
      <c r="AO1747" s="2748"/>
      <c r="AP1747" s="2748"/>
    </row>
    <row r="1748" spans="2:42" ht="18" customHeight="1">
      <c r="B1748" s="2728"/>
      <c r="C1748" s="2728"/>
      <c r="D1748" s="2728"/>
      <c r="E1748" s="2728"/>
      <c r="G1748" s="2512"/>
      <c r="I1748" s="2748"/>
      <c r="J1748" s="2728"/>
      <c r="L1748" s="2728"/>
      <c r="M1748" s="2748"/>
      <c r="N1748" s="2728"/>
      <c r="O1748" s="2728"/>
      <c r="P1748" s="2728"/>
      <c r="Q1748" s="2748"/>
      <c r="R1748" s="2748"/>
      <c r="S1748" s="2748"/>
      <c r="T1748" s="2748"/>
      <c r="U1748" s="2748"/>
      <c r="V1748" s="2748"/>
      <c r="W1748" s="2748"/>
      <c r="X1748" s="2748"/>
      <c r="Y1748" s="2748"/>
      <c r="Z1748" s="2748"/>
      <c r="AA1748" s="2748"/>
      <c r="AB1748" s="2748"/>
      <c r="AC1748" s="2748"/>
      <c r="AD1748" s="2748"/>
      <c r="AE1748" s="2748"/>
      <c r="AF1748" s="2748"/>
      <c r="AG1748" s="2748"/>
      <c r="AH1748" s="2748"/>
      <c r="AI1748" s="2748"/>
      <c r="AK1748" s="2748"/>
      <c r="AL1748" s="2748"/>
      <c r="AN1748" s="2748"/>
      <c r="AO1748" s="2748"/>
      <c r="AP1748" s="2748"/>
    </row>
    <row r="1749" spans="2:42" ht="18" customHeight="1">
      <c r="B1749" s="2728"/>
      <c r="C1749" s="2728"/>
      <c r="D1749" s="2728"/>
      <c r="E1749" s="2728"/>
      <c r="G1749" s="2512"/>
      <c r="I1749" s="2748"/>
      <c r="J1749" s="2728"/>
      <c r="L1749" s="2728"/>
      <c r="M1749" s="2748"/>
      <c r="N1749" s="2728"/>
      <c r="O1749" s="2728"/>
      <c r="P1749" s="2728"/>
      <c r="Q1749" s="2748"/>
      <c r="R1749" s="2748"/>
      <c r="S1749" s="2748"/>
      <c r="T1749" s="2748"/>
      <c r="U1749" s="2748"/>
      <c r="V1749" s="2748"/>
      <c r="W1749" s="2748"/>
      <c r="X1749" s="2748"/>
      <c r="Y1749" s="2748"/>
      <c r="Z1749" s="2748"/>
      <c r="AA1749" s="2748"/>
      <c r="AB1749" s="2748"/>
      <c r="AC1749" s="2748"/>
      <c r="AD1749" s="2748"/>
      <c r="AE1749" s="2748"/>
      <c r="AF1749" s="2748"/>
      <c r="AG1749" s="2748"/>
      <c r="AH1749" s="2748"/>
      <c r="AI1749" s="2748"/>
      <c r="AK1749" s="2748"/>
      <c r="AL1749" s="2748"/>
      <c r="AN1749" s="2748"/>
      <c r="AO1749" s="2748"/>
      <c r="AP1749" s="2748"/>
    </row>
    <row r="1750" spans="2:42" ht="18" customHeight="1">
      <c r="B1750" s="2728"/>
      <c r="C1750" s="2728"/>
      <c r="D1750" s="2728"/>
      <c r="E1750" s="2728"/>
      <c r="G1750" s="2512"/>
      <c r="I1750" s="2748"/>
      <c r="J1750" s="2728"/>
      <c r="L1750" s="2728"/>
      <c r="M1750" s="2748"/>
      <c r="N1750" s="2728"/>
      <c r="O1750" s="2728"/>
      <c r="P1750" s="2728"/>
      <c r="Q1750" s="2748"/>
      <c r="R1750" s="2748"/>
      <c r="S1750" s="2748"/>
      <c r="T1750" s="2748"/>
      <c r="U1750" s="2748"/>
      <c r="V1750" s="2748"/>
      <c r="W1750" s="2748"/>
      <c r="X1750" s="2748"/>
      <c r="Y1750" s="2748"/>
      <c r="Z1750" s="2748"/>
      <c r="AA1750" s="2748"/>
      <c r="AB1750" s="2748"/>
      <c r="AC1750" s="2748"/>
      <c r="AD1750" s="2748"/>
      <c r="AE1750" s="2748"/>
      <c r="AF1750" s="2748"/>
      <c r="AG1750" s="2748"/>
      <c r="AH1750" s="2748"/>
      <c r="AI1750" s="2748"/>
      <c r="AK1750" s="2748"/>
      <c r="AL1750" s="2748"/>
      <c r="AN1750" s="2748"/>
      <c r="AO1750" s="2748"/>
      <c r="AP1750" s="2748"/>
    </row>
    <row r="1751" spans="2:42" ht="18" customHeight="1">
      <c r="B1751" s="2728"/>
      <c r="C1751" s="2728"/>
      <c r="D1751" s="2728"/>
      <c r="E1751" s="2728"/>
      <c r="G1751" s="2512"/>
      <c r="I1751" s="2748"/>
      <c r="J1751" s="2728"/>
      <c r="L1751" s="2728"/>
      <c r="M1751" s="2748"/>
      <c r="N1751" s="2728"/>
      <c r="O1751" s="2728"/>
      <c r="P1751" s="2728"/>
      <c r="Q1751" s="2748"/>
      <c r="R1751" s="2748"/>
      <c r="S1751" s="2748"/>
      <c r="T1751" s="2748"/>
      <c r="U1751" s="2748"/>
      <c r="V1751" s="2748"/>
      <c r="W1751" s="2748"/>
      <c r="X1751" s="2748"/>
      <c r="Y1751" s="2748"/>
      <c r="Z1751" s="2748"/>
      <c r="AA1751" s="2748"/>
      <c r="AB1751" s="2748"/>
      <c r="AC1751" s="2748"/>
      <c r="AD1751" s="2748"/>
      <c r="AE1751" s="2748"/>
      <c r="AF1751" s="2748"/>
      <c r="AG1751" s="2748"/>
      <c r="AH1751" s="2748"/>
      <c r="AI1751" s="2748"/>
      <c r="AK1751" s="2748"/>
      <c r="AL1751" s="2748"/>
      <c r="AN1751" s="2748"/>
      <c r="AO1751" s="2748"/>
      <c r="AP1751" s="2748"/>
    </row>
    <row r="1752" spans="2:42" ht="18" customHeight="1">
      <c r="B1752" s="2728"/>
      <c r="C1752" s="2728"/>
      <c r="D1752" s="2728"/>
      <c r="E1752" s="2728"/>
      <c r="G1752" s="2512"/>
      <c r="I1752" s="2748"/>
      <c r="J1752" s="2728"/>
      <c r="L1752" s="2728"/>
      <c r="M1752" s="2748"/>
      <c r="N1752" s="2728"/>
      <c r="O1752" s="2728"/>
      <c r="P1752" s="2728"/>
      <c r="Q1752" s="2748"/>
      <c r="R1752" s="2748"/>
      <c r="S1752" s="2748"/>
      <c r="T1752" s="2748"/>
      <c r="U1752" s="2748"/>
      <c r="V1752" s="2748"/>
      <c r="W1752" s="2748"/>
      <c r="X1752" s="2748"/>
      <c r="Y1752" s="2748"/>
      <c r="Z1752" s="2748"/>
      <c r="AA1752" s="2748"/>
      <c r="AB1752" s="2748"/>
      <c r="AC1752" s="2748"/>
      <c r="AD1752" s="2748"/>
      <c r="AE1752" s="2748"/>
      <c r="AF1752" s="2748"/>
      <c r="AG1752" s="2748"/>
      <c r="AH1752" s="2748"/>
      <c r="AI1752" s="2748"/>
      <c r="AK1752" s="2748"/>
      <c r="AL1752" s="2748"/>
      <c r="AN1752" s="2748"/>
      <c r="AO1752" s="2748"/>
      <c r="AP1752" s="2748"/>
    </row>
    <row r="1753" spans="2:42" ht="18" customHeight="1">
      <c r="B1753" s="2728"/>
      <c r="C1753" s="2728"/>
      <c r="D1753" s="2728"/>
      <c r="E1753" s="2728"/>
      <c r="G1753" s="2512"/>
      <c r="I1753" s="2748"/>
      <c r="J1753" s="2728"/>
      <c r="L1753" s="2728"/>
      <c r="M1753" s="2748"/>
      <c r="N1753" s="2728"/>
      <c r="O1753" s="2728"/>
      <c r="P1753" s="2728"/>
      <c r="Q1753" s="2748"/>
      <c r="R1753" s="2748"/>
      <c r="S1753" s="2748"/>
      <c r="T1753" s="2748"/>
      <c r="U1753" s="2748"/>
      <c r="V1753" s="2748"/>
      <c r="W1753" s="2748"/>
      <c r="X1753" s="2748"/>
      <c r="Y1753" s="2748"/>
      <c r="Z1753" s="2748"/>
      <c r="AA1753" s="2748"/>
      <c r="AB1753" s="2748"/>
      <c r="AC1753" s="2748"/>
      <c r="AD1753" s="2748"/>
      <c r="AE1753" s="2748"/>
      <c r="AF1753" s="2748"/>
      <c r="AG1753" s="2748"/>
      <c r="AH1753" s="2748"/>
      <c r="AI1753" s="2748"/>
      <c r="AK1753" s="2748"/>
      <c r="AL1753" s="2748"/>
      <c r="AN1753" s="2748"/>
      <c r="AO1753" s="2748"/>
      <c r="AP1753" s="2748"/>
    </row>
    <row r="1754" spans="2:42" ht="18" customHeight="1">
      <c r="B1754" s="2728"/>
      <c r="C1754" s="2728"/>
      <c r="D1754" s="2728"/>
      <c r="E1754" s="2728"/>
      <c r="G1754" s="2512"/>
      <c r="I1754" s="2748"/>
      <c r="J1754" s="2728"/>
      <c r="L1754" s="2728"/>
      <c r="M1754" s="2748"/>
      <c r="N1754" s="2728"/>
      <c r="O1754" s="2728"/>
      <c r="P1754" s="2728"/>
      <c r="Q1754" s="2748"/>
      <c r="R1754" s="2748"/>
      <c r="S1754" s="2748"/>
      <c r="T1754" s="2748"/>
      <c r="U1754" s="2748"/>
      <c r="V1754" s="2748"/>
      <c r="W1754" s="2748"/>
      <c r="X1754" s="2748"/>
      <c r="Y1754" s="2748"/>
      <c r="Z1754" s="2748"/>
      <c r="AA1754" s="2748"/>
      <c r="AB1754" s="2748"/>
      <c r="AC1754" s="2748"/>
      <c r="AD1754" s="2748"/>
      <c r="AE1754" s="2748"/>
      <c r="AF1754" s="2748"/>
      <c r="AG1754" s="2748"/>
      <c r="AH1754" s="2748"/>
      <c r="AI1754" s="2748"/>
      <c r="AK1754" s="2748"/>
      <c r="AL1754" s="2748"/>
      <c r="AN1754" s="2748"/>
      <c r="AO1754" s="2748"/>
      <c r="AP1754" s="2748"/>
    </row>
    <row r="1755" spans="2:42" ht="18" customHeight="1">
      <c r="B1755" s="2728"/>
      <c r="C1755" s="2728"/>
      <c r="D1755" s="2728"/>
      <c r="E1755" s="2728"/>
      <c r="G1755" s="2512"/>
      <c r="I1755" s="2748"/>
      <c r="J1755" s="2728"/>
      <c r="L1755" s="2728"/>
      <c r="M1755" s="2748"/>
      <c r="N1755" s="2728"/>
      <c r="O1755" s="2728"/>
      <c r="P1755" s="2728"/>
      <c r="Q1755" s="2748"/>
      <c r="R1755" s="2748"/>
      <c r="S1755" s="2748"/>
      <c r="T1755" s="2748"/>
      <c r="U1755" s="2748"/>
      <c r="V1755" s="2748"/>
      <c r="W1755" s="2748"/>
      <c r="X1755" s="2748"/>
      <c r="Y1755" s="2748"/>
      <c r="Z1755" s="2748"/>
      <c r="AA1755" s="2748"/>
      <c r="AB1755" s="2748"/>
      <c r="AC1755" s="2748"/>
      <c r="AD1755" s="2748"/>
      <c r="AE1755" s="2748"/>
      <c r="AF1755" s="2748"/>
      <c r="AG1755" s="2748"/>
      <c r="AH1755" s="2748"/>
      <c r="AI1755" s="2748"/>
      <c r="AK1755" s="2748"/>
      <c r="AL1755" s="2748"/>
      <c r="AN1755" s="2748"/>
      <c r="AO1755" s="2748"/>
      <c r="AP1755" s="2748"/>
    </row>
    <row r="1756" spans="2:42" ht="18" customHeight="1">
      <c r="B1756" s="2728"/>
      <c r="C1756" s="2728"/>
      <c r="D1756" s="2728"/>
      <c r="E1756" s="2728"/>
      <c r="G1756" s="2512"/>
      <c r="I1756" s="2748"/>
      <c r="J1756" s="2728"/>
      <c r="L1756" s="2728"/>
      <c r="M1756" s="2748"/>
      <c r="N1756" s="2728"/>
      <c r="O1756" s="2728"/>
      <c r="P1756" s="2728"/>
      <c r="Q1756" s="2748"/>
      <c r="R1756" s="2748"/>
      <c r="S1756" s="2748"/>
      <c r="T1756" s="2748"/>
      <c r="U1756" s="2748"/>
      <c r="V1756" s="2748"/>
      <c r="W1756" s="2748"/>
      <c r="X1756" s="2748"/>
      <c r="Y1756" s="2748"/>
      <c r="Z1756" s="2748"/>
      <c r="AA1756" s="2748"/>
      <c r="AB1756" s="2748"/>
      <c r="AC1756" s="2748"/>
      <c r="AD1756" s="2748"/>
      <c r="AE1756" s="2748"/>
      <c r="AF1756" s="2748"/>
      <c r="AG1756" s="2748"/>
      <c r="AH1756" s="2748"/>
      <c r="AI1756" s="2748"/>
      <c r="AK1756" s="2748"/>
      <c r="AL1756" s="2748"/>
      <c r="AN1756" s="2748"/>
      <c r="AO1756" s="2748"/>
      <c r="AP1756" s="2748"/>
    </row>
    <row r="1757" spans="2:42" ht="18" customHeight="1">
      <c r="B1757" s="2728"/>
      <c r="C1757" s="2728"/>
      <c r="D1757" s="2728"/>
      <c r="E1757" s="2728"/>
      <c r="G1757" s="2512"/>
      <c r="I1757" s="2748"/>
      <c r="J1757" s="2728"/>
      <c r="L1757" s="2728"/>
      <c r="M1757" s="2748"/>
      <c r="N1757" s="2728"/>
      <c r="O1757" s="2728"/>
      <c r="P1757" s="2728"/>
      <c r="Q1757" s="2748"/>
      <c r="R1757" s="2748"/>
      <c r="S1757" s="2748"/>
      <c r="T1757" s="2748"/>
      <c r="U1757" s="2748"/>
      <c r="V1757" s="2748"/>
      <c r="W1757" s="2748"/>
      <c r="X1757" s="2748"/>
      <c r="Y1757" s="2748"/>
      <c r="Z1757" s="2748"/>
      <c r="AA1757" s="2748"/>
      <c r="AB1757" s="2748"/>
      <c r="AC1757" s="2748"/>
      <c r="AD1757" s="2748"/>
      <c r="AE1757" s="2748"/>
      <c r="AF1757" s="2748"/>
      <c r="AG1757" s="2748"/>
      <c r="AH1757" s="2748"/>
      <c r="AI1757" s="2748"/>
      <c r="AK1757" s="2748"/>
      <c r="AL1757" s="2748"/>
      <c r="AN1757" s="2748"/>
      <c r="AO1757" s="2748"/>
      <c r="AP1757" s="2748"/>
    </row>
    <row r="1758" spans="2:42" ht="18" customHeight="1">
      <c r="B1758" s="2728"/>
      <c r="C1758" s="2728"/>
      <c r="D1758" s="2728"/>
      <c r="E1758" s="2728"/>
      <c r="G1758" s="2512"/>
      <c r="I1758" s="2748"/>
      <c r="J1758" s="2728"/>
      <c r="L1758" s="2728"/>
      <c r="M1758" s="2748"/>
      <c r="N1758" s="2728"/>
      <c r="O1758" s="2728"/>
      <c r="P1758" s="2728"/>
      <c r="Q1758" s="2748"/>
      <c r="R1758" s="2748"/>
      <c r="S1758" s="2748"/>
      <c r="T1758" s="2748"/>
      <c r="U1758" s="2748"/>
      <c r="V1758" s="2748"/>
      <c r="W1758" s="2748"/>
      <c r="X1758" s="2748"/>
      <c r="Y1758" s="2748"/>
      <c r="Z1758" s="2748"/>
      <c r="AA1758" s="2748"/>
      <c r="AB1758" s="2748"/>
      <c r="AC1758" s="2748"/>
      <c r="AD1758" s="2748"/>
      <c r="AE1758" s="2748"/>
      <c r="AF1758" s="2748"/>
      <c r="AG1758" s="2748"/>
      <c r="AH1758" s="2748"/>
      <c r="AI1758" s="2748"/>
      <c r="AK1758" s="2748"/>
      <c r="AL1758" s="2748"/>
      <c r="AN1758" s="2748"/>
      <c r="AO1758" s="2748"/>
      <c r="AP1758" s="2748"/>
    </row>
    <row r="1759" spans="2:42" ht="18" customHeight="1">
      <c r="B1759" s="2728"/>
      <c r="C1759" s="2728"/>
      <c r="D1759" s="2728"/>
      <c r="E1759" s="2728"/>
      <c r="G1759" s="2512"/>
      <c r="I1759" s="2748"/>
      <c r="J1759" s="2728"/>
      <c r="L1759" s="2728"/>
      <c r="M1759" s="2748"/>
      <c r="N1759" s="2728"/>
      <c r="O1759" s="2728"/>
      <c r="P1759" s="2728"/>
      <c r="Q1759" s="2748"/>
      <c r="R1759" s="2748"/>
      <c r="S1759" s="2748"/>
      <c r="T1759" s="2748"/>
      <c r="U1759" s="2748"/>
      <c r="V1759" s="2748"/>
      <c r="W1759" s="2748"/>
      <c r="X1759" s="2748"/>
      <c r="Y1759" s="2748"/>
      <c r="Z1759" s="2748"/>
      <c r="AA1759" s="2748"/>
      <c r="AB1759" s="2748"/>
      <c r="AC1759" s="2748"/>
      <c r="AD1759" s="2748"/>
      <c r="AE1759" s="2748"/>
      <c r="AF1759" s="2748"/>
      <c r="AG1759" s="2748"/>
      <c r="AH1759" s="2748"/>
      <c r="AI1759" s="2748"/>
      <c r="AK1759" s="2748"/>
      <c r="AL1759" s="2748"/>
      <c r="AN1759" s="2748"/>
      <c r="AO1759" s="2748"/>
      <c r="AP1759" s="2748"/>
    </row>
    <row r="1760" spans="2:42" ht="18" customHeight="1">
      <c r="B1760" s="2728"/>
      <c r="C1760" s="2728"/>
      <c r="D1760" s="2728"/>
      <c r="E1760" s="2728"/>
      <c r="G1760" s="2512"/>
      <c r="I1760" s="2748"/>
      <c r="J1760" s="2728"/>
      <c r="L1760" s="2728"/>
      <c r="M1760" s="2748"/>
      <c r="N1760" s="2728"/>
      <c r="O1760" s="2728"/>
      <c r="P1760" s="2728"/>
      <c r="Q1760" s="2748"/>
      <c r="R1760" s="2748"/>
      <c r="S1760" s="2748"/>
      <c r="T1760" s="2748"/>
      <c r="U1760" s="2748"/>
      <c r="V1760" s="2748"/>
      <c r="W1760" s="2748"/>
      <c r="X1760" s="2748"/>
      <c r="Y1760" s="2748"/>
      <c r="Z1760" s="2748"/>
      <c r="AA1760" s="2748"/>
      <c r="AB1760" s="2748"/>
      <c r="AC1760" s="2748"/>
      <c r="AD1760" s="2748"/>
      <c r="AE1760" s="2748"/>
      <c r="AF1760" s="2748"/>
      <c r="AG1760" s="2748"/>
      <c r="AH1760" s="2748"/>
      <c r="AI1760" s="2748"/>
      <c r="AK1760" s="2748"/>
      <c r="AL1760" s="2748"/>
      <c r="AN1760" s="2748"/>
      <c r="AO1760" s="2748"/>
      <c r="AP1760" s="2748"/>
    </row>
    <row r="1761" spans="2:42" ht="18" customHeight="1">
      <c r="B1761" s="2728"/>
      <c r="C1761" s="2728"/>
      <c r="D1761" s="2728"/>
      <c r="E1761" s="2728"/>
      <c r="G1761" s="2512"/>
      <c r="I1761" s="2748"/>
      <c r="J1761" s="2728"/>
      <c r="L1761" s="2728"/>
      <c r="M1761" s="2748"/>
      <c r="N1761" s="2728"/>
      <c r="O1761" s="2728"/>
      <c r="P1761" s="2728"/>
      <c r="Q1761" s="2748"/>
      <c r="R1761" s="2748"/>
      <c r="S1761" s="2748"/>
      <c r="T1761" s="2748"/>
      <c r="U1761" s="2748"/>
      <c r="V1761" s="2748"/>
      <c r="W1761" s="2748"/>
      <c r="X1761" s="2748"/>
      <c r="Y1761" s="2748"/>
      <c r="Z1761" s="2748"/>
      <c r="AA1761" s="2748"/>
      <c r="AB1761" s="2748"/>
      <c r="AC1761" s="2748"/>
      <c r="AD1761" s="2748"/>
      <c r="AE1761" s="2748"/>
      <c r="AF1761" s="2748"/>
      <c r="AG1761" s="2748"/>
      <c r="AH1761" s="2748"/>
      <c r="AI1761" s="2748"/>
      <c r="AK1761" s="2748"/>
      <c r="AL1761" s="2748"/>
      <c r="AN1761" s="2748"/>
      <c r="AO1761" s="2748"/>
      <c r="AP1761" s="2748"/>
    </row>
    <row r="1762" spans="2:42" ht="18" customHeight="1">
      <c r="B1762" s="2728"/>
      <c r="C1762" s="2728"/>
      <c r="D1762" s="2728"/>
      <c r="E1762" s="2728"/>
      <c r="G1762" s="2512"/>
      <c r="I1762" s="2748"/>
      <c r="J1762" s="2728"/>
      <c r="L1762" s="2728"/>
      <c r="M1762" s="2748"/>
      <c r="N1762" s="2728"/>
      <c r="O1762" s="2728"/>
      <c r="P1762" s="2728"/>
      <c r="Q1762" s="2748"/>
      <c r="R1762" s="2748"/>
      <c r="S1762" s="2748"/>
      <c r="T1762" s="2748"/>
      <c r="U1762" s="2748"/>
      <c r="V1762" s="2748"/>
      <c r="W1762" s="2748"/>
      <c r="X1762" s="2748"/>
      <c r="Y1762" s="2748"/>
      <c r="Z1762" s="2748"/>
      <c r="AA1762" s="2748"/>
      <c r="AB1762" s="2748"/>
      <c r="AC1762" s="2748"/>
      <c r="AD1762" s="2748"/>
      <c r="AE1762" s="2748"/>
      <c r="AF1762" s="2748"/>
      <c r="AG1762" s="2748"/>
      <c r="AH1762" s="2748"/>
      <c r="AI1762" s="2748"/>
      <c r="AK1762" s="2748"/>
      <c r="AL1762" s="2748"/>
      <c r="AN1762" s="2748"/>
      <c r="AO1762" s="2748"/>
      <c r="AP1762" s="2748"/>
    </row>
    <row r="1763" spans="2:42" ht="18" customHeight="1">
      <c r="B1763" s="2728"/>
      <c r="C1763" s="2728"/>
      <c r="D1763" s="2728"/>
      <c r="E1763" s="2728"/>
      <c r="G1763" s="2512"/>
      <c r="I1763" s="2748"/>
      <c r="J1763" s="2728"/>
      <c r="L1763" s="2728"/>
      <c r="M1763" s="2748"/>
      <c r="N1763" s="2728"/>
      <c r="O1763" s="2728"/>
      <c r="P1763" s="2728"/>
      <c r="Q1763" s="2748"/>
      <c r="R1763" s="2748"/>
      <c r="S1763" s="2748"/>
      <c r="T1763" s="2748"/>
      <c r="U1763" s="2748"/>
      <c r="V1763" s="2748"/>
      <c r="W1763" s="2748"/>
      <c r="X1763" s="2748"/>
      <c r="Y1763" s="2748"/>
      <c r="Z1763" s="2748"/>
      <c r="AA1763" s="2748"/>
      <c r="AB1763" s="2748"/>
      <c r="AC1763" s="2748"/>
      <c r="AD1763" s="2748"/>
      <c r="AE1763" s="2748"/>
      <c r="AF1763" s="2748"/>
      <c r="AG1763" s="2748"/>
      <c r="AH1763" s="2748"/>
      <c r="AI1763" s="2748"/>
      <c r="AK1763" s="2748"/>
      <c r="AL1763" s="2748"/>
      <c r="AN1763" s="2748"/>
      <c r="AO1763" s="2748"/>
      <c r="AP1763" s="2748"/>
    </row>
    <row r="1764" spans="2:42" ht="18" customHeight="1">
      <c r="B1764" s="2728"/>
      <c r="C1764" s="2728"/>
      <c r="D1764" s="2728"/>
      <c r="E1764" s="2728"/>
      <c r="G1764" s="2512"/>
      <c r="I1764" s="2748"/>
      <c r="J1764" s="2728"/>
      <c r="L1764" s="2728"/>
      <c r="M1764" s="2748"/>
      <c r="N1764" s="2728"/>
      <c r="O1764" s="2728"/>
      <c r="P1764" s="2728"/>
      <c r="Q1764" s="2748"/>
      <c r="R1764" s="2748"/>
      <c r="S1764" s="2748"/>
      <c r="T1764" s="2748"/>
      <c r="U1764" s="2748"/>
      <c r="V1764" s="2748"/>
      <c r="W1764" s="2748"/>
      <c r="X1764" s="2748"/>
      <c r="Y1764" s="2748"/>
      <c r="Z1764" s="2748"/>
      <c r="AA1764" s="2748"/>
      <c r="AB1764" s="2748"/>
      <c r="AC1764" s="2748"/>
      <c r="AD1764" s="2748"/>
      <c r="AE1764" s="2748"/>
      <c r="AF1764" s="2748"/>
      <c r="AG1764" s="2748"/>
      <c r="AH1764" s="2748"/>
      <c r="AI1764" s="2748"/>
      <c r="AK1764" s="2748"/>
      <c r="AL1764" s="2748"/>
      <c r="AN1764" s="2748"/>
      <c r="AO1764" s="2748"/>
      <c r="AP1764" s="2748"/>
    </row>
    <row r="1765" spans="2:42" ht="18" customHeight="1">
      <c r="B1765" s="2728"/>
      <c r="C1765" s="2728"/>
      <c r="D1765" s="2728"/>
      <c r="E1765" s="2728"/>
      <c r="G1765" s="2512"/>
      <c r="I1765" s="2748"/>
      <c r="J1765" s="2728"/>
      <c r="L1765" s="2728"/>
      <c r="M1765" s="2748"/>
      <c r="N1765" s="2728"/>
      <c r="O1765" s="2728"/>
      <c r="P1765" s="2728"/>
      <c r="Q1765" s="2748"/>
      <c r="R1765" s="2748"/>
      <c r="S1765" s="2748"/>
      <c r="T1765" s="2748"/>
      <c r="U1765" s="2748"/>
      <c r="V1765" s="2748"/>
      <c r="W1765" s="2748"/>
      <c r="X1765" s="2748"/>
      <c r="Y1765" s="2748"/>
      <c r="Z1765" s="2748"/>
      <c r="AA1765" s="2748"/>
      <c r="AB1765" s="2748"/>
      <c r="AC1765" s="2748"/>
      <c r="AD1765" s="2748"/>
      <c r="AE1765" s="2748"/>
      <c r="AF1765" s="2748"/>
      <c r="AG1765" s="2748"/>
      <c r="AH1765" s="2748"/>
      <c r="AI1765" s="2748"/>
      <c r="AK1765" s="2748"/>
      <c r="AL1765" s="2748"/>
      <c r="AN1765" s="2748"/>
      <c r="AO1765" s="2748"/>
      <c r="AP1765" s="2748"/>
    </row>
    <row r="1766" spans="2:42" ht="18" customHeight="1">
      <c r="B1766" s="2728"/>
      <c r="C1766" s="2728"/>
      <c r="D1766" s="2728"/>
      <c r="E1766" s="2728"/>
      <c r="G1766" s="2512"/>
      <c r="I1766" s="2748"/>
      <c r="J1766" s="2728"/>
      <c r="L1766" s="2728"/>
      <c r="M1766" s="2748"/>
      <c r="N1766" s="2728"/>
      <c r="O1766" s="2728"/>
      <c r="P1766" s="2728"/>
      <c r="Q1766" s="2748"/>
      <c r="R1766" s="2748"/>
      <c r="S1766" s="2748"/>
      <c r="T1766" s="2748"/>
      <c r="U1766" s="2748"/>
      <c r="V1766" s="2748"/>
      <c r="W1766" s="2748"/>
      <c r="X1766" s="2748"/>
      <c r="Y1766" s="2748"/>
      <c r="Z1766" s="2748"/>
      <c r="AA1766" s="2748"/>
      <c r="AB1766" s="2748"/>
      <c r="AC1766" s="2748"/>
      <c r="AD1766" s="2748"/>
      <c r="AE1766" s="2748"/>
      <c r="AF1766" s="2748"/>
      <c r="AG1766" s="2748"/>
      <c r="AH1766" s="2748"/>
      <c r="AI1766" s="2748"/>
      <c r="AK1766" s="2748"/>
      <c r="AL1766" s="2748"/>
      <c r="AN1766" s="2748"/>
      <c r="AO1766" s="2748"/>
      <c r="AP1766" s="2748"/>
    </row>
    <row r="1767" spans="2:42" ht="18" customHeight="1">
      <c r="B1767" s="2728"/>
      <c r="C1767" s="2728"/>
      <c r="D1767" s="2728"/>
      <c r="E1767" s="2728"/>
      <c r="G1767" s="2512"/>
      <c r="I1767" s="2748"/>
      <c r="J1767" s="2728"/>
      <c r="L1767" s="2728"/>
      <c r="M1767" s="2748"/>
      <c r="N1767" s="2728"/>
      <c r="O1767" s="2728"/>
      <c r="P1767" s="2728"/>
      <c r="Q1767" s="2748"/>
      <c r="R1767" s="2748"/>
      <c r="S1767" s="2748"/>
      <c r="T1767" s="2748"/>
      <c r="U1767" s="2748"/>
      <c r="V1767" s="2748"/>
      <c r="W1767" s="2748"/>
      <c r="X1767" s="2748"/>
      <c r="Y1767" s="2748"/>
      <c r="Z1767" s="2748"/>
      <c r="AA1767" s="2748"/>
      <c r="AB1767" s="2748"/>
      <c r="AC1767" s="2748"/>
      <c r="AD1767" s="2748"/>
      <c r="AE1767" s="2748"/>
      <c r="AF1767" s="2748"/>
      <c r="AG1767" s="2748"/>
      <c r="AH1767" s="2748"/>
      <c r="AI1767" s="2748"/>
      <c r="AK1767" s="2748"/>
      <c r="AL1767" s="2748"/>
      <c r="AN1767" s="2748"/>
      <c r="AO1767" s="2748"/>
      <c r="AP1767" s="2748"/>
    </row>
    <row r="1768" spans="2:42" ht="18" customHeight="1">
      <c r="B1768" s="2728"/>
      <c r="C1768" s="2728"/>
      <c r="D1768" s="2728"/>
      <c r="E1768" s="2728"/>
      <c r="G1768" s="2512"/>
      <c r="I1768" s="2748"/>
      <c r="J1768" s="2728"/>
      <c r="L1768" s="2728"/>
      <c r="M1768" s="2748"/>
      <c r="N1768" s="2728"/>
      <c r="O1768" s="2728"/>
      <c r="P1768" s="2728"/>
      <c r="Q1768" s="2748"/>
      <c r="R1768" s="2748"/>
      <c r="S1768" s="2748"/>
      <c r="T1768" s="2748"/>
      <c r="U1768" s="2748"/>
      <c r="V1768" s="2748"/>
      <c r="W1768" s="2748"/>
      <c r="X1768" s="2748"/>
      <c r="Y1768" s="2748"/>
      <c r="Z1768" s="2748"/>
      <c r="AA1768" s="2748"/>
      <c r="AB1768" s="2748"/>
      <c r="AC1768" s="2748"/>
      <c r="AD1768" s="2748"/>
      <c r="AE1768" s="2748"/>
      <c r="AF1768" s="2748"/>
      <c r="AG1768" s="2748"/>
      <c r="AH1768" s="2748"/>
      <c r="AI1768" s="2748"/>
      <c r="AK1768" s="2748"/>
      <c r="AL1768" s="2748"/>
      <c r="AN1768" s="2748"/>
      <c r="AO1768" s="2748"/>
      <c r="AP1768" s="2748"/>
    </row>
    <row r="1769" spans="2:42" ht="18" customHeight="1">
      <c r="B1769" s="2728"/>
      <c r="C1769" s="2728"/>
      <c r="D1769" s="2728"/>
      <c r="E1769" s="2728"/>
      <c r="G1769" s="2512"/>
      <c r="I1769" s="2748"/>
      <c r="J1769" s="2728"/>
      <c r="L1769" s="2728"/>
      <c r="M1769" s="2748"/>
      <c r="N1769" s="2728"/>
      <c r="O1769" s="2728"/>
      <c r="P1769" s="2728"/>
      <c r="Q1769" s="2748"/>
      <c r="R1769" s="2748"/>
      <c r="S1769" s="2748"/>
      <c r="T1769" s="2748"/>
      <c r="U1769" s="2748"/>
      <c r="V1769" s="2748"/>
      <c r="W1769" s="2748"/>
      <c r="X1769" s="2748"/>
      <c r="Y1769" s="2748"/>
      <c r="Z1769" s="2748"/>
      <c r="AA1769" s="2748"/>
      <c r="AB1769" s="2748"/>
      <c r="AC1769" s="2748"/>
      <c r="AD1769" s="2748"/>
      <c r="AE1769" s="2748"/>
      <c r="AF1769" s="2748"/>
      <c r="AG1769" s="2748"/>
      <c r="AH1769" s="2748"/>
      <c r="AI1769" s="2748"/>
      <c r="AK1769" s="2748"/>
      <c r="AL1769" s="2748"/>
      <c r="AN1769" s="2748"/>
      <c r="AO1769" s="2748"/>
      <c r="AP1769" s="2748"/>
    </row>
    <row r="1770" spans="2:42" ht="18" customHeight="1">
      <c r="B1770" s="2728"/>
      <c r="C1770" s="2728"/>
      <c r="D1770" s="2728"/>
      <c r="E1770" s="2728"/>
      <c r="G1770" s="2512"/>
      <c r="I1770" s="2748"/>
      <c r="J1770" s="2728"/>
      <c r="L1770" s="2728"/>
      <c r="M1770" s="2748"/>
      <c r="N1770" s="2728"/>
      <c r="O1770" s="2728"/>
      <c r="P1770" s="2728"/>
      <c r="Q1770" s="2748"/>
      <c r="R1770" s="2748"/>
      <c r="S1770" s="2748"/>
      <c r="T1770" s="2748"/>
      <c r="U1770" s="2748"/>
      <c r="V1770" s="2748"/>
      <c r="W1770" s="2748"/>
      <c r="X1770" s="2748"/>
      <c r="Y1770" s="2748"/>
      <c r="Z1770" s="2748"/>
      <c r="AA1770" s="2748"/>
      <c r="AB1770" s="2748"/>
      <c r="AC1770" s="2748"/>
      <c r="AD1770" s="2748"/>
      <c r="AE1770" s="2748"/>
      <c r="AF1770" s="2748"/>
      <c r="AG1770" s="2748"/>
      <c r="AH1770" s="2748"/>
      <c r="AI1770" s="2748"/>
      <c r="AK1770" s="2748"/>
      <c r="AL1770" s="2748"/>
      <c r="AN1770" s="2748"/>
      <c r="AO1770" s="2748"/>
      <c r="AP1770" s="2748"/>
    </row>
    <row r="1771" spans="2:42" ht="18" customHeight="1">
      <c r="B1771" s="2728"/>
      <c r="C1771" s="2728"/>
      <c r="D1771" s="2728"/>
      <c r="E1771" s="2728"/>
      <c r="G1771" s="2512"/>
      <c r="I1771" s="2748"/>
      <c r="J1771" s="2728"/>
      <c r="L1771" s="2728"/>
      <c r="M1771" s="2748"/>
      <c r="N1771" s="2728"/>
      <c r="O1771" s="2728"/>
      <c r="P1771" s="2728"/>
      <c r="Q1771" s="2748"/>
      <c r="R1771" s="2748"/>
      <c r="S1771" s="2748"/>
      <c r="T1771" s="2748"/>
      <c r="U1771" s="2748"/>
      <c r="V1771" s="2748"/>
      <c r="W1771" s="2748"/>
      <c r="X1771" s="2748"/>
      <c r="Y1771" s="2748"/>
      <c r="Z1771" s="2748"/>
      <c r="AA1771" s="2748"/>
      <c r="AB1771" s="2748"/>
      <c r="AC1771" s="2748"/>
      <c r="AD1771" s="2748"/>
      <c r="AE1771" s="2748"/>
      <c r="AF1771" s="2748"/>
      <c r="AG1771" s="2748"/>
      <c r="AH1771" s="2748"/>
      <c r="AI1771" s="2748"/>
      <c r="AK1771" s="2748"/>
      <c r="AL1771" s="2748"/>
      <c r="AN1771" s="2748"/>
      <c r="AO1771" s="2748"/>
      <c r="AP1771" s="2748"/>
    </row>
    <row r="1772" spans="2:42" ht="18" customHeight="1">
      <c r="B1772" s="2728"/>
      <c r="C1772" s="2728"/>
      <c r="D1772" s="2728"/>
      <c r="E1772" s="2728"/>
      <c r="G1772" s="2512"/>
      <c r="I1772" s="2748"/>
      <c r="J1772" s="2728"/>
      <c r="L1772" s="2728"/>
      <c r="M1772" s="2748"/>
      <c r="N1772" s="2728"/>
      <c r="O1772" s="2728"/>
      <c r="P1772" s="2728"/>
      <c r="Q1772" s="2748"/>
      <c r="R1772" s="2748"/>
      <c r="S1772" s="2748"/>
      <c r="T1772" s="2748"/>
      <c r="U1772" s="2748"/>
      <c r="V1772" s="2748"/>
      <c r="W1772" s="2748"/>
      <c r="X1772" s="2748"/>
      <c r="Y1772" s="2748"/>
      <c r="Z1772" s="2748"/>
      <c r="AA1772" s="2748"/>
      <c r="AB1772" s="2748"/>
      <c r="AC1772" s="2748"/>
      <c r="AD1772" s="2748"/>
      <c r="AE1772" s="2748"/>
      <c r="AF1772" s="2748"/>
      <c r="AG1772" s="2748"/>
      <c r="AH1772" s="2748"/>
      <c r="AI1772" s="2748"/>
      <c r="AK1772" s="2748"/>
      <c r="AL1772" s="2748"/>
      <c r="AN1772" s="2748"/>
      <c r="AO1772" s="2748"/>
      <c r="AP1772" s="2748"/>
    </row>
    <row r="1773" spans="2:42" ht="18" customHeight="1">
      <c r="B1773" s="2728"/>
      <c r="C1773" s="2728"/>
      <c r="D1773" s="2728"/>
      <c r="E1773" s="2728"/>
      <c r="G1773" s="2512"/>
      <c r="I1773" s="2748"/>
      <c r="J1773" s="2728"/>
      <c r="L1773" s="2728"/>
      <c r="M1773" s="2748"/>
      <c r="N1773" s="2728"/>
      <c r="O1773" s="2728"/>
      <c r="P1773" s="2728"/>
      <c r="Q1773" s="2748"/>
      <c r="R1773" s="2748"/>
      <c r="S1773" s="2748"/>
      <c r="T1773" s="2748"/>
      <c r="U1773" s="2748"/>
      <c r="V1773" s="2748"/>
      <c r="W1773" s="2748"/>
      <c r="X1773" s="2748"/>
      <c r="Y1773" s="2748"/>
      <c r="Z1773" s="2748"/>
      <c r="AA1773" s="2748"/>
      <c r="AB1773" s="2748"/>
      <c r="AC1773" s="2748"/>
      <c r="AD1773" s="2748"/>
      <c r="AE1773" s="2748"/>
      <c r="AF1773" s="2748"/>
      <c r="AG1773" s="2748"/>
      <c r="AH1773" s="2748"/>
      <c r="AI1773" s="2748"/>
      <c r="AK1773" s="2748"/>
      <c r="AL1773" s="2748"/>
      <c r="AN1773" s="2748"/>
      <c r="AO1773" s="2748"/>
      <c r="AP1773" s="2748"/>
    </row>
    <row r="1774" spans="2:42" ht="18" customHeight="1">
      <c r="B1774" s="2728"/>
      <c r="C1774" s="2728"/>
      <c r="D1774" s="2728"/>
      <c r="E1774" s="2728"/>
      <c r="G1774" s="2512"/>
      <c r="I1774" s="2748"/>
      <c r="J1774" s="2728"/>
      <c r="L1774" s="2728"/>
      <c r="M1774" s="2748"/>
      <c r="N1774" s="2728"/>
      <c r="O1774" s="2728"/>
      <c r="P1774" s="2728"/>
      <c r="Q1774" s="2748"/>
      <c r="R1774" s="2748"/>
      <c r="S1774" s="2748"/>
      <c r="T1774" s="2748"/>
      <c r="U1774" s="2748"/>
      <c r="V1774" s="2748"/>
      <c r="W1774" s="2748"/>
      <c r="X1774" s="2748"/>
      <c r="Y1774" s="2748"/>
      <c r="Z1774" s="2748"/>
      <c r="AA1774" s="2748"/>
      <c r="AB1774" s="2748"/>
      <c r="AC1774" s="2748"/>
      <c r="AD1774" s="2748"/>
      <c r="AE1774" s="2748"/>
      <c r="AF1774" s="2748"/>
      <c r="AG1774" s="2748"/>
      <c r="AH1774" s="2748"/>
      <c r="AI1774" s="2748"/>
      <c r="AK1774" s="2748"/>
      <c r="AL1774" s="2748"/>
      <c r="AN1774" s="2748"/>
      <c r="AO1774" s="2748"/>
      <c r="AP1774" s="2748"/>
    </row>
    <row r="1775" spans="2:42" ht="18" customHeight="1">
      <c r="B1775" s="2728"/>
      <c r="C1775" s="2728"/>
      <c r="D1775" s="2728"/>
      <c r="E1775" s="2728"/>
      <c r="G1775" s="2512"/>
      <c r="I1775" s="2748"/>
      <c r="J1775" s="2728"/>
      <c r="L1775" s="2728"/>
      <c r="M1775" s="2748"/>
      <c r="N1775" s="2728"/>
      <c r="O1775" s="2728"/>
      <c r="P1775" s="2728"/>
      <c r="Q1775" s="2748"/>
      <c r="R1775" s="2748"/>
      <c r="S1775" s="2748"/>
      <c r="T1775" s="2748"/>
      <c r="U1775" s="2748"/>
      <c r="V1775" s="2748"/>
      <c r="W1775" s="2748"/>
      <c r="X1775" s="2748"/>
      <c r="Y1775" s="2748"/>
      <c r="Z1775" s="2748"/>
      <c r="AA1775" s="2748"/>
      <c r="AB1775" s="2748"/>
      <c r="AC1775" s="2748"/>
      <c r="AD1775" s="2748"/>
      <c r="AE1775" s="2748"/>
      <c r="AF1775" s="2748"/>
      <c r="AG1775" s="2748"/>
      <c r="AH1775" s="2748"/>
      <c r="AI1775" s="2748"/>
      <c r="AK1775" s="2748"/>
      <c r="AL1775" s="2748"/>
      <c r="AN1775" s="2748"/>
      <c r="AO1775" s="2748"/>
      <c r="AP1775" s="2748"/>
    </row>
    <row r="1776" spans="2:42" ht="18" customHeight="1">
      <c r="B1776" s="2728"/>
      <c r="C1776" s="2728"/>
      <c r="D1776" s="2728"/>
      <c r="E1776" s="2728"/>
      <c r="G1776" s="2512"/>
      <c r="I1776" s="2748"/>
      <c r="J1776" s="2728"/>
      <c r="L1776" s="2728"/>
      <c r="M1776" s="2748"/>
      <c r="N1776" s="2728"/>
      <c r="O1776" s="2728"/>
      <c r="P1776" s="2728"/>
      <c r="Q1776" s="2748"/>
      <c r="R1776" s="2748"/>
      <c r="S1776" s="2748"/>
      <c r="T1776" s="2748"/>
      <c r="U1776" s="2748"/>
      <c r="V1776" s="2748"/>
      <c r="W1776" s="2748"/>
      <c r="X1776" s="2748"/>
      <c r="Y1776" s="2748"/>
      <c r="Z1776" s="2748"/>
      <c r="AA1776" s="2748"/>
      <c r="AB1776" s="2748"/>
      <c r="AC1776" s="2748"/>
      <c r="AD1776" s="2748"/>
      <c r="AE1776" s="2748"/>
      <c r="AF1776" s="2748"/>
      <c r="AG1776" s="2748"/>
      <c r="AH1776" s="2748"/>
      <c r="AI1776" s="2748"/>
      <c r="AK1776" s="2748"/>
      <c r="AL1776" s="2748"/>
      <c r="AN1776" s="2748"/>
      <c r="AO1776" s="2748"/>
      <c r="AP1776" s="2748"/>
    </row>
    <row r="1777" spans="2:42" ht="18" customHeight="1">
      <c r="B1777" s="2728"/>
      <c r="C1777" s="2728"/>
      <c r="D1777" s="2728"/>
      <c r="E1777" s="2728"/>
      <c r="G1777" s="2512"/>
      <c r="I1777" s="2748"/>
      <c r="J1777" s="2728"/>
      <c r="L1777" s="2728"/>
      <c r="M1777" s="2748"/>
      <c r="N1777" s="2728"/>
      <c r="O1777" s="2728"/>
      <c r="P1777" s="2728"/>
      <c r="Q1777" s="2748"/>
      <c r="R1777" s="2748"/>
      <c r="S1777" s="2748"/>
      <c r="T1777" s="2748"/>
      <c r="U1777" s="2748"/>
      <c r="V1777" s="2748"/>
      <c r="W1777" s="2748"/>
      <c r="X1777" s="2748"/>
      <c r="Y1777" s="2748"/>
      <c r="Z1777" s="2748"/>
      <c r="AA1777" s="2748"/>
      <c r="AB1777" s="2748"/>
      <c r="AC1777" s="2748"/>
      <c r="AD1777" s="2748"/>
      <c r="AE1777" s="2748"/>
      <c r="AF1777" s="2748"/>
      <c r="AG1777" s="2748"/>
      <c r="AH1777" s="2748"/>
      <c r="AI1777" s="2748"/>
      <c r="AK1777" s="2748"/>
      <c r="AL1777" s="2748"/>
      <c r="AN1777" s="2748"/>
      <c r="AO1777" s="2748"/>
      <c r="AP1777" s="2748"/>
    </row>
    <row r="1778" spans="2:42" ht="18" customHeight="1">
      <c r="B1778" s="2728"/>
      <c r="C1778" s="2728"/>
      <c r="D1778" s="2728"/>
      <c r="E1778" s="2728"/>
      <c r="G1778" s="2512"/>
      <c r="I1778" s="2748"/>
      <c r="J1778" s="2728"/>
      <c r="L1778" s="2728"/>
      <c r="M1778" s="2748"/>
      <c r="N1778" s="2728"/>
      <c r="O1778" s="2728"/>
      <c r="P1778" s="2728"/>
      <c r="Q1778" s="2748"/>
      <c r="R1778" s="2748"/>
      <c r="S1778" s="2748"/>
      <c r="T1778" s="2748"/>
      <c r="U1778" s="2748"/>
      <c r="V1778" s="2748"/>
      <c r="W1778" s="2748"/>
      <c r="X1778" s="2748"/>
      <c r="Y1778" s="2748"/>
      <c r="Z1778" s="2748"/>
      <c r="AA1778" s="2748"/>
      <c r="AB1778" s="2748"/>
      <c r="AC1778" s="2748"/>
      <c r="AD1778" s="2748"/>
      <c r="AE1778" s="2748"/>
      <c r="AF1778" s="2748"/>
      <c r="AG1778" s="2748"/>
      <c r="AH1778" s="2748"/>
      <c r="AI1778" s="2748"/>
      <c r="AK1778" s="2748"/>
      <c r="AL1778" s="2748"/>
      <c r="AN1778" s="2748"/>
      <c r="AO1778" s="2748"/>
      <c r="AP1778" s="2748"/>
    </row>
    <row r="1779" spans="2:42" ht="18" customHeight="1">
      <c r="B1779" s="2728"/>
      <c r="C1779" s="2728"/>
      <c r="D1779" s="2728"/>
      <c r="E1779" s="2728"/>
      <c r="G1779" s="2512"/>
      <c r="I1779" s="2748"/>
      <c r="J1779" s="2728"/>
      <c r="L1779" s="2728"/>
      <c r="M1779" s="2748"/>
      <c r="N1779" s="2728"/>
      <c r="O1779" s="2728"/>
      <c r="P1779" s="2728"/>
      <c r="Q1779" s="2748"/>
      <c r="R1779" s="2748"/>
      <c r="S1779" s="2748"/>
      <c r="T1779" s="2748"/>
      <c r="U1779" s="2748"/>
      <c r="V1779" s="2748"/>
      <c r="W1779" s="2748"/>
      <c r="X1779" s="2748"/>
      <c r="Y1779" s="2748"/>
      <c r="Z1779" s="2748"/>
      <c r="AA1779" s="2748"/>
      <c r="AB1779" s="2748"/>
      <c r="AC1779" s="2748"/>
      <c r="AD1779" s="2748"/>
      <c r="AE1779" s="2748"/>
      <c r="AF1779" s="2748"/>
      <c r="AG1779" s="2748"/>
      <c r="AH1779" s="2748"/>
      <c r="AI1779" s="2748"/>
      <c r="AK1779" s="2748"/>
      <c r="AL1779" s="2748"/>
      <c r="AN1779" s="2748"/>
      <c r="AO1779" s="2748"/>
      <c r="AP1779" s="2748"/>
    </row>
    <row r="1780" spans="2:42" ht="18" customHeight="1">
      <c r="B1780" s="2728"/>
      <c r="C1780" s="2728"/>
      <c r="D1780" s="2728"/>
      <c r="E1780" s="2728"/>
      <c r="G1780" s="2512"/>
      <c r="I1780" s="2748"/>
      <c r="J1780" s="2728"/>
      <c r="L1780" s="2728"/>
      <c r="M1780" s="2748"/>
      <c r="N1780" s="2728"/>
      <c r="O1780" s="2728"/>
      <c r="P1780" s="2728"/>
      <c r="Q1780" s="2748"/>
      <c r="R1780" s="2748"/>
      <c r="S1780" s="2748"/>
      <c r="T1780" s="2748"/>
      <c r="U1780" s="2748"/>
      <c r="V1780" s="2748"/>
      <c r="W1780" s="2748"/>
      <c r="X1780" s="2748"/>
      <c r="Y1780" s="2748"/>
      <c r="Z1780" s="2748"/>
      <c r="AA1780" s="2748"/>
      <c r="AB1780" s="2748"/>
      <c r="AC1780" s="2748"/>
      <c r="AD1780" s="2748"/>
      <c r="AE1780" s="2748"/>
      <c r="AF1780" s="2748"/>
      <c r="AG1780" s="2748"/>
      <c r="AH1780" s="2748"/>
      <c r="AI1780" s="2748"/>
      <c r="AK1780" s="2748"/>
      <c r="AL1780" s="2748"/>
      <c r="AN1780" s="2748"/>
      <c r="AO1780" s="2748"/>
      <c r="AP1780" s="2748"/>
    </row>
    <row r="1781" spans="2:42" ht="18" customHeight="1">
      <c r="B1781" s="2728"/>
      <c r="C1781" s="2728"/>
      <c r="D1781" s="2728"/>
      <c r="E1781" s="2728"/>
      <c r="G1781" s="2512"/>
      <c r="I1781" s="2748"/>
      <c r="J1781" s="2728"/>
      <c r="L1781" s="2728"/>
      <c r="M1781" s="2748"/>
      <c r="N1781" s="2728"/>
      <c r="O1781" s="2728"/>
      <c r="P1781" s="2728"/>
      <c r="Q1781" s="2748"/>
      <c r="R1781" s="2748"/>
      <c r="S1781" s="2748"/>
      <c r="T1781" s="2748"/>
      <c r="U1781" s="2748"/>
      <c r="V1781" s="2748"/>
      <c r="W1781" s="2748"/>
      <c r="X1781" s="2748"/>
      <c r="Y1781" s="2748"/>
      <c r="Z1781" s="2748"/>
      <c r="AA1781" s="2748"/>
      <c r="AB1781" s="2748"/>
      <c r="AC1781" s="2748"/>
      <c r="AD1781" s="2748"/>
      <c r="AE1781" s="2748"/>
      <c r="AF1781" s="2748"/>
      <c r="AG1781" s="2748"/>
      <c r="AH1781" s="2748"/>
      <c r="AI1781" s="2748"/>
      <c r="AK1781" s="2748"/>
      <c r="AL1781" s="2748"/>
      <c r="AN1781" s="2748"/>
      <c r="AO1781" s="2748"/>
      <c r="AP1781" s="2748"/>
    </row>
    <row r="1782" spans="2:42" ht="18" customHeight="1">
      <c r="B1782" s="2728"/>
      <c r="C1782" s="2728"/>
      <c r="D1782" s="2728"/>
      <c r="E1782" s="2728"/>
      <c r="G1782" s="2512"/>
      <c r="I1782" s="2748"/>
      <c r="J1782" s="2728"/>
      <c r="L1782" s="2728"/>
      <c r="M1782" s="2748"/>
      <c r="N1782" s="2728"/>
      <c r="O1782" s="2728"/>
      <c r="P1782" s="2728"/>
      <c r="Q1782" s="2748"/>
      <c r="R1782" s="2748"/>
      <c r="S1782" s="2748"/>
      <c r="T1782" s="2748"/>
      <c r="U1782" s="2748"/>
      <c r="V1782" s="2748"/>
      <c r="W1782" s="2748"/>
      <c r="X1782" s="2748"/>
      <c r="Y1782" s="2748"/>
      <c r="Z1782" s="2748"/>
      <c r="AA1782" s="2748"/>
      <c r="AB1782" s="2748"/>
      <c r="AC1782" s="2748"/>
      <c r="AD1782" s="2748"/>
      <c r="AE1782" s="2748"/>
      <c r="AF1782" s="2748"/>
      <c r="AG1782" s="2748"/>
      <c r="AH1782" s="2748"/>
      <c r="AI1782" s="2748"/>
      <c r="AK1782" s="2748"/>
      <c r="AL1782" s="2748"/>
      <c r="AN1782" s="2748"/>
      <c r="AO1782" s="2748"/>
      <c r="AP1782" s="2748"/>
    </row>
    <row r="1783" spans="2:42" ht="18" customHeight="1">
      <c r="B1783" s="2728"/>
      <c r="C1783" s="2728"/>
      <c r="D1783" s="2728"/>
      <c r="E1783" s="2728"/>
      <c r="G1783" s="2512"/>
      <c r="I1783" s="2748"/>
      <c r="J1783" s="2728"/>
      <c r="L1783" s="2728"/>
      <c r="M1783" s="2748"/>
      <c r="N1783" s="2728"/>
      <c r="O1783" s="2728"/>
      <c r="P1783" s="2728"/>
      <c r="Q1783" s="2748"/>
      <c r="R1783" s="2748"/>
      <c r="S1783" s="2748"/>
      <c r="T1783" s="2748"/>
      <c r="U1783" s="2748"/>
      <c r="V1783" s="2748"/>
      <c r="W1783" s="2748"/>
      <c r="X1783" s="2748"/>
      <c r="Y1783" s="2748"/>
      <c r="Z1783" s="2748"/>
      <c r="AA1783" s="2748"/>
      <c r="AB1783" s="2748"/>
      <c r="AC1783" s="2748"/>
      <c r="AD1783" s="2748"/>
      <c r="AE1783" s="2748"/>
      <c r="AF1783" s="2748"/>
      <c r="AG1783" s="2748"/>
      <c r="AH1783" s="2748"/>
      <c r="AI1783" s="2748"/>
      <c r="AK1783" s="2748"/>
      <c r="AL1783" s="2748"/>
      <c r="AN1783" s="2748"/>
      <c r="AO1783" s="2748"/>
      <c r="AP1783" s="2748"/>
    </row>
    <row r="1784" spans="2:42" ht="18" customHeight="1">
      <c r="B1784" s="2728"/>
      <c r="C1784" s="2728"/>
      <c r="D1784" s="2728"/>
      <c r="E1784" s="2728"/>
      <c r="G1784" s="2512"/>
      <c r="I1784" s="2748"/>
      <c r="J1784" s="2728"/>
      <c r="L1784" s="2728"/>
      <c r="M1784" s="2748"/>
      <c r="N1784" s="2728"/>
      <c r="O1784" s="2728"/>
      <c r="P1784" s="2728"/>
      <c r="Q1784" s="2748"/>
      <c r="R1784" s="2748"/>
      <c r="S1784" s="2748"/>
      <c r="T1784" s="2748"/>
      <c r="U1784" s="2748"/>
      <c r="V1784" s="2748"/>
      <c r="W1784" s="2748"/>
      <c r="X1784" s="2748"/>
      <c r="Y1784" s="2748"/>
      <c r="Z1784" s="2748"/>
      <c r="AA1784" s="2748"/>
      <c r="AB1784" s="2748"/>
      <c r="AC1784" s="2748"/>
      <c r="AD1784" s="2748"/>
      <c r="AE1784" s="2748"/>
      <c r="AF1784" s="2748"/>
      <c r="AG1784" s="2748"/>
      <c r="AH1784" s="2748"/>
      <c r="AI1784" s="2748"/>
      <c r="AK1784" s="2748"/>
      <c r="AL1784" s="2748"/>
      <c r="AN1784" s="2748"/>
      <c r="AO1784" s="2748"/>
      <c r="AP1784" s="2748"/>
    </row>
    <row r="1785" spans="2:42" ht="18" customHeight="1">
      <c r="B1785" s="2728"/>
      <c r="C1785" s="2728"/>
      <c r="D1785" s="2728"/>
      <c r="E1785" s="2728"/>
      <c r="G1785" s="2512"/>
      <c r="I1785" s="2748"/>
      <c r="J1785" s="2728"/>
      <c r="L1785" s="2728"/>
      <c r="M1785" s="2748"/>
      <c r="N1785" s="2728"/>
      <c r="O1785" s="2728"/>
      <c r="P1785" s="2728"/>
      <c r="Q1785" s="2748"/>
      <c r="R1785" s="2748"/>
      <c r="S1785" s="2748"/>
      <c r="T1785" s="2748"/>
      <c r="U1785" s="2748"/>
      <c r="V1785" s="2748"/>
      <c r="W1785" s="2748"/>
      <c r="X1785" s="2748"/>
      <c r="Y1785" s="2748"/>
      <c r="Z1785" s="2748"/>
      <c r="AA1785" s="2748"/>
      <c r="AB1785" s="2748"/>
      <c r="AC1785" s="2748"/>
      <c r="AD1785" s="2748"/>
      <c r="AE1785" s="2748"/>
      <c r="AF1785" s="2748"/>
      <c r="AG1785" s="2748"/>
      <c r="AH1785" s="2748"/>
      <c r="AI1785" s="2748"/>
      <c r="AK1785" s="2748"/>
      <c r="AL1785" s="2748"/>
      <c r="AN1785" s="2748"/>
      <c r="AO1785" s="2748"/>
      <c r="AP1785" s="2748"/>
    </row>
    <row r="1786" spans="2:42" ht="18" customHeight="1">
      <c r="B1786" s="2728"/>
      <c r="C1786" s="2728"/>
      <c r="D1786" s="2728"/>
      <c r="E1786" s="2728"/>
      <c r="G1786" s="2512"/>
      <c r="I1786" s="2748"/>
      <c r="J1786" s="2728"/>
      <c r="L1786" s="2728"/>
      <c r="M1786" s="2748"/>
      <c r="N1786" s="2728"/>
      <c r="O1786" s="2728"/>
      <c r="P1786" s="2728"/>
      <c r="Q1786" s="2748"/>
      <c r="R1786" s="2748"/>
      <c r="S1786" s="2748"/>
      <c r="T1786" s="2748"/>
      <c r="U1786" s="2748"/>
      <c r="V1786" s="2748"/>
      <c r="W1786" s="2748"/>
      <c r="X1786" s="2748"/>
      <c r="Y1786" s="2748"/>
      <c r="Z1786" s="2748"/>
      <c r="AA1786" s="2748"/>
      <c r="AB1786" s="2748"/>
      <c r="AC1786" s="2748"/>
      <c r="AD1786" s="2748"/>
      <c r="AE1786" s="2748"/>
      <c r="AF1786" s="2748"/>
      <c r="AG1786" s="2748"/>
      <c r="AH1786" s="2748"/>
      <c r="AI1786" s="2748"/>
      <c r="AK1786" s="2748"/>
      <c r="AL1786" s="2748"/>
      <c r="AN1786" s="2748"/>
      <c r="AO1786" s="2748"/>
      <c r="AP1786" s="2748"/>
    </row>
    <row r="1787" spans="2:42" ht="18" customHeight="1">
      <c r="B1787" s="2728"/>
      <c r="C1787" s="2728"/>
      <c r="D1787" s="2728"/>
      <c r="E1787" s="2728"/>
      <c r="G1787" s="2512"/>
      <c r="I1787" s="2748"/>
      <c r="J1787" s="2728"/>
      <c r="L1787" s="2728"/>
      <c r="M1787" s="2748"/>
      <c r="N1787" s="2728"/>
      <c r="O1787" s="2728"/>
      <c r="P1787" s="2728"/>
      <c r="Q1787" s="2748"/>
      <c r="R1787" s="2748"/>
      <c r="S1787" s="2748"/>
      <c r="T1787" s="2748"/>
      <c r="U1787" s="2748"/>
      <c r="V1787" s="2748"/>
      <c r="W1787" s="2748"/>
      <c r="X1787" s="2748"/>
      <c r="Y1787" s="2748"/>
      <c r="Z1787" s="2748"/>
      <c r="AA1787" s="2748"/>
      <c r="AB1787" s="2748"/>
      <c r="AC1787" s="2748"/>
      <c r="AD1787" s="2748"/>
      <c r="AE1787" s="2748"/>
      <c r="AF1787" s="2748"/>
      <c r="AG1787" s="2748"/>
      <c r="AH1787" s="2748"/>
      <c r="AI1787" s="2748"/>
      <c r="AK1787" s="2748"/>
      <c r="AL1787" s="2748"/>
      <c r="AN1787" s="2748"/>
      <c r="AO1787" s="2748"/>
      <c r="AP1787" s="2748"/>
    </row>
    <row r="1788" spans="2:42" ht="18" customHeight="1">
      <c r="B1788" s="2728"/>
      <c r="C1788" s="2728"/>
      <c r="D1788" s="2728"/>
      <c r="E1788" s="2728"/>
      <c r="G1788" s="2512"/>
      <c r="I1788" s="2748"/>
      <c r="J1788" s="2728"/>
      <c r="L1788" s="2728"/>
      <c r="M1788" s="2748"/>
      <c r="N1788" s="2728"/>
      <c r="O1788" s="2728"/>
      <c r="P1788" s="2728"/>
      <c r="Q1788" s="2748"/>
      <c r="R1788" s="2748"/>
      <c r="S1788" s="2748"/>
      <c r="T1788" s="2748"/>
      <c r="U1788" s="2748"/>
      <c r="V1788" s="2748"/>
      <c r="W1788" s="2748"/>
      <c r="X1788" s="2748"/>
      <c r="Y1788" s="2748"/>
      <c r="Z1788" s="2748"/>
      <c r="AA1788" s="2748"/>
      <c r="AB1788" s="2748"/>
      <c r="AC1788" s="2748"/>
      <c r="AD1788" s="2748"/>
      <c r="AE1788" s="2748"/>
      <c r="AF1788" s="2748"/>
      <c r="AG1788" s="2748"/>
      <c r="AH1788" s="2748"/>
      <c r="AI1788" s="2748"/>
      <c r="AK1788" s="2748"/>
      <c r="AL1788" s="2748"/>
      <c r="AN1788" s="2748"/>
      <c r="AO1788" s="2748"/>
      <c r="AP1788" s="2748"/>
    </row>
    <row r="1789" spans="2:42" ht="18" customHeight="1">
      <c r="B1789" s="2728"/>
      <c r="C1789" s="2728"/>
      <c r="D1789" s="2728"/>
      <c r="E1789" s="2728"/>
      <c r="G1789" s="2512"/>
      <c r="I1789" s="2748"/>
      <c r="J1789" s="2728"/>
      <c r="L1789" s="2728"/>
      <c r="M1789" s="2748"/>
      <c r="N1789" s="2728"/>
      <c r="O1789" s="2728"/>
      <c r="P1789" s="2728"/>
      <c r="Q1789" s="2748"/>
      <c r="R1789" s="2748"/>
      <c r="S1789" s="2748"/>
      <c r="T1789" s="2748"/>
      <c r="U1789" s="2748"/>
      <c r="V1789" s="2748"/>
      <c r="W1789" s="2748"/>
      <c r="X1789" s="2748"/>
      <c r="Y1789" s="2748"/>
      <c r="Z1789" s="2748"/>
      <c r="AA1789" s="2748"/>
      <c r="AB1789" s="2748"/>
      <c r="AC1789" s="2748"/>
      <c r="AD1789" s="2748"/>
      <c r="AE1789" s="2748"/>
      <c r="AF1789" s="2748"/>
      <c r="AG1789" s="2748"/>
      <c r="AH1789" s="2748"/>
      <c r="AI1789" s="2748"/>
      <c r="AK1789" s="2748"/>
      <c r="AL1789" s="2748"/>
      <c r="AN1789" s="2748"/>
      <c r="AO1789" s="2748"/>
      <c r="AP1789" s="2748"/>
    </row>
    <row r="1790" spans="2:42" ht="18" customHeight="1">
      <c r="B1790" s="2728"/>
      <c r="C1790" s="2728"/>
      <c r="D1790" s="2728"/>
      <c r="E1790" s="2728"/>
      <c r="G1790" s="2512"/>
      <c r="I1790" s="2748"/>
      <c r="J1790" s="2728"/>
      <c r="L1790" s="2728"/>
      <c r="M1790" s="2748"/>
      <c r="N1790" s="2728"/>
      <c r="O1790" s="2728"/>
      <c r="P1790" s="2728"/>
      <c r="Q1790" s="2748"/>
      <c r="R1790" s="2748"/>
      <c r="S1790" s="2748"/>
      <c r="T1790" s="2748"/>
      <c r="U1790" s="2748"/>
      <c r="V1790" s="2748"/>
      <c r="W1790" s="2748"/>
      <c r="X1790" s="2748"/>
      <c r="Y1790" s="2748"/>
      <c r="Z1790" s="2748"/>
      <c r="AA1790" s="2748"/>
      <c r="AB1790" s="2748"/>
      <c r="AC1790" s="2748"/>
      <c r="AD1790" s="2748"/>
      <c r="AE1790" s="2748"/>
      <c r="AF1790" s="2748"/>
      <c r="AG1790" s="2748"/>
      <c r="AH1790" s="2748"/>
      <c r="AI1790" s="2748"/>
      <c r="AK1790" s="2748"/>
      <c r="AL1790" s="2748"/>
      <c r="AN1790" s="2748"/>
      <c r="AO1790" s="2748"/>
      <c r="AP1790" s="2748"/>
    </row>
    <row r="1791" spans="2:42" ht="18" customHeight="1">
      <c r="B1791" s="2728"/>
      <c r="C1791" s="2728"/>
      <c r="D1791" s="2728"/>
      <c r="E1791" s="2728"/>
      <c r="G1791" s="2512"/>
      <c r="I1791" s="2748"/>
      <c r="J1791" s="2728"/>
      <c r="L1791" s="2728"/>
      <c r="M1791" s="2748"/>
      <c r="N1791" s="2728"/>
      <c r="O1791" s="2728"/>
      <c r="P1791" s="2728"/>
      <c r="Q1791" s="2748"/>
      <c r="R1791" s="2748"/>
      <c r="S1791" s="2748"/>
      <c r="T1791" s="2748"/>
      <c r="U1791" s="2748"/>
      <c r="V1791" s="2748"/>
      <c r="W1791" s="2748"/>
      <c r="X1791" s="2748"/>
      <c r="Y1791" s="2748"/>
      <c r="Z1791" s="2748"/>
      <c r="AA1791" s="2748"/>
      <c r="AB1791" s="2748"/>
      <c r="AC1791" s="2748"/>
      <c r="AD1791" s="2748"/>
      <c r="AE1791" s="2748"/>
      <c r="AF1791" s="2748"/>
      <c r="AG1791" s="2748"/>
      <c r="AH1791" s="2748"/>
      <c r="AI1791" s="2748"/>
      <c r="AK1791" s="2748"/>
      <c r="AL1791" s="2748"/>
      <c r="AN1791" s="2748"/>
      <c r="AO1791" s="2748"/>
      <c r="AP1791" s="2748"/>
    </row>
    <row r="1792" spans="2:42" ht="18" customHeight="1">
      <c r="B1792" s="2728"/>
      <c r="C1792" s="2728"/>
      <c r="D1792" s="2728"/>
      <c r="E1792" s="2728"/>
      <c r="G1792" s="2512"/>
      <c r="I1792" s="2748"/>
      <c r="J1792" s="2728"/>
      <c r="L1792" s="2728"/>
      <c r="M1792" s="2748"/>
      <c r="N1792" s="2728"/>
      <c r="O1792" s="2728"/>
      <c r="P1792" s="2728"/>
      <c r="Q1792" s="2748"/>
      <c r="R1792" s="2748"/>
      <c r="S1792" s="2748"/>
      <c r="T1792" s="2748"/>
      <c r="U1792" s="2748"/>
      <c r="V1792" s="2748"/>
      <c r="W1792" s="2748"/>
      <c r="X1792" s="2748"/>
      <c r="Y1792" s="2748"/>
      <c r="Z1792" s="2748"/>
      <c r="AA1792" s="2748"/>
      <c r="AB1792" s="2748"/>
      <c r="AC1792" s="2748"/>
      <c r="AD1792" s="2748"/>
      <c r="AE1792" s="2748"/>
      <c r="AF1792" s="2748"/>
      <c r="AG1792" s="2748"/>
      <c r="AH1792" s="2748"/>
      <c r="AI1792" s="2748"/>
      <c r="AK1792" s="2748"/>
      <c r="AL1792" s="2748"/>
      <c r="AN1792" s="2748"/>
      <c r="AO1792" s="2748"/>
      <c r="AP1792" s="2748"/>
    </row>
    <row r="1793" spans="2:42" ht="18" customHeight="1">
      <c r="B1793" s="2728"/>
      <c r="C1793" s="2728"/>
      <c r="D1793" s="2728"/>
      <c r="E1793" s="2728"/>
      <c r="G1793" s="2512"/>
      <c r="I1793" s="2748"/>
      <c r="J1793" s="2728"/>
      <c r="L1793" s="2728"/>
      <c r="M1793" s="2748"/>
      <c r="N1793" s="2728"/>
      <c r="O1793" s="2728"/>
      <c r="P1793" s="2728"/>
      <c r="Q1793" s="2748"/>
      <c r="R1793" s="2748"/>
      <c r="S1793" s="2748"/>
      <c r="T1793" s="2748"/>
      <c r="U1793" s="2748"/>
      <c r="V1793" s="2748"/>
      <c r="W1793" s="2748"/>
      <c r="X1793" s="2748"/>
      <c r="Y1793" s="2748"/>
      <c r="Z1793" s="2748"/>
      <c r="AA1793" s="2748"/>
      <c r="AB1793" s="2748"/>
      <c r="AC1793" s="2748"/>
      <c r="AD1793" s="2748"/>
      <c r="AE1793" s="2748"/>
      <c r="AF1793" s="2748"/>
      <c r="AG1793" s="2748"/>
      <c r="AH1793" s="2748"/>
      <c r="AI1793" s="2748"/>
      <c r="AK1793" s="2748"/>
      <c r="AL1793" s="2748"/>
      <c r="AN1793" s="2748"/>
      <c r="AO1793" s="2748"/>
      <c r="AP1793" s="2748"/>
    </row>
    <row r="1794" spans="2:42" ht="18" customHeight="1">
      <c r="B1794" s="2728"/>
      <c r="C1794" s="2728"/>
      <c r="D1794" s="2728"/>
      <c r="E1794" s="2728"/>
      <c r="G1794" s="2512"/>
      <c r="I1794" s="2748"/>
      <c r="J1794" s="2728"/>
      <c r="L1794" s="2728"/>
      <c r="M1794" s="2748"/>
      <c r="N1794" s="2728"/>
      <c r="O1794" s="2728"/>
      <c r="P1794" s="2728"/>
      <c r="Q1794" s="2748"/>
      <c r="R1794" s="2748"/>
      <c r="S1794" s="2748"/>
      <c r="T1794" s="2748"/>
      <c r="U1794" s="2748"/>
      <c r="V1794" s="2748"/>
      <c r="W1794" s="2748"/>
      <c r="X1794" s="2748"/>
      <c r="Y1794" s="2748"/>
      <c r="Z1794" s="2748"/>
      <c r="AA1794" s="2748"/>
      <c r="AB1794" s="2748"/>
      <c r="AC1794" s="2748"/>
      <c r="AD1794" s="2748"/>
      <c r="AE1794" s="2748"/>
      <c r="AF1794" s="2748"/>
      <c r="AG1794" s="2748"/>
      <c r="AH1794" s="2748"/>
      <c r="AI1794" s="2748"/>
      <c r="AK1794" s="2748"/>
      <c r="AL1794" s="2748"/>
      <c r="AN1794" s="2748"/>
      <c r="AO1794" s="2748"/>
      <c r="AP1794" s="2748"/>
    </row>
    <row r="1795" spans="2:42" ht="18" customHeight="1">
      <c r="B1795" s="2728"/>
      <c r="C1795" s="2728"/>
      <c r="D1795" s="2728"/>
      <c r="E1795" s="2728"/>
      <c r="G1795" s="2512"/>
      <c r="I1795" s="2748"/>
      <c r="J1795" s="2728"/>
      <c r="L1795" s="2728"/>
      <c r="M1795" s="2748"/>
      <c r="N1795" s="2728"/>
      <c r="O1795" s="2728"/>
      <c r="P1795" s="2728"/>
      <c r="Q1795" s="2748"/>
      <c r="R1795" s="2748"/>
      <c r="S1795" s="2748"/>
      <c r="T1795" s="2748"/>
      <c r="U1795" s="2748"/>
      <c r="V1795" s="2748"/>
      <c r="W1795" s="2748"/>
      <c r="X1795" s="2748"/>
      <c r="Y1795" s="2748"/>
      <c r="Z1795" s="2748"/>
      <c r="AA1795" s="2748"/>
      <c r="AB1795" s="2748"/>
      <c r="AC1795" s="2748"/>
      <c r="AD1795" s="2748"/>
      <c r="AE1795" s="2748"/>
      <c r="AF1795" s="2748"/>
      <c r="AG1795" s="2748"/>
      <c r="AH1795" s="2748"/>
      <c r="AI1795" s="2748"/>
      <c r="AK1795" s="2748"/>
      <c r="AL1795" s="2748"/>
      <c r="AN1795" s="2748"/>
      <c r="AO1795" s="2748"/>
      <c r="AP1795" s="2748"/>
    </row>
    <row r="1796" spans="2:42" ht="18" customHeight="1">
      <c r="B1796" s="2728"/>
      <c r="C1796" s="2728"/>
      <c r="D1796" s="2728"/>
      <c r="E1796" s="2728"/>
      <c r="G1796" s="2512"/>
      <c r="I1796" s="2748"/>
      <c r="J1796" s="2728"/>
      <c r="L1796" s="2728"/>
      <c r="M1796" s="2748"/>
      <c r="N1796" s="2728"/>
      <c r="O1796" s="2728"/>
      <c r="P1796" s="2728"/>
      <c r="Q1796" s="2748"/>
      <c r="R1796" s="2748"/>
      <c r="S1796" s="2748"/>
      <c r="T1796" s="2748"/>
      <c r="U1796" s="2748"/>
      <c r="V1796" s="2748"/>
      <c r="W1796" s="2748"/>
      <c r="X1796" s="2748"/>
      <c r="Y1796" s="2748"/>
      <c r="Z1796" s="2748"/>
      <c r="AA1796" s="2748"/>
      <c r="AB1796" s="2748"/>
      <c r="AC1796" s="2748"/>
      <c r="AD1796" s="2748"/>
      <c r="AE1796" s="2748"/>
      <c r="AF1796" s="2748"/>
      <c r="AG1796" s="2748"/>
      <c r="AH1796" s="2748"/>
      <c r="AI1796" s="2748"/>
      <c r="AK1796" s="2748"/>
      <c r="AL1796" s="2748"/>
      <c r="AN1796" s="2748"/>
      <c r="AO1796" s="2748"/>
      <c r="AP1796" s="2748"/>
    </row>
    <row r="1797" spans="2:42" ht="18" customHeight="1">
      <c r="B1797" s="2728"/>
      <c r="C1797" s="2728"/>
      <c r="D1797" s="2728"/>
      <c r="E1797" s="2728"/>
      <c r="G1797" s="2512"/>
      <c r="I1797" s="2748"/>
      <c r="J1797" s="2728"/>
      <c r="L1797" s="2728"/>
      <c r="M1797" s="2748"/>
      <c r="N1797" s="2728"/>
      <c r="O1797" s="2728"/>
      <c r="P1797" s="2728"/>
      <c r="Q1797" s="2748"/>
      <c r="R1797" s="2748"/>
      <c r="S1797" s="2748"/>
      <c r="T1797" s="2748"/>
      <c r="U1797" s="2748"/>
      <c r="V1797" s="2748"/>
      <c r="W1797" s="2748"/>
      <c r="X1797" s="2748"/>
      <c r="Y1797" s="2748"/>
      <c r="Z1797" s="2748"/>
      <c r="AA1797" s="2748"/>
      <c r="AB1797" s="2748"/>
      <c r="AC1797" s="2748"/>
      <c r="AD1797" s="2748"/>
      <c r="AE1797" s="2748"/>
      <c r="AF1797" s="2748"/>
      <c r="AG1797" s="2748"/>
      <c r="AH1797" s="2748"/>
      <c r="AI1797" s="2748"/>
      <c r="AK1797" s="2748"/>
      <c r="AL1797" s="2748"/>
      <c r="AN1797" s="2748"/>
      <c r="AO1797" s="2748"/>
      <c r="AP1797" s="2748"/>
    </row>
    <row r="1798" spans="2:42" ht="18" customHeight="1">
      <c r="B1798" s="2728"/>
      <c r="C1798" s="2728"/>
      <c r="D1798" s="2728"/>
      <c r="E1798" s="2728"/>
      <c r="G1798" s="2512"/>
      <c r="I1798" s="2748"/>
      <c r="J1798" s="2728"/>
      <c r="L1798" s="2728"/>
      <c r="M1798" s="2748"/>
      <c r="N1798" s="2728"/>
      <c r="O1798" s="2728"/>
      <c r="P1798" s="2728"/>
      <c r="Q1798" s="2748"/>
      <c r="R1798" s="2748"/>
      <c r="S1798" s="2748"/>
      <c r="T1798" s="2748"/>
      <c r="U1798" s="2748"/>
      <c r="V1798" s="2748"/>
      <c r="W1798" s="2748"/>
      <c r="X1798" s="2748"/>
      <c r="Y1798" s="2748"/>
      <c r="Z1798" s="2748"/>
      <c r="AA1798" s="2748"/>
      <c r="AB1798" s="2748"/>
      <c r="AC1798" s="2748"/>
      <c r="AD1798" s="2748"/>
      <c r="AE1798" s="2748"/>
      <c r="AF1798" s="2748"/>
      <c r="AG1798" s="2748"/>
      <c r="AH1798" s="2748"/>
      <c r="AI1798" s="2748"/>
      <c r="AK1798" s="2748"/>
      <c r="AL1798" s="2748"/>
      <c r="AN1798" s="2748"/>
      <c r="AO1798" s="2748"/>
      <c r="AP1798" s="2748"/>
    </row>
    <row r="1799" spans="2:42" ht="18" customHeight="1">
      <c r="B1799" s="2728"/>
      <c r="C1799" s="2728"/>
      <c r="D1799" s="2728"/>
      <c r="E1799" s="2728"/>
      <c r="G1799" s="2512"/>
      <c r="I1799" s="2748"/>
      <c r="J1799" s="2728"/>
      <c r="L1799" s="2728"/>
      <c r="M1799" s="2748"/>
      <c r="N1799" s="2728"/>
      <c r="O1799" s="2728"/>
      <c r="P1799" s="2728"/>
      <c r="Q1799" s="2748"/>
      <c r="R1799" s="2748"/>
      <c r="S1799" s="2748"/>
      <c r="T1799" s="2748"/>
      <c r="U1799" s="2748"/>
      <c r="V1799" s="2748"/>
      <c r="W1799" s="2748"/>
      <c r="X1799" s="2748"/>
      <c r="Y1799" s="2748"/>
      <c r="Z1799" s="2748"/>
      <c r="AA1799" s="2748"/>
      <c r="AB1799" s="2748"/>
      <c r="AC1799" s="2748"/>
      <c r="AD1799" s="2748"/>
      <c r="AE1799" s="2748"/>
      <c r="AF1799" s="2748"/>
      <c r="AG1799" s="2748"/>
      <c r="AH1799" s="2748"/>
      <c r="AI1799" s="2748"/>
      <c r="AK1799" s="2748"/>
      <c r="AL1799" s="2748"/>
      <c r="AN1799" s="2748"/>
      <c r="AO1799" s="2748"/>
      <c r="AP1799" s="2748"/>
    </row>
    <row r="1800" spans="2:42" ht="18" customHeight="1">
      <c r="B1800" s="2728"/>
      <c r="C1800" s="2728"/>
      <c r="D1800" s="2728"/>
      <c r="E1800" s="2728"/>
      <c r="G1800" s="2512"/>
      <c r="I1800" s="2748"/>
      <c r="J1800" s="2728"/>
      <c r="L1800" s="2728"/>
      <c r="M1800" s="2748"/>
      <c r="N1800" s="2728"/>
      <c r="O1800" s="2728"/>
      <c r="P1800" s="2728"/>
      <c r="Q1800" s="2748"/>
      <c r="R1800" s="2748"/>
      <c r="S1800" s="2748"/>
      <c r="T1800" s="2748"/>
      <c r="U1800" s="2748"/>
      <c r="V1800" s="2748"/>
      <c r="W1800" s="2748"/>
      <c r="X1800" s="2748"/>
      <c r="Y1800" s="2748"/>
      <c r="Z1800" s="2748"/>
      <c r="AA1800" s="2748"/>
      <c r="AB1800" s="2748"/>
      <c r="AC1800" s="2748"/>
      <c r="AD1800" s="2748"/>
      <c r="AE1800" s="2748"/>
      <c r="AF1800" s="2748"/>
      <c r="AG1800" s="2748"/>
      <c r="AH1800" s="2748"/>
      <c r="AI1800" s="2748"/>
      <c r="AK1800" s="2748"/>
      <c r="AL1800" s="2748"/>
      <c r="AN1800" s="2748"/>
      <c r="AO1800" s="2748"/>
      <c r="AP1800" s="2748"/>
    </row>
    <row r="1801" spans="2:42" ht="18" customHeight="1">
      <c r="B1801" s="2728"/>
      <c r="C1801" s="2728"/>
      <c r="D1801" s="2728"/>
      <c r="E1801" s="2728"/>
      <c r="G1801" s="2512"/>
      <c r="I1801" s="2748"/>
      <c r="J1801" s="2728"/>
      <c r="L1801" s="2728"/>
      <c r="M1801" s="2748"/>
      <c r="N1801" s="2728"/>
      <c r="O1801" s="2728"/>
      <c r="P1801" s="2728"/>
      <c r="Q1801" s="2748"/>
      <c r="R1801" s="2748"/>
      <c r="S1801" s="2748"/>
      <c r="T1801" s="2748"/>
      <c r="U1801" s="2748"/>
      <c r="V1801" s="2748"/>
      <c r="W1801" s="2748"/>
      <c r="X1801" s="2748"/>
      <c r="Y1801" s="2748"/>
      <c r="Z1801" s="2748"/>
      <c r="AA1801" s="2748"/>
      <c r="AB1801" s="2748"/>
      <c r="AC1801" s="2748"/>
      <c r="AD1801" s="2748"/>
      <c r="AE1801" s="2748"/>
      <c r="AF1801" s="2748"/>
      <c r="AG1801" s="2748"/>
      <c r="AH1801" s="2748"/>
      <c r="AI1801" s="2748"/>
      <c r="AK1801" s="2748"/>
      <c r="AL1801" s="2748"/>
      <c r="AN1801" s="2748"/>
      <c r="AO1801" s="2748"/>
      <c r="AP1801" s="2748"/>
    </row>
    <row r="1802" spans="2:42" ht="18" customHeight="1">
      <c r="B1802" s="2728"/>
      <c r="C1802" s="2728"/>
      <c r="D1802" s="2728"/>
      <c r="E1802" s="2728"/>
      <c r="G1802" s="2512"/>
      <c r="I1802" s="2748"/>
      <c r="J1802" s="2728"/>
      <c r="L1802" s="2728"/>
      <c r="M1802" s="2748"/>
      <c r="N1802" s="2728"/>
      <c r="O1802" s="2728"/>
      <c r="P1802" s="2728"/>
      <c r="Q1802" s="2748"/>
      <c r="R1802" s="2748"/>
      <c r="S1802" s="2748"/>
      <c r="T1802" s="2748"/>
      <c r="U1802" s="2748"/>
      <c r="V1802" s="2748"/>
      <c r="W1802" s="2748"/>
      <c r="X1802" s="2748"/>
      <c r="Y1802" s="2748"/>
      <c r="Z1802" s="2748"/>
      <c r="AA1802" s="2748"/>
      <c r="AB1802" s="2748"/>
      <c r="AC1802" s="2748"/>
      <c r="AD1802" s="2748"/>
      <c r="AE1802" s="2748"/>
      <c r="AF1802" s="2748"/>
      <c r="AG1802" s="2748"/>
      <c r="AH1802" s="2748"/>
      <c r="AI1802" s="2748"/>
      <c r="AK1802" s="2748"/>
      <c r="AL1802" s="2748"/>
      <c r="AN1802" s="2748"/>
      <c r="AO1802" s="2748"/>
      <c r="AP1802" s="2748"/>
    </row>
    <row r="1803" spans="2:42" ht="18" customHeight="1">
      <c r="B1803" s="2728"/>
      <c r="C1803" s="2728"/>
      <c r="D1803" s="2728"/>
      <c r="E1803" s="2728"/>
      <c r="G1803" s="2512"/>
      <c r="I1803" s="2748"/>
      <c r="J1803" s="2728"/>
      <c r="L1803" s="2728"/>
      <c r="M1803" s="2748"/>
      <c r="N1803" s="2728"/>
      <c r="O1803" s="2728"/>
      <c r="P1803" s="2728"/>
      <c r="Q1803" s="2748"/>
      <c r="R1803" s="2748"/>
      <c r="S1803" s="2748"/>
      <c r="T1803" s="2748"/>
      <c r="U1803" s="2748"/>
      <c r="V1803" s="2748"/>
      <c r="W1803" s="2748"/>
      <c r="X1803" s="2748"/>
      <c r="Y1803" s="2748"/>
      <c r="Z1803" s="2748"/>
      <c r="AA1803" s="2748"/>
      <c r="AB1803" s="2748"/>
      <c r="AC1803" s="2748"/>
      <c r="AD1803" s="2748"/>
      <c r="AE1803" s="2748"/>
      <c r="AF1803" s="2748"/>
      <c r="AG1803" s="2748"/>
      <c r="AH1803" s="2748"/>
      <c r="AI1803" s="2748"/>
      <c r="AK1803" s="2748"/>
      <c r="AL1803" s="2748"/>
      <c r="AN1803" s="2748"/>
      <c r="AO1803" s="2748"/>
      <c r="AP1803" s="2748"/>
    </row>
    <row r="1804" spans="2:42" ht="18" customHeight="1">
      <c r="B1804" s="2728"/>
      <c r="C1804" s="2728"/>
      <c r="D1804" s="2728"/>
      <c r="E1804" s="2728"/>
      <c r="G1804" s="2512"/>
      <c r="I1804" s="2748"/>
      <c r="J1804" s="2728"/>
      <c r="L1804" s="2728"/>
      <c r="M1804" s="2748"/>
      <c r="N1804" s="2728"/>
      <c r="O1804" s="2728"/>
      <c r="P1804" s="2728"/>
      <c r="Q1804" s="2748"/>
      <c r="R1804" s="2748"/>
      <c r="S1804" s="2748"/>
      <c r="T1804" s="2748"/>
      <c r="U1804" s="2748"/>
      <c r="V1804" s="2748"/>
      <c r="W1804" s="2748"/>
      <c r="X1804" s="2748"/>
      <c r="Y1804" s="2748"/>
      <c r="Z1804" s="2748"/>
      <c r="AA1804" s="2748"/>
      <c r="AB1804" s="2748"/>
      <c r="AC1804" s="2748"/>
      <c r="AD1804" s="2748"/>
      <c r="AE1804" s="2748"/>
      <c r="AF1804" s="2748"/>
      <c r="AG1804" s="2748"/>
      <c r="AH1804" s="2748"/>
      <c r="AI1804" s="2748"/>
      <c r="AK1804" s="2748"/>
      <c r="AL1804" s="2748"/>
      <c r="AN1804" s="2748"/>
      <c r="AO1804" s="2748"/>
      <c r="AP1804" s="2748"/>
    </row>
    <row r="1805" spans="2:42" ht="18" customHeight="1">
      <c r="B1805" s="2728"/>
      <c r="C1805" s="2728"/>
      <c r="D1805" s="2728"/>
      <c r="E1805" s="2728"/>
      <c r="G1805" s="2512"/>
      <c r="I1805" s="2748"/>
      <c r="J1805" s="2728"/>
      <c r="L1805" s="2728"/>
      <c r="M1805" s="2748"/>
      <c r="N1805" s="2728"/>
      <c r="O1805" s="2728"/>
      <c r="P1805" s="2728"/>
      <c r="Q1805" s="2748"/>
      <c r="R1805" s="2748"/>
      <c r="S1805" s="2748"/>
      <c r="T1805" s="2748"/>
      <c r="U1805" s="2748"/>
      <c r="V1805" s="2748"/>
      <c r="W1805" s="2748"/>
      <c r="X1805" s="2748"/>
      <c r="Y1805" s="2748"/>
      <c r="Z1805" s="2748"/>
      <c r="AA1805" s="2748"/>
      <c r="AB1805" s="2748"/>
      <c r="AC1805" s="2748"/>
      <c r="AD1805" s="2748"/>
      <c r="AE1805" s="2748"/>
      <c r="AF1805" s="2748"/>
      <c r="AG1805" s="2748"/>
      <c r="AH1805" s="2748"/>
      <c r="AI1805" s="2748"/>
      <c r="AK1805" s="2748"/>
      <c r="AL1805" s="2748"/>
      <c r="AN1805" s="2748"/>
      <c r="AO1805" s="2748"/>
      <c r="AP1805" s="2748"/>
    </row>
    <row r="1806" spans="2:42" ht="18" customHeight="1">
      <c r="B1806" s="2728"/>
      <c r="C1806" s="2728"/>
      <c r="D1806" s="2728"/>
      <c r="E1806" s="2728"/>
      <c r="G1806" s="2512"/>
      <c r="I1806" s="2748"/>
      <c r="J1806" s="2728"/>
      <c r="L1806" s="2728"/>
      <c r="M1806" s="2748"/>
      <c r="N1806" s="2728"/>
      <c r="O1806" s="2728"/>
      <c r="P1806" s="2728"/>
      <c r="Q1806" s="2748"/>
      <c r="R1806" s="2748"/>
      <c r="S1806" s="2748"/>
      <c r="T1806" s="2748"/>
      <c r="U1806" s="2748"/>
      <c r="V1806" s="2748"/>
      <c r="W1806" s="2748"/>
      <c r="X1806" s="2748"/>
      <c r="Y1806" s="2748"/>
      <c r="Z1806" s="2748"/>
      <c r="AA1806" s="2748"/>
      <c r="AB1806" s="2748"/>
      <c r="AC1806" s="2748"/>
      <c r="AD1806" s="2748"/>
      <c r="AE1806" s="2748"/>
      <c r="AF1806" s="2748"/>
      <c r="AG1806" s="2748"/>
      <c r="AH1806" s="2748"/>
      <c r="AI1806" s="2748"/>
      <c r="AK1806" s="2748"/>
      <c r="AL1806" s="2748"/>
      <c r="AN1806" s="2748"/>
      <c r="AO1806" s="2748"/>
      <c r="AP1806" s="2748"/>
    </row>
    <row r="1807" spans="2:42" ht="18" customHeight="1">
      <c r="B1807" s="2728"/>
      <c r="C1807" s="2728"/>
      <c r="D1807" s="2728"/>
      <c r="E1807" s="2728"/>
      <c r="G1807" s="2512"/>
      <c r="I1807" s="2748"/>
      <c r="J1807" s="2728"/>
      <c r="L1807" s="2728"/>
      <c r="M1807" s="2748"/>
      <c r="N1807" s="2728"/>
      <c r="O1807" s="2728"/>
      <c r="P1807" s="2728"/>
      <c r="Q1807" s="2748"/>
      <c r="R1807" s="2748"/>
      <c r="S1807" s="2748"/>
      <c r="T1807" s="2748"/>
      <c r="U1807" s="2748"/>
      <c r="V1807" s="2748"/>
      <c r="W1807" s="2748"/>
      <c r="X1807" s="2748"/>
      <c r="Y1807" s="2748"/>
      <c r="Z1807" s="2748"/>
      <c r="AA1807" s="2748"/>
      <c r="AB1807" s="2748"/>
      <c r="AC1807" s="2748"/>
      <c r="AD1807" s="2748"/>
      <c r="AE1807" s="2748"/>
      <c r="AF1807" s="2748"/>
      <c r="AG1807" s="2748"/>
      <c r="AH1807" s="2748"/>
      <c r="AI1807" s="2748"/>
      <c r="AK1807" s="2748"/>
      <c r="AL1807" s="2748"/>
      <c r="AN1807" s="2748"/>
      <c r="AO1807" s="2748"/>
      <c r="AP1807" s="2748"/>
    </row>
    <row r="1808" spans="2:42" ht="18" customHeight="1">
      <c r="B1808" s="2728"/>
      <c r="C1808" s="2728"/>
      <c r="D1808" s="2728"/>
      <c r="E1808" s="2728"/>
      <c r="G1808" s="2512"/>
      <c r="I1808" s="2748"/>
      <c r="J1808" s="2728"/>
      <c r="L1808" s="2728"/>
      <c r="M1808" s="2748"/>
      <c r="N1808" s="2728"/>
      <c r="O1808" s="2728"/>
      <c r="P1808" s="2728"/>
      <c r="Q1808" s="2748"/>
      <c r="R1808" s="2748"/>
      <c r="S1808" s="2748"/>
      <c r="T1808" s="2748"/>
      <c r="U1808" s="2748"/>
      <c r="V1808" s="2748"/>
      <c r="W1808" s="2748"/>
      <c r="X1808" s="2748"/>
      <c r="Y1808" s="2748"/>
      <c r="Z1808" s="2748"/>
      <c r="AA1808" s="2748"/>
      <c r="AB1808" s="2748"/>
      <c r="AC1808" s="2748"/>
      <c r="AD1808" s="2748"/>
      <c r="AE1808" s="2748"/>
      <c r="AF1808" s="2748"/>
      <c r="AG1808" s="2748"/>
      <c r="AH1808" s="2748"/>
      <c r="AI1808" s="2748"/>
      <c r="AK1808" s="2748"/>
      <c r="AL1808" s="2748"/>
      <c r="AN1808" s="2748"/>
      <c r="AO1808" s="2748"/>
      <c r="AP1808" s="2748"/>
    </row>
    <row r="1809" spans="2:42" ht="18" customHeight="1">
      <c r="B1809" s="2728"/>
      <c r="C1809" s="2728"/>
      <c r="D1809" s="2728"/>
      <c r="E1809" s="2728"/>
      <c r="G1809" s="2512"/>
      <c r="I1809" s="2748"/>
      <c r="J1809" s="2728"/>
      <c r="L1809" s="2728"/>
      <c r="M1809" s="2748"/>
      <c r="N1809" s="2728"/>
      <c r="O1809" s="2728"/>
      <c r="P1809" s="2728"/>
      <c r="Q1809" s="2748"/>
      <c r="R1809" s="2748"/>
      <c r="S1809" s="2748"/>
      <c r="T1809" s="2748"/>
      <c r="U1809" s="2748"/>
      <c r="V1809" s="2748"/>
      <c r="W1809" s="2748"/>
      <c r="X1809" s="2748"/>
      <c r="Y1809" s="2748"/>
      <c r="Z1809" s="2748"/>
      <c r="AA1809" s="2748"/>
      <c r="AB1809" s="2748"/>
      <c r="AC1809" s="2748"/>
      <c r="AD1809" s="2748"/>
      <c r="AE1809" s="2748"/>
      <c r="AF1809" s="2748"/>
      <c r="AG1809" s="2748"/>
      <c r="AH1809" s="2748"/>
      <c r="AI1809" s="2748"/>
      <c r="AK1809" s="2748"/>
      <c r="AL1809" s="2748"/>
      <c r="AN1809" s="2748"/>
      <c r="AO1809" s="2748"/>
      <c r="AP1809" s="2748"/>
    </row>
    <row r="1810" spans="2:42" ht="18" customHeight="1">
      <c r="B1810" s="2728"/>
      <c r="C1810" s="2728"/>
      <c r="D1810" s="2728"/>
      <c r="E1810" s="2728"/>
      <c r="G1810" s="2512"/>
      <c r="I1810" s="2748"/>
      <c r="J1810" s="2728"/>
      <c r="L1810" s="2728"/>
      <c r="M1810" s="2748"/>
      <c r="N1810" s="2728"/>
      <c r="O1810" s="2728"/>
      <c r="P1810" s="2728"/>
      <c r="Q1810" s="2748"/>
      <c r="R1810" s="2748"/>
      <c r="S1810" s="2748"/>
      <c r="T1810" s="2748"/>
      <c r="U1810" s="2748"/>
      <c r="V1810" s="2748"/>
      <c r="W1810" s="2748"/>
      <c r="X1810" s="2748"/>
      <c r="Y1810" s="2748"/>
      <c r="Z1810" s="2748"/>
      <c r="AA1810" s="2748"/>
      <c r="AB1810" s="2748"/>
      <c r="AC1810" s="2748"/>
      <c r="AD1810" s="2748"/>
      <c r="AE1810" s="2748"/>
      <c r="AF1810" s="2748"/>
      <c r="AG1810" s="2748"/>
      <c r="AH1810" s="2748"/>
      <c r="AI1810" s="2748"/>
      <c r="AK1810" s="2748"/>
      <c r="AL1810" s="2748"/>
      <c r="AN1810" s="2748"/>
      <c r="AO1810" s="2748"/>
      <c r="AP1810" s="2748"/>
    </row>
    <row r="1811" spans="2:42" ht="18" customHeight="1">
      <c r="B1811" s="2728"/>
      <c r="C1811" s="2728"/>
      <c r="D1811" s="2728"/>
      <c r="E1811" s="2728"/>
      <c r="G1811" s="2512"/>
      <c r="I1811" s="2748"/>
      <c r="J1811" s="2728"/>
      <c r="L1811" s="2728"/>
      <c r="M1811" s="2748"/>
      <c r="N1811" s="2728"/>
      <c r="O1811" s="2728"/>
      <c r="P1811" s="2728"/>
      <c r="Q1811" s="2748"/>
      <c r="R1811" s="2748"/>
      <c r="S1811" s="2748"/>
      <c r="T1811" s="2748"/>
      <c r="U1811" s="2748"/>
      <c r="V1811" s="2748"/>
      <c r="W1811" s="2748"/>
      <c r="X1811" s="2748"/>
      <c r="Y1811" s="2748"/>
      <c r="Z1811" s="2748"/>
      <c r="AA1811" s="2748"/>
      <c r="AB1811" s="2748"/>
      <c r="AC1811" s="2748"/>
      <c r="AD1811" s="2748"/>
      <c r="AE1811" s="2748"/>
      <c r="AF1811" s="2748"/>
      <c r="AG1811" s="2748"/>
      <c r="AH1811" s="2748"/>
      <c r="AI1811" s="2748"/>
      <c r="AK1811" s="2748"/>
      <c r="AL1811" s="2748"/>
      <c r="AN1811" s="2748"/>
      <c r="AO1811" s="2748"/>
      <c r="AP1811" s="2748"/>
    </row>
    <row r="1812" spans="2:42" ht="18" customHeight="1">
      <c r="B1812" s="2728"/>
      <c r="C1812" s="2728"/>
      <c r="D1812" s="2728"/>
      <c r="E1812" s="2728"/>
      <c r="G1812" s="2512"/>
      <c r="I1812" s="2748"/>
      <c r="J1812" s="2728"/>
      <c r="L1812" s="2728"/>
      <c r="M1812" s="2748"/>
      <c r="N1812" s="2728"/>
      <c r="O1812" s="2728"/>
      <c r="P1812" s="2728"/>
      <c r="Q1812" s="2748"/>
      <c r="R1812" s="2748"/>
      <c r="S1812" s="2748"/>
      <c r="T1812" s="2748"/>
      <c r="U1812" s="2748"/>
      <c r="V1812" s="2748"/>
      <c r="W1812" s="2748"/>
      <c r="X1812" s="2748"/>
      <c r="Y1812" s="2748"/>
      <c r="Z1812" s="2748"/>
      <c r="AA1812" s="2748"/>
      <c r="AB1812" s="2748"/>
      <c r="AC1812" s="2748"/>
      <c r="AD1812" s="2748"/>
      <c r="AE1812" s="2748"/>
      <c r="AF1812" s="2748"/>
      <c r="AG1812" s="2748"/>
      <c r="AH1812" s="2748"/>
      <c r="AI1812" s="2748"/>
      <c r="AK1812" s="2748"/>
      <c r="AL1812" s="2748"/>
      <c r="AN1812" s="2748"/>
      <c r="AO1812" s="2748"/>
      <c r="AP1812" s="2748"/>
    </row>
    <row r="1813" spans="2:42" ht="18" customHeight="1">
      <c r="B1813" s="2728"/>
      <c r="C1813" s="2728"/>
      <c r="D1813" s="2728"/>
      <c r="E1813" s="2728"/>
      <c r="G1813" s="2512"/>
      <c r="I1813" s="2748"/>
      <c r="J1813" s="2728"/>
      <c r="L1813" s="2728"/>
      <c r="M1813" s="2748"/>
      <c r="N1813" s="2728"/>
      <c r="O1813" s="2728"/>
      <c r="P1813" s="2728"/>
      <c r="Q1813" s="2748"/>
      <c r="R1813" s="2748"/>
      <c r="S1813" s="2748"/>
      <c r="T1813" s="2748"/>
      <c r="U1813" s="2748"/>
      <c r="V1813" s="2748"/>
      <c r="W1813" s="2748"/>
      <c r="X1813" s="2748"/>
      <c r="Y1813" s="2748"/>
      <c r="Z1813" s="2748"/>
      <c r="AA1813" s="2748"/>
      <c r="AB1813" s="2748"/>
      <c r="AC1813" s="2748"/>
      <c r="AD1813" s="2748"/>
      <c r="AE1813" s="2748"/>
      <c r="AF1813" s="2748"/>
      <c r="AG1813" s="2748"/>
      <c r="AH1813" s="2748"/>
      <c r="AI1813" s="2748"/>
      <c r="AK1813" s="2748"/>
      <c r="AL1813" s="2748"/>
      <c r="AN1813" s="2748"/>
      <c r="AO1813" s="2748"/>
      <c r="AP1813" s="2748"/>
    </row>
    <row r="1814" spans="2:42" ht="18" customHeight="1">
      <c r="B1814" s="2728"/>
      <c r="C1814" s="2728"/>
      <c r="D1814" s="2728"/>
      <c r="E1814" s="2728"/>
      <c r="G1814" s="2512"/>
      <c r="I1814" s="2748"/>
      <c r="J1814" s="2728"/>
      <c r="L1814" s="2728"/>
      <c r="M1814" s="2748"/>
      <c r="N1814" s="2728"/>
      <c r="O1814" s="2728"/>
      <c r="P1814" s="2728"/>
      <c r="Q1814" s="2748"/>
      <c r="R1814" s="2748"/>
      <c r="S1814" s="2748"/>
      <c r="T1814" s="2748"/>
      <c r="U1814" s="2748"/>
      <c r="V1814" s="2748"/>
      <c r="W1814" s="2748"/>
      <c r="X1814" s="2748"/>
      <c r="Y1814" s="2748"/>
      <c r="Z1814" s="2748"/>
      <c r="AA1814" s="2748"/>
      <c r="AB1814" s="2748"/>
      <c r="AC1814" s="2748"/>
      <c r="AD1814" s="2748"/>
      <c r="AE1814" s="2748"/>
      <c r="AF1814" s="2748"/>
      <c r="AG1814" s="2748"/>
      <c r="AH1814" s="2748"/>
      <c r="AI1814" s="2748"/>
      <c r="AK1814" s="2748"/>
      <c r="AL1814" s="2748"/>
      <c r="AN1814" s="2748"/>
      <c r="AO1814" s="2748"/>
      <c r="AP1814" s="2748"/>
    </row>
    <row r="1815" spans="2:42" ht="18" customHeight="1">
      <c r="B1815" s="2728"/>
      <c r="C1815" s="2728"/>
      <c r="D1815" s="2728"/>
      <c r="E1815" s="2728"/>
      <c r="G1815" s="2512"/>
      <c r="I1815" s="2748"/>
      <c r="J1815" s="2728"/>
      <c r="L1815" s="2728"/>
      <c r="M1815" s="2748"/>
      <c r="N1815" s="2728"/>
      <c r="O1815" s="2728"/>
      <c r="P1815" s="2728"/>
      <c r="Q1815" s="2748"/>
      <c r="R1815" s="2748"/>
      <c r="S1815" s="2748"/>
      <c r="T1815" s="2748"/>
      <c r="U1815" s="2748"/>
      <c r="V1815" s="2748"/>
      <c r="W1815" s="2748"/>
      <c r="X1815" s="2748"/>
      <c r="Y1815" s="2748"/>
      <c r="Z1815" s="2748"/>
      <c r="AA1815" s="2748"/>
      <c r="AB1815" s="2748"/>
      <c r="AC1815" s="2748"/>
      <c r="AD1815" s="2748"/>
      <c r="AE1815" s="2748"/>
      <c r="AF1815" s="2748"/>
      <c r="AG1815" s="2748"/>
      <c r="AH1815" s="2748"/>
      <c r="AI1815" s="2748"/>
      <c r="AK1815" s="2748"/>
      <c r="AL1815" s="2748"/>
      <c r="AN1815" s="2748"/>
      <c r="AO1815" s="2748"/>
      <c r="AP1815" s="2748"/>
    </row>
    <row r="1816" spans="2:42" ht="18" customHeight="1">
      <c r="B1816" s="2728"/>
      <c r="C1816" s="2728"/>
      <c r="D1816" s="2728"/>
      <c r="E1816" s="2728"/>
      <c r="G1816" s="2512"/>
      <c r="I1816" s="2748"/>
      <c r="J1816" s="2728"/>
      <c r="L1816" s="2728"/>
      <c r="M1816" s="2748"/>
      <c r="N1816" s="2728"/>
      <c r="O1816" s="2728"/>
      <c r="P1816" s="2728"/>
      <c r="Q1816" s="2748"/>
      <c r="R1816" s="2748"/>
      <c r="S1816" s="2748"/>
      <c r="T1816" s="2748"/>
      <c r="U1816" s="2748"/>
      <c r="V1816" s="2748"/>
      <c r="W1816" s="2748"/>
      <c r="X1816" s="2748"/>
      <c r="Y1816" s="2748"/>
      <c r="Z1816" s="2748"/>
      <c r="AA1816" s="2748"/>
      <c r="AB1816" s="2748"/>
      <c r="AC1816" s="2748"/>
      <c r="AD1816" s="2748"/>
      <c r="AE1816" s="2748"/>
      <c r="AF1816" s="2748"/>
      <c r="AG1816" s="2748"/>
      <c r="AH1816" s="2748"/>
      <c r="AI1816" s="2748"/>
      <c r="AK1816" s="2748"/>
      <c r="AL1816" s="2748"/>
      <c r="AN1816" s="2748"/>
      <c r="AO1816" s="2748"/>
      <c r="AP1816" s="2748"/>
    </row>
    <row r="1817" spans="2:42" ht="18" customHeight="1">
      <c r="B1817" s="2728"/>
      <c r="C1817" s="2728"/>
      <c r="D1817" s="2728"/>
      <c r="E1817" s="2728"/>
      <c r="G1817" s="2512"/>
      <c r="I1817" s="2748"/>
      <c r="J1817" s="2728"/>
      <c r="L1817" s="2728"/>
      <c r="M1817" s="2748"/>
      <c r="N1817" s="2728"/>
      <c r="O1817" s="2728"/>
      <c r="P1817" s="2728"/>
      <c r="Q1817" s="2748"/>
      <c r="R1817" s="2748"/>
      <c r="S1817" s="2748"/>
      <c r="T1817" s="2748"/>
      <c r="U1817" s="2748"/>
      <c r="V1817" s="2748"/>
      <c r="W1817" s="2748"/>
      <c r="X1817" s="2748"/>
      <c r="Y1817" s="2748"/>
      <c r="Z1817" s="2748"/>
      <c r="AA1817" s="2748"/>
      <c r="AB1817" s="2748"/>
      <c r="AC1817" s="2748"/>
      <c r="AD1817" s="2748"/>
      <c r="AE1817" s="2748"/>
      <c r="AF1817" s="2748"/>
      <c r="AG1817" s="2748"/>
      <c r="AH1817" s="2748"/>
      <c r="AI1817" s="2748"/>
      <c r="AK1817" s="2748"/>
      <c r="AL1817" s="2748"/>
      <c r="AN1817" s="2748"/>
      <c r="AO1817" s="2748"/>
      <c r="AP1817" s="2748"/>
    </row>
    <row r="1818" spans="2:42" ht="18" customHeight="1">
      <c r="B1818" s="2728"/>
      <c r="C1818" s="2728"/>
      <c r="D1818" s="2728"/>
      <c r="E1818" s="2728"/>
      <c r="G1818" s="2512"/>
      <c r="I1818" s="2748"/>
      <c r="J1818" s="2728"/>
      <c r="L1818" s="2728"/>
      <c r="M1818" s="2748"/>
      <c r="N1818" s="2728"/>
      <c r="O1818" s="2728"/>
      <c r="P1818" s="2728"/>
      <c r="Q1818" s="2748"/>
      <c r="R1818" s="2748"/>
      <c r="S1818" s="2748"/>
      <c r="T1818" s="2748"/>
      <c r="U1818" s="2748"/>
      <c r="V1818" s="2748"/>
      <c r="W1818" s="2748"/>
      <c r="X1818" s="2748"/>
      <c r="Y1818" s="2748"/>
      <c r="Z1818" s="2748"/>
      <c r="AA1818" s="2748"/>
      <c r="AB1818" s="2748"/>
      <c r="AC1818" s="2748"/>
      <c r="AD1818" s="2748"/>
      <c r="AE1818" s="2748"/>
      <c r="AF1818" s="2748"/>
      <c r="AG1818" s="2748"/>
      <c r="AH1818" s="2748"/>
      <c r="AI1818" s="2748"/>
      <c r="AK1818" s="2748"/>
      <c r="AL1818" s="2748"/>
      <c r="AN1818" s="2748"/>
      <c r="AO1818" s="2748"/>
      <c r="AP1818" s="2748"/>
    </row>
    <row r="1819" spans="2:42" ht="18" customHeight="1">
      <c r="B1819" s="2728"/>
      <c r="C1819" s="2728"/>
      <c r="D1819" s="2728"/>
      <c r="E1819" s="2728"/>
      <c r="G1819" s="2512"/>
      <c r="I1819" s="2748"/>
      <c r="J1819" s="2728"/>
      <c r="L1819" s="2728"/>
      <c r="M1819" s="2748"/>
      <c r="N1819" s="2728"/>
      <c r="O1819" s="2728"/>
      <c r="P1819" s="2728"/>
      <c r="Q1819" s="2748"/>
      <c r="R1819" s="2748"/>
      <c r="S1819" s="2748"/>
      <c r="T1819" s="2748"/>
      <c r="U1819" s="2748"/>
      <c r="V1819" s="2748"/>
      <c r="W1819" s="2748"/>
      <c r="X1819" s="2748"/>
      <c r="Y1819" s="2748"/>
      <c r="Z1819" s="2748"/>
      <c r="AA1819" s="2748"/>
      <c r="AB1819" s="2748"/>
      <c r="AC1819" s="2748"/>
      <c r="AD1819" s="2748"/>
      <c r="AE1819" s="2748"/>
      <c r="AF1819" s="2748"/>
      <c r="AG1819" s="2748"/>
      <c r="AH1819" s="2748"/>
      <c r="AI1819" s="2748"/>
      <c r="AK1819" s="2748"/>
      <c r="AL1819" s="2748"/>
      <c r="AN1819" s="2748"/>
      <c r="AO1819" s="2748"/>
      <c r="AP1819" s="2748"/>
    </row>
    <row r="1820" spans="2:42" ht="18" customHeight="1">
      <c r="B1820" s="2728"/>
      <c r="C1820" s="2728"/>
      <c r="D1820" s="2728"/>
      <c r="E1820" s="2728"/>
      <c r="G1820" s="2512"/>
      <c r="I1820" s="2748"/>
      <c r="J1820" s="2728"/>
      <c r="L1820" s="2728"/>
      <c r="M1820" s="2748"/>
      <c r="N1820" s="2728"/>
      <c r="O1820" s="2728"/>
      <c r="P1820" s="2728"/>
      <c r="Q1820" s="2748"/>
      <c r="R1820" s="2748"/>
      <c r="S1820" s="2748"/>
      <c r="T1820" s="2748"/>
      <c r="U1820" s="2748"/>
      <c r="V1820" s="2748"/>
      <c r="W1820" s="2748"/>
      <c r="X1820" s="2748"/>
      <c r="Y1820" s="2748"/>
      <c r="Z1820" s="2748"/>
      <c r="AA1820" s="2748"/>
      <c r="AB1820" s="2748"/>
      <c r="AC1820" s="2748"/>
      <c r="AD1820" s="2748"/>
      <c r="AE1820" s="2748"/>
      <c r="AF1820" s="2748"/>
      <c r="AG1820" s="2748"/>
      <c r="AH1820" s="2748"/>
      <c r="AI1820" s="2748"/>
      <c r="AK1820" s="2748"/>
      <c r="AL1820" s="2748"/>
      <c r="AN1820" s="2748"/>
      <c r="AO1820" s="2748"/>
      <c r="AP1820" s="2748"/>
    </row>
    <row r="1821" spans="2:42" ht="18" customHeight="1">
      <c r="B1821" s="2728"/>
      <c r="C1821" s="2728"/>
      <c r="D1821" s="2728"/>
      <c r="E1821" s="2728"/>
      <c r="G1821" s="2512"/>
      <c r="I1821" s="2748"/>
      <c r="J1821" s="2728"/>
      <c r="L1821" s="2728"/>
      <c r="M1821" s="2748"/>
      <c r="N1821" s="2728"/>
      <c r="O1821" s="2728"/>
      <c r="P1821" s="2728"/>
      <c r="Q1821" s="2748"/>
      <c r="R1821" s="2748"/>
      <c r="S1821" s="2748"/>
      <c r="T1821" s="2748"/>
      <c r="U1821" s="2748"/>
      <c r="V1821" s="2748"/>
      <c r="W1821" s="2748"/>
      <c r="X1821" s="2748"/>
      <c r="Y1821" s="2748"/>
      <c r="Z1821" s="2748"/>
      <c r="AA1821" s="2748"/>
      <c r="AB1821" s="2748"/>
      <c r="AC1821" s="2748"/>
      <c r="AD1821" s="2748"/>
      <c r="AE1821" s="2748"/>
      <c r="AF1821" s="2748"/>
      <c r="AG1821" s="2748"/>
      <c r="AH1821" s="2748"/>
      <c r="AI1821" s="2748"/>
      <c r="AK1821" s="2748"/>
      <c r="AL1821" s="2748"/>
      <c r="AN1821" s="2748"/>
      <c r="AO1821" s="2748"/>
      <c r="AP1821" s="2748"/>
    </row>
    <row r="1822" spans="2:42" ht="18" customHeight="1">
      <c r="B1822" s="2728"/>
      <c r="C1822" s="2728"/>
      <c r="D1822" s="2728"/>
      <c r="E1822" s="2728"/>
      <c r="G1822" s="2512"/>
      <c r="I1822" s="2748"/>
      <c r="J1822" s="2728"/>
      <c r="L1822" s="2728"/>
      <c r="M1822" s="2748"/>
      <c r="N1822" s="2728"/>
      <c r="O1822" s="2728"/>
      <c r="P1822" s="2728"/>
      <c r="Q1822" s="2748"/>
      <c r="R1822" s="2748"/>
      <c r="S1822" s="2748"/>
      <c r="T1822" s="2748"/>
      <c r="U1822" s="2748"/>
      <c r="V1822" s="2748"/>
      <c r="W1822" s="2748"/>
      <c r="X1822" s="2748"/>
      <c r="Y1822" s="2748"/>
      <c r="Z1822" s="2748"/>
      <c r="AA1822" s="2748"/>
      <c r="AB1822" s="2748"/>
      <c r="AC1822" s="2748"/>
      <c r="AD1822" s="2748"/>
      <c r="AE1822" s="2748"/>
      <c r="AF1822" s="2748"/>
      <c r="AG1822" s="2748"/>
      <c r="AH1822" s="2748"/>
      <c r="AI1822" s="2748"/>
      <c r="AK1822" s="2748"/>
      <c r="AL1822" s="2748"/>
      <c r="AN1822" s="2748"/>
      <c r="AO1822" s="2748"/>
      <c r="AP1822" s="2748"/>
    </row>
    <row r="1823" spans="2:42" ht="18" customHeight="1">
      <c r="B1823" s="2728"/>
      <c r="C1823" s="2728"/>
      <c r="D1823" s="2728"/>
      <c r="E1823" s="2728"/>
      <c r="G1823" s="2512"/>
      <c r="I1823" s="2748"/>
      <c r="J1823" s="2728"/>
      <c r="L1823" s="2728"/>
      <c r="M1823" s="2748"/>
      <c r="N1823" s="2728"/>
      <c r="O1823" s="2728"/>
      <c r="P1823" s="2728"/>
      <c r="Q1823" s="2748"/>
      <c r="R1823" s="2748"/>
      <c r="S1823" s="2748"/>
      <c r="T1823" s="2748"/>
      <c r="U1823" s="2748"/>
      <c r="V1823" s="2748"/>
      <c r="W1823" s="2748"/>
      <c r="X1823" s="2748"/>
      <c r="Y1823" s="2748"/>
      <c r="Z1823" s="2748"/>
      <c r="AA1823" s="2748"/>
      <c r="AB1823" s="2748"/>
      <c r="AC1823" s="2748"/>
      <c r="AD1823" s="2748"/>
      <c r="AE1823" s="2748"/>
      <c r="AF1823" s="2748"/>
      <c r="AG1823" s="2748"/>
      <c r="AH1823" s="2748"/>
      <c r="AI1823" s="2748"/>
      <c r="AK1823" s="2748"/>
      <c r="AL1823" s="2748"/>
      <c r="AN1823" s="2748"/>
      <c r="AO1823" s="2748"/>
      <c r="AP1823" s="2748"/>
    </row>
    <row r="1824" spans="2:42" ht="18" customHeight="1">
      <c r="B1824" s="2728"/>
      <c r="C1824" s="2728"/>
      <c r="D1824" s="2728"/>
      <c r="E1824" s="2728"/>
      <c r="G1824" s="2512"/>
      <c r="I1824" s="2748"/>
      <c r="J1824" s="2728"/>
      <c r="L1824" s="2728"/>
      <c r="M1824" s="2748"/>
      <c r="N1824" s="2728"/>
      <c r="O1824" s="2728"/>
      <c r="P1824" s="2728"/>
      <c r="Q1824" s="2748"/>
      <c r="R1824" s="2748"/>
      <c r="S1824" s="2748"/>
      <c r="T1824" s="2748"/>
      <c r="U1824" s="2748"/>
      <c r="V1824" s="2748"/>
      <c r="W1824" s="2748"/>
      <c r="X1824" s="2748"/>
      <c r="Y1824" s="2748"/>
      <c r="Z1824" s="2748"/>
      <c r="AA1824" s="2748"/>
      <c r="AB1824" s="2748"/>
      <c r="AC1824" s="2748"/>
      <c r="AD1824" s="2748"/>
      <c r="AE1824" s="2748"/>
      <c r="AF1824" s="2748"/>
      <c r="AG1824" s="2748"/>
      <c r="AH1824" s="2748"/>
      <c r="AI1824" s="2748"/>
      <c r="AK1824" s="2748"/>
      <c r="AL1824" s="2748"/>
      <c r="AN1824" s="2748"/>
      <c r="AO1824" s="2748"/>
      <c r="AP1824" s="2748"/>
    </row>
    <row r="1825" spans="2:42" ht="18" customHeight="1">
      <c r="B1825" s="2728"/>
      <c r="C1825" s="2728"/>
      <c r="D1825" s="2728"/>
      <c r="E1825" s="2728"/>
      <c r="G1825" s="2512"/>
      <c r="I1825" s="2748"/>
      <c r="J1825" s="2728"/>
      <c r="L1825" s="2728"/>
      <c r="M1825" s="2748"/>
      <c r="N1825" s="2728"/>
      <c r="O1825" s="2728"/>
      <c r="P1825" s="2728"/>
      <c r="Q1825" s="2748"/>
      <c r="R1825" s="2748"/>
      <c r="S1825" s="2748"/>
      <c r="T1825" s="2748"/>
      <c r="U1825" s="2748"/>
      <c r="V1825" s="2748"/>
      <c r="W1825" s="2748"/>
      <c r="X1825" s="2748"/>
      <c r="Y1825" s="2748"/>
      <c r="Z1825" s="2748"/>
      <c r="AA1825" s="2748"/>
      <c r="AB1825" s="2748"/>
      <c r="AC1825" s="2748"/>
      <c r="AD1825" s="2748"/>
      <c r="AE1825" s="2748"/>
      <c r="AF1825" s="2748"/>
      <c r="AG1825" s="2748"/>
      <c r="AH1825" s="2748"/>
      <c r="AI1825" s="2748"/>
      <c r="AK1825" s="2748"/>
      <c r="AL1825" s="2748"/>
      <c r="AN1825" s="2748"/>
      <c r="AO1825" s="2748"/>
      <c r="AP1825" s="2748"/>
    </row>
    <row r="1826" spans="2:42" ht="18" customHeight="1">
      <c r="B1826" s="2728"/>
      <c r="C1826" s="2728"/>
      <c r="D1826" s="2728"/>
      <c r="E1826" s="2728"/>
      <c r="G1826" s="2512"/>
      <c r="I1826" s="2748"/>
      <c r="J1826" s="2728"/>
      <c r="L1826" s="2728"/>
      <c r="M1826" s="2748"/>
      <c r="N1826" s="2728"/>
      <c r="O1826" s="2728"/>
      <c r="P1826" s="2728"/>
      <c r="Q1826" s="2748"/>
      <c r="R1826" s="2748"/>
      <c r="S1826" s="2748"/>
      <c r="T1826" s="2748"/>
      <c r="U1826" s="2748"/>
      <c r="V1826" s="2748"/>
      <c r="W1826" s="2748"/>
      <c r="X1826" s="2748"/>
      <c r="Y1826" s="2748"/>
      <c r="Z1826" s="2748"/>
      <c r="AA1826" s="2748"/>
      <c r="AB1826" s="2748"/>
      <c r="AC1826" s="2748"/>
      <c r="AD1826" s="2748"/>
      <c r="AE1826" s="2748"/>
      <c r="AF1826" s="2748"/>
      <c r="AG1826" s="2748"/>
      <c r="AH1826" s="2748"/>
      <c r="AI1826" s="2748"/>
      <c r="AK1826" s="2748"/>
      <c r="AL1826" s="2748"/>
      <c r="AN1826" s="2748"/>
      <c r="AO1826" s="2748"/>
      <c r="AP1826" s="2748"/>
    </row>
    <row r="1827" spans="2:42" ht="18" customHeight="1">
      <c r="B1827" s="2728"/>
      <c r="C1827" s="2728"/>
      <c r="D1827" s="2728"/>
      <c r="E1827" s="2728"/>
      <c r="G1827" s="2512"/>
      <c r="I1827" s="2748"/>
      <c r="J1827" s="2728"/>
      <c r="L1827" s="2728"/>
      <c r="M1827" s="2748"/>
      <c r="N1827" s="2728"/>
      <c r="O1827" s="2728"/>
      <c r="P1827" s="2728"/>
      <c r="Q1827" s="2748"/>
      <c r="R1827" s="2748"/>
      <c r="S1827" s="2748"/>
      <c r="T1827" s="2748"/>
      <c r="U1827" s="2748"/>
      <c r="V1827" s="2748"/>
      <c r="W1827" s="2748"/>
      <c r="X1827" s="2748"/>
      <c r="Y1827" s="2748"/>
      <c r="Z1827" s="2748"/>
      <c r="AA1827" s="2748"/>
      <c r="AB1827" s="2748"/>
      <c r="AC1827" s="2748"/>
      <c r="AD1827" s="2748"/>
      <c r="AE1827" s="2748"/>
      <c r="AF1827" s="2748"/>
      <c r="AG1827" s="2748"/>
      <c r="AH1827" s="2748"/>
      <c r="AI1827" s="2748"/>
      <c r="AK1827" s="2748"/>
      <c r="AL1827" s="2748"/>
      <c r="AN1827" s="2748"/>
      <c r="AO1827" s="2748"/>
      <c r="AP1827" s="2748"/>
    </row>
    <row r="1828" spans="2:42" ht="18" customHeight="1">
      <c r="B1828" s="2728"/>
      <c r="C1828" s="2728"/>
      <c r="D1828" s="2728"/>
      <c r="E1828" s="2728"/>
      <c r="G1828" s="2512"/>
      <c r="I1828" s="2748"/>
      <c r="J1828" s="2728"/>
      <c r="L1828" s="2728"/>
      <c r="M1828" s="2748"/>
      <c r="N1828" s="2728"/>
      <c r="O1828" s="2728"/>
      <c r="P1828" s="2728"/>
      <c r="Q1828" s="2748"/>
      <c r="R1828" s="2748"/>
      <c r="S1828" s="2748"/>
      <c r="T1828" s="2748"/>
      <c r="U1828" s="2748"/>
      <c r="V1828" s="2748"/>
      <c r="W1828" s="2748"/>
      <c r="X1828" s="2748"/>
      <c r="Y1828" s="2748"/>
      <c r="Z1828" s="2748"/>
      <c r="AA1828" s="2748"/>
      <c r="AB1828" s="2748"/>
      <c r="AC1828" s="2748"/>
      <c r="AD1828" s="2748"/>
      <c r="AE1828" s="2748"/>
      <c r="AF1828" s="2748"/>
      <c r="AG1828" s="2748"/>
      <c r="AH1828" s="2748"/>
      <c r="AI1828" s="2748"/>
      <c r="AK1828" s="2748"/>
      <c r="AL1828" s="2748"/>
      <c r="AN1828" s="2748"/>
      <c r="AO1828" s="2748"/>
      <c r="AP1828" s="2748"/>
    </row>
    <row r="1829" spans="2:42" ht="18" customHeight="1">
      <c r="B1829" s="2728"/>
      <c r="C1829" s="2728"/>
      <c r="D1829" s="2728"/>
      <c r="E1829" s="2728"/>
      <c r="G1829" s="2512"/>
      <c r="I1829" s="2748"/>
      <c r="J1829" s="2728"/>
      <c r="L1829" s="2728"/>
      <c r="M1829" s="2748"/>
      <c r="N1829" s="2728"/>
      <c r="O1829" s="2728"/>
      <c r="P1829" s="2728"/>
      <c r="Q1829" s="2748"/>
      <c r="R1829" s="2748"/>
      <c r="S1829" s="2748"/>
      <c r="T1829" s="2748"/>
      <c r="U1829" s="2748"/>
      <c r="V1829" s="2748"/>
      <c r="W1829" s="2748"/>
      <c r="X1829" s="2748"/>
      <c r="Y1829" s="2748"/>
      <c r="Z1829" s="2748"/>
      <c r="AA1829" s="2748"/>
      <c r="AB1829" s="2748"/>
      <c r="AC1829" s="2748"/>
      <c r="AD1829" s="2748"/>
      <c r="AE1829" s="2748"/>
      <c r="AF1829" s="2748"/>
      <c r="AG1829" s="2748"/>
      <c r="AH1829" s="2748"/>
      <c r="AI1829" s="2748"/>
      <c r="AK1829" s="2748"/>
      <c r="AL1829" s="2748"/>
      <c r="AN1829" s="2748"/>
      <c r="AO1829" s="2748"/>
      <c r="AP1829" s="2748"/>
    </row>
    <row r="1830" spans="2:42" ht="18" customHeight="1">
      <c r="B1830" s="2728"/>
      <c r="C1830" s="2728"/>
      <c r="D1830" s="2728"/>
      <c r="E1830" s="2728"/>
      <c r="G1830" s="2512"/>
      <c r="I1830" s="2748"/>
      <c r="J1830" s="2728"/>
      <c r="L1830" s="2728"/>
      <c r="M1830" s="2748"/>
      <c r="N1830" s="2728"/>
      <c r="O1830" s="2728"/>
      <c r="P1830" s="2728"/>
      <c r="Q1830" s="2748"/>
      <c r="R1830" s="2748"/>
      <c r="S1830" s="2748"/>
      <c r="T1830" s="2748"/>
      <c r="U1830" s="2748"/>
      <c r="V1830" s="2748"/>
      <c r="W1830" s="2748"/>
      <c r="X1830" s="2748"/>
      <c r="Y1830" s="2748"/>
      <c r="Z1830" s="2748"/>
      <c r="AA1830" s="2748"/>
      <c r="AB1830" s="2748"/>
      <c r="AC1830" s="2748"/>
      <c r="AD1830" s="2748"/>
      <c r="AE1830" s="2748"/>
      <c r="AF1830" s="2748"/>
      <c r="AG1830" s="2748"/>
      <c r="AH1830" s="2748"/>
      <c r="AI1830" s="2748"/>
      <c r="AK1830" s="2748"/>
      <c r="AL1830" s="2748"/>
      <c r="AN1830" s="2748"/>
      <c r="AO1830" s="2748"/>
      <c r="AP1830" s="2748"/>
    </row>
    <row r="1831" spans="2:42" ht="18" customHeight="1">
      <c r="B1831" s="2728"/>
      <c r="C1831" s="2728"/>
      <c r="D1831" s="2728"/>
      <c r="E1831" s="2728"/>
      <c r="G1831" s="2512"/>
      <c r="I1831" s="2748"/>
      <c r="J1831" s="2728"/>
      <c r="L1831" s="2728"/>
      <c r="M1831" s="2748"/>
      <c r="N1831" s="2728"/>
      <c r="O1831" s="2728"/>
      <c r="P1831" s="2728"/>
      <c r="Q1831" s="2748"/>
      <c r="R1831" s="2748"/>
      <c r="S1831" s="2748"/>
      <c r="T1831" s="2748"/>
      <c r="U1831" s="2748"/>
      <c r="V1831" s="2748"/>
      <c r="W1831" s="2748"/>
      <c r="X1831" s="2748"/>
      <c r="Y1831" s="2748"/>
      <c r="Z1831" s="2748"/>
      <c r="AA1831" s="2748"/>
      <c r="AB1831" s="2748"/>
      <c r="AC1831" s="2748"/>
      <c r="AD1831" s="2748"/>
      <c r="AE1831" s="2748"/>
      <c r="AF1831" s="2748"/>
      <c r="AG1831" s="2748"/>
      <c r="AH1831" s="2748"/>
      <c r="AI1831" s="2748"/>
      <c r="AK1831" s="2748"/>
      <c r="AL1831" s="2748"/>
      <c r="AN1831" s="2748"/>
      <c r="AO1831" s="2748"/>
      <c r="AP1831" s="2748"/>
    </row>
    <row r="1832" spans="2:42" ht="18" customHeight="1">
      <c r="B1832" s="2728"/>
      <c r="C1832" s="2728"/>
      <c r="D1832" s="2728"/>
      <c r="E1832" s="2728"/>
      <c r="G1832" s="2512"/>
      <c r="I1832" s="2748"/>
      <c r="J1832" s="2728"/>
      <c r="L1832" s="2728"/>
      <c r="M1832" s="2748"/>
      <c r="N1832" s="2728"/>
      <c r="O1832" s="2728"/>
      <c r="P1832" s="2728"/>
      <c r="Q1832" s="2748"/>
      <c r="R1832" s="2748"/>
      <c r="S1832" s="2748"/>
      <c r="T1832" s="2748"/>
      <c r="U1832" s="2748"/>
      <c r="V1832" s="2748"/>
      <c r="W1832" s="2748"/>
      <c r="X1832" s="2748"/>
      <c r="Y1832" s="2748"/>
      <c r="Z1832" s="2748"/>
      <c r="AA1832" s="2748"/>
      <c r="AB1832" s="2748"/>
      <c r="AC1832" s="2748"/>
      <c r="AD1832" s="2748"/>
      <c r="AE1832" s="2748"/>
      <c r="AF1832" s="2748"/>
      <c r="AG1832" s="2748"/>
      <c r="AH1832" s="2748"/>
      <c r="AI1832" s="2748"/>
      <c r="AK1832" s="2748"/>
      <c r="AL1832" s="2748"/>
      <c r="AN1832" s="2748"/>
      <c r="AO1832" s="2748"/>
      <c r="AP1832" s="2748"/>
    </row>
    <row r="1833" spans="2:42" ht="18" customHeight="1">
      <c r="B1833" s="2728"/>
      <c r="C1833" s="2728"/>
      <c r="D1833" s="2728"/>
      <c r="E1833" s="2728"/>
      <c r="G1833" s="2512"/>
      <c r="I1833" s="2748"/>
      <c r="J1833" s="2728"/>
      <c r="L1833" s="2728"/>
      <c r="M1833" s="2748"/>
      <c r="N1833" s="2728"/>
      <c r="O1833" s="2728"/>
      <c r="P1833" s="2728"/>
      <c r="Q1833" s="2748"/>
      <c r="R1833" s="2748"/>
      <c r="S1833" s="2748"/>
      <c r="T1833" s="2748"/>
      <c r="U1833" s="2748"/>
      <c r="V1833" s="2748"/>
      <c r="W1833" s="2748"/>
      <c r="X1833" s="2748"/>
      <c r="Y1833" s="2748"/>
      <c r="Z1833" s="2748"/>
      <c r="AA1833" s="2748"/>
      <c r="AB1833" s="2748"/>
      <c r="AC1833" s="2748"/>
      <c r="AD1833" s="2748"/>
      <c r="AE1833" s="2748"/>
      <c r="AF1833" s="2748"/>
      <c r="AG1833" s="2748"/>
      <c r="AH1833" s="2748"/>
      <c r="AI1833" s="2748"/>
      <c r="AK1833" s="2748"/>
      <c r="AL1833" s="2748"/>
      <c r="AN1833" s="2748"/>
      <c r="AO1833" s="2748"/>
      <c r="AP1833" s="2748"/>
    </row>
    <row r="1834" spans="2:42" ht="18" customHeight="1">
      <c r="B1834" s="2728"/>
      <c r="C1834" s="2728"/>
      <c r="D1834" s="2728"/>
      <c r="E1834" s="2728"/>
      <c r="G1834" s="2512"/>
      <c r="I1834" s="2748"/>
      <c r="J1834" s="2728"/>
      <c r="L1834" s="2728"/>
      <c r="M1834" s="2748"/>
      <c r="N1834" s="2728"/>
      <c r="O1834" s="2728"/>
      <c r="P1834" s="2728"/>
      <c r="Q1834" s="2748"/>
      <c r="R1834" s="2748"/>
      <c r="S1834" s="2748"/>
      <c r="T1834" s="2748"/>
      <c r="U1834" s="2748"/>
      <c r="V1834" s="2748"/>
      <c r="W1834" s="2748"/>
      <c r="X1834" s="2748"/>
      <c r="Y1834" s="2748"/>
      <c r="Z1834" s="2748"/>
      <c r="AA1834" s="2748"/>
      <c r="AB1834" s="2748"/>
      <c r="AC1834" s="2748"/>
      <c r="AD1834" s="2748"/>
      <c r="AE1834" s="2748"/>
      <c r="AF1834" s="2748"/>
      <c r="AG1834" s="2748"/>
      <c r="AH1834" s="2748"/>
      <c r="AI1834" s="2748"/>
      <c r="AK1834" s="2748"/>
      <c r="AL1834" s="2748"/>
      <c r="AN1834" s="2748"/>
      <c r="AO1834" s="2748"/>
      <c r="AP1834" s="2748"/>
    </row>
    <row r="1835" spans="2:42" ht="18" customHeight="1">
      <c r="B1835" s="2728"/>
      <c r="C1835" s="2728"/>
      <c r="D1835" s="2728"/>
      <c r="E1835" s="2728"/>
      <c r="G1835" s="2512"/>
      <c r="I1835" s="2748"/>
      <c r="J1835" s="2728"/>
      <c r="L1835" s="2728"/>
      <c r="M1835" s="2748"/>
      <c r="N1835" s="2728"/>
      <c r="O1835" s="2728"/>
      <c r="P1835" s="2728"/>
      <c r="Q1835" s="2748"/>
      <c r="R1835" s="2748"/>
      <c r="S1835" s="2748"/>
      <c r="T1835" s="2748"/>
      <c r="U1835" s="2748"/>
      <c r="V1835" s="2748"/>
      <c r="W1835" s="2748"/>
      <c r="X1835" s="2748"/>
      <c r="Y1835" s="2748"/>
      <c r="Z1835" s="2748"/>
      <c r="AA1835" s="2748"/>
      <c r="AB1835" s="2748"/>
      <c r="AC1835" s="2748"/>
      <c r="AD1835" s="2748"/>
      <c r="AE1835" s="2748"/>
      <c r="AF1835" s="2748"/>
      <c r="AG1835" s="2748"/>
      <c r="AH1835" s="2748"/>
      <c r="AI1835" s="2748"/>
      <c r="AK1835" s="2748"/>
      <c r="AL1835" s="2748"/>
      <c r="AN1835" s="2748"/>
      <c r="AO1835" s="2748"/>
      <c r="AP1835" s="2748"/>
    </row>
    <row r="1836" spans="2:42" ht="18" customHeight="1">
      <c r="B1836" s="2728"/>
      <c r="C1836" s="2728"/>
      <c r="D1836" s="2728"/>
      <c r="E1836" s="2728"/>
      <c r="G1836" s="2512"/>
      <c r="I1836" s="2748"/>
      <c r="J1836" s="2728"/>
      <c r="L1836" s="2728"/>
      <c r="M1836" s="2748"/>
      <c r="N1836" s="2728"/>
      <c r="O1836" s="2728"/>
      <c r="P1836" s="2728"/>
      <c r="Q1836" s="2748"/>
      <c r="R1836" s="2748"/>
      <c r="S1836" s="2748"/>
      <c r="T1836" s="2748"/>
      <c r="U1836" s="2748"/>
      <c r="V1836" s="2748"/>
      <c r="W1836" s="2748"/>
      <c r="X1836" s="2748"/>
      <c r="Y1836" s="2748"/>
      <c r="Z1836" s="2748"/>
      <c r="AA1836" s="2748"/>
      <c r="AB1836" s="2748"/>
      <c r="AC1836" s="2748"/>
      <c r="AD1836" s="2748"/>
      <c r="AE1836" s="2748"/>
      <c r="AF1836" s="2748"/>
      <c r="AG1836" s="2748"/>
      <c r="AH1836" s="2748"/>
      <c r="AI1836" s="2748"/>
      <c r="AK1836" s="2748"/>
      <c r="AL1836" s="2748"/>
      <c r="AN1836" s="2748"/>
      <c r="AO1836" s="2748"/>
      <c r="AP1836" s="2748"/>
    </row>
    <row r="1837" spans="2:42" ht="18" customHeight="1">
      <c r="B1837" s="2728"/>
      <c r="C1837" s="2728"/>
      <c r="D1837" s="2728"/>
      <c r="E1837" s="2728"/>
      <c r="G1837" s="2512"/>
      <c r="I1837" s="2748"/>
      <c r="J1837" s="2728"/>
      <c r="L1837" s="2728"/>
      <c r="M1837" s="2748"/>
      <c r="N1837" s="2728"/>
      <c r="O1837" s="2728"/>
      <c r="P1837" s="2728"/>
      <c r="Q1837" s="2748"/>
      <c r="R1837" s="2748"/>
      <c r="S1837" s="2748"/>
      <c r="T1837" s="2748"/>
      <c r="U1837" s="2748"/>
      <c r="V1837" s="2748"/>
      <c r="W1837" s="2748"/>
      <c r="X1837" s="2748"/>
      <c r="Y1837" s="2748"/>
      <c r="Z1837" s="2748"/>
      <c r="AA1837" s="2748"/>
      <c r="AB1837" s="2748"/>
      <c r="AC1837" s="2748"/>
      <c r="AD1837" s="2748"/>
      <c r="AE1837" s="2748"/>
      <c r="AF1837" s="2748"/>
      <c r="AG1837" s="2748"/>
      <c r="AH1837" s="2748"/>
      <c r="AI1837" s="2748"/>
      <c r="AK1837" s="2748"/>
      <c r="AL1837" s="2748"/>
      <c r="AN1837" s="2748"/>
      <c r="AO1837" s="2748"/>
      <c r="AP1837" s="2748"/>
    </row>
    <row r="1838" spans="2:42" ht="18" customHeight="1">
      <c r="B1838" s="2728"/>
      <c r="C1838" s="2728"/>
      <c r="D1838" s="2728"/>
      <c r="E1838" s="2728"/>
      <c r="G1838" s="2512"/>
      <c r="I1838" s="2748"/>
      <c r="J1838" s="2728"/>
      <c r="L1838" s="2728"/>
      <c r="M1838" s="2748"/>
      <c r="N1838" s="2728"/>
      <c r="O1838" s="2728"/>
      <c r="P1838" s="2728"/>
      <c r="Q1838" s="2748"/>
      <c r="R1838" s="2748"/>
      <c r="S1838" s="2748"/>
      <c r="T1838" s="2748"/>
      <c r="U1838" s="2748"/>
      <c r="V1838" s="2748"/>
      <c r="W1838" s="2748"/>
      <c r="X1838" s="2748"/>
      <c r="Y1838" s="2748"/>
      <c r="Z1838" s="2748"/>
      <c r="AA1838" s="2748"/>
      <c r="AB1838" s="2748"/>
      <c r="AC1838" s="2748"/>
      <c r="AD1838" s="2748"/>
      <c r="AE1838" s="2748"/>
      <c r="AF1838" s="2748"/>
      <c r="AG1838" s="2748"/>
      <c r="AH1838" s="2748"/>
      <c r="AI1838" s="2748"/>
      <c r="AK1838" s="2748"/>
      <c r="AL1838" s="2748"/>
      <c r="AN1838" s="2748"/>
      <c r="AO1838" s="2748"/>
      <c r="AP1838" s="2748"/>
    </row>
    <row r="1839" spans="2:42" ht="18" customHeight="1">
      <c r="B1839" s="2728"/>
      <c r="C1839" s="2728"/>
      <c r="D1839" s="2728"/>
      <c r="E1839" s="2728"/>
      <c r="G1839" s="2512"/>
      <c r="I1839" s="2748"/>
      <c r="J1839" s="2728"/>
      <c r="L1839" s="2728"/>
      <c r="M1839" s="2748"/>
      <c r="N1839" s="2728"/>
      <c r="O1839" s="2728"/>
      <c r="P1839" s="2728"/>
      <c r="Q1839" s="2748"/>
      <c r="R1839" s="2748"/>
      <c r="S1839" s="2748"/>
      <c r="T1839" s="2748"/>
      <c r="U1839" s="2748"/>
      <c r="V1839" s="2748"/>
      <c r="W1839" s="2748"/>
      <c r="X1839" s="2748"/>
      <c r="Y1839" s="2748"/>
      <c r="Z1839" s="2748"/>
      <c r="AA1839" s="2748"/>
      <c r="AB1839" s="2748"/>
      <c r="AC1839" s="2748"/>
      <c r="AD1839" s="2748"/>
      <c r="AE1839" s="2748"/>
      <c r="AF1839" s="2748"/>
      <c r="AG1839" s="2748"/>
      <c r="AH1839" s="2748"/>
      <c r="AI1839" s="2748"/>
      <c r="AK1839" s="2748"/>
      <c r="AL1839" s="2748"/>
      <c r="AN1839" s="2748"/>
      <c r="AO1839" s="2748"/>
      <c r="AP1839" s="2748"/>
    </row>
    <row r="1840" spans="2:42" ht="18" customHeight="1">
      <c r="B1840" s="2728"/>
      <c r="C1840" s="2728"/>
      <c r="D1840" s="2728"/>
      <c r="E1840" s="2728"/>
      <c r="G1840" s="2512"/>
      <c r="I1840" s="2748"/>
      <c r="J1840" s="2728"/>
      <c r="L1840" s="2728"/>
      <c r="M1840" s="2748"/>
      <c r="N1840" s="2728"/>
      <c r="O1840" s="2728"/>
      <c r="P1840" s="2728"/>
      <c r="Q1840" s="2748"/>
      <c r="R1840" s="2748"/>
      <c r="S1840" s="2748"/>
      <c r="T1840" s="2748"/>
      <c r="U1840" s="2748"/>
      <c r="V1840" s="2748"/>
      <c r="W1840" s="2748"/>
      <c r="X1840" s="2748"/>
      <c r="Y1840" s="2748"/>
      <c r="Z1840" s="2748"/>
      <c r="AA1840" s="2748"/>
      <c r="AB1840" s="2748"/>
      <c r="AC1840" s="2748"/>
      <c r="AD1840" s="2748"/>
      <c r="AE1840" s="2748"/>
      <c r="AF1840" s="2748"/>
      <c r="AG1840" s="2748"/>
      <c r="AH1840" s="2748"/>
      <c r="AI1840" s="2748"/>
      <c r="AK1840" s="2748"/>
      <c r="AL1840" s="2748"/>
      <c r="AN1840" s="2748"/>
      <c r="AO1840" s="2748"/>
      <c r="AP1840" s="2748"/>
    </row>
    <row r="1841" spans="2:42" ht="18" customHeight="1">
      <c r="B1841" s="2728"/>
      <c r="C1841" s="2728"/>
      <c r="D1841" s="2728"/>
      <c r="E1841" s="2728"/>
      <c r="G1841" s="2512"/>
      <c r="I1841" s="2748"/>
      <c r="J1841" s="2728"/>
      <c r="L1841" s="2728"/>
      <c r="M1841" s="2748"/>
      <c r="N1841" s="2728"/>
      <c r="O1841" s="2728"/>
      <c r="P1841" s="2728"/>
      <c r="Q1841" s="2748"/>
      <c r="R1841" s="2748"/>
      <c r="S1841" s="2748"/>
      <c r="T1841" s="2748"/>
      <c r="U1841" s="2748"/>
      <c r="V1841" s="2748"/>
      <c r="W1841" s="2748"/>
      <c r="X1841" s="2748"/>
      <c r="Y1841" s="2748"/>
      <c r="Z1841" s="2748"/>
      <c r="AA1841" s="2748"/>
      <c r="AB1841" s="2748"/>
      <c r="AC1841" s="2748"/>
      <c r="AD1841" s="2748"/>
      <c r="AE1841" s="2748"/>
      <c r="AF1841" s="2748"/>
      <c r="AG1841" s="2748"/>
      <c r="AH1841" s="2748"/>
      <c r="AI1841" s="2748"/>
      <c r="AK1841" s="2748"/>
      <c r="AL1841" s="2748"/>
      <c r="AN1841" s="2748"/>
      <c r="AO1841" s="2748"/>
      <c r="AP1841" s="2748"/>
    </row>
    <row r="1842" spans="2:42" ht="18" customHeight="1">
      <c r="B1842" s="2728"/>
      <c r="C1842" s="2728"/>
      <c r="D1842" s="2728"/>
      <c r="E1842" s="2728"/>
      <c r="G1842" s="2512"/>
      <c r="I1842" s="2748"/>
      <c r="J1842" s="2728"/>
      <c r="L1842" s="2728"/>
      <c r="M1842" s="2748"/>
      <c r="N1842" s="2728"/>
      <c r="O1842" s="2728"/>
      <c r="P1842" s="2728"/>
      <c r="Q1842" s="2748"/>
      <c r="R1842" s="2748"/>
      <c r="S1842" s="2748"/>
      <c r="T1842" s="2748"/>
      <c r="U1842" s="2748"/>
      <c r="V1842" s="2748"/>
      <c r="W1842" s="2748"/>
      <c r="X1842" s="2748"/>
      <c r="Y1842" s="2748"/>
      <c r="Z1842" s="2748"/>
      <c r="AA1842" s="2748"/>
      <c r="AB1842" s="2748"/>
      <c r="AC1842" s="2748"/>
      <c r="AD1842" s="2748"/>
      <c r="AE1842" s="2748"/>
      <c r="AF1842" s="2748"/>
      <c r="AG1842" s="2748"/>
      <c r="AH1842" s="2748"/>
      <c r="AI1842" s="2748"/>
      <c r="AK1842" s="2748"/>
      <c r="AL1842" s="2748"/>
      <c r="AN1842" s="2748"/>
      <c r="AO1842" s="2748"/>
      <c r="AP1842" s="2748"/>
    </row>
    <row r="1843" spans="2:42" ht="18" customHeight="1">
      <c r="B1843" s="2728"/>
      <c r="C1843" s="2728"/>
      <c r="D1843" s="2728"/>
      <c r="E1843" s="2728"/>
      <c r="G1843" s="2512"/>
      <c r="I1843" s="2748"/>
      <c r="J1843" s="2728"/>
      <c r="L1843" s="2728"/>
      <c r="M1843" s="2748"/>
      <c r="N1843" s="2728"/>
      <c r="O1843" s="2728"/>
      <c r="P1843" s="2728"/>
      <c r="Q1843" s="2748"/>
      <c r="R1843" s="2748"/>
      <c r="S1843" s="2748"/>
      <c r="T1843" s="2748"/>
      <c r="U1843" s="2748"/>
      <c r="V1843" s="2748"/>
      <c r="W1843" s="2748"/>
      <c r="X1843" s="2748"/>
      <c r="Y1843" s="2748"/>
      <c r="Z1843" s="2748"/>
      <c r="AA1843" s="2748"/>
      <c r="AB1843" s="2748"/>
      <c r="AC1843" s="2748"/>
      <c r="AD1843" s="2748"/>
      <c r="AE1843" s="2748"/>
      <c r="AF1843" s="2748"/>
      <c r="AG1843" s="2748"/>
      <c r="AH1843" s="2748"/>
      <c r="AI1843" s="2748"/>
      <c r="AK1843" s="2748"/>
      <c r="AL1843" s="2748"/>
      <c r="AN1843" s="2748"/>
      <c r="AO1843" s="2748"/>
      <c r="AP1843" s="2748"/>
    </row>
    <row r="1844" spans="2:42" ht="18" customHeight="1">
      <c r="B1844" s="2728"/>
      <c r="C1844" s="2728"/>
      <c r="D1844" s="2728"/>
      <c r="E1844" s="2728"/>
      <c r="G1844" s="2512"/>
      <c r="I1844" s="2748"/>
      <c r="J1844" s="2728"/>
      <c r="L1844" s="2728"/>
      <c r="M1844" s="2748"/>
      <c r="N1844" s="2728"/>
      <c r="O1844" s="2728"/>
      <c r="P1844" s="2728"/>
      <c r="Q1844" s="2748"/>
      <c r="R1844" s="2748"/>
      <c r="S1844" s="2748"/>
      <c r="T1844" s="2748"/>
      <c r="U1844" s="2748"/>
      <c r="V1844" s="2748"/>
      <c r="W1844" s="2748"/>
      <c r="X1844" s="2748"/>
      <c r="Y1844" s="2748"/>
      <c r="Z1844" s="2748"/>
      <c r="AA1844" s="2748"/>
      <c r="AB1844" s="2748"/>
      <c r="AC1844" s="2748"/>
      <c r="AD1844" s="2748"/>
      <c r="AE1844" s="2748"/>
      <c r="AF1844" s="2748"/>
      <c r="AG1844" s="2748"/>
      <c r="AH1844" s="2748"/>
      <c r="AI1844" s="2748"/>
      <c r="AK1844" s="2748"/>
      <c r="AL1844" s="2748"/>
      <c r="AN1844" s="2748"/>
      <c r="AO1844" s="2748"/>
      <c r="AP1844" s="2748"/>
    </row>
    <row r="1845" spans="2:42" ht="18" customHeight="1">
      <c r="B1845" s="2728"/>
      <c r="C1845" s="2728"/>
      <c r="D1845" s="2728"/>
      <c r="E1845" s="2728"/>
      <c r="G1845" s="2512"/>
      <c r="I1845" s="2748"/>
      <c r="J1845" s="2728"/>
      <c r="L1845" s="2728"/>
      <c r="M1845" s="2748"/>
      <c r="N1845" s="2728"/>
      <c r="O1845" s="2728"/>
      <c r="P1845" s="2728"/>
      <c r="Q1845" s="2748"/>
      <c r="R1845" s="2748"/>
      <c r="S1845" s="2748"/>
      <c r="T1845" s="2748"/>
      <c r="U1845" s="2748"/>
      <c r="V1845" s="2748"/>
      <c r="W1845" s="2748"/>
      <c r="X1845" s="2748"/>
      <c r="Y1845" s="2748"/>
      <c r="Z1845" s="2748"/>
      <c r="AA1845" s="2748"/>
      <c r="AB1845" s="2748"/>
      <c r="AC1845" s="2748"/>
      <c r="AD1845" s="2748"/>
      <c r="AE1845" s="2748"/>
      <c r="AF1845" s="2748"/>
      <c r="AG1845" s="2748"/>
      <c r="AH1845" s="2748"/>
      <c r="AI1845" s="2748"/>
      <c r="AK1845" s="2748"/>
      <c r="AL1845" s="2748"/>
      <c r="AN1845" s="2748"/>
      <c r="AO1845" s="2748"/>
      <c r="AP1845" s="2748"/>
    </row>
    <row r="1846" spans="2:42" ht="18" customHeight="1">
      <c r="B1846" s="2728"/>
      <c r="C1846" s="2728"/>
      <c r="D1846" s="2728"/>
      <c r="E1846" s="2728"/>
      <c r="G1846" s="2512"/>
      <c r="I1846" s="2748"/>
      <c r="J1846" s="2728"/>
      <c r="L1846" s="2728"/>
      <c r="M1846" s="2748"/>
      <c r="N1846" s="2728"/>
      <c r="O1846" s="2728"/>
      <c r="P1846" s="2728"/>
      <c r="Q1846" s="2748"/>
      <c r="R1846" s="2748"/>
      <c r="S1846" s="2748"/>
      <c r="T1846" s="2748"/>
      <c r="U1846" s="2748"/>
      <c r="V1846" s="2748"/>
      <c r="W1846" s="2748"/>
      <c r="X1846" s="2748"/>
      <c r="Y1846" s="2748"/>
      <c r="Z1846" s="2748"/>
      <c r="AA1846" s="2748"/>
      <c r="AB1846" s="2748"/>
      <c r="AC1846" s="2748"/>
      <c r="AD1846" s="2748"/>
      <c r="AE1846" s="2748"/>
      <c r="AF1846" s="2748"/>
      <c r="AG1846" s="2748"/>
      <c r="AH1846" s="2748"/>
      <c r="AI1846" s="2748"/>
      <c r="AK1846" s="2748"/>
      <c r="AL1846" s="2748"/>
      <c r="AN1846" s="2748"/>
      <c r="AO1846" s="2748"/>
      <c r="AP1846" s="2748"/>
    </row>
    <row r="1847" spans="2:42" ht="18" customHeight="1">
      <c r="B1847" s="2728"/>
      <c r="C1847" s="2728"/>
      <c r="D1847" s="2728"/>
      <c r="E1847" s="2728"/>
      <c r="G1847" s="2512"/>
      <c r="I1847" s="2748"/>
      <c r="J1847" s="2728"/>
      <c r="L1847" s="2728"/>
      <c r="M1847" s="2748"/>
      <c r="N1847" s="2728"/>
      <c r="O1847" s="2728"/>
      <c r="P1847" s="2728"/>
      <c r="Q1847" s="2748"/>
      <c r="R1847" s="2748"/>
      <c r="S1847" s="2748"/>
      <c r="T1847" s="2748"/>
      <c r="U1847" s="2748"/>
      <c r="V1847" s="2748"/>
      <c r="W1847" s="2748"/>
      <c r="X1847" s="2748"/>
      <c r="Y1847" s="2748"/>
      <c r="Z1847" s="2748"/>
      <c r="AA1847" s="2748"/>
      <c r="AB1847" s="2748"/>
      <c r="AC1847" s="2748"/>
      <c r="AD1847" s="2748"/>
      <c r="AE1847" s="2748"/>
      <c r="AF1847" s="2748"/>
      <c r="AG1847" s="2748"/>
      <c r="AH1847" s="2748"/>
      <c r="AI1847" s="2748"/>
      <c r="AK1847" s="2748"/>
      <c r="AL1847" s="2748"/>
      <c r="AN1847" s="2748"/>
      <c r="AO1847" s="2748"/>
      <c r="AP1847" s="2748"/>
    </row>
    <row r="1848" spans="2:42" ht="18" customHeight="1">
      <c r="B1848" s="2728"/>
      <c r="C1848" s="2728"/>
      <c r="D1848" s="2728"/>
      <c r="E1848" s="2728"/>
      <c r="G1848" s="2512"/>
      <c r="I1848" s="2748"/>
      <c r="J1848" s="2728"/>
      <c r="L1848" s="2728"/>
      <c r="M1848" s="2748"/>
      <c r="N1848" s="2728"/>
      <c r="O1848" s="2728"/>
      <c r="P1848" s="2728"/>
      <c r="Q1848" s="2748"/>
      <c r="R1848" s="2748"/>
      <c r="S1848" s="2748"/>
      <c r="T1848" s="2748"/>
      <c r="U1848" s="2748"/>
      <c r="V1848" s="2748"/>
      <c r="W1848" s="2748"/>
      <c r="X1848" s="2748"/>
      <c r="Y1848" s="2748"/>
      <c r="Z1848" s="2748"/>
      <c r="AA1848" s="2748"/>
      <c r="AB1848" s="2748"/>
      <c r="AC1848" s="2748"/>
      <c r="AD1848" s="2748"/>
      <c r="AE1848" s="2748"/>
      <c r="AF1848" s="2748"/>
      <c r="AG1848" s="2748"/>
      <c r="AH1848" s="2748"/>
      <c r="AI1848" s="2748"/>
      <c r="AK1848" s="2748"/>
      <c r="AL1848" s="2748"/>
      <c r="AN1848" s="2748"/>
      <c r="AO1848" s="2748"/>
      <c r="AP1848" s="2748"/>
    </row>
    <row r="1849" spans="2:42" ht="18" customHeight="1">
      <c r="B1849" s="2728"/>
      <c r="C1849" s="2728"/>
      <c r="D1849" s="2728"/>
      <c r="E1849" s="2728"/>
      <c r="G1849" s="2512"/>
      <c r="I1849" s="2748"/>
      <c r="J1849" s="2728"/>
      <c r="L1849" s="2728"/>
      <c r="M1849" s="2748"/>
      <c r="N1849" s="2728"/>
      <c r="O1849" s="2728"/>
      <c r="P1849" s="2728"/>
      <c r="Q1849" s="2748"/>
      <c r="R1849" s="2748"/>
      <c r="S1849" s="2748"/>
      <c r="T1849" s="2748"/>
      <c r="U1849" s="2748"/>
      <c r="V1849" s="2748"/>
      <c r="W1849" s="2748"/>
      <c r="X1849" s="2748"/>
      <c r="Y1849" s="2748"/>
      <c r="Z1849" s="2748"/>
      <c r="AA1849" s="2748"/>
      <c r="AB1849" s="2748"/>
      <c r="AC1849" s="2748"/>
      <c r="AD1849" s="2748"/>
      <c r="AE1849" s="2748"/>
      <c r="AF1849" s="2748"/>
      <c r="AG1849" s="2748"/>
      <c r="AH1849" s="2748"/>
      <c r="AI1849" s="2748"/>
      <c r="AK1849" s="2748"/>
      <c r="AL1849" s="2748"/>
      <c r="AN1849" s="2748"/>
      <c r="AO1849" s="2748"/>
      <c r="AP1849" s="2748"/>
    </row>
    <row r="1850" spans="2:42" ht="18" customHeight="1">
      <c r="B1850" s="2728"/>
      <c r="C1850" s="2728"/>
      <c r="D1850" s="2728"/>
      <c r="E1850" s="2728"/>
      <c r="G1850" s="2512"/>
      <c r="I1850" s="2748"/>
      <c r="J1850" s="2728"/>
      <c r="L1850" s="2728"/>
      <c r="M1850" s="2748"/>
      <c r="N1850" s="2728"/>
      <c r="O1850" s="2728"/>
      <c r="P1850" s="2728"/>
      <c r="Q1850" s="2748"/>
      <c r="R1850" s="2748"/>
      <c r="S1850" s="2748"/>
      <c r="T1850" s="2748"/>
      <c r="U1850" s="2748"/>
      <c r="V1850" s="2748"/>
      <c r="W1850" s="2748"/>
      <c r="X1850" s="2748"/>
      <c r="Y1850" s="2748"/>
      <c r="Z1850" s="2748"/>
      <c r="AA1850" s="2748"/>
      <c r="AB1850" s="2748"/>
      <c r="AC1850" s="2748"/>
      <c r="AD1850" s="2748"/>
      <c r="AE1850" s="2748"/>
      <c r="AF1850" s="2748"/>
      <c r="AG1850" s="2748"/>
      <c r="AH1850" s="2748"/>
      <c r="AI1850" s="2748"/>
      <c r="AK1850" s="2748"/>
      <c r="AL1850" s="2748"/>
      <c r="AN1850" s="2748"/>
      <c r="AO1850" s="2748"/>
      <c r="AP1850" s="2748"/>
    </row>
    <row r="1851" spans="2:42" ht="18" customHeight="1">
      <c r="B1851" s="2728"/>
      <c r="C1851" s="2728"/>
      <c r="D1851" s="2728"/>
      <c r="E1851" s="2728"/>
      <c r="G1851" s="2512"/>
      <c r="I1851" s="2748"/>
      <c r="J1851" s="2728"/>
      <c r="L1851" s="2728"/>
      <c r="M1851" s="2748"/>
      <c r="N1851" s="2728"/>
      <c r="O1851" s="2728"/>
      <c r="P1851" s="2728"/>
      <c r="Q1851" s="2748"/>
      <c r="R1851" s="2748"/>
      <c r="S1851" s="2748"/>
      <c r="T1851" s="2748"/>
      <c r="U1851" s="2748"/>
      <c r="V1851" s="2748"/>
      <c r="W1851" s="2748"/>
      <c r="X1851" s="2748"/>
      <c r="Y1851" s="2748"/>
      <c r="Z1851" s="2748"/>
      <c r="AA1851" s="2748"/>
      <c r="AB1851" s="2748"/>
      <c r="AC1851" s="2748"/>
      <c r="AD1851" s="2748"/>
      <c r="AE1851" s="2748"/>
      <c r="AF1851" s="2748"/>
      <c r="AG1851" s="2748"/>
      <c r="AH1851" s="2748"/>
      <c r="AI1851" s="2748"/>
      <c r="AK1851" s="2748"/>
      <c r="AL1851" s="2748"/>
      <c r="AN1851" s="2748"/>
      <c r="AO1851" s="2748"/>
      <c r="AP1851" s="2748"/>
    </row>
    <row r="1852" spans="2:42" ht="18" customHeight="1">
      <c r="B1852" s="2728"/>
      <c r="C1852" s="2728"/>
      <c r="D1852" s="2728"/>
      <c r="E1852" s="2728"/>
      <c r="G1852" s="2512"/>
      <c r="I1852" s="2748"/>
      <c r="J1852" s="2728"/>
      <c r="L1852" s="2728"/>
      <c r="M1852" s="2748"/>
      <c r="N1852" s="2728"/>
      <c r="O1852" s="2728"/>
      <c r="P1852" s="2728"/>
      <c r="Q1852" s="2748"/>
      <c r="R1852" s="2748"/>
      <c r="S1852" s="2748"/>
      <c r="T1852" s="2748"/>
      <c r="U1852" s="2748"/>
      <c r="V1852" s="2748"/>
      <c r="W1852" s="2748"/>
      <c r="X1852" s="2748"/>
      <c r="Y1852" s="2748"/>
      <c r="Z1852" s="2748"/>
      <c r="AA1852" s="2748"/>
      <c r="AB1852" s="2748"/>
      <c r="AC1852" s="2748"/>
      <c r="AD1852" s="2748"/>
      <c r="AE1852" s="2748"/>
      <c r="AF1852" s="2748"/>
      <c r="AG1852" s="2748"/>
      <c r="AH1852" s="2748"/>
      <c r="AI1852" s="2748"/>
      <c r="AK1852" s="2748"/>
      <c r="AL1852" s="2748"/>
      <c r="AN1852" s="2748"/>
      <c r="AO1852" s="2748"/>
      <c r="AP1852" s="2748"/>
    </row>
    <row r="1853" spans="2:42" ht="18" customHeight="1">
      <c r="B1853" s="2728"/>
      <c r="C1853" s="2728"/>
      <c r="D1853" s="2728"/>
      <c r="E1853" s="2728"/>
      <c r="G1853" s="2512"/>
      <c r="I1853" s="2748"/>
      <c r="J1853" s="2728"/>
      <c r="L1853" s="2728"/>
      <c r="M1853" s="2748"/>
      <c r="N1853" s="2728"/>
      <c r="O1853" s="2728"/>
      <c r="P1853" s="2728"/>
      <c r="Q1853" s="2748"/>
      <c r="R1853" s="2748"/>
      <c r="S1853" s="2748"/>
      <c r="T1853" s="2748"/>
      <c r="U1853" s="2748"/>
      <c r="V1853" s="2748"/>
      <c r="W1853" s="2748"/>
      <c r="X1853" s="2748"/>
      <c r="Y1853" s="2748"/>
      <c r="Z1853" s="2748"/>
      <c r="AA1853" s="2748"/>
      <c r="AB1853" s="2748"/>
      <c r="AC1853" s="2748"/>
      <c r="AD1853" s="2748"/>
      <c r="AE1853" s="2748"/>
      <c r="AF1853" s="2748"/>
      <c r="AG1853" s="2748"/>
      <c r="AH1853" s="2748"/>
      <c r="AI1853" s="2748"/>
      <c r="AK1853" s="2748"/>
      <c r="AL1853" s="2748"/>
      <c r="AN1853" s="2748"/>
      <c r="AO1853" s="2748"/>
      <c r="AP1853" s="2748"/>
    </row>
    <row r="1854" spans="2:42" ht="18" customHeight="1">
      <c r="B1854" s="2728"/>
      <c r="C1854" s="2728"/>
      <c r="D1854" s="2728"/>
      <c r="E1854" s="2728"/>
      <c r="G1854" s="2512"/>
      <c r="I1854" s="2748"/>
      <c r="J1854" s="2728"/>
      <c r="L1854" s="2728"/>
      <c r="M1854" s="2748"/>
      <c r="N1854" s="2728"/>
      <c r="O1854" s="2728"/>
      <c r="P1854" s="2728"/>
      <c r="Q1854" s="2748"/>
      <c r="R1854" s="2748"/>
      <c r="S1854" s="2748"/>
      <c r="T1854" s="2748"/>
      <c r="U1854" s="2748"/>
      <c r="V1854" s="2748"/>
      <c r="W1854" s="2748"/>
      <c r="X1854" s="2748"/>
      <c r="Y1854" s="2748"/>
      <c r="Z1854" s="2748"/>
      <c r="AA1854" s="2748"/>
      <c r="AB1854" s="2748"/>
      <c r="AC1854" s="2748"/>
      <c r="AD1854" s="2748"/>
      <c r="AE1854" s="2748"/>
      <c r="AF1854" s="2748"/>
      <c r="AG1854" s="2748"/>
      <c r="AH1854" s="2748"/>
      <c r="AI1854" s="2748"/>
      <c r="AK1854" s="2748"/>
      <c r="AL1854" s="2748"/>
      <c r="AN1854" s="2748"/>
      <c r="AO1854" s="2748"/>
      <c r="AP1854" s="2748"/>
    </row>
    <row r="1855" spans="2:42" ht="18" customHeight="1">
      <c r="B1855" s="2728"/>
      <c r="C1855" s="2728"/>
      <c r="D1855" s="2728"/>
      <c r="E1855" s="2728"/>
      <c r="G1855" s="2512"/>
      <c r="I1855" s="2748"/>
      <c r="J1855" s="2728"/>
      <c r="L1855" s="2728"/>
      <c r="M1855" s="2748"/>
      <c r="N1855" s="2728"/>
      <c r="O1855" s="2728"/>
      <c r="P1855" s="2728"/>
      <c r="Q1855" s="2748"/>
      <c r="R1855" s="2748"/>
      <c r="S1855" s="2748"/>
      <c r="T1855" s="2748"/>
      <c r="U1855" s="2748"/>
      <c r="V1855" s="2748"/>
      <c r="W1855" s="2748"/>
      <c r="X1855" s="2748"/>
      <c r="Y1855" s="2748"/>
      <c r="Z1855" s="2748"/>
      <c r="AA1855" s="2748"/>
      <c r="AB1855" s="2748"/>
      <c r="AC1855" s="2748"/>
      <c r="AD1855" s="2748"/>
      <c r="AE1855" s="2748"/>
      <c r="AF1855" s="2748"/>
      <c r="AG1855" s="2748"/>
      <c r="AH1855" s="2748"/>
      <c r="AI1855" s="2748"/>
      <c r="AK1855" s="2748"/>
      <c r="AL1855" s="2748"/>
      <c r="AN1855" s="2748"/>
      <c r="AO1855" s="2748"/>
      <c r="AP1855" s="2748"/>
    </row>
    <row r="1856" spans="2:42" ht="18" customHeight="1">
      <c r="B1856" s="2728"/>
      <c r="C1856" s="2728"/>
      <c r="D1856" s="2728"/>
      <c r="E1856" s="2728"/>
      <c r="G1856" s="2512"/>
      <c r="I1856" s="2748"/>
      <c r="J1856" s="2728"/>
      <c r="L1856" s="2728"/>
      <c r="M1856" s="2748"/>
      <c r="N1856" s="2728"/>
      <c r="O1856" s="2728"/>
      <c r="P1856" s="2728"/>
      <c r="Q1856" s="2748"/>
      <c r="R1856" s="2748"/>
      <c r="S1856" s="2748"/>
      <c r="T1856" s="2748"/>
      <c r="U1856" s="2748"/>
      <c r="V1856" s="2748"/>
      <c r="W1856" s="2748"/>
      <c r="X1856" s="2748"/>
      <c r="Y1856" s="2748"/>
      <c r="Z1856" s="2748"/>
      <c r="AA1856" s="2748"/>
      <c r="AB1856" s="2748"/>
      <c r="AC1856" s="2748"/>
      <c r="AD1856" s="2748"/>
      <c r="AE1856" s="2748"/>
      <c r="AF1856" s="2748"/>
      <c r="AG1856" s="2748"/>
      <c r="AH1856" s="2748"/>
      <c r="AI1856" s="2748"/>
      <c r="AK1856" s="2748"/>
      <c r="AL1856" s="2748"/>
      <c r="AN1856" s="2748"/>
      <c r="AO1856" s="2748"/>
      <c r="AP1856" s="2748"/>
    </row>
    <row r="1857" spans="2:42" ht="18" customHeight="1">
      <c r="B1857" s="2728"/>
      <c r="C1857" s="2728"/>
      <c r="D1857" s="2728"/>
      <c r="E1857" s="2728"/>
      <c r="G1857" s="2512"/>
      <c r="I1857" s="2748"/>
      <c r="J1857" s="2728"/>
      <c r="L1857" s="2728"/>
      <c r="M1857" s="2748"/>
      <c r="N1857" s="2728"/>
      <c r="O1857" s="2728"/>
      <c r="P1857" s="2728"/>
      <c r="Q1857" s="2748"/>
      <c r="R1857" s="2748"/>
      <c r="S1857" s="2748"/>
      <c r="T1857" s="2748"/>
      <c r="U1857" s="2748"/>
      <c r="V1857" s="2748"/>
      <c r="W1857" s="2748"/>
      <c r="X1857" s="2748"/>
      <c r="Y1857" s="2748"/>
      <c r="Z1857" s="2748"/>
      <c r="AA1857" s="2748"/>
      <c r="AB1857" s="2748"/>
      <c r="AC1857" s="2748"/>
      <c r="AD1857" s="2748"/>
      <c r="AE1857" s="2748"/>
      <c r="AF1857" s="2748"/>
      <c r="AG1857" s="2748"/>
      <c r="AH1857" s="2748"/>
      <c r="AI1857" s="2748"/>
      <c r="AK1857" s="2748"/>
      <c r="AL1857" s="2748"/>
      <c r="AN1857" s="2748"/>
      <c r="AO1857" s="2748"/>
      <c r="AP1857" s="2748"/>
    </row>
    <row r="1858" spans="2:42" ht="18" customHeight="1">
      <c r="B1858" s="2728"/>
      <c r="C1858" s="2728"/>
      <c r="D1858" s="2728"/>
      <c r="E1858" s="2728"/>
      <c r="G1858" s="2512"/>
      <c r="I1858" s="2748"/>
      <c r="J1858" s="2728"/>
      <c r="L1858" s="2728"/>
      <c r="M1858" s="2748"/>
      <c r="N1858" s="2728"/>
      <c r="O1858" s="2728"/>
      <c r="P1858" s="2728"/>
      <c r="Q1858" s="2748"/>
      <c r="R1858" s="2748"/>
      <c r="S1858" s="2748"/>
      <c r="T1858" s="2748"/>
      <c r="U1858" s="2748"/>
      <c r="V1858" s="2748"/>
      <c r="W1858" s="2748"/>
      <c r="X1858" s="2748"/>
      <c r="Y1858" s="2748"/>
      <c r="Z1858" s="2748"/>
      <c r="AA1858" s="2748"/>
      <c r="AB1858" s="2748"/>
      <c r="AC1858" s="2748"/>
      <c r="AD1858" s="2748"/>
      <c r="AE1858" s="2748"/>
      <c r="AF1858" s="2748"/>
      <c r="AG1858" s="2748"/>
      <c r="AH1858" s="2748"/>
      <c r="AI1858" s="2748"/>
      <c r="AK1858" s="2748"/>
      <c r="AL1858" s="2748"/>
      <c r="AN1858" s="2748"/>
      <c r="AO1858" s="2748"/>
      <c r="AP1858" s="2748"/>
    </row>
    <row r="1859" spans="2:42" ht="18" customHeight="1">
      <c r="B1859" s="2728"/>
      <c r="C1859" s="2728"/>
      <c r="D1859" s="2728"/>
      <c r="E1859" s="2728"/>
      <c r="G1859" s="2512"/>
      <c r="I1859" s="2748"/>
      <c r="J1859" s="2728"/>
      <c r="L1859" s="2728"/>
      <c r="M1859" s="2748"/>
      <c r="N1859" s="2728"/>
      <c r="O1859" s="2728"/>
      <c r="P1859" s="2728"/>
      <c r="Q1859" s="2748"/>
      <c r="R1859" s="2748"/>
      <c r="S1859" s="2748"/>
      <c r="T1859" s="2748"/>
      <c r="U1859" s="2748"/>
      <c r="V1859" s="2748"/>
      <c r="W1859" s="2748"/>
      <c r="X1859" s="2748"/>
      <c r="Y1859" s="2748"/>
      <c r="Z1859" s="2748"/>
      <c r="AA1859" s="2748"/>
      <c r="AB1859" s="2748"/>
      <c r="AC1859" s="2748"/>
      <c r="AD1859" s="2748"/>
      <c r="AE1859" s="2748"/>
      <c r="AF1859" s="2748"/>
      <c r="AG1859" s="2748"/>
      <c r="AH1859" s="2748"/>
      <c r="AI1859" s="2748"/>
      <c r="AK1859" s="2748"/>
      <c r="AL1859" s="2748"/>
      <c r="AN1859" s="2748"/>
      <c r="AO1859" s="2748"/>
      <c r="AP1859" s="2748"/>
    </row>
    <row r="1860" spans="2:42" ht="18" customHeight="1">
      <c r="B1860" s="2728"/>
      <c r="C1860" s="2728"/>
      <c r="D1860" s="2728"/>
      <c r="E1860" s="2728"/>
      <c r="G1860" s="2512"/>
      <c r="I1860" s="2748"/>
      <c r="J1860" s="2728"/>
      <c r="L1860" s="2728"/>
      <c r="M1860" s="2748"/>
      <c r="N1860" s="2728"/>
      <c r="O1860" s="2728"/>
      <c r="P1860" s="2728"/>
      <c r="Q1860" s="2748"/>
      <c r="R1860" s="2748"/>
      <c r="S1860" s="2748"/>
      <c r="T1860" s="2748"/>
      <c r="U1860" s="2748"/>
      <c r="V1860" s="2748"/>
      <c r="W1860" s="2748"/>
      <c r="X1860" s="2748"/>
      <c r="Y1860" s="2748"/>
      <c r="Z1860" s="2748"/>
      <c r="AA1860" s="2748"/>
      <c r="AB1860" s="2748"/>
      <c r="AC1860" s="2748"/>
      <c r="AD1860" s="2748"/>
      <c r="AE1860" s="2748"/>
      <c r="AF1860" s="2748"/>
      <c r="AG1860" s="2748"/>
      <c r="AH1860" s="2748"/>
      <c r="AI1860" s="2748"/>
      <c r="AK1860" s="2748"/>
      <c r="AL1860" s="2748"/>
      <c r="AN1860" s="2748"/>
      <c r="AO1860" s="2748"/>
      <c r="AP1860" s="2748"/>
    </row>
    <row r="1861" spans="2:42" ht="18" customHeight="1">
      <c r="B1861" s="2728"/>
      <c r="C1861" s="2728"/>
      <c r="D1861" s="2728"/>
      <c r="E1861" s="2728"/>
      <c r="G1861" s="2512"/>
      <c r="I1861" s="2748"/>
      <c r="J1861" s="2728"/>
      <c r="L1861" s="2728"/>
      <c r="M1861" s="2748"/>
      <c r="N1861" s="2728"/>
      <c r="O1861" s="2728"/>
      <c r="P1861" s="2728"/>
      <c r="Q1861" s="2748"/>
      <c r="R1861" s="2748"/>
      <c r="S1861" s="2748"/>
      <c r="T1861" s="2748"/>
      <c r="U1861" s="2748"/>
      <c r="V1861" s="2748"/>
      <c r="W1861" s="2748"/>
      <c r="X1861" s="2748"/>
      <c r="Y1861" s="2748"/>
      <c r="Z1861" s="2748"/>
      <c r="AA1861" s="2748"/>
      <c r="AB1861" s="2748"/>
      <c r="AC1861" s="2748"/>
      <c r="AD1861" s="2748"/>
      <c r="AE1861" s="2748"/>
      <c r="AF1861" s="2748"/>
      <c r="AG1861" s="2748"/>
      <c r="AH1861" s="2748"/>
      <c r="AI1861" s="2748"/>
      <c r="AK1861" s="2748"/>
      <c r="AL1861" s="2748"/>
      <c r="AN1861" s="2748"/>
      <c r="AO1861" s="2748"/>
      <c r="AP1861" s="2748"/>
    </row>
    <row r="1862" spans="2:42" ht="18" customHeight="1">
      <c r="B1862" s="2728"/>
      <c r="C1862" s="2728"/>
      <c r="D1862" s="2728"/>
      <c r="E1862" s="2728"/>
      <c r="G1862" s="2512"/>
      <c r="I1862" s="2748"/>
      <c r="J1862" s="2728"/>
      <c r="L1862" s="2728"/>
      <c r="M1862" s="2748"/>
      <c r="N1862" s="2728"/>
      <c r="O1862" s="2728"/>
      <c r="P1862" s="2728"/>
      <c r="Q1862" s="2748"/>
      <c r="R1862" s="2748"/>
      <c r="S1862" s="2748"/>
      <c r="T1862" s="2748"/>
      <c r="U1862" s="2748"/>
      <c r="V1862" s="2748"/>
      <c r="W1862" s="2748"/>
      <c r="X1862" s="2748"/>
      <c r="Y1862" s="2748"/>
      <c r="Z1862" s="2748"/>
      <c r="AA1862" s="2748"/>
      <c r="AB1862" s="2748"/>
      <c r="AC1862" s="2748"/>
      <c r="AD1862" s="2748"/>
      <c r="AE1862" s="2748"/>
      <c r="AF1862" s="2748"/>
      <c r="AG1862" s="2748"/>
      <c r="AH1862" s="2748"/>
      <c r="AI1862" s="2748"/>
      <c r="AK1862" s="2748"/>
      <c r="AL1862" s="2748"/>
      <c r="AN1862" s="2748"/>
      <c r="AO1862" s="2748"/>
      <c r="AP1862" s="2748"/>
    </row>
    <row r="1863" spans="2:42" ht="18" customHeight="1">
      <c r="B1863" s="2728"/>
      <c r="C1863" s="2728"/>
      <c r="D1863" s="2728"/>
      <c r="E1863" s="2728"/>
      <c r="G1863" s="2512"/>
      <c r="I1863" s="2748"/>
      <c r="J1863" s="2728"/>
      <c r="L1863" s="2728"/>
      <c r="M1863" s="2748"/>
      <c r="N1863" s="2728"/>
      <c r="O1863" s="2728"/>
      <c r="P1863" s="2728"/>
      <c r="Q1863" s="2748"/>
      <c r="R1863" s="2748"/>
      <c r="S1863" s="2748"/>
      <c r="T1863" s="2748"/>
      <c r="U1863" s="2748"/>
      <c r="V1863" s="2748"/>
      <c r="W1863" s="2748"/>
      <c r="X1863" s="2748"/>
      <c r="Y1863" s="2748"/>
      <c r="Z1863" s="2748"/>
      <c r="AA1863" s="2748"/>
      <c r="AB1863" s="2748"/>
      <c r="AC1863" s="2748"/>
      <c r="AD1863" s="2748"/>
      <c r="AE1863" s="2748"/>
      <c r="AF1863" s="2748"/>
      <c r="AG1863" s="2748"/>
      <c r="AH1863" s="2748"/>
      <c r="AI1863" s="2748"/>
      <c r="AK1863" s="2748"/>
      <c r="AL1863" s="2748"/>
      <c r="AN1863" s="2748"/>
      <c r="AO1863" s="2748"/>
      <c r="AP1863" s="2748"/>
    </row>
    <row r="1864" spans="2:42" ht="18" customHeight="1">
      <c r="B1864" s="2728"/>
      <c r="C1864" s="2728"/>
      <c r="D1864" s="2728"/>
      <c r="E1864" s="2728"/>
      <c r="G1864" s="2512"/>
      <c r="I1864" s="2748"/>
      <c r="J1864" s="2728"/>
      <c r="L1864" s="2728"/>
      <c r="M1864" s="2748"/>
      <c r="N1864" s="2728"/>
      <c r="O1864" s="2728"/>
      <c r="P1864" s="2728"/>
      <c r="Q1864" s="2748"/>
      <c r="R1864" s="2748"/>
      <c r="S1864" s="2748"/>
      <c r="T1864" s="2748"/>
      <c r="U1864" s="2748"/>
      <c r="V1864" s="2748"/>
      <c r="W1864" s="2748"/>
      <c r="X1864" s="2748"/>
      <c r="Y1864" s="2748"/>
      <c r="Z1864" s="2748"/>
      <c r="AA1864" s="2748"/>
      <c r="AB1864" s="2748"/>
      <c r="AC1864" s="2748"/>
      <c r="AD1864" s="2748"/>
      <c r="AE1864" s="2748"/>
      <c r="AF1864" s="2748"/>
      <c r="AG1864" s="2748"/>
      <c r="AH1864" s="2748"/>
      <c r="AI1864" s="2748"/>
      <c r="AK1864" s="2748"/>
      <c r="AL1864" s="2748"/>
      <c r="AN1864" s="2748"/>
      <c r="AO1864" s="2748"/>
      <c r="AP1864" s="2748"/>
    </row>
    <row r="1865" spans="2:42" ht="18" customHeight="1">
      <c r="B1865" s="2728"/>
      <c r="C1865" s="2728"/>
      <c r="D1865" s="2728"/>
      <c r="E1865" s="2728"/>
      <c r="G1865" s="2512"/>
      <c r="I1865" s="2748"/>
      <c r="J1865" s="2728"/>
      <c r="L1865" s="2728"/>
      <c r="M1865" s="2748"/>
      <c r="N1865" s="2728"/>
      <c r="O1865" s="2728"/>
      <c r="P1865" s="2728"/>
      <c r="Q1865" s="2748"/>
      <c r="R1865" s="2748"/>
      <c r="S1865" s="2748"/>
      <c r="T1865" s="2748"/>
      <c r="U1865" s="2748"/>
      <c r="V1865" s="2748"/>
      <c r="W1865" s="2748"/>
      <c r="X1865" s="2748"/>
      <c r="Y1865" s="2748"/>
      <c r="Z1865" s="2748"/>
      <c r="AA1865" s="2748"/>
      <c r="AB1865" s="2748"/>
      <c r="AC1865" s="2748"/>
      <c r="AD1865" s="2748"/>
      <c r="AE1865" s="2748"/>
      <c r="AF1865" s="2748"/>
      <c r="AG1865" s="2748"/>
      <c r="AH1865" s="2748"/>
      <c r="AI1865" s="2748"/>
      <c r="AK1865" s="2748"/>
      <c r="AL1865" s="2748"/>
      <c r="AN1865" s="2748"/>
      <c r="AO1865" s="2748"/>
      <c r="AP1865" s="2748"/>
    </row>
    <row r="1866" spans="2:42" ht="18" customHeight="1">
      <c r="B1866" s="2728"/>
      <c r="C1866" s="2728"/>
      <c r="D1866" s="2728"/>
      <c r="E1866" s="2728"/>
      <c r="G1866" s="2512"/>
      <c r="I1866" s="2748"/>
      <c r="J1866" s="2728"/>
      <c r="L1866" s="2728"/>
      <c r="M1866" s="2748"/>
      <c r="N1866" s="2728"/>
      <c r="O1866" s="2728"/>
      <c r="P1866" s="2728"/>
      <c r="Q1866" s="2748"/>
      <c r="R1866" s="2748"/>
      <c r="S1866" s="2748"/>
      <c r="T1866" s="2748"/>
      <c r="U1866" s="2748"/>
      <c r="V1866" s="2748"/>
      <c r="W1866" s="2748"/>
      <c r="X1866" s="2748"/>
      <c r="Y1866" s="2748"/>
      <c r="Z1866" s="2748"/>
      <c r="AA1866" s="2748"/>
      <c r="AB1866" s="2748"/>
      <c r="AC1866" s="2748"/>
      <c r="AD1866" s="2748"/>
      <c r="AE1866" s="2748"/>
      <c r="AF1866" s="2748"/>
      <c r="AG1866" s="2748"/>
      <c r="AH1866" s="2748"/>
      <c r="AI1866" s="2748"/>
      <c r="AK1866" s="2748"/>
      <c r="AL1866" s="2748"/>
      <c r="AN1866" s="2748"/>
      <c r="AO1866" s="2748"/>
      <c r="AP1866" s="2748"/>
    </row>
    <row r="1867" spans="2:42" ht="18" customHeight="1">
      <c r="B1867" s="2728"/>
      <c r="C1867" s="2728"/>
      <c r="D1867" s="2728"/>
      <c r="E1867" s="2728"/>
      <c r="G1867" s="2512"/>
      <c r="I1867" s="2748"/>
      <c r="J1867" s="2728"/>
      <c r="L1867" s="2728"/>
      <c r="M1867" s="2748"/>
      <c r="N1867" s="2728"/>
      <c r="O1867" s="2728"/>
      <c r="P1867" s="2728"/>
      <c r="Q1867" s="2748"/>
      <c r="R1867" s="2748"/>
      <c r="S1867" s="2748"/>
      <c r="T1867" s="2748"/>
      <c r="U1867" s="2748"/>
      <c r="V1867" s="2748"/>
      <c r="W1867" s="2748"/>
      <c r="X1867" s="2748"/>
      <c r="Y1867" s="2748"/>
      <c r="Z1867" s="2748"/>
      <c r="AA1867" s="2748"/>
      <c r="AB1867" s="2748"/>
      <c r="AC1867" s="2748"/>
      <c r="AD1867" s="2748"/>
      <c r="AE1867" s="2748"/>
      <c r="AF1867" s="2748"/>
      <c r="AG1867" s="2748"/>
      <c r="AH1867" s="2748"/>
      <c r="AI1867" s="2748"/>
      <c r="AK1867" s="2748"/>
      <c r="AL1867" s="2748"/>
      <c r="AN1867" s="2748"/>
      <c r="AO1867" s="2748"/>
      <c r="AP1867" s="2748"/>
    </row>
    <row r="1868" spans="2:42" ht="18" customHeight="1">
      <c r="B1868" s="2728"/>
      <c r="C1868" s="2728"/>
      <c r="D1868" s="2728"/>
      <c r="E1868" s="2728"/>
      <c r="G1868" s="2512"/>
      <c r="I1868" s="2748"/>
      <c r="J1868" s="2728"/>
      <c r="L1868" s="2728"/>
      <c r="M1868" s="2748"/>
      <c r="N1868" s="2728"/>
      <c r="O1868" s="2728"/>
      <c r="P1868" s="2728"/>
      <c r="Q1868" s="2748"/>
      <c r="R1868" s="2748"/>
      <c r="S1868" s="2748"/>
      <c r="T1868" s="2748"/>
      <c r="U1868" s="2748"/>
      <c r="V1868" s="2748"/>
      <c r="W1868" s="2748"/>
      <c r="X1868" s="2748"/>
      <c r="Y1868" s="2748"/>
      <c r="Z1868" s="2748"/>
      <c r="AA1868" s="2748"/>
      <c r="AB1868" s="2748"/>
      <c r="AC1868" s="2748"/>
      <c r="AD1868" s="2748"/>
      <c r="AE1868" s="2748"/>
      <c r="AF1868" s="2748"/>
      <c r="AG1868" s="2748"/>
      <c r="AH1868" s="2748"/>
      <c r="AI1868" s="2748"/>
      <c r="AK1868" s="2748"/>
      <c r="AL1868" s="2748"/>
      <c r="AN1868" s="2748"/>
      <c r="AO1868" s="2748"/>
      <c r="AP1868" s="2748"/>
    </row>
    <row r="1869" spans="2:42" ht="18" customHeight="1">
      <c r="B1869" s="2728"/>
      <c r="C1869" s="2728"/>
      <c r="D1869" s="2728"/>
      <c r="E1869" s="2728"/>
      <c r="G1869" s="2512"/>
      <c r="I1869" s="2748"/>
      <c r="J1869" s="2728"/>
      <c r="L1869" s="2728"/>
      <c r="M1869" s="2748"/>
      <c r="N1869" s="2728"/>
      <c r="O1869" s="2728"/>
      <c r="P1869" s="2728"/>
      <c r="Q1869" s="2748"/>
      <c r="R1869" s="2748"/>
      <c r="S1869" s="2748"/>
      <c r="T1869" s="2748"/>
      <c r="U1869" s="2748"/>
      <c r="V1869" s="2748"/>
      <c r="W1869" s="2748"/>
      <c r="X1869" s="2748"/>
      <c r="Y1869" s="2748"/>
      <c r="Z1869" s="2748"/>
      <c r="AA1869" s="2748"/>
      <c r="AB1869" s="2748"/>
      <c r="AC1869" s="2748"/>
      <c r="AD1869" s="2748"/>
      <c r="AE1869" s="2748"/>
      <c r="AF1869" s="2748"/>
      <c r="AG1869" s="2748"/>
      <c r="AH1869" s="2748"/>
      <c r="AI1869" s="2748"/>
      <c r="AK1869" s="2748"/>
      <c r="AL1869" s="2748"/>
      <c r="AN1869" s="2748"/>
      <c r="AO1869" s="2748"/>
      <c r="AP1869" s="2748"/>
    </row>
    <row r="1870" spans="2:42" ht="18" customHeight="1">
      <c r="B1870" s="2728"/>
      <c r="C1870" s="2728"/>
      <c r="D1870" s="2728"/>
      <c r="E1870" s="2728"/>
      <c r="G1870" s="2512"/>
      <c r="I1870" s="2748"/>
      <c r="J1870" s="2728"/>
      <c r="L1870" s="2728"/>
      <c r="M1870" s="2748"/>
      <c r="N1870" s="2728"/>
      <c r="O1870" s="2728"/>
      <c r="P1870" s="2728"/>
      <c r="Q1870" s="2748"/>
      <c r="R1870" s="2748"/>
      <c r="S1870" s="2748"/>
      <c r="T1870" s="2748"/>
      <c r="U1870" s="2748"/>
      <c r="V1870" s="2748"/>
      <c r="W1870" s="2748"/>
      <c r="X1870" s="2748"/>
      <c r="Y1870" s="2748"/>
      <c r="Z1870" s="2748"/>
      <c r="AA1870" s="2748"/>
      <c r="AB1870" s="2748"/>
      <c r="AC1870" s="2748"/>
      <c r="AD1870" s="2748"/>
      <c r="AE1870" s="2748"/>
      <c r="AF1870" s="2748"/>
      <c r="AG1870" s="2748"/>
      <c r="AH1870" s="2748"/>
      <c r="AI1870" s="2748"/>
      <c r="AK1870" s="2748"/>
      <c r="AL1870" s="2748"/>
      <c r="AN1870" s="2748"/>
      <c r="AO1870" s="2748"/>
      <c r="AP1870" s="2748"/>
    </row>
    <row r="1871" spans="2:42" ht="18" customHeight="1">
      <c r="B1871" s="2728"/>
      <c r="C1871" s="2728"/>
      <c r="D1871" s="2728"/>
      <c r="E1871" s="2728"/>
      <c r="G1871" s="2512"/>
      <c r="I1871" s="2748"/>
      <c r="J1871" s="2728"/>
      <c r="L1871" s="2728"/>
      <c r="M1871" s="2748"/>
      <c r="N1871" s="2728"/>
      <c r="O1871" s="2728"/>
      <c r="P1871" s="2728"/>
      <c r="Q1871" s="2748"/>
      <c r="R1871" s="2748"/>
      <c r="S1871" s="2748"/>
      <c r="T1871" s="2748"/>
      <c r="U1871" s="2748"/>
      <c r="V1871" s="2748"/>
      <c r="W1871" s="2748"/>
      <c r="X1871" s="2748"/>
      <c r="Y1871" s="2748"/>
      <c r="Z1871" s="2748"/>
      <c r="AA1871" s="2748"/>
      <c r="AB1871" s="2748"/>
      <c r="AC1871" s="2748"/>
      <c r="AD1871" s="2748"/>
      <c r="AE1871" s="2748"/>
      <c r="AF1871" s="2748"/>
      <c r="AG1871" s="2748"/>
      <c r="AH1871" s="2748"/>
      <c r="AI1871" s="2748"/>
      <c r="AK1871" s="2748"/>
      <c r="AL1871" s="2748"/>
      <c r="AN1871" s="2748"/>
      <c r="AO1871" s="2748"/>
      <c r="AP1871" s="2748"/>
    </row>
    <row r="1872" spans="2:42" ht="18" customHeight="1">
      <c r="B1872" s="2728"/>
      <c r="C1872" s="2728"/>
      <c r="D1872" s="2728"/>
      <c r="E1872" s="2728"/>
      <c r="G1872" s="2512"/>
      <c r="I1872" s="2748"/>
      <c r="J1872" s="2728"/>
      <c r="L1872" s="2728"/>
      <c r="M1872" s="2748"/>
      <c r="N1872" s="2728"/>
      <c r="O1872" s="2728"/>
      <c r="P1872" s="2728"/>
      <c r="Q1872" s="2748"/>
      <c r="R1872" s="2748"/>
      <c r="S1872" s="2748"/>
      <c r="T1872" s="2748"/>
      <c r="U1872" s="2748"/>
      <c r="V1872" s="2748"/>
      <c r="W1872" s="2748"/>
      <c r="X1872" s="2748"/>
      <c r="Y1872" s="2748"/>
      <c r="Z1872" s="2748"/>
      <c r="AA1872" s="2748"/>
      <c r="AB1872" s="2748"/>
      <c r="AC1872" s="2748"/>
      <c r="AD1872" s="2748"/>
      <c r="AE1872" s="2748"/>
      <c r="AF1872" s="2748"/>
      <c r="AG1872" s="2748"/>
      <c r="AH1872" s="2748"/>
      <c r="AI1872" s="2748"/>
      <c r="AK1872" s="2748"/>
      <c r="AL1872" s="2748"/>
      <c r="AN1872" s="2748"/>
      <c r="AO1872" s="2748"/>
      <c r="AP1872" s="2748"/>
    </row>
    <row r="1873" spans="2:42" ht="18" customHeight="1">
      <c r="B1873" s="2728"/>
      <c r="C1873" s="2728"/>
      <c r="D1873" s="2728"/>
      <c r="E1873" s="2728"/>
      <c r="G1873" s="2512"/>
      <c r="I1873" s="2748"/>
      <c r="J1873" s="2728"/>
      <c r="L1873" s="2728"/>
      <c r="M1873" s="2748"/>
      <c r="N1873" s="2728"/>
      <c r="O1873" s="2728"/>
      <c r="P1873" s="2728"/>
      <c r="Q1873" s="2748"/>
      <c r="R1873" s="2748"/>
      <c r="S1873" s="2748"/>
      <c r="T1873" s="2748"/>
      <c r="U1873" s="2748"/>
      <c r="V1873" s="2748"/>
      <c r="W1873" s="2748"/>
      <c r="X1873" s="2748"/>
      <c r="Y1873" s="2748"/>
      <c r="Z1873" s="2748"/>
      <c r="AA1873" s="2748"/>
      <c r="AB1873" s="2748"/>
      <c r="AC1873" s="2748"/>
      <c r="AD1873" s="2748"/>
      <c r="AE1873" s="2748"/>
      <c r="AF1873" s="2748"/>
      <c r="AG1873" s="2748"/>
      <c r="AH1873" s="2748"/>
      <c r="AI1873" s="2748"/>
      <c r="AK1873" s="2748"/>
      <c r="AL1873" s="2748"/>
      <c r="AN1873" s="2748"/>
      <c r="AO1873" s="2748"/>
      <c r="AP1873" s="2748"/>
    </row>
    <row r="1874" spans="2:42" ht="18" customHeight="1">
      <c r="B1874" s="2728"/>
      <c r="C1874" s="2728"/>
      <c r="D1874" s="2728"/>
      <c r="E1874" s="2728"/>
      <c r="G1874" s="2512"/>
      <c r="I1874" s="2748"/>
      <c r="J1874" s="2728"/>
      <c r="L1874" s="2728"/>
      <c r="M1874" s="2748"/>
      <c r="N1874" s="2728"/>
      <c r="O1874" s="2728"/>
      <c r="P1874" s="2728"/>
      <c r="Q1874" s="2748"/>
      <c r="R1874" s="2748"/>
      <c r="S1874" s="2748"/>
      <c r="T1874" s="2748"/>
      <c r="U1874" s="2748"/>
      <c r="V1874" s="2748"/>
      <c r="W1874" s="2748"/>
      <c r="X1874" s="2748"/>
      <c r="Y1874" s="2748"/>
      <c r="Z1874" s="2748"/>
      <c r="AA1874" s="2748"/>
      <c r="AB1874" s="2748"/>
      <c r="AC1874" s="2748"/>
      <c r="AD1874" s="2748"/>
      <c r="AE1874" s="2748"/>
      <c r="AF1874" s="2748"/>
      <c r="AG1874" s="2748"/>
      <c r="AH1874" s="2748"/>
      <c r="AI1874" s="2748"/>
      <c r="AK1874" s="2748"/>
      <c r="AL1874" s="2748"/>
      <c r="AN1874" s="2748"/>
      <c r="AO1874" s="2748"/>
      <c r="AP1874" s="2748"/>
    </row>
    <row r="1875" spans="2:42" ht="18" customHeight="1">
      <c r="B1875" s="2728"/>
      <c r="C1875" s="2728"/>
      <c r="D1875" s="2728"/>
      <c r="E1875" s="2728"/>
      <c r="G1875" s="2512"/>
      <c r="I1875" s="2748"/>
      <c r="J1875" s="2728"/>
      <c r="L1875" s="2728"/>
      <c r="M1875" s="2748"/>
      <c r="N1875" s="2728"/>
      <c r="O1875" s="2728"/>
      <c r="P1875" s="2728"/>
      <c r="Q1875" s="2748"/>
      <c r="R1875" s="2748"/>
      <c r="S1875" s="2748"/>
      <c r="T1875" s="2748"/>
      <c r="U1875" s="2748"/>
      <c r="V1875" s="2748"/>
      <c r="W1875" s="2748"/>
      <c r="X1875" s="2748"/>
      <c r="Y1875" s="2748"/>
      <c r="Z1875" s="2748"/>
      <c r="AA1875" s="2748"/>
      <c r="AB1875" s="2748"/>
      <c r="AC1875" s="2748"/>
      <c r="AD1875" s="2748"/>
      <c r="AE1875" s="2748"/>
      <c r="AF1875" s="2748"/>
      <c r="AG1875" s="2748"/>
      <c r="AH1875" s="2748"/>
      <c r="AI1875" s="2748"/>
      <c r="AK1875" s="2748"/>
      <c r="AL1875" s="2748"/>
      <c r="AN1875" s="2748"/>
      <c r="AO1875" s="2748"/>
      <c r="AP1875" s="2748"/>
    </row>
    <row r="1876" spans="2:42" ht="18" customHeight="1">
      <c r="B1876" s="2728"/>
      <c r="C1876" s="2728"/>
      <c r="D1876" s="2728"/>
      <c r="E1876" s="2728"/>
      <c r="G1876" s="2512"/>
      <c r="I1876" s="2748"/>
      <c r="J1876" s="2728"/>
      <c r="L1876" s="2728"/>
      <c r="M1876" s="2748"/>
      <c r="N1876" s="2728"/>
      <c r="O1876" s="2728"/>
      <c r="P1876" s="2728"/>
      <c r="Q1876" s="2748"/>
      <c r="R1876" s="2748"/>
      <c r="S1876" s="2748"/>
      <c r="T1876" s="2748"/>
      <c r="U1876" s="2748"/>
      <c r="V1876" s="2748"/>
      <c r="W1876" s="2748"/>
      <c r="X1876" s="2748"/>
      <c r="Y1876" s="2748"/>
      <c r="Z1876" s="2748"/>
      <c r="AA1876" s="2748"/>
      <c r="AB1876" s="2748"/>
      <c r="AC1876" s="2748"/>
      <c r="AD1876" s="2748"/>
      <c r="AE1876" s="2748"/>
      <c r="AF1876" s="2748"/>
      <c r="AG1876" s="2748"/>
      <c r="AH1876" s="2748"/>
      <c r="AI1876" s="2748"/>
      <c r="AK1876" s="2748"/>
      <c r="AL1876" s="2748"/>
      <c r="AN1876" s="2748"/>
      <c r="AO1876" s="2748"/>
      <c r="AP1876" s="2748"/>
    </row>
    <row r="1877" spans="2:42" ht="18" customHeight="1">
      <c r="B1877" s="2728"/>
      <c r="C1877" s="2728"/>
      <c r="D1877" s="2728"/>
      <c r="E1877" s="2728"/>
      <c r="G1877" s="2512"/>
      <c r="I1877" s="2748"/>
      <c r="J1877" s="2728"/>
      <c r="L1877" s="2728"/>
      <c r="M1877" s="2748"/>
      <c r="N1877" s="2728"/>
      <c r="O1877" s="2728"/>
      <c r="P1877" s="2728"/>
      <c r="Q1877" s="2748"/>
      <c r="R1877" s="2748"/>
      <c r="S1877" s="2748"/>
      <c r="T1877" s="2748"/>
      <c r="U1877" s="2748"/>
      <c r="V1877" s="2748"/>
      <c r="W1877" s="2748"/>
      <c r="X1877" s="2748"/>
      <c r="Y1877" s="2748"/>
      <c r="Z1877" s="2748"/>
      <c r="AA1877" s="2748"/>
      <c r="AB1877" s="2748"/>
      <c r="AC1877" s="2748"/>
      <c r="AD1877" s="2748"/>
      <c r="AE1877" s="2748"/>
      <c r="AF1877" s="2748"/>
      <c r="AG1877" s="2748"/>
      <c r="AH1877" s="2748"/>
      <c r="AI1877" s="2748"/>
      <c r="AK1877" s="2748"/>
      <c r="AL1877" s="2748"/>
      <c r="AN1877" s="2748"/>
      <c r="AO1877" s="2748"/>
      <c r="AP1877" s="2748"/>
    </row>
    <row r="1878" spans="2:42" ht="18" customHeight="1">
      <c r="B1878" s="2728"/>
      <c r="C1878" s="2728"/>
      <c r="D1878" s="2728"/>
      <c r="E1878" s="2728"/>
      <c r="G1878" s="2512"/>
      <c r="I1878" s="2748"/>
      <c r="J1878" s="2728"/>
      <c r="L1878" s="2728"/>
      <c r="M1878" s="2748"/>
      <c r="N1878" s="2728"/>
      <c r="O1878" s="2728"/>
      <c r="P1878" s="2728"/>
      <c r="Q1878" s="2748"/>
      <c r="R1878" s="2748"/>
      <c r="S1878" s="2748"/>
      <c r="T1878" s="2748"/>
      <c r="U1878" s="2748"/>
      <c r="V1878" s="2748"/>
      <c r="W1878" s="2748"/>
      <c r="X1878" s="2748"/>
      <c r="Y1878" s="2748"/>
      <c r="Z1878" s="2748"/>
      <c r="AA1878" s="2748"/>
      <c r="AB1878" s="2748"/>
      <c r="AC1878" s="2748"/>
      <c r="AD1878" s="2748"/>
      <c r="AE1878" s="2748"/>
      <c r="AF1878" s="2748"/>
      <c r="AG1878" s="2748"/>
      <c r="AH1878" s="2748"/>
      <c r="AI1878" s="2748"/>
      <c r="AK1878" s="2748"/>
      <c r="AL1878" s="2748"/>
      <c r="AN1878" s="2748"/>
      <c r="AO1878" s="2748"/>
      <c r="AP1878" s="2748"/>
    </row>
    <row r="1879" spans="2:42" ht="18" customHeight="1">
      <c r="B1879" s="2728"/>
      <c r="C1879" s="2728"/>
      <c r="D1879" s="2728"/>
      <c r="E1879" s="2728"/>
      <c r="G1879" s="2512"/>
      <c r="I1879" s="2748"/>
      <c r="J1879" s="2728"/>
      <c r="L1879" s="2728"/>
      <c r="M1879" s="2748"/>
      <c r="N1879" s="2728"/>
      <c r="O1879" s="2728"/>
      <c r="P1879" s="2728"/>
      <c r="Q1879" s="2748"/>
      <c r="R1879" s="2748"/>
      <c r="S1879" s="2748"/>
      <c r="T1879" s="2748"/>
      <c r="U1879" s="2748"/>
      <c r="V1879" s="2748"/>
      <c r="W1879" s="2748"/>
      <c r="X1879" s="2748"/>
      <c r="Y1879" s="2748"/>
      <c r="Z1879" s="2748"/>
      <c r="AA1879" s="2748"/>
      <c r="AB1879" s="2748"/>
      <c r="AC1879" s="2748"/>
      <c r="AD1879" s="2748"/>
      <c r="AE1879" s="2748"/>
      <c r="AF1879" s="2748"/>
      <c r="AG1879" s="2748"/>
      <c r="AH1879" s="2748"/>
      <c r="AI1879" s="2748"/>
      <c r="AK1879" s="2748"/>
      <c r="AL1879" s="2748"/>
      <c r="AN1879" s="2748"/>
      <c r="AO1879" s="2748"/>
      <c r="AP1879" s="2748"/>
    </row>
    <row r="1880" spans="2:42" ht="18" customHeight="1">
      <c r="B1880" s="2728"/>
      <c r="C1880" s="2728"/>
      <c r="D1880" s="2728"/>
      <c r="E1880" s="2728"/>
      <c r="G1880" s="2512"/>
      <c r="I1880" s="2748"/>
      <c r="J1880" s="2728"/>
      <c r="L1880" s="2728"/>
      <c r="M1880" s="2748"/>
      <c r="N1880" s="2728"/>
      <c r="O1880" s="2728"/>
      <c r="P1880" s="2728"/>
      <c r="Q1880" s="2748"/>
      <c r="R1880" s="2748"/>
      <c r="S1880" s="2748"/>
      <c r="T1880" s="2748"/>
      <c r="U1880" s="2748"/>
      <c r="V1880" s="2748"/>
      <c r="W1880" s="2748"/>
      <c r="X1880" s="2748"/>
      <c r="Y1880" s="2748"/>
      <c r="Z1880" s="2748"/>
      <c r="AA1880" s="2748"/>
      <c r="AB1880" s="2748"/>
      <c r="AC1880" s="2748"/>
      <c r="AD1880" s="2748"/>
      <c r="AE1880" s="2748"/>
      <c r="AF1880" s="2748"/>
      <c r="AG1880" s="2748"/>
      <c r="AH1880" s="2748"/>
      <c r="AI1880" s="2748"/>
      <c r="AK1880" s="2748"/>
      <c r="AL1880" s="2748"/>
      <c r="AN1880" s="2748"/>
      <c r="AO1880" s="2748"/>
      <c r="AP1880" s="2748"/>
    </row>
    <row r="1881" spans="2:42" ht="18" customHeight="1">
      <c r="B1881" s="2728"/>
      <c r="C1881" s="2728"/>
      <c r="D1881" s="2728"/>
      <c r="E1881" s="2728"/>
      <c r="G1881" s="2512"/>
      <c r="I1881" s="2748"/>
      <c r="J1881" s="2728"/>
      <c r="L1881" s="2728"/>
      <c r="M1881" s="2748"/>
      <c r="N1881" s="2728"/>
      <c r="O1881" s="2728"/>
      <c r="P1881" s="2728"/>
      <c r="Q1881" s="2748"/>
      <c r="R1881" s="2748"/>
      <c r="S1881" s="2748"/>
      <c r="T1881" s="2748"/>
      <c r="U1881" s="2748"/>
      <c r="V1881" s="2748"/>
      <c r="W1881" s="2748"/>
      <c r="X1881" s="2748"/>
      <c r="Y1881" s="2748"/>
      <c r="Z1881" s="2748"/>
      <c r="AA1881" s="2748"/>
      <c r="AB1881" s="2748"/>
      <c r="AC1881" s="2748"/>
      <c r="AD1881" s="2748"/>
      <c r="AE1881" s="2748"/>
      <c r="AF1881" s="2748"/>
      <c r="AG1881" s="2748"/>
      <c r="AH1881" s="2748"/>
      <c r="AI1881" s="2748"/>
      <c r="AK1881" s="2748"/>
      <c r="AL1881" s="2748"/>
      <c r="AN1881" s="2748"/>
      <c r="AO1881" s="2748"/>
      <c r="AP1881" s="2748"/>
    </row>
    <row r="1882" spans="2:42" ht="18" customHeight="1">
      <c r="B1882" s="2728"/>
      <c r="C1882" s="2728"/>
      <c r="D1882" s="2728"/>
      <c r="E1882" s="2728"/>
      <c r="G1882" s="2512"/>
      <c r="I1882" s="2748"/>
      <c r="J1882" s="2728"/>
      <c r="L1882" s="2728"/>
      <c r="M1882" s="2748"/>
      <c r="N1882" s="2728"/>
      <c r="O1882" s="2728"/>
      <c r="P1882" s="2728"/>
      <c r="Q1882" s="2748"/>
      <c r="R1882" s="2748"/>
      <c r="S1882" s="2748"/>
      <c r="T1882" s="2748"/>
      <c r="U1882" s="2748"/>
      <c r="V1882" s="2748"/>
      <c r="W1882" s="2748"/>
      <c r="X1882" s="2748"/>
      <c r="Y1882" s="2748"/>
      <c r="Z1882" s="2748"/>
      <c r="AA1882" s="2748"/>
      <c r="AB1882" s="2748"/>
      <c r="AC1882" s="2748"/>
      <c r="AD1882" s="2748"/>
      <c r="AE1882" s="2748"/>
      <c r="AF1882" s="2748"/>
      <c r="AG1882" s="2748"/>
      <c r="AH1882" s="2748"/>
      <c r="AI1882" s="2748"/>
      <c r="AK1882" s="2748"/>
      <c r="AL1882" s="2748"/>
      <c r="AN1882" s="2748"/>
      <c r="AO1882" s="2748"/>
      <c r="AP1882" s="2748"/>
    </row>
    <row r="1883" spans="2:42" ht="18" customHeight="1">
      <c r="B1883" s="2728"/>
      <c r="C1883" s="2728"/>
      <c r="D1883" s="2728"/>
      <c r="E1883" s="2728"/>
      <c r="G1883" s="2512"/>
      <c r="I1883" s="2748"/>
      <c r="J1883" s="2728"/>
      <c r="L1883" s="2728"/>
      <c r="M1883" s="2748"/>
      <c r="N1883" s="2728"/>
      <c r="O1883" s="2728"/>
      <c r="P1883" s="2728"/>
      <c r="Q1883" s="2748"/>
      <c r="R1883" s="2748"/>
      <c r="S1883" s="2748"/>
      <c r="T1883" s="2748"/>
      <c r="U1883" s="2748"/>
      <c r="V1883" s="2748"/>
      <c r="W1883" s="2748"/>
      <c r="X1883" s="2748"/>
      <c r="Y1883" s="2748"/>
      <c r="Z1883" s="2748"/>
      <c r="AA1883" s="2748"/>
      <c r="AB1883" s="2748"/>
      <c r="AC1883" s="2748"/>
      <c r="AD1883" s="2748"/>
      <c r="AE1883" s="2748"/>
      <c r="AF1883" s="2748"/>
      <c r="AG1883" s="2748"/>
      <c r="AH1883" s="2748"/>
      <c r="AI1883" s="2748"/>
      <c r="AK1883" s="2748"/>
      <c r="AL1883" s="2748"/>
      <c r="AN1883" s="2748"/>
      <c r="AO1883" s="2748"/>
      <c r="AP1883" s="2748"/>
    </row>
    <row r="1884" spans="2:42" ht="18" customHeight="1">
      <c r="B1884" s="2728"/>
      <c r="C1884" s="2728"/>
      <c r="D1884" s="2728"/>
      <c r="E1884" s="2728"/>
      <c r="G1884" s="2512"/>
      <c r="I1884" s="2748"/>
      <c r="J1884" s="2728"/>
      <c r="L1884" s="2728"/>
      <c r="M1884" s="2748"/>
      <c r="N1884" s="2728"/>
      <c r="O1884" s="2728"/>
      <c r="P1884" s="2728"/>
      <c r="Q1884" s="2748"/>
      <c r="R1884" s="2748"/>
      <c r="S1884" s="2748"/>
      <c r="T1884" s="2748"/>
      <c r="U1884" s="2748"/>
      <c r="V1884" s="2748"/>
      <c r="W1884" s="2748"/>
      <c r="X1884" s="2748"/>
      <c r="Y1884" s="2748"/>
      <c r="Z1884" s="2748"/>
      <c r="AA1884" s="2748"/>
      <c r="AB1884" s="2748"/>
      <c r="AC1884" s="2748"/>
      <c r="AD1884" s="2748"/>
      <c r="AE1884" s="2748"/>
      <c r="AF1884" s="2748"/>
      <c r="AG1884" s="2748"/>
      <c r="AH1884" s="2748"/>
      <c r="AI1884" s="2748"/>
      <c r="AK1884" s="2748"/>
      <c r="AL1884" s="2748"/>
      <c r="AN1884" s="2748"/>
      <c r="AO1884" s="2748"/>
      <c r="AP1884" s="2748"/>
    </row>
    <row r="1885" spans="2:42" ht="18" customHeight="1">
      <c r="B1885" s="2728"/>
      <c r="C1885" s="2728"/>
      <c r="D1885" s="2728"/>
      <c r="E1885" s="2728"/>
      <c r="G1885" s="2512"/>
      <c r="I1885" s="2748"/>
      <c r="J1885" s="2728"/>
      <c r="L1885" s="2728"/>
      <c r="M1885" s="2748"/>
      <c r="N1885" s="2728"/>
      <c r="O1885" s="2728"/>
      <c r="P1885" s="2728"/>
      <c r="Q1885" s="2748"/>
      <c r="R1885" s="2748"/>
      <c r="S1885" s="2748"/>
      <c r="T1885" s="2748"/>
      <c r="U1885" s="2748"/>
      <c r="V1885" s="2748"/>
      <c r="W1885" s="2748"/>
      <c r="X1885" s="2748"/>
      <c r="Y1885" s="2748"/>
      <c r="Z1885" s="2748"/>
      <c r="AA1885" s="2748"/>
      <c r="AB1885" s="2748"/>
      <c r="AC1885" s="2748"/>
      <c r="AD1885" s="2748"/>
      <c r="AE1885" s="2748"/>
      <c r="AF1885" s="2748"/>
      <c r="AG1885" s="2748"/>
      <c r="AH1885" s="2748"/>
      <c r="AI1885" s="2748"/>
      <c r="AK1885" s="2748"/>
      <c r="AL1885" s="2748"/>
      <c r="AN1885" s="2748"/>
      <c r="AO1885" s="2748"/>
      <c r="AP1885" s="2748"/>
    </row>
    <row r="1886" spans="2:42" ht="18" customHeight="1">
      <c r="B1886" s="2728"/>
      <c r="C1886" s="2728"/>
      <c r="D1886" s="2728"/>
      <c r="E1886" s="2728"/>
      <c r="G1886" s="2512"/>
      <c r="I1886" s="2748"/>
      <c r="J1886" s="2728"/>
      <c r="L1886" s="2728"/>
      <c r="M1886" s="2748"/>
      <c r="N1886" s="2728"/>
      <c r="O1886" s="2728"/>
      <c r="P1886" s="2728"/>
      <c r="Q1886" s="2748"/>
      <c r="R1886" s="2748"/>
      <c r="S1886" s="2748"/>
      <c r="T1886" s="2748"/>
      <c r="U1886" s="2748"/>
      <c r="V1886" s="2748"/>
      <c r="W1886" s="2748"/>
      <c r="X1886" s="2748"/>
      <c r="Y1886" s="2748"/>
      <c r="Z1886" s="2748"/>
      <c r="AA1886" s="2748"/>
      <c r="AB1886" s="2748"/>
      <c r="AC1886" s="2748"/>
      <c r="AD1886" s="2748"/>
      <c r="AE1886" s="2748"/>
      <c r="AF1886" s="2748"/>
      <c r="AG1886" s="2748"/>
      <c r="AH1886" s="2748"/>
      <c r="AI1886" s="2748"/>
      <c r="AK1886" s="2748"/>
      <c r="AL1886" s="2748"/>
      <c r="AN1886" s="2748"/>
      <c r="AO1886" s="2748"/>
      <c r="AP1886" s="2748"/>
    </row>
    <row r="1887" spans="2:42" ht="18" customHeight="1">
      <c r="B1887" s="2728"/>
      <c r="C1887" s="2728"/>
      <c r="D1887" s="2728"/>
      <c r="E1887" s="2728"/>
      <c r="G1887" s="2512"/>
      <c r="I1887" s="2748"/>
      <c r="J1887" s="2728"/>
      <c r="L1887" s="2728"/>
      <c r="M1887" s="2748"/>
      <c r="N1887" s="2728"/>
      <c r="O1887" s="2728"/>
      <c r="P1887" s="2728"/>
      <c r="Q1887" s="2748"/>
      <c r="R1887" s="2748"/>
      <c r="S1887" s="2748"/>
      <c r="T1887" s="2748"/>
      <c r="U1887" s="2748"/>
      <c r="V1887" s="2748"/>
      <c r="W1887" s="2748"/>
      <c r="X1887" s="2748"/>
      <c r="Y1887" s="2748"/>
      <c r="Z1887" s="2748"/>
      <c r="AA1887" s="2748"/>
      <c r="AB1887" s="2748"/>
      <c r="AC1887" s="2748"/>
      <c r="AD1887" s="2748"/>
      <c r="AE1887" s="2748"/>
      <c r="AF1887" s="2748"/>
      <c r="AG1887" s="2748"/>
      <c r="AH1887" s="2748"/>
      <c r="AI1887" s="2748"/>
      <c r="AK1887" s="2748"/>
      <c r="AL1887" s="2748"/>
      <c r="AN1887" s="2748"/>
      <c r="AO1887" s="2748"/>
      <c r="AP1887" s="2748"/>
    </row>
    <row r="1888" spans="2:42" ht="18" customHeight="1">
      <c r="B1888" s="2728"/>
      <c r="C1888" s="2728"/>
      <c r="D1888" s="2728"/>
      <c r="E1888" s="2728"/>
      <c r="G1888" s="2512"/>
      <c r="I1888" s="2748"/>
      <c r="J1888" s="2728"/>
      <c r="L1888" s="2728"/>
      <c r="M1888" s="2748"/>
      <c r="N1888" s="2728"/>
      <c r="O1888" s="2728"/>
      <c r="P1888" s="2728"/>
      <c r="Q1888" s="2748"/>
      <c r="R1888" s="2748"/>
      <c r="S1888" s="2748"/>
      <c r="T1888" s="2748"/>
      <c r="U1888" s="2748"/>
      <c r="V1888" s="2748"/>
      <c r="W1888" s="2748"/>
      <c r="X1888" s="2748"/>
      <c r="Y1888" s="2748"/>
      <c r="Z1888" s="2748"/>
      <c r="AA1888" s="2748"/>
      <c r="AB1888" s="2748"/>
      <c r="AC1888" s="2748"/>
      <c r="AD1888" s="2748"/>
      <c r="AE1888" s="2748"/>
      <c r="AF1888" s="2748"/>
      <c r="AG1888" s="2748"/>
      <c r="AH1888" s="2748"/>
      <c r="AI1888" s="2748"/>
      <c r="AK1888" s="2748"/>
      <c r="AL1888" s="2748"/>
      <c r="AN1888" s="2748"/>
      <c r="AO1888" s="2748"/>
      <c r="AP1888" s="2748"/>
    </row>
    <row r="1889" spans="2:42" ht="18" customHeight="1">
      <c r="B1889" s="2728"/>
      <c r="C1889" s="2728"/>
      <c r="D1889" s="2728"/>
      <c r="E1889" s="2728"/>
      <c r="G1889" s="2512"/>
      <c r="I1889" s="2748"/>
      <c r="J1889" s="2728"/>
      <c r="L1889" s="2728"/>
      <c r="M1889" s="2748"/>
      <c r="N1889" s="2728"/>
      <c r="O1889" s="2728"/>
      <c r="P1889" s="2728"/>
      <c r="Q1889" s="2748"/>
      <c r="R1889" s="2748"/>
      <c r="S1889" s="2748"/>
      <c r="T1889" s="2748"/>
      <c r="U1889" s="2748"/>
      <c r="V1889" s="2748"/>
      <c r="W1889" s="2748"/>
      <c r="X1889" s="2748"/>
      <c r="Y1889" s="2748"/>
      <c r="Z1889" s="2748"/>
      <c r="AA1889" s="2748"/>
      <c r="AB1889" s="2748"/>
      <c r="AC1889" s="2748"/>
      <c r="AD1889" s="2748"/>
      <c r="AE1889" s="2748"/>
      <c r="AF1889" s="2748"/>
      <c r="AG1889" s="2748"/>
      <c r="AH1889" s="2748"/>
      <c r="AI1889" s="2748"/>
      <c r="AK1889" s="2748"/>
      <c r="AL1889" s="2748"/>
      <c r="AN1889" s="2748"/>
      <c r="AO1889" s="2748"/>
      <c r="AP1889" s="2748"/>
    </row>
    <row r="1890" spans="2:42" ht="18" customHeight="1">
      <c r="B1890" s="2728"/>
      <c r="C1890" s="2728"/>
      <c r="D1890" s="2728"/>
      <c r="E1890" s="2728"/>
      <c r="G1890" s="2512"/>
      <c r="I1890" s="2748"/>
      <c r="J1890" s="2728"/>
      <c r="L1890" s="2728"/>
      <c r="M1890" s="2748"/>
      <c r="N1890" s="2728"/>
      <c r="O1890" s="2728"/>
      <c r="P1890" s="2728"/>
      <c r="Q1890" s="2748"/>
      <c r="R1890" s="2748"/>
      <c r="S1890" s="2748"/>
      <c r="T1890" s="2748"/>
      <c r="U1890" s="2748"/>
      <c r="V1890" s="2748"/>
      <c r="W1890" s="2748"/>
      <c r="X1890" s="2748"/>
      <c r="Y1890" s="2748"/>
      <c r="Z1890" s="2748"/>
      <c r="AA1890" s="2748"/>
      <c r="AB1890" s="2748"/>
      <c r="AC1890" s="2748"/>
      <c r="AD1890" s="2748"/>
      <c r="AE1890" s="2748"/>
      <c r="AF1890" s="2748"/>
      <c r="AG1890" s="2748"/>
      <c r="AH1890" s="2748"/>
      <c r="AI1890" s="2748"/>
      <c r="AK1890" s="2748"/>
      <c r="AL1890" s="2748"/>
      <c r="AN1890" s="2748"/>
      <c r="AO1890" s="2748"/>
      <c r="AP1890" s="2748"/>
    </row>
    <row r="1891" spans="2:42" ht="18" customHeight="1">
      <c r="B1891" s="2728"/>
      <c r="C1891" s="2728"/>
      <c r="D1891" s="2728"/>
      <c r="E1891" s="2728"/>
      <c r="G1891" s="2512"/>
      <c r="I1891" s="2748"/>
      <c r="J1891" s="2728"/>
      <c r="L1891" s="2728"/>
      <c r="M1891" s="2748"/>
      <c r="N1891" s="2728"/>
      <c r="O1891" s="2728"/>
      <c r="P1891" s="2728"/>
      <c r="Q1891" s="2748"/>
      <c r="R1891" s="2748"/>
      <c r="S1891" s="2748"/>
      <c r="T1891" s="2748"/>
      <c r="U1891" s="2748"/>
      <c r="V1891" s="2748"/>
      <c r="W1891" s="2748"/>
      <c r="X1891" s="2748"/>
      <c r="Y1891" s="2748"/>
      <c r="Z1891" s="2748"/>
      <c r="AA1891" s="2748"/>
      <c r="AB1891" s="2748"/>
      <c r="AC1891" s="2748"/>
      <c r="AD1891" s="2748"/>
      <c r="AE1891" s="2748"/>
      <c r="AF1891" s="2748"/>
      <c r="AG1891" s="2748"/>
      <c r="AH1891" s="2748"/>
      <c r="AI1891" s="2748"/>
      <c r="AK1891" s="2748"/>
      <c r="AL1891" s="2748"/>
      <c r="AN1891" s="2748"/>
      <c r="AO1891" s="2748"/>
      <c r="AP1891" s="2748"/>
    </row>
    <row r="1892" spans="2:42" ht="18" customHeight="1">
      <c r="B1892" s="2728"/>
      <c r="C1892" s="2728"/>
      <c r="D1892" s="2728"/>
      <c r="E1892" s="2728"/>
      <c r="G1892" s="2512"/>
      <c r="I1892" s="2748"/>
      <c r="J1892" s="2728"/>
      <c r="L1892" s="2728"/>
      <c r="M1892" s="2748"/>
      <c r="N1892" s="2728"/>
      <c r="O1892" s="2728"/>
      <c r="P1892" s="2728"/>
      <c r="Q1892" s="2748"/>
      <c r="R1892" s="2748"/>
      <c r="S1892" s="2748"/>
      <c r="T1892" s="2748"/>
      <c r="U1892" s="2748"/>
      <c r="V1892" s="2748"/>
      <c r="W1892" s="2748"/>
      <c r="X1892" s="2748"/>
      <c r="Y1892" s="2748"/>
      <c r="Z1892" s="2748"/>
      <c r="AA1892" s="2748"/>
      <c r="AB1892" s="2748"/>
      <c r="AC1892" s="2748"/>
      <c r="AD1892" s="2748"/>
      <c r="AE1892" s="2748"/>
      <c r="AF1892" s="2748"/>
      <c r="AG1892" s="2748"/>
      <c r="AH1892" s="2748"/>
      <c r="AI1892" s="2748"/>
      <c r="AK1892" s="2748"/>
      <c r="AL1892" s="2748"/>
      <c r="AN1892" s="2748"/>
      <c r="AO1892" s="2748"/>
      <c r="AP1892" s="2748"/>
    </row>
    <row r="1893" spans="2:42" ht="18" customHeight="1">
      <c r="B1893" s="2728"/>
      <c r="C1893" s="2728"/>
      <c r="D1893" s="2728"/>
      <c r="E1893" s="2728"/>
      <c r="G1893" s="2512"/>
      <c r="I1893" s="2748"/>
      <c r="J1893" s="2728"/>
      <c r="L1893" s="2728"/>
      <c r="M1893" s="2748"/>
      <c r="N1893" s="2728"/>
      <c r="O1893" s="2728"/>
      <c r="P1893" s="2728"/>
      <c r="Q1893" s="2748"/>
      <c r="R1893" s="2748"/>
      <c r="S1893" s="2748"/>
      <c r="T1893" s="2748"/>
      <c r="U1893" s="2748"/>
      <c r="V1893" s="2748"/>
      <c r="W1893" s="2748"/>
      <c r="X1893" s="2748"/>
      <c r="Y1893" s="2748"/>
      <c r="Z1893" s="2748"/>
      <c r="AA1893" s="2748"/>
      <c r="AB1893" s="2748"/>
      <c r="AC1893" s="2748"/>
      <c r="AD1893" s="2748"/>
      <c r="AE1893" s="2748"/>
      <c r="AF1893" s="2748"/>
      <c r="AG1893" s="2748"/>
      <c r="AH1893" s="2748"/>
      <c r="AI1893" s="2748"/>
      <c r="AK1893" s="2748"/>
      <c r="AL1893" s="2748"/>
      <c r="AN1893" s="2748"/>
      <c r="AO1893" s="2748"/>
      <c r="AP1893" s="2748"/>
    </row>
    <row r="1894" spans="2:42" ht="18" customHeight="1">
      <c r="B1894" s="2728"/>
      <c r="C1894" s="2728"/>
      <c r="D1894" s="2728"/>
      <c r="E1894" s="2728"/>
      <c r="G1894" s="2512"/>
      <c r="I1894" s="2748"/>
      <c r="J1894" s="2728"/>
      <c r="L1894" s="2728"/>
      <c r="M1894" s="2748"/>
      <c r="N1894" s="2728"/>
      <c r="O1894" s="2728"/>
      <c r="P1894" s="2728"/>
      <c r="Q1894" s="2748"/>
      <c r="R1894" s="2748"/>
      <c r="S1894" s="2748"/>
      <c r="T1894" s="2748"/>
      <c r="U1894" s="2748"/>
      <c r="V1894" s="2748"/>
      <c r="W1894" s="2748"/>
      <c r="X1894" s="2748"/>
      <c r="Y1894" s="2748"/>
      <c r="Z1894" s="2748"/>
      <c r="AA1894" s="2748"/>
      <c r="AB1894" s="2748"/>
      <c r="AC1894" s="2748"/>
      <c r="AD1894" s="2748"/>
      <c r="AE1894" s="2748"/>
      <c r="AF1894" s="2748"/>
      <c r="AG1894" s="2748"/>
      <c r="AH1894" s="2748"/>
      <c r="AI1894" s="2748"/>
      <c r="AK1894" s="2748"/>
      <c r="AL1894" s="2748"/>
      <c r="AN1894" s="2748"/>
      <c r="AO1894" s="2748"/>
      <c r="AP1894" s="2748"/>
    </row>
    <row r="1895" spans="2:42" ht="18" customHeight="1">
      <c r="B1895" s="2728"/>
      <c r="C1895" s="2728"/>
      <c r="D1895" s="2728"/>
      <c r="E1895" s="2728"/>
      <c r="G1895" s="2512"/>
      <c r="I1895" s="2748"/>
      <c r="J1895" s="2728"/>
      <c r="L1895" s="2728"/>
      <c r="M1895" s="2748"/>
      <c r="N1895" s="2728"/>
      <c r="O1895" s="2728"/>
      <c r="P1895" s="2728"/>
      <c r="Q1895" s="2748"/>
      <c r="R1895" s="2748"/>
      <c r="S1895" s="2748"/>
      <c r="T1895" s="2748"/>
      <c r="U1895" s="2748"/>
      <c r="V1895" s="2748"/>
      <c r="W1895" s="2748"/>
      <c r="X1895" s="2748"/>
      <c r="Y1895" s="2748"/>
      <c r="Z1895" s="2748"/>
      <c r="AA1895" s="2748"/>
      <c r="AB1895" s="2748"/>
      <c r="AC1895" s="2748"/>
      <c r="AD1895" s="2748"/>
      <c r="AE1895" s="2748"/>
      <c r="AF1895" s="2748"/>
      <c r="AG1895" s="2748"/>
      <c r="AH1895" s="2748"/>
      <c r="AI1895" s="2748"/>
      <c r="AK1895" s="2748"/>
      <c r="AL1895" s="2748"/>
      <c r="AN1895" s="2748"/>
      <c r="AO1895" s="2748"/>
      <c r="AP1895" s="2748"/>
    </row>
    <row r="1896" spans="2:42" ht="18" customHeight="1">
      <c r="B1896" s="2728"/>
      <c r="C1896" s="2728"/>
      <c r="D1896" s="2728"/>
      <c r="E1896" s="2728"/>
      <c r="G1896" s="2512"/>
      <c r="I1896" s="2748"/>
      <c r="J1896" s="2728"/>
      <c r="L1896" s="2728"/>
      <c r="M1896" s="2748"/>
      <c r="N1896" s="2728"/>
      <c r="O1896" s="2728"/>
      <c r="P1896" s="2728"/>
      <c r="Q1896" s="2748"/>
      <c r="R1896" s="2748"/>
      <c r="S1896" s="2748"/>
      <c r="T1896" s="2748"/>
      <c r="U1896" s="2748"/>
      <c r="V1896" s="2748"/>
      <c r="W1896" s="2748"/>
      <c r="X1896" s="2748"/>
      <c r="Y1896" s="2748"/>
      <c r="Z1896" s="2748"/>
      <c r="AA1896" s="2748"/>
      <c r="AB1896" s="2748"/>
      <c r="AC1896" s="2748"/>
      <c r="AD1896" s="2748"/>
      <c r="AE1896" s="2748"/>
      <c r="AF1896" s="2748"/>
      <c r="AG1896" s="2748"/>
      <c r="AH1896" s="2748"/>
      <c r="AI1896" s="2748"/>
      <c r="AK1896" s="2748"/>
      <c r="AL1896" s="2748"/>
      <c r="AN1896" s="2748"/>
      <c r="AO1896" s="2748"/>
      <c r="AP1896" s="2748"/>
    </row>
    <row r="1897" spans="2:42" ht="18" customHeight="1">
      <c r="B1897" s="2728"/>
      <c r="C1897" s="2728"/>
      <c r="D1897" s="2728"/>
      <c r="E1897" s="2728"/>
      <c r="G1897" s="2512"/>
      <c r="I1897" s="2748"/>
      <c r="J1897" s="2728"/>
      <c r="L1897" s="2728"/>
      <c r="M1897" s="2748"/>
      <c r="N1897" s="2728"/>
      <c r="O1897" s="2728"/>
      <c r="P1897" s="2728"/>
      <c r="Q1897" s="2748"/>
      <c r="R1897" s="2748"/>
      <c r="S1897" s="2748"/>
      <c r="T1897" s="2748"/>
      <c r="U1897" s="2748"/>
      <c r="V1897" s="2748"/>
      <c r="W1897" s="2748"/>
      <c r="X1897" s="2748"/>
      <c r="Y1897" s="2748"/>
      <c r="Z1897" s="2748"/>
      <c r="AA1897" s="2748"/>
      <c r="AB1897" s="2748"/>
      <c r="AC1897" s="2748"/>
      <c r="AD1897" s="2748"/>
      <c r="AE1897" s="2748"/>
      <c r="AF1897" s="2748"/>
      <c r="AG1897" s="2748"/>
      <c r="AH1897" s="2748"/>
      <c r="AI1897" s="2748"/>
      <c r="AK1897" s="2748"/>
      <c r="AL1897" s="2748"/>
      <c r="AN1897" s="2748"/>
      <c r="AO1897" s="2748"/>
      <c r="AP1897" s="2748"/>
    </row>
    <row r="1898" spans="2:42" ht="18" customHeight="1">
      <c r="B1898" s="2728"/>
      <c r="C1898" s="2728"/>
      <c r="D1898" s="2728"/>
      <c r="E1898" s="2728"/>
      <c r="G1898" s="2512"/>
      <c r="I1898" s="2748"/>
      <c r="J1898" s="2728"/>
      <c r="L1898" s="2728"/>
      <c r="M1898" s="2748"/>
      <c r="N1898" s="2728"/>
      <c r="O1898" s="2728"/>
      <c r="P1898" s="2728"/>
      <c r="Q1898" s="2748"/>
      <c r="R1898" s="2748"/>
      <c r="S1898" s="2748"/>
      <c r="T1898" s="2748"/>
      <c r="U1898" s="2748"/>
      <c r="V1898" s="2748"/>
      <c r="W1898" s="2748"/>
      <c r="X1898" s="2748"/>
      <c r="Y1898" s="2748"/>
      <c r="Z1898" s="2748"/>
      <c r="AA1898" s="2748"/>
      <c r="AB1898" s="2748"/>
      <c r="AC1898" s="2748"/>
      <c r="AD1898" s="2748"/>
      <c r="AE1898" s="2748"/>
      <c r="AF1898" s="2748"/>
      <c r="AG1898" s="2748"/>
      <c r="AH1898" s="2748"/>
      <c r="AI1898" s="2748"/>
      <c r="AK1898" s="2748"/>
      <c r="AL1898" s="2748"/>
      <c r="AN1898" s="2748"/>
      <c r="AO1898" s="2748"/>
      <c r="AP1898" s="2748"/>
    </row>
    <row r="1899" spans="2:42" ht="18" customHeight="1">
      <c r="B1899" s="2728"/>
      <c r="C1899" s="2728"/>
      <c r="D1899" s="2728"/>
      <c r="E1899" s="2728"/>
      <c r="G1899" s="2512"/>
      <c r="I1899" s="2748"/>
      <c r="J1899" s="2728"/>
      <c r="L1899" s="2728"/>
      <c r="M1899" s="2748"/>
      <c r="N1899" s="2728"/>
      <c r="O1899" s="2728"/>
      <c r="P1899" s="2728"/>
      <c r="Q1899" s="2748"/>
      <c r="R1899" s="2748"/>
      <c r="S1899" s="2748"/>
      <c r="T1899" s="2748"/>
      <c r="U1899" s="2748"/>
      <c r="V1899" s="2748"/>
      <c r="W1899" s="2748"/>
      <c r="X1899" s="2748"/>
      <c r="Y1899" s="2748"/>
      <c r="Z1899" s="2748"/>
      <c r="AA1899" s="2748"/>
      <c r="AB1899" s="2748"/>
      <c r="AC1899" s="2748"/>
      <c r="AD1899" s="2748"/>
      <c r="AE1899" s="2748"/>
      <c r="AF1899" s="2748"/>
      <c r="AG1899" s="2748"/>
      <c r="AH1899" s="2748"/>
      <c r="AI1899" s="2748"/>
      <c r="AK1899" s="2748"/>
      <c r="AL1899" s="2748"/>
      <c r="AN1899" s="2748"/>
      <c r="AO1899" s="2748"/>
      <c r="AP1899" s="2748"/>
    </row>
    <row r="1900" spans="2:42" ht="18" customHeight="1">
      <c r="B1900" s="2728"/>
      <c r="C1900" s="2728"/>
      <c r="D1900" s="2728"/>
      <c r="E1900" s="2728"/>
      <c r="G1900" s="2512"/>
      <c r="I1900" s="2748"/>
      <c r="J1900" s="2728"/>
      <c r="L1900" s="2728"/>
      <c r="M1900" s="2748"/>
      <c r="N1900" s="2728"/>
      <c r="O1900" s="2728"/>
      <c r="P1900" s="2728"/>
      <c r="Q1900" s="2748"/>
      <c r="R1900" s="2748"/>
      <c r="S1900" s="2748"/>
      <c r="T1900" s="2748"/>
      <c r="U1900" s="2748"/>
      <c r="V1900" s="2748"/>
      <c r="W1900" s="2748"/>
      <c r="X1900" s="2748"/>
      <c r="Y1900" s="2748"/>
      <c r="Z1900" s="2748"/>
      <c r="AA1900" s="2748"/>
      <c r="AB1900" s="2748"/>
      <c r="AC1900" s="2748"/>
      <c r="AD1900" s="2748"/>
      <c r="AE1900" s="2748"/>
      <c r="AF1900" s="2748"/>
      <c r="AG1900" s="2748"/>
      <c r="AH1900" s="2748"/>
      <c r="AI1900" s="2748"/>
      <c r="AK1900" s="2748"/>
      <c r="AL1900" s="2748"/>
      <c r="AN1900" s="2748"/>
      <c r="AO1900" s="2748"/>
      <c r="AP1900" s="2748"/>
    </row>
    <row r="1901" spans="2:42" ht="18" customHeight="1">
      <c r="B1901" s="2728"/>
      <c r="C1901" s="2728"/>
      <c r="D1901" s="2728"/>
      <c r="E1901" s="2728"/>
      <c r="G1901" s="2512"/>
      <c r="I1901" s="2748"/>
      <c r="J1901" s="2728"/>
      <c r="L1901" s="2728"/>
      <c r="M1901" s="2748"/>
      <c r="N1901" s="2728"/>
      <c r="O1901" s="2728"/>
      <c r="P1901" s="2728"/>
      <c r="Q1901" s="2748"/>
      <c r="R1901" s="2748"/>
      <c r="S1901" s="2748"/>
      <c r="T1901" s="2748"/>
      <c r="U1901" s="2748"/>
      <c r="V1901" s="2748"/>
      <c r="W1901" s="2748"/>
      <c r="X1901" s="2748"/>
      <c r="Y1901" s="2748"/>
      <c r="Z1901" s="2748"/>
      <c r="AA1901" s="2748"/>
      <c r="AB1901" s="2748"/>
      <c r="AC1901" s="2748"/>
      <c r="AD1901" s="2748"/>
      <c r="AE1901" s="2748"/>
      <c r="AF1901" s="2748"/>
      <c r="AG1901" s="2748"/>
      <c r="AH1901" s="2748"/>
      <c r="AI1901" s="2748"/>
      <c r="AK1901" s="2748"/>
      <c r="AL1901" s="2748"/>
      <c r="AN1901" s="2748"/>
      <c r="AO1901" s="2748"/>
      <c r="AP1901" s="2748"/>
    </row>
    <row r="1902" spans="2:42" ht="18" customHeight="1">
      <c r="B1902" s="2728"/>
      <c r="C1902" s="2728"/>
      <c r="D1902" s="2728"/>
      <c r="E1902" s="2728"/>
      <c r="G1902" s="2512"/>
      <c r="I1902" s="2748"/>
      <c r="J1902" s="2728"/>
      <c r="L1902" s="2728"/>
      <c r="M1902" s="2748"/>
      <c r="N1902" s="2728"/>
      <c r="O1902" s="2728"/>
      <c r="P1902" s="2728"/>
      <c r="Q1902" s="2748"/>
      <c r="R1902" s="2748"/>
      <c r="S1902" s="2748"/>
      <c r="T1902" s="2748"/>
      <c r="U1902" s="2748"/>
      <c r="V1902" s="2748"/>
      <c r="W1902" s="2748"/>
      <c r="X1902" s="2748"/>
      <c r="Y1902" s="2748"/>
      <c r="Z1902" s="2748"/>
      <c r="AA1902" s="2748"/>
      <c r="AB1902" s="2748"/>
      <c r="AC1902" s="2748"/>
      <c r="AD1902" s="2748"/>
      <c r="AE1902" s="2748"/>
      <c r="AF1902" s="2748"/>
      <c r="AG1902" s="2748"/>
      <c r="AH1902" s="2748"/>
      <c r="AI1902" s="2748"/>
      <c r="AK1902" s="2748"/>
      <c r="AL1902" s="2748"/>
      <c r="AN1902" s="2748"/>
      <c r="AO1902" s="2748"/>
      <c r="AP1902" s="2748"/>
    </row>
    <row r="1903" spans="2:42" ht="18" customHeight="1">
      <c r="B1903" s="2728"/>
      <c r="C1903" s="2728"/>
      <c r="D1903" s="2728"/>
      <c r="E1903" s="2728"/>
      <c r="G1903" s="2512"/>
      <c r="I1903" s="2748"/>
      <c r="J1903" s="2728"/>
      <c r="L1903" s="2728"/>
      <c r="M1903" s="2748"/>
      <c r="N1903" s="2728"/>
      <c r="O1903" s="2728"/>
      <c r="P1903" s="2728"/>
      <c r="Q1903" s="2748"/>
      <c r="R1903" s="2748"/>
      <c r="S1903" s="2748"/>
      <c r="T1903" s="2748"/>
      <c r="U1903" s="2748"/>
      <c r="V1903" s="2748"/>
      <c r="W1903" s="2748"/>
      <c r="X1903" s="2748"/>
      <c r="Y1903" s="2748"/>
      <c r="Z1903" s="2748"/>
      <c r="AA1903" s="2748"/>
      <c r="AB1903" s="2748"/>
      <c r="AC1903" s="2748"/>
      <c r="AD1903" s="2748"/>
      <c r="AE1903" s="2748"/>
      <c r="AF1903" s="2748"/>
      <c r="AG1903" s="2748"/>
      <c r="AH1903" s="2748"/>
      <c r="AI1903" s="2748"/>
      <c r="AK1903" s="2748"/>
      <c r="AL1903" s="2748"/>
      <c r="AN1903" s="2748"/>
      <c r="AO1903" s="2748"/>
      <c r="AP1903" s="2748"/>
    </row>
    <row r="1904" spans="2:42" ht="18" customHeight="1">
      <c r="B1904" s="2728"/>
      <c r="C1904" s="2728"/>
      <c r="D1904" s="2728"/>
      <c r="E1904" s="2728"/>
      <c r="G1904" s="2512"/>
      <c r="I1904" s="2748"/>
      <c r="J1904" s="2728"/>
      <c r="L1904" s="2728"/>
      <c r="M1904" s="2748"/>
      <c r="N1904" s="2728"/>
      <c r="O1904" s="2728"/>
      <c r="P1904" s="2728"/>
      <c r="Q1904" s="2748"/>
      <c r="R1904" s="2748"/>
      <c r="S1904" s="2748"/>
      <c r="T1904" s="2748"/>
      <c r="U1904" s="2748"/>
      <c r="V1904" s="2748"/>
      <c r="W1904" s="2748"/>
      <c r="X1904" s="2748"/>
      <c r="Y1904" s="2748"/>
      <c r="Z1904" s="2748"/>
      <c r="AA1904" s="2748"/>
      <c r="AB1904" s="2748"/>
      <c r="AC1904" s="2748"/>
      <c r="AD1904" s="2748"/>
      <c r="AE1904" s="2748"/>
      <c r="AF1904" s="2748"/>
      <c r="AG1904" s="2748"/>
      <c r="AH1904" s="2748"/>
      <c r="AI1904" s="2748"/>
      <c r="AK1904" s="2748"/>
      <c r="AL1904" s="2748"/>
      <c r="AN1904" s="2748"/>
      <c r="AO1904" s="2748"/>
      <c r="AP1904" s="2748"/>
    </row>
    <row r="1905" spans="2:42" ht="18" customHeight="1">
      <c r="B1905" s="2728"/>
      <c r="C1905" s="2728"/>
      <c r="D1905" s="2728"/>
      <c r="E1905" s="2728"/>
      <c r="G1905" s="2512"/>
      <c r="I1905" s="2748"/>
      <c r="J1905" s="2728"/>
      <c r="L1905" s="2728"/>
      <c r="M1905" s="2748"/>
      <c r="N1905" s="2728"/>
      <c r="O1905" s="2728"/>
      <c r="P1905" s="2728"/>
      <c r="Q1905" s="2748"/>
      <c r="R1905" s="2748"/>
      <c r="S1905" s="2748"/>
      <c r="T1905" s="2748"/>
      <c r="U1905" s="2748"/>
      <c r="V1905" s="2748"/>
      <c r="W1905" s="2748"/>
      <c r="X1905" s="2748"/>
      <c r="Y1905" s="2748"/>
      <c r="Z1905" s="2748"/>
      <c r="AA1905" s="2748"/>
      <c r="AB1905" s="2748"/>
      <c r="AC1905" s="2748"/>
      <c r="AD1905" s="2748"/>
      <c r="AE1905" s="2748"/>
      <c r="AF1905" s="2748"/>
      <c r="AG1905" s="2748"/>
      <c r="AH1905" s="2748"/>
      <c r="AI1905" s="2748"/>
      <c r="AK1905" s="2748"/>
      <c r="AL1905" s="2748"/>
      <c r="AN1905" s="2748"/>
      <c r="AO1905" s="2748"/>
      <c r="AP1905" s="2748"/>
    </row>
    <row r="1906" spans="2:42" ht="18" customHeight="1">
      <c r="B1906" s="2728"/>
      <c r="C1906" s="2728"/>
      <c r="D1906" s="2728"/>
      <c r="E1906" s="2728"/>
      <c r="G1906" s="2512"/>
      <c r="I1906" s="2748"/>
      <c r="J1906" s="2728"/>
      <c r="L1906" s="2728"/>
      <c r="M1906" s="2748"/>
      <c r="N1906" s="2728"/>
      <c r="O1906" s="2728"/>
      <c r="P1906" s="2728"/>
      <c r="Q1906" s="2748"/>
      <c r="R1906" s="2748"/>
      <c r="S1906" s="2748"/>
      <c r="T1906" s="2748"/>
      <c r="U1906" s="2748"/>
      <c r="V1906" s="2748"/>
      <c r="W1906" s="2748"/>
      <c r="X1906" s="2748"/>
      <c r="Y1906" s="2748"/>
      <c r="Z1906" s="2748"/>
      <c r="AA1906" s="2748"/>
      <c r="AB1906" s="2748"/>
      <c r="AC1906" s="2748"/>
      <c r="AD1906" s="2748"/>
      <c r="AE1906" s="2748"/>
      <c r="AF1906" s="2748"/>
      <c r="AG1906" s="2748"/>
      <c r="AH1906" s="2748"/>
      <c r="AI1906" s="2748"/>
      <c r="AK1906" s="2748"/>
      <c r="AL1906" s="2748"/>
      <c r="AN1906" s="2748"/>
      <c r="AO1906" s="2748"/>
      <c r="AP1906" s="2748"/>
    </row>
    <row r="1907" spans="2:42" ht="18" customHeight="1">
      <c r="B1907" s="2728"/>
      <c r="C1907" s="2728"/>
      <c r="D1907" s="2728"/>
      <c r="E1907" s="2728"/>
      <c r="G1907" s="2512"/>
      <c r="I1907" s="2748"/>
      <c r="J1907" s="2728"/>
      <c r="L1907" s="2728"/>
      <c r="M1907" s="2748"/>
      <c r="N1907" s="2728"/>
      <c r="O1907" s="2728"/>
      <c r="P1907" s="2728"/>
      <c r="Q1907" s="2748"/>
      <c r="R1907" s="2748"/>
      <c r="S1907" s="2748"/>
      <c r="T1907" s="2748"/>
      <c r="U1907" s="2748"/>
      <c r="V1907" s="2748"/>
      <c r="W1907" s="2748"/>
      <c r="X1907" s="2748"/>
      <c r="Y1907" s="2748"/>
      <c r="Z1907" s="2748"/>
      <c r="AA1907" s="2748"/>
      <c r="AB1907" s="2748"/>
      <c r="AC1907" s="2748"/>
      <c r="AD1907" s="2748"/>
      <c r="AE1907" s="2748"/>
      <c r="AF1907" s="2748"/>
      <c r="AG1907" s="2748"/>
      <c r="AH1907" s="2748"/>
      <c r="AI1907" s="2748"/>
      <c r="AK1907" s="2748"/>
      <c r="AL1907" s="2748"/>
      <c r="AN1907" s="2748"/>
      <c r="AO1907" s="2748"/>
      <c r="AP1907" s="2748"/>
    </row>
    <row r="1908" spans="2:42" ht="18" customHeight="1">
      <c r="B1908" s="2728"/>
      <c r="C1908" s="2728"/>
      <c r="D1908" s="2728"/>
      <c r="E1908" s="2728"/>
      <c r="G1908" s="2512"/>
      <c r="I1908" s="2748"/>
      <c r="J1908" s="2728"/>
      <c r="L1908" s="2728"/>
      <c r="M1908" s="2748"/>
      <c r="N1908" s="2728"/>
      <c r="O1908" s="2728"/>
      <c r="P1908" s="2728"/>
      <c r="Q1908" s="2748"/>
      <c r="R1908" s="2748"/>
      <c r="S1908" s="2748"/>
      <c r="T1908" s="2748"/>
      <c r="U1908" s="2748"/>
      <c r="V1908" s="2748"/>
      <c r="W1908" s="2748"/>
      <c r="X1908" s="2748"/>
      <c r="Y1908" s="2748"/>
      <c r="Z1908" s="2748"/>
      <c r="AA1908" s="2748"/>
      <c r="AB1908" s="2748"/>
      <c r="AC1908" s="2748"/>
      <c r="AD1908" s="2748"/>
      <c r="AE1908" s="2748"/>
      <c r="AF1908" s="2748"/>
      <c r="AG1908" s="2748"/>
      <c r="AH1908" s="2748"/>
      <c r="AI1908" s="2748"/>
      <c r="AK1908" s="2748"/>
      <c r="AL1908" s="2748"/>
      <c r="AN1908" s="2748"/>
      <c r="AO1908" s="2748"/>
      <c r="AP1908" s="2748"/>
    </row>
    <row r="1909" spans="2:42" ht="18" customHeight="1">
      <c r="B1909" s="2728"/>
      <c r="C1909" s="2728"/>
      <c r="D1909" s="2728"/>
      <c r="E1909" s="2728"/>
      <c r="G1909" s="2512"/>
      <c r="I1909" s="2748"/>
      <c r="J1909" s="2728"/>
      <c r="L1909" s="2728"/>
      <c r="M1909" s="2748"/>
      <c r="N1909" s="2728"/>
      <c r="O1909" s="2728"/>
      <c r="P1909" s="2728"/>
      <c r="Q1909" s="2748"/>
      <c r="R1909" s="2748"/>
      <c r="S1909" s="2748"/>
      <c r="T1909" s="2748"/>
      <c r="U1909" s="2748"/>
      <c r="V1909" s="2748"/>
      <c r="W1909" s="2748"/>
      <c r="X1909" s="2748"/>
      <c r="Y1909" s="2748"/>
      <c r="Z1909" s="2748"/>
      <c r="AA1909" s="2748"/>
      <c r="AB1909" s="2748"/>
      <c r="AC1909" s="2748"/>
      <c r="AD1909" s="2748"/>
      <c r="AE1909" s="2748"/>
      <c r="AF1909" s="2748"/>
      <c r="AG1909" s="2748"/>
      <c r="AH1909" s="2748"/>
      <c r="AI1909" s="2748"/>
      <c r="AK1909" s="2748"/>
      <c r="AL1909" s="2748"/>
      <c r="AN1909" s="2748"/>
      <c r="AO1909" s="2748"/>
      <c r="AP1909" s="2748"/>
    </row>
    <row r="1910" spans="2:42" ht="18" customHeight="1">
      <c r="B1910" s="2728"/>
      <c r="C1910" s="2728"/>
      <c r="D1910" s="2728"/>
      <c r="E1910" s="2728"/>
      <c r="G1910" s="2512"/>
      <c r="I1910" s="2748"/>
      <c r="J1910" s="2728"/>
      <c r="L1910" s="2728"/>
      <c r="M1910" s="2748"/>
      <c r="N1910" s="2728"/>
      <c r="O1910" s="2728"/>
      <c r="P1910" s="2728"/>
      <c r="Q1910" s="2748"/>
      <c r="R1910" s="2748"/>
      <c r="S1910" s="2748"/>
      <c r="T1910" s="2748"/>
      <c r="U1910" s="2748"/>
      <c r="V1910" s="2748"/>
      <c r="W1910" s="2748"/>
      <c r="X1910" s="2748"/>
      <c r="Y1910" s="2748"/>
      <c r="Z1910" s="2748"/>
      <c r="AA1910" s="2748"/>
      <c r="AB1910" s="2748"/>
      <c r="AC1910" s="2748"/>
      <c r="AD1910" s="2748"/>
      <c r="AE1910" s="2748"/>
      <c r="AF1910" s="2748"/>
      <c r="AG1910" s="2748"/>
      <c r="AH1910" s="2748"/>
      <c r="AI1910" s="2748"/>
      <c r="AK1910" s="2748"/>
      <c r="AL1910" s="2748"/>
      <c r="AN1910" s="2748"/>
      <c r="AO1910" s="2748"/>
      <c r="AP1910" s="2748"/>
    </row>
    <row r="1911" spans="2:42" ht="18" customHeight="1">
      <c r="B1911" s="2728"/>
      <c r="C1911" s="2728"/>
      <c r="D1911" s="2728"/>
      <c r="E1911" s="2728"/>
      <c r="G1911" s="2512"/>
      <c r="I1911" s="2748"/>
      <c r="J1911" s="2728"/>
      <c r="L1911" s="2728"/>
      <c r="M1911" s="2748"/>
      <c r="N1911" s="2728"/>
      <c r="O1911" s="2728"/>
      <c r="P1911" s="2728"/>
      <c r="Q1911" s="2748"/>
      <c r="R1911" s="2748"/>
      <c r="S1911" s="2748"/>
      <c r="T1911" s="2748"/>
      <c r="U1911" s="2748"/>
      <c r="V1911" s="2748"/>
      <c r="W1911" s="2748"/>
      <c r="X1911" s="2748"/>
      <c r="Y1911" s="2748"/>
      <c r="Z1911" s="2748"/>
      <c r="AA1911" s="2748"/>
      <c r="AB1911" s="2748"/>
      <c r="AC1911" s="2748"/>
      <c r="AD1911" s="2748"/>
      <c r="AE1911" s="2748"/>
      <c r="AF1911" s="2748"/>
      <c r="AG1911" s="2748"/>
      <c r="AH1911" s="2748"/>
      <c r="AI1911" s="2748"/>
      <c r="AK1911" s="2748"/>
      <c r="AL1911" s="2748"/>
      <c r="AN1911" s="2748"/>
      <c r="AO1911" s="2748"/>
      <c r="AP1911" s="2748"/>
    </row>
    <row r="1912" spans="2:42" ht="18" customHeight="1">
      <c r="B1912" s="2728"/>
      <c r="C1912" s="2728"/>
      <c r="D1912" s="2728"/>
      <c r="E1912" s="2728"/>
      <c r="G1912" s="2512"/>
      <c r="I1912" s="2748"/>
      <c r="J1912" s="2728"/>
      <c r="L1912" s="2728"/>
      <c r="M1912" s="2748"/>
      <c r="N1912" s="2728"/>
      <c r="O1912" s="2728"/>
      <c r="P1912" s="2728"/>
      <c r="Q1912" s="2748"/>
      <c r="R1912" s="2748"/>
      <c r="S1912" s="2748"/>
      <c r="T1912" s="2748"/>
      <c r="U1912" s="2748"/>
      <c r="V1912" s="2748"/>
      <c r="W1912" s="2748"/>
      <c r="X1912" s="2748"/>
      <c r="Y1912" s="2748"/>
      <c r="Z1912" s="2748"/>
      <c r="AA1912" s="2748"/>
      <c r="AB1912" s="2748"/>
      <c r="AC1912" s="2748"/>
      <c r="AD1912" s="2748"/>
      <c r="AE1912" s="2748"/>
      <c r="AF1912" s="2748"/>
      <c r="AG1912" s="2748"/>
      <c r="AH1912" s="2748"/>
      <c r="AI1912" s="2748"/>
      <c r="AK1912" s="2748"/>
      <c r="AL1912" s="2748"/>
      <c r="AN1912" s="2748"/>
      <c r="AO1912" s="2748"/>
      <c r="AP1912" s="2748"/>
    </row>
    <row r="1913" spans="2:42" ht="18" customHeight="1">
      <c r="B1913" s="2728"/>
      <c r="C1913" s="2728"/>
      <c r="D1913" s="2728"/>
      <c r="E1913" s="2728"/>
      <c r="G1913" s="2512"/>
      <c r="I1913" s="2748"/>
      <c r="J1913" s="2728"/>
      <c r="L1913" s="2728"/>
      <c r="M1913" s="2748"/>
      <c r="N1913" s="2728"/>
      <c r="O1913" s="2728"/>
      <c r="P1913" s="2728"/>
      <c r="Q1913" s="2748"/>
      <c r="R1913" s="2748"/>
      <c r="S1913" s="2748"/>
      <c r="T1913" s="2748"/>
      <c r="U1913" s="2748"/>
      <c r="V1913" s="2748"/>
      <c r="W1913" s="2748"/>
      <c r="X1913" s="2748"/>
      <c r="Y1913" s="2748"/>
      <c r="Z1913" s="2748"/>
      <c r="AA1913" s="2748"/>
      <c r="AB1913" s="2748"/>
      <c r="AC1913" s="2748"/>
      <c r="AD1913" s="2748"/>
      <c r="AE1913" s="2748"/>
      <c r="AF1913" s="2748"/>
      <c r="AG1913" s="2748"/>
      <c r="AH1913" s="2748"/>
      <c r="AI1913" s="2748"/>
      <c r="AK1913" s="2748"/>
      <c r="AL1913" s="2748"/>
      <c r="AN1913" s="2748"/>
      <c r="AO1913" s="2748"/>
      <c r="AP1913" s="2748"/>
    </row>
    <row r="1914" spans="2:42" ht="18" customHeight="1">
      <c r="B1914" s="2728"/>
      <c r="C1914" s="2728"/>
      <c r="D1914" s="2728"/>
      <c r="E1914" s="2728"/>
      <c r="G1914" s="2512"/>
      <c r="I1914" s="2748"/>
      <c r="J1914" s="2728"/>
      <c r="L1914" s="2728"/>
      <c r="M1914" s="2748"/>
      <c r="N1914" s="2728"/>
      <c r="O1914" s="2728"/>
      <c r="P1914" s="2728"/>
      <c r="Q1914" s="2748"/>
      <c r="R1914" s="2748"/>
      <c r="S1914" s="2748"/>
      <c r="T1914" s="2748"/>
      <c r="U1914" s="2748"/>
      <c r="V1914" s="2748"/>
      <c r="W1914" s="2748"/>
      <c r="X1914" s="2748"/>
      <c r="Y1914" s="2748"/>
      <c r="Z1914" s="2748"/>
      <c r="AA1914" s="2748"/>
      <c r="AB1914" s="2748"/>
      <c r="AC1914" s="2748"/>
      <c r="AD1914" s="2748"/>
      <c r="AE1914" s="2748"/>
      <c r="AF1914" s="2748"/>
      <c r="AG1914" s="2748"/>
      <c r="AH1914" s="2748"/>
      <c r="AI1914" s="2748"/>
      <c r="AK1914" s="2748"/>
      <c r="AL1914" s="2748"/>
      <c r="AN1914" s="2748"/>
      <c r="AO1914" s="2748"/>
      <c r="AP1914" s="2748"/>
    </row>
    <row r="1915" spans="2:42" ht="18" customHeight="1">
      <c r="B1915" s="2728"/>
      <c r="C1915" s="2728"/>
      <c r="D1915" s="2728"/>
      <c r="E1915" s="2728"/>
      <c r="G1915" s="2512"/>
      <c r="I1915" s="2748"/>
      <c r="J1915" s="2728"/>
      <c r="L1915" s="2728"/>
      <c r="M1915" s="2748"/>
      <c r="N1915" s="2728"/>
      <c r="O1915" s="2728"/>
      <c r="P1915" s="2728"/>
      <c r="Q1915" s="2748"/>
      <c r="R1915" s="2748"/>
      <c r="S1915" s="2748"/>
      <c r="T1915" s="2748"/>
      <c r="U1915" s="2748"/>
      <c r="V1915" s="2748"/>
      <c r="W1915" s="2748"/>
      <c r="X1915" s="2748"/>
      <c r="Y1915" s="2748"/>
      <c r="Z1915" s="2748"/>
      <c r="AA1915" s="2748"/>
      <c r="AB1915" s="2748"/>
      <c r="AC1915" s="2748"/>
      <c r="AD1915" s="2748"/>
      <c r="AE1915" s="2748"/>
      <c r="AF1915" s="2748"/>
      <c r="AG1915" s="2748"/>
      <c r="AH1915" s="2748"/>
      <c r="AI1915" s="2748"/>
      <c r="AK1915" s="2748"/>
      <c r="AL1915" s="2748"/>
      <c r="AN1915" s="2748"/>
      <c r="AO1915" s="2748"/>
      <c r="AP1915" s="2748"/>
    </row>
    <row r="1916" spans="2:42" ht="18" customHeight="1">
      <c r="B1916" s="2728"/>
      <c r="C1916" s="2728"/>
      <c r="D1916" s="2728"/>
      <c r="E1916" s="2728"/>
      <c r="G1916" s="2512"/>
      <c r="I1916" s="2748"/>
      <c r="J1916" s="2728"/>
      <c r="L1916" s="2728"/>
      <c r="M1916" s="2748"/>
      <c r="N1916" s="2728"/>
      <c r="O1916" s="2728"/>
      <c r="P1916" s="2728"/>
      <c r="Q1916" s="2748"/>
      <c r="R1916" s="2748"/>
      <c r="S1916" s="2748"/>
      <c r="T1916" s="2748"/>
      <c r="U1916" s="2748"/>
      <c r="V1916" s="2748"/>
      <c r="W1916" s="2748"/>
      <c r="X1916" s="2748"/>
      <c r="Y1916" s="2748"/>
      <c r="Z1916" s="2748"/>
      <c r="AA1916" s="2748"/>
      <c r="AB1916" s="2748"/>
      <c r="AC1916" s="2748"/>
      <c r="AD1916" s="2748"/>
      <c r="AE1916" s="2748"/>
      <c r="AF1916" s="2748"/>
      <c r="AG1916" s="2748"/>
      <c r="AH1916" s="2748"/>
      <c r="AI1916" s="2748"/>
      <c r="AK1916" s="2748"/>
      <c r="AL1916" s="2748"/>
      <c r="AN1916" s="2748"/>
      <c r="AO1916" s="2748"/>
      <c r="AP1916" s="2748"/>
    </row>
    <row r="1917" spans="2:42" ht="18" customHeight="1">
      <c r="B1917" s="2728"/>
      <c r="C1917" s="2728"/>
      <c r="D1917" s="2728"/>
      <c r="E1917" s="2728"/>
      <c r="G1917" s="2512"/>
      <c r="I1917" s="2748"/>
      <c r="J1917" s="2728"/>
      <c r="L1917" s="2728"/>
      <c r="M1917" s="2748"/>
      <c r="N1917" s="2728"/>
      <c r="O1917" s="2728"/>
      <c r="P1917" s="2728"/>
      <c r="Q1917" s="2748"/>
      <c r="R1917" s="2748"/>
      <c r="S1917" s="2748"/>
      <c r="T1917" s="2748"/>
      <c r="U1917" s="2748"/>
      <c r="V1917" s="2748"/>
      <c r="W1917" s="2748"/>
      <c r="X1917" s="2748"/>
      <c r="Y1917" s="2748"/>
      <c r="Z1917" s="2748"/>
      <c r="AA1917" s="2748"/>
      <c r="AB1917" s="2748"/>
      <c r="AC1917" s="2748"/>
      <c r="AD1917" s="2748"/>
      <c r="AE1917" s="2748"/>
      <c r="AF1917" s="2748"/>
      <c r="AG1917" s="2748"/>
      <c r="AH1917" s="2748"/>
      <c r="AI1917" s="2748"/>
      <c r="AK1917" s="2748"/>
      <c r="AL1917" s="2748"/>
      <c r="AN1917" s="2748"/>
      <c r="AO1917" s="2748"/>
      <c r="AP1917" s="2748"/>
    </row>
    <row r="1918" spans="2:42" ht="18" customHeight="1">
      <c r="B1918" s="2728"/>
      <c r="C1918" s="2728"/>
      <c r="D1918" s="2728"/>
      <c r="E1918" s="2728"/>
      <c r="G1918" s="2512"/>
      <c r="I1918" s="2748"/>
      <c r="J1918" s="2728"/>
      <c r="L1918" s="2728"/>
      <c r="M1918" s="2748"/>
      <c r="N1918" s="2728"/>
      <c r="O1918" s="2728"/>
      <c r="P1918" s="2728"/>
      <c r="Q1918" s="2748"/>
      <c r="R1918" s="2748"/>
      <c r="S1918" s="2748"/>
      <c r="T1918" s="2748"/>
      <c r="U1918" s="2748"/>
      <c r="V1918" s="2748"/>
      <c r="W1918" s="2748"/>
      <c r="X1918" s="2748"/>
      <c r="Y1918" s="2748"/>
      <c r="Z1918" s="2748"/>
      <c r="AA1918" s="2748"/>
      <c r="AB1918" s="2748"/>
      <c r="AC1918" s="2748"/>
      <c r="AD1918" s="2748"/>
      <c r="AE1918" s="2748"/>
      <c r="AF1918" s="2748"/>
      <c r="AG1918" s="2748"/>
      <c r="AH1918" s="2748"/>
      <c r="AI1918" s="2748"/>
      <c r="AK1918" s="2748"/>
      <c r="AL1918" s="2748"/>
      <c r="AN1918" s="2748"/>
      <c r="AO1918" s="2748"/>
      <c r="AP1918" s="2748"/>
    </row>
    <row r="1919" spans="2:42" ht="18" customHeight="1">
      <c r="B1919" s="2728"/>
      <c r="C1919" s="2728"/>
      <c r="D1919" s="2728"/>
      <c r="E1919" s="2728"/>
      <c r="G1919" s="2512"/>
      <c r="I1919" s="2748"/>
      <c r="J1919" s="2728"/>
      <c r="L1919" s="2728"/>
      <c r="M1919" s="2748"/>
      <c r="N1919" s="2728"/>
      <c r="O1919" s="2728"/>
      <c r="P1919" s="2728"/>
      <c r="Q1919" s="2748"/>
      <c r="R1919" s="2748"/>
      <c r="S1919" s="2748"/>
      <c r="T1919" s="2748"/>
      <c r="U1919" s="2748"/>
      <c r="V1919" s="2748"/>
      <c r="W1919" s="2748"/>
      <c r="X1919" s="2748"/>
      <c r="Y1919" s="2748"/>
      <c r="Z1919" s="2748"/>
      <c r="AA1919" s="2748"/>
      <c r="AB1919" s="2748"/>
      <c r="AC1919" s="2748"/>
      <c r="AD1919" s="2748"/>
      <c r="AE1919" s="2748"/>
      <c r="AF1919" s="2748"/>
      <c r="AG1919" s="2748"/>
      <c r="AH1919" s="2748"/>
      <c r="AI1919" s="2748"/>
      <c r="AK1919" s="2748"/>
      <c r="AL1919" s="2748"/>
      <c r="AN1919" s="2748"/>
      <c r="AO1919" s="2748"/>
      <c r="AP1919" s="2748"/>
    </row>
    <row r="1920" spans="2:42" ht="18" customHeight="1">
      <c r="B1920" s="2728"/>
      <c r="C1920" s="2728"/>
      <c r="D1920" s="2728"/>
      <c r="E1920" s="2728"/>
      <c r="G1920" s="2512"/>
      <c r="I1920" s="2748"/>
      <c r="J1920" s="2728"/>
      <c r="L1920" s="2728"/>
      <c r="M1920" s="2748"/>
      <c r="N1920" s="2728"/>
      <c r="O1920" s="2728"/>
      <c r="P1920" s="2728"/>
      <c r="Q1920" s="2748"/>
      <c r="R1920" s="2748"/>
      <c r="S1920" s="2748"/>
      <c r="T1920" s="2748"/>
      <c r="U1920" s="2748"/>
      <c r="V1920" s="2748"/>
      <c r="W1920" s="2748"/>
      <c r="X1920" s="2748"/>
      <c r="Y1920" s="2748"/>
      <c r="Z1920" s="2748"/>
      <c r="AA1920" s="2748"/>
      <c r="AB1920" s="2748"/>
      <c r="AC1920" s="2748"/>
      <c r="AD1920" s="2748"/>
      <c r="AE1920" s="2748"/>
      <c r="AF1920" s="2748"/>
      <c r="AG1920" s="2748"/>
      <c r="AH1920" s="2748"/>
      <c r="AI1920" s="2748"/>
      <c r="AK1920" s="2748"/>
      <c r="AL1920" s="2748"/>
      <c r="AN1920" s="2748"/>
      <c r="AO1920" s="2748"/>
      <c r="AP1920" s="2748"/>
    </row>
    <row r="1921" spans="2:42" ht="18" customHeight="1">
      <c r="B1921" s="2728"/>
      <c r="C1921" s="2728"/>
      <c r="D1921" s="2728"/>
      <c r="E1921" s="2728"/>
      <c r="G1921" s="2512"/>
      <c r="I1921" s="2748"/>
      <c r="J1921" s="2728"/>
      <c r="L1921" s="2728"/>
      <c r="M1921" s="2748"/>
      <c r="N1921" s="2728"/>
      <c r="O1921" s="2728"/>
      <c r="P1921" s="2728"/>
      <c r="Q1921" s="2748"/>
      <c r="R1921" s="2748"/>
      <c r="S1921" s="2748"/>
      <c r="T1921" s="2748"/>
      <c r="U1921" s="2748"/>
      <c r="V1921" s="2748"/>
      <c r="W1921" s="2748"/>
      <c r="X1921" s="2748"/>
      <c r="Y1921" s="2748"/>
      <c r="Z1921" s="2748"/>
      <c r="AA1921" s="2748"/>
      <c r="AB1921" s="2748"/>
      <c r="AC1921" s="2748"/>
      <c r="AD1921" s="2748"/>
      <c r="AE1921" s="2748"/>
      <c r="AF1921" s="2748"/>
      <c r="AG1921" s="2748"/>
      <c r="AH1921" s="2748"/>
      <c r="AI1921" s="2748"/>
      <c r="AK1921" s="2748"/>
      <c r="AL1921" s="2748"/>
      <c r="AN1921" s="2748"/>
      <c r="AO1921" s="2748"/>
      <c r="AP1921" s="2748"/>
    </row>
    <row r="1922" spans="2:42" ht="18" customHeight="1">
      <c r="B1922" s="2728"/>
      <c r="C1922" s="2728"/>
      <c r="D1922" s="2728"/>
      <c r="E1922" s="2728"/>
      <c r="G1922" s="2512"/>
      <c r="I1922" s="2748"/>
      <c r="J1922" s="2728"/>
      <c r="L1922" s="2728"/>
      <c r="M1922" s="2748"/>
      <c r="N1922" s="2728"/>
      <c r="O1922" s="2728"/>
      <c r="P1922" s="2728"/>
      <c r="Q1922" s="2748"/>
      <c r="R1922" s="2748"/>
      <c r="S1922" s="2748"/>
      <c r="T1922" s="2748"/>
      <c r="U1922" s="2748"/>
      <c r="V1922" s="2748"/>
      <c r="W1922" s="2748"/>
      <c r="X1922" s="2748"/>
      <c r="Y1922" s="2748"/>
      <c r="Z1922" s="2748"/>
      <c r="AA1922" s="2748"/>
      <c r="AB1922" s="2748"/>
      <c r="AC1922" s="2748"/>
      <c r="AD1922" s="2748"/>
      <c r="AE1922" s="2748"/>
      <c r="AF1922" s="2748"/>
      <c r="AG1922" s="2748"/>
      <c r="AH1922" s="2748"/>
      <c r="AI1922" s="2748"/>
      <c r="AK1922" s="2748"/>
      <c r="AL1922" s="2748"/>
      <c r="AN1922" s="2748"/>
      <c r="AO1922" s="2748"/>
      <c r="AP1922" s="2748"/>
    </row>
    <row r="1923" spans="2:42" ht="18" customHeight="1">
      <c r="B1923" s="2728"/>
      <c r="C1923" s="2728"/>
      <c r="D1923" s="2728"/>
      <c r="E1923" s="2728"/>
      <c r="G1923" s="2512"/>
      <c r="I1923" s="2748"/>
      <c r="J1923" s="2728"/>
      <c r="L1923" s="2728"/>
      <c r="M1923" s="2748"/>
      <c r="N1923" s="2728"/>
      <c r="O1923" s="2728"/>
      <c r="P1923" s="2728"/>
      <c r="Q1923" s="2748"/>
      <c r="R1923" s="2748"/>
      <c r="S1923" s="2748"/>
      <c r="T1923" s="2748"/>
      <c r="U1923" s="2748"/>
      <c r="V1923" s="2748"/>
      <c r="W1923" s="2748"/>
      <c r="X1923" s="2748"/>
      <c r="Y1923" s="2748"/>
      <c r="Z1923" s="2748"/>
      <c r="AA1923" s="2748"/>
      <c r="AB1923" s="2748"/>
      <c r="AC1923" s="2748"/>
      <c r="AD1923" s="2748"/>
      <c r="AE1923" s="2748"/>
      <c r="AF1923" s="2748"/>
      <c r="AG1923" s="2748"/>
      <c r="AH1923" s="2748"/>
      <c r="AI1923" s="2748"/>
      <c r="AK1923" s="2748"/>
      <c r="AL1923" s="2748"/>
      <c r="AN1923" s="2748"/>
      <c r="AO1923" s="2748"/>
      <c r="AP1923" s="2748"/>
    </row>
    <row r="1924" spans="2:42" ht="18" customHeight="1">
      <c r="B1924" s="2728"/>
      <c r="C1924" s="2728"/>
      <c r="D1924" s="2728"/>
      <c r="E1924" s="2728"/>
      <c r="G1924" s="2512"/>
      <c r="I1924" s="2748"/>
      <c r="J1924" s="2728"/>
      <c r="L1924" s="2728"/>
      <c r="M1924" s="2748"/>
      <c r="N1924" s="2728"/>
      <c r="O1924" s="2728"/>
      <c r="P1924" s="2728"/>
      <c r="Q1924" s="2748"/>
      <c r="R1924" s="2748"/>
      <c r="S1924" s="2748"/>
      <c r="T1924" s="2748"/>
      <c r="U1924" s="2748"/>
      <c r="V1924" s="2748"/>
      <c r="W1924" s="2748"/>
      <c r="X1924" s="2748"/>
      <c r="Y1924" s="2748"/>
      <c r="Z1924" s="2748"/>
      <c r="AA1924" s="2748"/>
      <c r="AB1924" s="2748"/>
      <c r="AC1924" s="2748"/>
      <c r="AD1924" s="2748"/>
      <c r="AE1924" s="2748"/>
      <c r="AF1924" s="2748"/>
      <c r="AG1924" s="2748"/>
      <c r="AH1924" s="2748"/>
      <c r="AI1924" s="2748"/>
      <c r="AK1924" s="2748"/>
      <c r="AL1924" s="2748"/>
      <c r="AN1924" s="2748"/>
      <c r="AO1924" s="2748"/>
      <c r="AP1924" s="2748"/>
    </row>
    <row r="1925" spans="2:42" ht="18" customHeight="1">
      <c r="B1925" s="2728"/>
      <c r="C1925" s="2728"/>
      <c r="D1925" s="2728"/>
      <c r="E1925" s="2728"/>
      <c r="G1925" s="2512"/>
      <c r="I1925" s="2748"/>
      <c r="J1925" s="2728"/>
      <c r="L1925" s="2728"/>
      <c r="M1925" s="2748"/>
      <c r="N1925" s="2728"/>
      <c r="O1925" s="2728"/>
      <c r="P1925" s="2728"/>
      <c r="Q1925" s="2748"/>
      <c r="R1925" s="2748"/>
      <c r="S1925" s="2748"/>
      <c r="T1925" s="2748"/>
      <c r="U1925" s="2748"/>
      <c r="V1925" s="2748"/>
      <c r="W1925" s="2748"/>
      <c r="X1925" s="2748"/>
      <c r="Y1925" s="2748"/>
      <c r="Z1925" s="2748"/>
      <c r="AA1925" s="2748"/>
      <c r="AB1925" s="2748"/>
      <c r="AC1925" s="2748"/>
      <c r="AD1925" s="2748"/>
      <c r="AE1925" s="2748"/>
      <c r="AF1925" s="2748"/>
      <c r="AG1925" s="2748"/>
      <c r="AH1925" s="2748"/>
      <c r="AI1925" s="2748"/>
      <c r="AK1925" s="2748"/>
      <c r="AL1925" s="2748"/>
      <c r="AN1925" s="2748"/>
      <c r="AO1925" s="2748"/>
      <c r="AP1925" s="2748"/>
    </row>
    <row r="1926" spans="2:42" ht="18" customHeight="1">
      <c r="B1926" s="2728"/>
      <c r="C1926" s="2728"/>
      <c r="D1926" s="2728"/>
      <c r="E1926" s="2728"/>
      <c r="G1926" s="2512"/>
      <c r="I1926" s="2748"/>
      <c r="J1926" s="2728"/>
      <c r="L1926" s="2728"/>
      <c r="M1926" s="2748"/>
      <c r="N1926" s="2728"/>
      <c r="O1926" s="2728"/>
      <c r="P1926" s="2728"/>
      <c r="Q1926" s="2748"/>
      <c r="R1926" s="2748"/>
      <c r="S1926" s="2748"/>
      <c r="T1926" s="2748"/>
      <c r="U1926" s="2748"/>
      <c r="V1926" s="2748"/>
      <c r="W1926" s="2748"/>
      <c r="X1926" s="2748"/>
      <c r="Y1926" s="2748"/>
      <c r="Z1926" s="2748"/>
      <c r="AA1926" s="2748"/>
      <c r="AB1926" s="2748"/>
      <c r="AC1926" s="2748"/>
      <c r="AD1926" s="2748"/>
      <c r="AE1926" s="2748"/>
      <c r="AF1926" s="2748"/>
      <c r="AG1926" s="2748"/>
      <c r="AH1926" s="2748"/>
      <c r="AI1926" s="2748"/>
      <c r="AK1926" s="2748"/>
      <c r="AL1926" s="2748"/>
      <c r="AN1926" s="2748"/>
      <c r="AO1926" s="2748"/>
      <c r="AP1926" s="2748"/>
    </row>
    <row r="1927" spans="2:42" ht="18" customHeight="1">
      <c r="B1927" s="2728"/>
      <c r="C1927" s="2728"/>
      <c r="D1927" s="2728"/>
      <c r="E1927" s="2728"/>
      <c r="G1927" s="2512"/>
      <c r="I1927" s="2748"/>
      <c r="J1927" s="2728"/>
      <c r="L1927" s="2728"/>
      <c r="M1927" s="2748"/>
      <c r="N1927" s="2728"/>
      <c r="O1927" s="2728"/>
      <c r="P1927" s="2728"/>
      <c r="Q1927" s="2748"/>
      <c r="R1927" s="2748"/>
      <c r="S1927" s="2748"/>
      <c r="T1927" s="2748"/>
      <c r="U1927" s="2748"/>
      <c r="V1927" s="2748"/>
      <c r="W1927" s="2748"/>
      <c r="X1927" s="2748"/>
      <c r="Y1927" s="2748"/>
      <c r="Z1927" s="2748"/>
      <c r="AA1927" s="2748"/>
      <c r="AB1927" s="2748"/>
      <c r="AC1927" s="2748"/>
      <c r="AD1927" s="2748"/>
      <c r="AE1927" s="2748"/>
      <c r="AF1927" s="2748"/>
      <c r="AG1927" s="2748"/>
      <c r="AH1927" s="2748"/>
      <c r="AI1927" s="2748"/>
      <c r="AK1927" s="2748"/>
      <c r="AL1927" s="2748"/>
      <c r="AN1927" s="2748"/>
      <c r="AO1927" s="2748"/>
      <c r="AP1927" s="2748"/>
    </row>
    <row r="1928" spans="2:42" ht="18" customHeight="1">
      <c r="B1928" s="2728"/>
      <c r="C1928" s="2728"/>
      <c r="D1928" s="2728"/>
      <c r="E1928" s="2728"/>
      <c r="G1928" s="2512"/>
      <c r="I1928" s="2748"/>
      <c r="J1928" s="2728"/>
      <c r="L1928" s="2728"/>
      <c r="M1928" s="2748"/>
      <c r="N1928" s="2728"/>
      <c r="O1928" s="2728"/>
      <c r="P1928" s="2728"/>
      <c r="Q1928" s="2748"/>
      <c r="R1928" s="2748"/>
      <c r="S1928" s="2748"/>
      <c r="T1928" s="2748"/>
      <c r="U1928" s="2748"/>
      <c r="V1928" s="2748"/>
      <c r="W1928" s="2748"/>
      <c r="X1928" s="2748"/>
      <c r="Y1928" s="2748"/>
      <c r="Z1928" s="2748"/>
      <c r="AA1928" s="2748"/>
      <c r="AB1928" s="2748"/>
      <c r="AC1928" s="2748"/>
      <c r="AD1928" s="2748"/>
      <c r="AE1928" s="2748"/>
      <c r="AF1928" s="2748"/>
      <c r="AG1928" s="2748"/>
      <c r="AH1928" s="2748"/>
      <c r="AI1928" s="2748"/>
      <c r="AK1928" s="2748"/>
      <c r="AL1928" s="2748"/>
      <c r="AN1928" s="2748"/>
      <c r="AO1928" s="2748"/>
      <c r="AP1928" s="2748"/>
    </row>
    <row r="1929" spans="2:42" ht="18" customHeight="1">
      <c r="B1929" s="2728"/>
      <c r="C1929" s="2728"/>
      <c r="D1929" s="2728"/>
      <c r="E1929" s="2728"/>
      <c r="G1929" s="2512"/>
      <c r="I1929" s="2748"/>
      <c r="J1929" s="2728"/>
      <c r="L1929" s="2728"/>
      <c r="M1929" s="2748"/>
      <c r="N1929" s="2728"/>
      <c r="O1929" s="2728"/>
      <c r="P1929" s="2728"/>
      <c r="Q1929" s="2748"/>
      <c r="R1929" s="2748"/>
      <c r="S1929" s="2748"/>
      <c r="T1929" s="2748"/>
      <c r="U1929" s="2748"/>
      <c r="V1929" s="2748"/>
      <c r="W1929" s="2748"/>
      <c r="X1929" s="2748"/>
      <c r="Y1929" s="2748"/>
      <c r="Z1929" s="2748"/>
      <c r="AA1929" s="2748"/>
      <c r="AB1929" s="2748"/>
      <c r="AC1929" s="2748"/>
      <c r="AD1929" s="2748"/>
      <c r="AE1929" s="2748"/>
      <c r="AF1929" s="2748"/>
      <c r="AG1929" s="2748"/>
      <c r="AH1929" s="2748"/>
      <c r="AI1929" s="2748"/>
      <c r="AK1929" s="2748"/>
      <c r="AL1929" s="2748"/>
      <c r="AN1929" s="2748"/>
      <c r="AO1929" s="2748"/>
      <c r="AP1929" s="2748"/>
    </row>
    <row r="1930" spans="2:42" ht="18" customHeight="1">
      <c r="B1930" s="2728"/>
      <c r="C1930" s="2728"/>
      <c r="D1930" s="2728"/>
      <c r="E1930" s="2728"/>
      <c r="G1930" s="2512"/>
      <c r="I1930" s="2748"/>
      <c r="J1930" s="2728"/>
      <c r="L1930" s="2728"/>
      <c r="M1930" s="2748"/>
      <c r="N1930" s="2728"/>
      <c r="O1930" s="2728"/>
      <c r="P1930" s="2728"/>
      <c r="Q1930" s="2748"/>
      <c r="R1930" s="2748"/>
      <c r="S1930" s="2748"/>
      <c r="T1930" s="2748"/>
      <c r="U1930" s="2748"/>
      <c r="V1930" s="2748"/>
      <c r="W1930" s="2748"/>
      <c r="X1930" s="2748"/>
      <c r="Y1930" s="2748"/>
      <c r="Z1930" s="2748"/>
      <c r="AA1930" s="2748"/>
      <c r="AB1930" s="2748"/>
      <c r="AC1930" s="2748"/>
      <c r="AD1930" s="2748"/>
      <c r="AE1930" s="2748"/>
      <c r="AF1930" s="2748"/>
      <c r="AG1930" s="2748"/>
      <c r="AH1930" s="2748"/>
      <c r="AI1930" s="2748"/>
      <c r="AK1930" s="2748"/>
      <c r="AL1930" s="2748"/>
      <c r="AN1930" s="2748"/>
      <c r="AO1930" s="2748"/>
      <c r="AP1930" s="2748"/>
    </row>
    <row r="1931" spans="2:42" ht="18" customHeight="1">
      <c r="B1931" s="2728"/>
      <c r="C1931" s="2728"/>
      <c r="D1931" s="2728"/>
      <c r="E1931" s="2728"/>
      <c r="G1931" s="2512"/>
      <c r="I1931" s="2748"/>
      <c r="J1931" s="2728"/>
      <c r="L1931" s="2728"/>
      <c r="M1931" s="2748"/>
      <c r="N1931" s="2728"/>
      <c r="O1931" s="2728"/>
      <c r="P1931" s="2728"/>
      <c r="Q1931" s="2748"/>
      <c r="R1931" s="2748"/>
      <c r="S1931" s="2748"/>
      <c r="T1931" s="2748"/>
      <c r="U1931" s="2748"/>
      <c r="V1931" s="2748"/>
      <c r="W1931" s="2748"/>
      <c r="X1931" s="2748"/>
      <c r="Y1931" s="2748"/>
      <c r="Z1931" s="2748"/>
      <c r="AA1931" s="2748"/>
      <c r="AB1931" s="2748"/>
      <c r="AC1931" s="2748"/>
      <c r="AD1931" s="2748"/>
      <c r="AE1931" s="2748"/>
      <c r="AF1931" s="2748"/>
      <c r="AG1931" s="2748"/>
      <c r="AH1931" s="2748"/>
      <c r="AI1931" s="2748"/>
      <c r="AK1931" s="2748"/>
      <c r="AL1931" s="2748"/>
      <c r="AN1931" s="2748"/>
      <c r="AO1931" s="2748"/>
      <c r="AP1931" s="2748"/>
    </row>
    <row r="1932" spans="2:42" ht="18" customHeight="1">
      <c r="B1932" s="2728"/>
      <c r="C1932" s="2728"/>
      <c r="D1932" s="2728"/>
      <c r="E1932" s="2728"/>
      <c r="G1932" s="2512"/>
      <c r="I1932" s="2748"/>
      <c r="J1932" s="2728"/>
      <c r="L1932" s="2728"/>
      <c r="M1932" s="2748"/>
      <c r="N1932" s="2728"/>
      <c r="O1932" s="2728"/>
      <c r="P1932" s="2728"/>
      <c r="Q1932" s="2748"/>
      <c r="R1932" s="2748"/>
      <c r="S1932" s="2748"/>
      <c r="T1932" s="2748"/>
      <c r="U1932" s="2748"/>
      <c r="V1932" s="2748"/>
      <c r="W1932" s="2748"/>
      <c r="X1932" s="2748"/>
      <c r="Y1932" s="2748"/>
      <c r="Z1932" s="2748"/>
      <c r="AA1932" s="2748"/>
      <c r="AB1932" s="2748"/>
      <c r="AC1932" s="2748"/>
      <c r="AD1932" s="2748"/>
      <c r="AE1932" s="2748"/>
      <c r="AF1932" s="2748"/>
      <c r="AG1932" s="2748"/>
      <c r="AH1932" s="2748"/>
      <c r="AI1932" s="2748"/>
      <c r="AK1932" s="2748"/>
      <c r="AL1932" s="2748"/>
      <c r="AN1932" s="2748"/>
      <c r="AO1932" s="2748"/>
      <c r="AP1932" s="2748"/>
    </row>
    <row r="1933" spans="2:42" ht="18" customHeight="1">
      <c r="B1933" s="2728"/>
      <c r="C1933" s="2728"/>
      <c r="D1933" s="2728"/>
      <c r="E1933" s="2728"/>
      <c r="G1933" s="2512"/>
      <c r="I1933" s="2748"/>
      <c r="J1933" s="2728"/>
      <c r="L1933" s="2728"/>
      <c r="M1933" s="2748"/>
      <c r="N1933" s="2728"/>
      <c r="O1933" s="2728"/>
      <c r="P1933" s="2728"/>
      <c r="Q1933" s="2748"/>
      <c r="R1933" s="2748"/>
      <c r="S1933" s="2748"/>
      <c r="T1933" s="2748"/>
      <c r="U1933" s="2748"/>
      <c r="V1933" s="2748"/>
      <c r="W1933" s="2748"/>
      <c r="X1933" s="2748"/>
      <c r="Y1933" s="2748"/>
      <c r="Z1933" s="2748"/>
      <c r="AA1933" s="2748"/>
      <c r="AB1933" s="2748"/>
      <c r="AC1933" s="2748"/>
      <c r="AD1933" s="2748"/>
      <c r="AE1933" s="2748"/>
      <c r="AF1933" s="2748"/>
      <c r="AG1933" s="2748"/>
      <c r="AH1933" s="2748"/>
      <c r="AI1933" s="2748"/>
      <c r="AK1933" s="2748"/>
      <c r="AL1933" s="2748"/>
      <c r="AN1933" s="2748"/>
      <c r="AO1933" s="2748"/>
      <c r="AP1933" s="2748"/>
    </row>
    <row r="1934" spans="2:42" ht="18" customHeight="1">
      <c r="B1934" s="2728"/>
      <c r="C1934" s="2728"/>
      <c r="D1934" s="2728"/>
      <c r="E1934" s="2728"/>
      <c r="G1934" s="2512"/>
      <c r="I1934" s="2748"/>
      <c r="J1934" s="2728"/>
      <c r="L1934" s="2728"/>
      <c r="M1934" s="2748"/>
      <c r="N1934" s="2728"/>
      <c r="O1934" s="2728"/>
      <c r="P1934" s="2728"/>
      <c r="Q1934" s="2748"/>
      <c r="R1934" s="2748"/>
      <c r="S1934" s="2748"/>
      <c r="T1934" s="2748"/>
      <c r="U1934" s="2748"/>
      <c r="V1934" s="2748"/>
      <c r="W1934" s="2748"/>
      <c r="X1934" s="2748"/>
      <c r="Y1934" s="2748"/>
      <c r="Z1934" s="2748"/>
      <c r="AA1934" s="2748"/>
      <c r="AB1934" s="2748"/>
      <c r="AC1934" s="2748"/>
      <c r="AD1934" s="2748"/>
      <c r="AE1934" s="2748"/>
      <c r="AF1934" s="2748"/>
      <c r="AG1934" s="2748"/>
      <c r="AH1934" s="2748"/>
      <c r="AI1934" s="2748"/>
      <c r="AK1934" s="2748"/>
      <c r="AL1934" s="2748"/>
      <c r="AN1934" s="2748"/>
      <c r="AO1934" s="2748"/>
      <c r="AP1934" s="2748"/>
    </row>
    <row r="1935" spans="2:42" ht="18" customHeight="1">
      <c r="B1935" s="2728"/>
      <c r="C1935" s="2728"/>
      <c r="D1935" s="2728"/>
      <c r="E1935" s="2728"/>
      <c r="G1935" s="2512"/>
      <c r="I1935" s="2748"/>
      <c r="J1935" s="2728"/>
      <c r="L1935" s="2728"/>
      <c r="M1935" s="2748"/>
      <c r="N1935" s="2728"/>
      <c r="O1935" s="2728"/>
      <c r="P1935" s="2728"/>
      <c r="Q1935" s="2748"/>
      <c r="R1935" s="2748"/>
      <c r="S1935" s="2748"/>
      <c r="T1935" s="2748"/>
      <c r="U1935" s="2748"/>
      <c r="V1935" s="2748"/>
      <c r="W1935" s="2748"/>
      <c r="X1935" s="2748"/>
      <c r="Y1935" s="2748"/>
      <c r="Z1935" s="2748"/>
      <c r="AA1935" s="2748"/>
      <c r="AB1935" s="2748"/>
      <c r="AC1935" s="2748"/>
      <c r="AD1935" s="2748"/>
      <c r="AE1935" s="2748"/>
      <c r="AF1935" s="2748"/>
      <c r="AG1935" s="2748"/>
      <c r="AH1935" s="2748"/>
      <c r="AI1935" s="2748"/>
      <c r="AK1935" s="2748"/>
      <c r="AL1935" s="2748"/>
      <c r="AN1935" s="2748"/>
      <c r="AO1935" s="2748"/>
      <c r="AP1935" s="2748"/>
    </row>
    <row r="1936" spans="2:42" ht="18" customHeight="1">
      <c r="B1936" s="2728"/>
      <c r="C1936" s="2728"/>
      <c r="D1936" s="2728"/>
      <c r="E1936" s="2728"/>
      <c r="G1936" s="2512"/>
      <c r="I1936" s="2748"/>
      <c r="J1936" s="2728"/>
      <c r="L1936" s="2728"/>
      <c r="M1936" s="2748"/>
      <c r="N1936" s="2728"/>
      <c r="O1936" s="2728"/>
      <c r="P1936" s="2728"/>
      <c r="Q1936" s="2748"/>
      <c r="R1936" s="2748"/>
      <c r="S1936" s="2748"/>
      <c r="T1936" s="2748"/>
      <c r="U1936" s="2748"/>
      <c r="V1936" s="2748"/>
      <c r="W1936" s="2748"/>
      <c r="X1936" s="2748"/>
      <c r="Y1936" s="2748"/>
      <c r="Z1936" s="2748"/>
      <c r="AA1936" s="2748"/>
      <c r="AB1936" s="2748"/>
      <c r="AC1936" s="2748"/>
      <c r="AD1936" s="2748"/>
      <c r="AE1936" s="2748"/>
      <c r="AF1936" s="2748"/>
      <c r="AG1936" s="2748"/>
      <c r="AH1936" s="2748"/>
      <c r="AI1936" s="2748"/>
      <c r="AK1936" s="2748"/>
      <c r="AL1936" s="2748"/>
      <c r="AN1936" s="2748"/>
      <c r="AO1936" s="2748"/>
      <c r="AP1936" s="2748"/>
    </row>
    <row r="1937" spans="2:42" ht="18" customHeight="1">
      <c r="B1937" s="2728"/>
      <c r="C1937" s="2728"/>
      <c r="D1937" s="2728"/>
      <c r="E1937" s="2728"/>
      <c r="G1937" s="2512"/>
      <c r="I1937" s="2748"/>
      <c r="J1937" s="2728"/>
      <c r="L1937" s="2728"/>
      <c r="M1937" s="2748"/>
      <c r="N1937" s="2728"/>
      <c r="O1937" s="2728"/>
      <c r="P1937" s="2728"/>
      <c r="Q1937" s="2748"/>
      <c r="R1937" s="2748"/>
      <c r="S1937" s="2748"/>
      <c r="T1937" s="2748"/>
      <c r="U1937" s="2748"/>
      <c r="V1937" s="2748"/>
      <c r="W1937" s="2748"/>
      <c r="X1937" s="2748"/>
      <c r="Y1937" s="2748"/>
      <c r="Z1937" s="2748"/>
      <c r="AA1937" s="2748"/>
      <c r="AB1937" s="2748"/>
      <c r="AC1937" s="2748"/>
      <c r="AD1937" s="2748"/>
      <c r="AE1937" s="2748"/>
      <c r="AF1937" s="2748"/>
      <c r="AG1937" s="2748"/>
      <c r="AH1937" s="2748"/>
      <c r="AI1937" s="2748"/>
      <c r="AK1937" s="2748"/>
      <c r="AL1937" s="2748"/>
      <c r="AN1937" s="2748"/>
      <c r="AO1937" s="2748"/>
      <c r="AP1937" s="2748"/>
    </row>
    <row r="1938" spans="2:42" ht="18" customHeight="1">
      <c r="B1938" s="2728"/>
      <c r="C1938" s="2728"/>
      <c r="D1938" s="2728"/>
      <c r="E1938" s="2728"/>
      <c r="G1938" s="2512"/>
      <c r="I1938" s="2748"/>
      <c r="J1938" s="2728"/>
      <c r="L1938" s="2728"/>
      <c r="M1938" s="2748"/>
      <c r="N1938" s="2728"/>
      <c r="O1938" s="2728"/>
      <c r="P1938" s="2728"/>
      <c r="Q1938" s="2748"/>
      <c r="R1938" s="2748"/>
      <c r="S1938" s="2748"/>
      <c r="T1938" s="2748"/>
      <c r="U1938" s="2748"/>
      <c r="V1938" s="2748"/>
      <c r="W1938" s="2748"/>
      <c r="X1938" s="2748"/>
      <c r="Y1938" s="2748"/>
      <c r="Z1938" s="2748"/>
      <c r="AA1938" s="2748"/>
      <c r="AB1938" s="2748"/>
      <c r="AC1938" s="2748"/>
      <c r="AD1938" s="2748"/>
      <c r="AE1938" s="2748"/>
      <c r="AF1938" s="2748"/>
      <c r="AG1938" s="2748"/>
      <c r="AH1938" s="2748"/>
      <c r="AI1938" s="2748"/>
      <c r="AK1938" s="2748"/>
      <c r="AL1938" s="2748"/>
      <c r="AN1938" s="2748"/>
      <c r="AO1938" s="2748"/>
      <c r="AP1938" s="2748"/>
    </row>
    <row r="1939" spans="2:42" ht="18" customHeight="1">
      <c r="B1939" s="2728"/>
      <c r="C1939" s="2728"/>
      <c r="D1939" s="2728"/>
      <c r="E1939" s="2728"/>
      <c r="G1939" s="2512"/>
      <c r="I1939" s="2748"/>
      <c r="J1939" s="2728"/>
      <c r="L1939" s="2728"/>
      <c r="M1939" s="2748"/>
      <c r="N1939" s="2728"/>
      <c r="O1939" s="2728"/>
      <c r="P1939" s="2728"/>
      <c r="Q1939" s="2748"/>
      <c r="R1939" s="2748"/>
      <c r="S1939" s="2748"/>
      <c r="T1939" s="2748"/>
      <c r="U1939" s="2748"/>
      <c r="V1939" s="2748"/>
      <c r="W1939" s="2748"/>
      <c r="X1939" s="2748"/>
      <c r="Y1939" s="2748"/>
      <c r="Z1939" s="2748"/>
      <c r="AA1939" s="2748"/>
      <c r="AB1939" s="2748"/>
      <c r="AC1939" s="2748"/>
      <c r="AD1939" s="2748"/>
      <c r="AE1939" s="2748"/>
      <c r="AF1939" s="2748"/>
      <c r="AG1939" s="2748"/>
      <c r="AH1939" s="2748"/>
      <c r="AI1939" s="2748"/>
      <c r="AK1939" s="2748"/>
      <c r="AL1939" s="2748"/>
      <c r="AN1939" s="2748"/>
      <c r="AO1939" s="2748"/>
      <c r="AP1939" s="2748"/>
    </row>
    <row r="1940" spans="2:42" ht="18" customHeight="1">
      <c r="B1940" s="2728"/>
      <c r="C1940" s="2728"/>
      <c r="D1940" s="2728"/>
      <c r="E1940" s="2728"/>
      <c r="G1940" s="2512"/>
      <c r="I1940" s="2748"/>
      <c r="J1940" s="2728"/>
      <c r="L1940" s="2728"/>
      <c r="M1940" s="2748"/>
      <c r="N1940" s="2728"/>
      <c r="O1940" s="2728"/>
      <c r="P1940" s="2728"/>
      <c r="Q1940" s="2748"/>
      <c r="R1940" s="2748"/>
      <c r="S1940" s="2748"/>
      <c r="T1940" s="2748"/>
      <c r="U1940" s="2748"/>
      <c r="V1940" s="2748"/>
      <c r="W1940" s="2748"/>
      <c r="X1940" s="2748"/>
      <c r="Y1940" s="2748"/>
      <c r="Z1940" s="2748"/>
      <c r="AA1940" s="2748"/>
      <c r="AB1940" s="2748"/>
      <c r="AC1940" s="2748"/>
      <c r="AD1940" s="2748"/>
      <c r="AE1940" s="2748"/>
      <c r="AF1940" s="2748"/>
      <c r="AG1940" s="2748"/>
      <c r="AH1940" s="2748"/>
      <c r="AI1940" s="2748"/>
      <c r="AK1940" s="2748"/>
      <c r="AL1940" s="2748"/>
      <c r="AN1940" s="2748"/>
      <c r="AO1940" s="2748"/>
      <c r="AP1940" s="2748"/>
    </row>
    <row r="1941" spans="2:42" ht="18" customHeight="1">
      <c r="B1941" s="2728"/>
      <c r="C1941" s="2728"/>
      <c r="D1941" s="2728"/>
      <c r="E1941" s="2728"/>
      <c r="G1941" s="2512"/>
      <c r="I1941" s="2748"/>
      <c r="J1941" s="2728"/>
      <c r="L1941" s="2728"/>
      <c r="M1941" s="2748"/>
      <c r="N1941" s="2728"/>
      <c r="O1941" s="2728"/>
      <c r="P1941" s="2728"/>
      <c r="Q1941" s="2748"/>
      <c r="R1941" s="2748"/>
      <c r="S1941" s="2748"/>
      <c r="T1941" s="2748"/>
      <c r="U1941" s="2748"/>
      <c r="V1941" s="2748"/>
      <c r="W1941" s="2748"/>
      <c r="X1941" s="2748"/>
      <c r="Y1941" s="2748"/>
      <c r="Z1941" s="2748"/>
      <c r="AA1941" s="2748"/>
      <c r="AB1941" s="2748"/>
      <c r="AC1941" s="2748"/>
      <c r="AD1941" s="2748"/>
      <c r="AE1941" s="2748"/>
      <c r="AF1941" s="2748"/>
      <c r="AG1941" s="2748"/>
      <c r="AH1941" s="2748"/>
      <c r="AI1941" s="2748"/>
      <c r="AK1941" s="2748"/>
      <c r="AL1941" s="2748"/>
      <c r="AN1941" s="2748"/>
      <c r="AO1941" s="2748"/>
      <c r="AP1941" s="2748"/>
    </row>
    <row r="1942" spans="2:42" ht="18" customHeight="1">
      <c r="B1942" s="2728"/>
      <c r="C1942" s="2728"/>
      <c r="D1942" s="2728"/>
      <c r="E1942" s="2728"/>
      <c r="G1942" s="2512"/>
      <c r="I1942" s="2748"/>
      <c r="J1942" s="2728"/>
      <c r="L1942" s="2728"/>
      <c r="M1942" s="2748"/>
      <c r="N1942" s="2728"/>
      <c r="O1942" s="2728"/>
      <c r="P1942" s="2728"/>
      <c r="Q1942" s="2748"/>
      <c r="R1942" s="2748"/>
      <c r="S1942" s="2748"/>
      <c r="T1942" s="2748"/>
      <c r="U1942" s="2748"/>
      <c r="V1942" s="2748"/>
      <c r="W1942" s="2748"/>
      <c r="X1942" s="2748"/>
      <c r="Y1942" s="2748"/>
      <c r="Z1942" s="2748"/>
      <c r="AA1942" s="2748"/>
      <c r="AB1942" s="2748"/>
      <c r="AC1942" s="2748"/>
      <c r="AD1942" s="2748"/>
      <c r="AE1942" s="2748"/>
      <c r="AF1942" s="2748"/>
      <c r="AG1942" s="2748"/>
      <c r="AH1942" s="2748"/>
      <c r="AI1942" s="2748"/>
      <c r="AK1942" s="2748"/>
      <c r="AL1942" s="2748"/>
      <c r="AN1942" s="2748"/>
      <c r="AO1942" s="2748"/>
      <c r="AP1942" s="2748"/>
    </row>
    <row r="1943" spans="2:42" ht="18" customHeight="1">
      <c r="B1943" s="2728"/>
      <c r="C1943" s="2728"/>
      <c r="D1943" s="2728"/>
      <c r="E1943" s="2728"/>
      <c r="G1943" s="2512"/>
      <c r="I1943" s="2748"/>
      <c r="J1943" s="2728"/>
      <c r="L1943" s="2728"/>
      <c r="M1943" s="2748"/>
      <c r="N1943" s="2728"/>
      <c r="O1943" s="2728"/>
      <c r="P1943" s="2728"/>
      <c r="Q1943" s="2748"/>
      <c r="R1943" s="2748"/>
      <c r="S1943" s="2748"/>
      <c r="T1943" s="2748"/>
      <c r="U1943" s="2748"/>
      <c r="V1943" s="2748"/>
      <c r="W1943" s="2748"/>
      <c r="X1943" s="2748"/>
      <c r="Y1943" s="2748"/>
      <c r="Z1943" s="2748"/>
      <c r="AA1943" s="2748"/>
      <c r="AB1943" s="2748"/>
      <c r="AC1943" s="2748"/>
      <c r="AD1943" s="2748"/>
      <c r="AE1943" s="2748"/>
      <c r="AF1943" s="2748"/>
      <c r="AG1943" s="2748"/>
      <c r="AH1943" s="2748"/>
      <c r="AI1943" s="2748"/>
      <c r="AK1943" s="2748"/>
      <c r="AL1943" s="2748"/>
      <c r="AN1943" s="2748"/>
      <c r="AO1943" s="2748"/>
      <c r="AP1943" s="2748"/>
    </row>
    <row r="1944" spans="2:42" ht="18" customHeight="1">
      <c r="B1944" s="2728"/>
      <c r="C1944" s="2728"/>
      <c r="D1944" s="2728"/>
      <c r="E1944" s="2728"/>
      <c r="G1944" s="2512"/>
      <c r="I1944" s="2748"/>
      <c r="J1944" s="2728"/>
      <c r="L1944" s="2728"/>
      <c r="M1944" s="2748"/>
      <c r="N1944" s="2728"/>
      <c r="O1944" s="2728"/>
      <c r="P1944" s="2728"/>
      <c r="Q1944" s="2748"/>
      <c r="R1944" s="2748"/>
      <c r="S1944" s="2748"/>
      <c r="T1944" s="2748"/>
      <c r="U1944" s="2748"/>
      <c r="V1944" s="2748"/>
      <c r="W1944" s="2748"/>
      <c r="X1944" s="2748"/>
      <c r="Y1944" s="2748"/>
      <c r="Z1944" s="2748"/>
      <c r="AA1944" s="2748"/>
      <c r="AB1944" s="2748"/>
      <c r="AC1944" s="2748"/>
      <c r="AD1944" s="2748"/>
      <c r="AE1944" s="2748"/>
      <c r="AF1944" s="2748"/>
      <c r="AG1944" s="2748"/>
      <c r="AH1944" s="2748"/>
      <c r="AI1944" s="2748"/>
      <c r="AK1944" s="2748"/>
      <c r="AL1944" s="2748"/>
      <c r="AN1944" s="2748"/>
      <c r="AO1944" s="2748"/>
      <c r="AP1944" s="2748"/>
    </row>
    <row r="1945" spans="2:42" ht="18" customHeight="1">
      <c r="B1945" s="2728"/>
      <c r="C1945" s="2728"/>
      <c r="D1945" s="2728"/>
      <c r="E1945" s="2728"/>
      <c r="G1945" s="2512"/>
      <c r="I1945" s="2748"/>
      <c r="J1945" s="2728"/>
      <c r="L1945" s="2728"/>
      <c r="M1945" s="2748"/>
      <c r="N1945" s="2728"/>
      <c r="O1945" s="2728"/>
      <c r="P1945" s="2728"/>
      <c r="Q1945" s="2748"/>
      <c r="R1945" s="2748"/>
      <c r="S1945" s="2748"/>
      <c r="T1945" s="2748"/>
      <c r="U1945" s="2748"/>
      <c r="V1945" s="2748"/>
      <c r="W1945" s="2748"/>
      <c r="X1945" s="2748"/>
      <c r="Y1945" s="2748"/>
      <c r="Z1945" s="2748"/>
      <c r="AA1945" s="2748"/>
      <c r="AB1945" s="2748"/>
      <c r="AC1945" s="2748"/>
      <c r="AD1945" s="2748"/>
      <c r="AE1945" s="2748"/>
      <c r="AF1945" s="2748"/>
      <c r="AG1945" s="2748"/>
      <c r="AH1945" s="2748"/>
      <c r="AI1945" s="2748"/>
      <c r="AK1945" s="2748"/>
      <c r="AL1945" s="2748"/>
      <c r="AN1945" s="2748"/>
      <c r="AO1945" s="2748"/>
      <c r="AP1945" s="2748"/>
    </row>
    <row r="1946" spans="2:42" ht="18" customHeight="1">
      <c r="B1946" s="2728"/>
      <c r="C1946" s="2728"/>
      <c r="D1946" s="2728"/>
      <c r="E1946" s="2728"/>
      <c r="G1946" s="2512"/>
      <c r="I1946" s="2748"/>
      <c r="J1946" s="2728"/>
      <c r="L1946" s="2728"/>
      <c r="M1946" s="2748"/>
      <c r="N1946" s="2728"/>
      <c r="O1946" s="2728"/>
      <c r="P1946" s="2728"/>
      <c r="Q1946" s="2748"/>
      <c r="R1946" s="2748"/>
      <c r="S1946" s="2748"/>
      <c r="T1946" s="2748"/>
      <c r="U1946" s="2748"/>
      <c r="V1946" s="2748"/>
      <c r="W1946" s="2748"/>
      <c r="X1946" s="2748"/>
      <c r="Y1946" s="2748"/>
      <c r="Z1946" s="2748"/>
      <c r="AA1946" s="2748"/>
      <c r="AB1946" s="2748"/>
      <c r="AC1946" s="2748"/>
      <c r="AD1946" s="2748"/>
      <c r="AE1946" s="2748"/>
      <c r="AF1946" s="2748"/>
      <c r="AG1946" s="2748"/>
      <c r="AH1946" s="2748"/>
      <c r="AI1946" s="2748"/>
      <c r="AK1946" s="2748"/>
      <c r="AL1946" s="2748"/>
      <c r="AN1946" s="2748"/>
      <c r="AO1946" s="2748"/>
      <c r="AP1946" s="2748"/>
    </row>
    <row r="1947" spans="2:42" ht="18" customHeight="1">
      <c r="B1947" s="2728"/>
      <c r="C1947" s="2728"/>
      <c r="D1947" s="2728"/>
      <c r="E1947" s="2728"/>
      <c r="G1947" s="2512"/>
      <c r="I1947" s="2748"/>
      <c r="J1947" s="2728"/>
      <c r="L1947" s="2728"/>
      <c r="M1947" s="2748"/>
      <c r="N1947" s="2728"/>
      <c r="O1947" s="2728"/>
      <c r="P1947" s="2728"/>
      <c r="Q1947" s="2748"/>
      <c r="R1947" s="2748"/>
      <c r="S1947" s="2748"/>
      <c r="T1947" s="2748"/>
      <c r="U1947" s="2748"/>
      <c r="V1947" s="2748"/>
      <c r="W1947" s="2748"/>
      <c r="X1947" s="2748"/>
      <c r="Y1947" s="2748"/>
      <c r="Z1947" s="2748"/>
      <c r="AA1947" s="2748"/>
      <c r="AB1947" s="2748"/>
      <c r="AC1947" s="2748"/>
      <c r="AD1947" s="2748"/>
      <c r="AE1947" s="2748"/>
      <c r="AF1947" s="2748"/>
      <c r="AG1947" s="2748"/>
      <c r="AH1947" s="2748"/>
      <c r="AI1947" s="2748"/>
      <c r="AK1947" s="2748"/>
      <c r="AL1947" s="2748"/>
      <c r="AN1947" s="2748"/>
      <c r="AO1947" s="2748"/>
      <c r="AP1947" s="2748"/>
    </row>
    <row r="1948" spans="2:42" ht="18" customHeight="1">
      <c r="B1948" s="2728"/>
      <c r="C1948" s="2728"/>
      <c r="D1948" s="2728"/>
      <c r="E1948" s="2728"/>
      <c r="G1948" s="2512"/>
      <c r="I1948" s="2748"/>
      <c r="J1948" s="2728"/>
      <c r="L1948" s="2728"/>
      <c r="M1948" s="2748"/>
      <c r="N1948" s="2728"/>
      <c r="O1948" s="2728"/>
      <c r="P1948" s="2728"/>
      <c r="Q1948" s="2748"/>
      <c r="R1948" s="2748"/>
      <c r="S1948" s="2748"/>
      <c r="T1948" s="2748"/>
      <c r="U1948" s="2748"/>
      <c r="V1948" s="2748"/>
      <c r="W1948" s="2748"/>
      <c r="X1948" s="2748"/>
      <c r="Y1948" s="2748"/>
      <c r="Z1948" s="2748"/>
      <c r="AA1948" s="2748"/>
      <c r="AB1948" s="2748"/>
      <c r="AC1948" s="2748"/>
      <c r="AD1948" s="2748"/>
      <c r="AE1948" s="2748"/>
      <c r="AF1948" s="2748"/>
      <c r="AG1948" s="2748"/>
      <c r="AH1948" s="2748"/>
      <c r="AI1948" s="2748"/>
      <c r="AK1948" s="2748"/>
      <c r="AL1948" s="2748"/>
      <c r="AN1948" s="2748"/>
      <c r="AO1948" s="2748"/>
      <c r="AP1948" s="2748"/>
    </row>
    <row r="1949" spans="2:42" ht="18" customHeight="1">
      <c r="B1949" s="2728"/>
      <c r="C1949" s="2728"/>
      <c r="D1949" s="2728"/>
      <c r="E1949" s="2728"/>
      <c r="G1949" s="2512"/>
      <c r="I1949" s="2748"/>
      <c r="J1949" s="2728"/>
      <c r="L1949" s="2728"/>
      <c r="M1949" s="2748"/>
      <c r="N1949" s="2728"/>
      <c r="O1949" s="2728"/>
      <c r="P1949" s="2728"/>
      <c r="Q1949" s="2748"/>
      <c r="R1949" s="2748"/>
      <c r="S1949" s="2748"/>
      <c r="T1949" s="2748"/>
      <c r="U1949" s="2748"/>
      <c r="V1949" s="2748"/>
      <c r="W1949" s="2748"/>
      <c r="X1949" s="2748"/>
      <c r="Y1949" s="2748"/>
      <c r="Z1949" s="2748"/>
      <c r="AA1949" s="2748"/>
      <c r="AB1949" s="2748"/>
      <c r="AC1949" s="2748"/>
      <c r="AD1949" s="2748"/>
      <c r="AE1949" s="2748"/>
      <c r="AF1949" s="2748"/>
      <c r="AG1949" s="2748"/>
      <c r="AH1949" s="2748"/>
      <c r="AI1949" s="2748"/>
      <c r="AK1949" s="2748"/>
      <c r="AL1949" s="2748"/>
      <c r="AN1949" s="2748"/>
      <c r="AO1949" s="2748"/>
      <c r="AP1949" s="2748"/>
    </row>
    <row r="1950" spans="2:42" ht="18" customHeight="1">
      <c r="B1950" s="2728"/>
      <c r="C1950" s="2728"/>
      <c r="D1950" s="2728"/>
      <c r="E1950" s="2728"/>
      <c r="G1950" s="2512"/>
      <c r="I1950" s="2748"/>
      <c r="J1950" s="2728"/>
      <c r="L1950" s="2728"/>
      <c r="M1950" s="2748"/>
      <c r="N1950" s="2728"/>
      <c r="O1950" s="2728"/>
      <c r="P1950" s="2728"/>
      <c r="Q1950" s="2748"/>
      <c r="R1950" s="2748"/>
      <c r="S1950" s="2748"/>
      <c r="T1950" s="2748"/>
      <c r="U1950" s="2748"/>
      <c r="V1950" s="2748"/>
      <c r="W1950" s="2748"/>
      <c r="X1950" s="2748"/>
      <c r="Y1950" s="2748"/>
      <c r="Z1950" s="2748"/>
      <c r="AA1950" s="2748"/>
      <c r="AB1950" s="2748"/>
      <c r="AC1950" s="2748"/>
      <c r="AD1950" s="2748"/>
      <c r="AE1950" s="2748"/>
      <c r="AF1950" s="2748"/>
      <c r="AG1950" s="2748"/>
      <c r="AH1950" s="2748"/>
      <c r="AI1950" s="2748"/>
      <c r="AK1950" s="2748"/>
      <c r="AL1950" s="2748"/>
      <c r="AN1950" s="2748"/>
      <c r="AO1950" s="2748"/>
      <c r="AP1950" s="2748"/>
    </row>
    <row r="1951" spans="2:42" ht="18" customHeight="1">
      <c r="B1951" s="2728"/>
      <c r="C1951" s="2728"/>
      <c r="D1951" s="2728"/>
      <c r="E1951" s="2728"/>
      <c r="G1951" s="2512"/>
      <c r="I1951" s="2748"/>
      <c r="J1951" s="2728"/>
      <c r="L1951" s="2728"/>
      <c r="M1951" s="2748"/>
      <c r="N1951" s="2728"/>
      <c r="O1951" s="2728"/>
      <c r="P1951" s="2728"/>
      <c r="Q1951" s="2748"/>
      <c r="R1951" s="2748"/>
      <c r="S1951" s="2748"/>
      <c r="T1951" s="2748"/>
      <c r="U1951" s="2748"/>
      <c r="V1951" s="2748"/>
      <c r="W1951" s="2748"/>
      <c r="X1951" s="2748"/>
      <c r="Y1951" s="2748"/>
      <c r="Z1951" s="2748"/>
      <c r="AA1951" s="2748"/>
      <c r="AB1951" s="2748"/>
      <c r="AC1951" s="2748"/>
      <c r="AD1951" s="2748"/>
      <c r="AE1951" s="2748"/>
      <c r="AF1951" s="2748"/>
      <c r="AG1951" s="2748"/>
      <c r="AH1951" s="2748"/>
      <c r="AI1951" s="2748"/>
      <c r="AK1951" s="2748"/>
      <c r="AL1951" s="2748"/>
      <c r="AN1951" s="2748"/>
      <c r="AO1951" s="2748"/>
      <c r="AP1951" s="2748"/>
    </row>
    <row r="1952" spans="2:42" ht="18" customHeight="1">
      <c r="B1952" s="2728"/>
      <c r="C1952" s="2728"/>
      <c r="D1952" s="2728"/>
      <c r="E1952" s="2728"/>
      <c r="G1952" s="2512"/>
      <c r="I1952" s="2748"/>
      <c r="J1952" s="2728"/>
      <c r="L1952" s="2728"/>
      <c r="M1952" s="2748"/>
      <c r="N1952" s="2728"/>
      <c r="O1952" s="2728"/>
      <c r="P1952" s="2728"/>
      <c r="Q1952" s="2748"/>
      <c r="R1952" s="2748"/>
      <c r="S1952" s="2748"/>
      <c r="T1952" s="2748"/>
      <c r="U1952" s="2748"/>
      <c r="V1952" s="2748"/>
      <c r="W1952" s="2748"/>
      <c r="X1952" s="2748"/>
      <c r="Y1952" s="2748"/>
      <c r="Z1952" s="2748"/>
      <c r="AA1952" s="2748"/>
      <c r="AB1952" s="2748"/>
      <c r="AC1952" s="2748"/>
      <c r="AD1952" s="2748"/>
      <c r="AE1952" s="2748"/>
      <c r="AF1952" s="2748"/>
      <c r="AG1952" s="2748"/>
      <c r="AH1952" s="2748"/>
      <c r="AI1952" s="2748"/>
      <c r="AK1952" s="2748"/>
      <c r="AL1952" s="2748"/>
      <c r="AN1952" s="2748"/>
      <c r="AO1952" s="2748"/>
      <c r="AP1952" s="2748"/>
    </row>
    <row r="1953" spans="2:42" ht="18" customHeight="1">
      <c r="B1953" s="2728"/>
      <c r="C1953" s="2728"/>
      <c r="D1953" s="2728"/>
      <c r="E1953" s="2728"/>
      <c r="G1953" s="2512"/>
      <c r="I1953" s="2748"/>
      <c r="J1953" s="2728"/>
      <c r="L1953" s="2728"/>
      <c r="M1953" s="2748"/>
      <c r="N1953" s="2728"/>
      <c r="O1953" s="2728"/>
      <c r="P1953" s="2728"/>
      <c r="Q1953" s="2748"/>
      <c r="R1953" s="2748"/>
      <c r="S1953" s="2748"/>
      <c r="T1953" s="2748"/>
      <c r="U1953" s="2748"/>
      <c r="V1953" s="2748"/>
      <c r="W1953" s="2748"/>
      <c r="X1953" s="2748"/>
      <c r="Y1953" s="2748"/>
      <c r="Z1953" s="2748"/>
      <c r="AA1953" s="2748"/>
      <c r="AB1953" s="2748"/>
      <c r="AC1953" s="2748"/>
      <c r="AD1953" s="2748"/>
      <c r="AE1953" s="2748"/>
      <c r="AF1953" s="2748"/>
      <c r="AG1953" s="2748"/>
      <c r="AH1953" s="2748"/>
      <c r="AI1953" s="2748"/>
      <c r="AK1953" s="2748"/>
      <c r="AL1953" s="2748"/>
      <c r="AN1953" s="2748"/>
      <c r="AO1953" s="2748"/>
      <c r="AP1953" s="2748"/>
    </row>
    <row r="1954" spans="2:42" ht="18" customHeight="1">
      <c r="B1954" s="2728"/>
      <c r="C1954" s="2728"/>
      <c r="D1954" s="2728"/>
      <c r="E1954" s="2728"/>
      <c r="G1954" s="2512"/>
      <c r="I1954" s="2748"/>
      <c r="J1954" s="2728"/>
      <c r="L1954" s="2728"/>
      <c r="M1954" s="2748"/>
      <c r="N1954" s="2728"/>
      <c r="O1954" s="2728"/>
      <c r="P1954" s="2728"/>
      <c r="Q1954" s="2748"/>
      <c r="R1954" s="2748"/>
      <c r="S1954" s="2748"/>
      <c r="T1954" s="2748"/>
      <c r="U1954" s="2748"/>
      <c r="V1954" s="2748"/>
      <c r="W1954" s="2748"/>
      <c r="X1954" s="2748"/>
      <c r="Y1954" s="2748"/>
      <c r="Z1954" s="2748"/>
      <c r="AA1954" s="2748"/>
      <c r="AB1954" s="2748"/>
      <c r="AC1954" s="2748"/>
      <c r="AD1954" s="2748"/>
      <c r="AE1954" s="2748"/>
      <c r="AF1954" s="2748"/>
      <c r="AG1954" s="2748"/>
      <c r="AH1954" s="2748"/>
      <c r="AI1954" s="2748"/>
      <c r="AK1954" s="2748"/>
      <c r="AL1954" s="2748"/>
      <c r="AN1954" s="2748"/>
      <c r="AO1954" s="2748"/>
      <c r="AP1954" s="2748"/>
    </row>
    <row r="1955" spans="2:42" ht="18" customHeight="1">
      <c r="B1955" s="2728"/>
      <c r="C1955" s="2728"/>
      <c r="D1955" s="2728"/>
      <c r="E1955" s="2728"/>
      <c r="G1955" s="2512"/>
      <c r="I1955" s="2748"/>
      <c r="J1955" s="2728"/>
      <c r="L1955" s="2728"/>
      <c r="M1955" s="2748"/>
      <c r="N1955" s="2728"/>
      <c r="O1955" s="2728"/>
      <c r="P1955" s="2728"/>
      <c r="Q1955" s="2748"/>
      <c r="R1955" s="2748"/>
      <c r="S1955" s="2748"/>
      <c r="T1955" s="2748"/>
      <c r="U1955" s="2748"/>
      <c r="V1955" s="2748"/>
      <c r="W1955" s="2748"/>
      <c r="X1955" s="2748"/>
      <c r="Y1955" s="2748"/>
      <c r="Z1955" s="2748"/>
      <c r="AA1955" s="2748"/>
      <c r="AB1955" s="2748"/>
      <c r="AC1955" s="2748"/>
      <c r="AD1955" s="2748"/>
      <c r="AE1955" s="2748"/>
      <c r="AF1955" s="2748"/>
      <c r="AG1955" s="2748"/>
      <c r="AH1955" s="2748"/>
      <c r="AI1955" s="2748"/>
      <c r="AK1955" s="2748"/>
      <c r="AL1955" s="2748"/>
      <c r="AN1955" s="2748"/>
      <c r="AO1955" s="2748"/>
      <c r="AP1955" s="2748"/>
    </row>
    <row r="1956" spans="2:42" ht="18" customHeight="1">
      <c r="B1956" s="2728"/>
      <c r="C1956" s="2728"/>
      <c r="D1956" s="2728"/>
      <c r="E1956" s="2728"/>
      <c r="G1956" s="2512"/>
      <c r="I1956" s="2748"/>
      <c r="J1956" s="2728"/>
      <c r="L1956" s="2728"/>
      <c r="M1956" s="2748"/>
      <c r="N1956" s="2728"/>
      <c r="O1956" s="2728"/>
      <c r="P1956" s="2728"/>
      <c r="Q1956" s="2748"/>
      <c r="R1956" s="2748"/>
      <c r="S1956" s="2748"/>
      <c r="T1956" s="2748"/>
      <c r="U1956" s="2748"/>
      <c r="V1956" s="2748"/>
      <c r="W1956" s="2748"/>
      <c r="X1956" s="2748"/>
      <c r="Y1956" s="2748"/>
      <c r="Z1956" s="2748"/>
      <c r="AA1956" s="2748"/>
      <c r="AB1956" s="2748"/>
      <c r="AC1956" s="2748"/>
      <c r="AD1956" s="2748"/>
      <c r="AE1956" s="2748"/>
      <c r="AF1956" s="2748"/>
      <c r="AG1956" s="2748"/>
      <c r="AH1956" s="2748"/>
      <c r="AI1956" s="2748"/>
      <c r="AK1956" s="2748"/>
      <c r="AL1956" s="2748"/>
      <c r="AN1956" s="2748"/>
      <c r="AO1956" s="2748"/>
      <c r="AP1956" s="2748"/>
    </row>
    <row r="1957" spans="2:42" ht="18" customHeight="1">
      <c r="B1957" s="2728"/>
      <c r="C1957" s="2728"/>
      <c r="D1957" s="2728"/>
      <c r="E1957" s="2728"/>
      <c r="G1957" s="2512"/>
      <c r="I1957" s="2748"/>
      <c r="J1957" s="2728"/>
      <c r="L1957" s="2728"/>
      <c r="M1957" s="2748"/>
      <c r="N1957" s="2728"/>
      <c r="O1957" s="2728"/>
      <c r="P1957" s="2728"/>
      <c r="Q1957" s="2748"/>
      <c r="R1957" s="2748"/>
      <c r="S1957" s="2748"/>
      <c r="T1957" s="2748"/>
      <c r="U1957" s="2748"/>
      <c r="V1957" s="2748"/>
      <c r="W1957" s="2748"/>
      <c r="X1957" s="2748"/>
      <c r="Y1957" s="2748"/>
      <c r="Z1957" s="2748"/>
      <c r="AA1957" s="2748"/>
      <c r="AB1957" s="2748"/>
      <c r="AC1957" s="2748"/>
      <c r="AD1957" s="2748"/>
      <c r="AE1957" s="2748"/>
      <c r="AF1957" s="2748"/>
      <c r="AG1957" s="2748"/>
      <c r="AH1957" s="2748"/>
      <c r="AI1957" s="2748"/>
      <c r="AK1957" s="2748"/>
      <c r="AL1957" s="2748"/>
      <c r="AN1957" s="2748"/>
      <c r="AO1957" s="2748"/>
      <c r="AP1957" s="2748"/>
    </row>
    <row r="1958" spans="2:42" ht="18" customHeight="1">
      <c r="B1958" s="2728"/>
      <c r="C1958" s="2728"/>
      <c r="D1958" s="2728"/>
      <c r="E1958" s="2728"/>
      <c r="G1958" s="2512"/>
      <c r="I1958" s="2748"/>
      <c r="J1958" s="2728"/>
      <c r="L1958" s="2728"/>
      <c r="M1958" s="2748"/>
      <c r="N1958" s="2728"/>
      <c r="O1958" s="2728"/>
      <c r="P1958" s="2728"/>
      <c r="Q1958" s="2748"/>
      <c r="R1958" s="2748"/>
      <c r="S1958" s="2748"/>
      <c r="T1958" s="2748"/>
      <c r="U1958" s="2748"/>
      <c r="V1958" s="2748"/>
      <c r="W1958" s="2748"/>
      <c r="X1958" s="2748"/>
      <c r="Y1958" s="2748"/>
      <c r="Z1958" s="2748"/>
      <c r="AA1958" s="2748"/>
      <c r="AB1958" s="2748"/>
      <c r="AC1958" s="2748"/>
      <c r="AD1958" s="2748"/>
      <c r="AE1958" s="2748"/>
      <c r="AF1958" s="2748"/>
      <c r="AG1958" s="2748"/>
      <c r="AH1958" s="2748"/>
      <c r="AI1958" s="2748"/>
      <c r="AK1958" s="2748"/>
      <c r="AL1958" s="2748"/>
      <c r="AN1958" s="2748"/>
      <c r="AO1958" s="2748"/>
      <c r="AP1958" s="2748"/>
    </row>
    <row r="1959" spans="2:42" ht="18" customHeight="1">
      <c r="B1959" s="2728"/>
      <c r="C1959" s="2728"/>
      <c r="D1959" s="2728"/>
      <c r="E1959" s="2728"/>
      <c r="G1959" s="2512"/>
      <c r="I1959" s="2748"/>
      <c r="J1959" s="2728"/>
      <c r="L1959" s="2728"/>
      <c r="M1959" s="2748"/>
      <c r="N1959" s="2728"/>
      <c r="O1959" s="2728"/>
      <c r="P1959" s="2728"/>
      <c r="Q1959" s="2748"/>
      <c r="R1959" s="2748"/>
      <c r="S1959" s="2748"/>
      <c r="T1959" s="2748"/>
      <c r="U1959" s="2748"/>
      <c r="V1959" s="2748"/>
      <c r="W1959" s="2748"/>
      <c r="X1959" s="2748"/>
      <c r="Y1959" s="2748"/>
      <c r="Z1959" s="2748"/>
      <c r="AA1959" s="2748"/>
      <c r="AB1959" s="2748"/>
      <c r="AC1959" s="2748"/>
      <c r="AD1959" s="2748"/>
      <c r="AE1959" s="2748"/>
      <c r="AF1959" s="2748"/>
      <c r="AG1959" s="2748"/>
      <c r="AH1959" s="2748"/>
      <c r="AI1959" s="2748"/>
      <c r="AK1959" s="2748"/>
      <c r="AL1959" s="2748"/>
      <c r="AN1959" s="2748"/>
      <c r="AO1959" s="2748"/>
      <c r="AP1959" s="2748"/>
    </row>
    <row r="1960" spans="2:42" ht="18" customHeight="1">
      <c r="B1960" s="2728"/>
      <c r="C1960" s="2728"/>
      <c r="D1960" s="2728"/>
      <c r="E1960" s="2728"/>
      <c r="G1960" s="2512"/>
      <c r="I1960" s="2748"/>
      <c r="J1960" s="2728"/>
      <c r="L1960" s="2728"/>
      <c r="M1960" s="2748"/>
      <c r="N1960" s="2728"/>
      <c r="O1960" s="2728"/>
      <c r="P1960" s="2728"/>
      <c r="Q1960" s="2748"/>
      <c r="R1960" s="2748"/>
      <c r="S1960" s="2748"/>
      <c r="T1960" s="2748"/>
      <c r="U1960" s="2748"/>
      <c r="V1960" s="2748"/>
      <c r="W1960" s="2748"/>
      <c r="X1960" s="2748"/>
      <c r="Y1960" s="2748"/>
      <c r="Z1960" s="2748"/>
      <c r="AA1960" s="2748"/>
      <c r="AB1960" s="2748"/>
      <c r="AC1960" s="2748"/>
      <c r="AD1960" s="2748"/>
      <c r="AE1960" s="2748"/>
      <c r="AF1960" s="2748"/>
      <c r="AG1960" s="2748"/>
      <c r="AH1960" s="2748"/>
      <c r="AI1960" s="2748"/>
      <c r="AK1960" s="2748"/>
      <c r="AL1960" s="2748"/>
      <c r="AN1960" s="2748"/>
      <c r="AO1960" s="2748"/>
      <c r="AP1960" s="2748"/>
    </row>
    <row r="1961" spans="2:42" ht="18" customHeight="1">
      <c r="B1961" s="2728"/>
      <c r="C1961" s="2728"/>
      <c r="D1961" s="2728"/>
      <c r="E1961" s="2728"/>
      <c r="G1961" s="2512"/>
      <c r="I1961" s="2748"/>
      <c r="J1961" s="2728"/>
      <c r="L1961" s="2728"/>
      <c r="M1961" s="2748"/>
      <c r="N1961" s="2728"/>
      <c r="O1961" s="2728"/>
      <c r="P1961" s="2728"/>
      <c r="Q1961" s="2748"/>
      <c r="R1961" s="2748"/>
      <c r="S1961" s="2748"/>
      <c r="T1961" s="2748"/>
      <c r="U1961" s="2748"/>
      <c r="V1961" s="2748"/>
      <c r="W1961" s="2748"/>
      <c r="X1961" s="2748"/>
      <c r="Y1961" s="2748"/>
      <c r="Z1961" s="2748"/>
      <c r="AA1961" s="2748"/>
      <c r="AB1961" s="2748"/>
      <c r="AC1961" s="2748"/>
      <c r="AD1961" s="2748"/>
      <c r="AE1961" s="2748"/>
      <c r="AF1961" s="2748"/>
      <c r="AG1961" s="2748"/>
      <c r="AH1961" s="2748"/>
      <c r="AI1961" s="2748"/>
      <c r="AK1961" s="2748"/>
      <c r="AL1961" s="2748"/>
      <c r="AN1961" s="2748"/>
      <c r="AO1961" s="2748"/>
      <c r="AP1961" s="2748"/>
    </row>
    <row r="1962" spans="2:42" ht="18" customHeight="1">
      <c r="B1962" s="2728"/>
      <c r="C1962" s="2728"/>
      <c r="D1962" s="2728"/>
      <c r="E1962" s="2728"/>
      <c r="G1962" s="2512"/>
      <c r="I1962" s="2748"/>
      <c r="J1962" s="2728"/>
      <c r="L1962" s="2728"/>
      <c r="M1962" s="2748"/>
      <c r="N1962" s="2728"/>
      <c r="O1962" s="2728"/>
      <c r="P1962" s="2728"/>
      <c r="Q1962" s="2748"/>
      <c r="R1962" s="2748"/>
      <c r="S1962" s="2748"/>
      <c r="T1962" s="2748"/>
      <c r="U1962" s="2748"/>
      <c r="V1962" s="2748"/>
      <c r="W1962" s="2748"/>
      <c r="X1962" s="2748"/>
      <c r="Y1962" s="2748"/>
      <c r="Z1962" s="2748"/>
      <c r="AA1962" s="2748"/>
      <c r="AB1962" s="2748"/>
      <c r="AC1962" s="2748"/>
      <c r="AD1962" s="2748"/>
      <c r="AE1962" s="2748"/>
      <c r="AF1962" s="2748"/>
      <c r="AG1962" s="2748"/>
      <c r="AH1962" s="2748"/>
      <c r="AI1962" s="2748"/>
      <c r="AK1962" s="2748"/>
      <c r="AL1962" s="2748"/>
      <c r="AN1962" s="2748"/>
      <c r="AO1962" s="2748"/>
      <c r="AP1962" s="2748"/>
    </row>
    <row r="1963" spans="2:42" ht="18" customHeight="1">
      <c r="B1963" s="2728"/>
      <c r="C1963" s="2728"/>
      <c r="D1963" s="2728"/>
      <c r="E1963" s="2728"/>
      <c r="G1963" s="2512"/>
      <c r="I1963" s="2748"/>
      <c r="J1963" s="2728"/>
      <c r="L1963" s="2728"/>
      <c r="M1963" s="2748"/>
      <c r="N1963" s="2728"/>
      <c r="O1963" s="2728"/>
      <c r="P1963" s="2728"/>
      <c r="Q1963" s="2748"/>
      <c r="R1963" s="2748"/>
      <c r="S1963" s="2748"/>
      <c r="T1963" s="2748"/>
      <c r="U1963" s="2748"/>
      <c r="V1963" s="2748"/>
      <c r="W1963" s="2748"/>
      <c r="X1963" s="2748"/>
      <c r="Y1963" s="2748"/>
      <c r="Z1963" s="2748"/>
      <c r="AA1963" s="2748"/>
      <c r="AB1963" s="2748"/>
      <c r="AC1963" s="2748"/>
      <c r="AD1963" s="2748"/>
      <c r="AE1963" s="2748"/>
      <c r="AF1963" s="2748"/>
      <c r="AG1963" s="2748"/>
      <c r="AH1963" s="2748"/>
      <c r="AI1963" s="2748"/>
      <c r="AK1963" s="2748"/>
      <c r="AL1963" s="2748"/>
      <c r="AN1963" s="2748"/>
      <c r="AO1963" s="2748"/>
      <c r="AP1963" s="2748"/>
    </row>
    <row r="1964" spans="2:42" ht="18" customHeight="1">
      <c r="B1964" s="2728"/>
      <c r="C1964" s="2728"/>
      <c r="D1964" s="2728"/>
      <c r="E1964" s="2728"/>
      <c r="G1964" s="2512"/>
      <c r="I1964" s="2748"/>
      <c r="J1964" s="2728"/>
      <c r="L1964" s="2728"/>
      <c r="M1964" s="2748"/>
      <c r="N1964" s="2728"/>
      <c r="O1964" s="2728"/>
      <c r="P1964" s="2728"/>
      <c r="Q1964" s="2748"/>
      <c r="R1964" s="2748"/>
      <c r="S1964" s="2748"/>
      <c r="T1964" s="2748"/>
      <c r="U1964" s="2748"/>
      <c r="V1964" s="2748"/>
      <c r="W1964" s="2748"/>
      <c r="X1964" s="2748"/>
      <c r="Y1964" s="2748"/>
      <c r="Z1964" s="2748"/>
      <c r="AA1964" s="2748"/>
      <c r="AB1964" s="2748"/>
      <c r="AC1964" s="2748"/>
      <c r="AD1964" s="2748"/>
      <c r="AE1964" s="2748"/>
      <c r="AF1964" s="2748"/>
      <c r="AG1964" s="2748"/>
      <c r="AH1964" s="2748"/>
      <c r="AI1964" s="2748"/>
      <c r="AK1964" s="2748"/>
      <c r="AL1964" s="2748"/>
      <c r="AN1964" s="2748"/>
      <c r="AO1964" s="2748"/>
      <c r="AP1964" s="2748"/>
    </row>
    <row r="1965" spans="2:42" ht="18" customHeight="1">
      <c r="B1965" s="2728"/>
      <c r="C1965" s="2728"/>
      <c r="D1965" s="2728"/>
      <c r="E1965" s="2728"/>
      <c r="G1965" s="2512"/>
      <c r="I1965" s="2748"/>
      <c r="J1965" s="2728"/>
      <c r="L1965" s="2728"/>
      <c r="M1965" s="2748"/>
      <c r="N1965" s="2728"/>
      <c r="O1965" s="2728"/>
      <c r="P1965" s="2728"/>
      <c r="Q1965" s="2748"/>
      <c r="R1965" s="2748"/>
      <c r="S1965" s="2748"/>
      <c r="T1965" s="2748"/>
      <c r="U1965" s="2748"/>
      <c r="V1965" s="2748"/>
      <c r="W1965" s="2748"/>
      <c r="X1965" s="2748"/>
      <c r="Y1965" s="2748"/>
      <c r="Z1965" s="2748"/>
      <c r="AA1965" s="2748"/>
      <c r="AB1965" s="2748"/>
      <c r="AC1965" s="2748"/>
      <c r="AD1965" s="2748"/>
      <c r="AE1965" s="2748"/>
      <c r="AF1965" s="2748"/>
      <c r="AG1965" s="2748"/>
      <c r="AH1965" s="2748"/>
      <c r="AI1965" s="2748"/>
      <c r="AK1965" s="2748"/>
      <c r="AL1965" s="2748"/>
      <c r="AN1965" s="2748"/>
      <c r="AO1965" s="2748"/>
      <c r="AP1965" s="2748"/>
    </row>
    <row r="1966" spans="2:42" ht="18" customHeight="1">
      <c r="B1966" s="2728"/>
      <c r="C1966" s="2728"/>
      <c r="D1966" s="2728"/>
      <c r="E1966" s="2728"/>
      <c r="G1966" s="2512"/>
      <c r="I1966" s="2748"/>
      <c r="J1966" s="2728"/>
      <c r="L1966" s="2728"/>
      <c r="M1966" s="2748"/>
      <c r="N1966" s="2728"/>
      <c r="O1966" s="2728"/>
      <c r="P1966" s="2728"/>
      <c r="Q1966" s="2748"/>
      <c r="R1966" s="2748"/>
      <c r="S1966" s="2748"/>
      <c r="T1966" s="2748"/>
      <c r="U1966" s="2748"/>
      <c r="V1966" s="2748"/>
      <c r="W1966" s="2748"/>
      <c r="X1966" s="2748"/>
      <c r="Y1966" s="2748"/>
      <c r="Z1966" s="2748"/>
      <c r="AA1966" s="2748"/>
      <c r="AB1966" s="2748"/>
      <c r="AC1966" s="2748"/>
      <c r="AD1966" s="2748"/>
      <c r="AE1966" s="2748"/>
      <c r="AF1966" s="2748"/>
      <c r="AG1966" s="2748"/>
      <c r="AH1966" s="2748"/>
      <c r="AI1966" s="2748"/>
      <c r="AK1966" s="2748"/>
      <c r="AL1966" s="2748"/>
      <c r="AN1966" s="2748"/>
      <c r="AO1966" s="2748"/>
      <c r="AP1966" s="2748"/>
    </row>
    <row r="1967" spans="2:42" ht="18" customHeight="1">
      <c r="B1967" s="2728"/>
      <c r="C1967" s="2728"/>
      <c r="D1967" s="2728"/>
      <c r="E1967" s="2728"/>
      <c r="G1967" s="2512"/>
      <c r="I1967" s="2748"/>
      <c r="J1967" s="2728"/>
      <c r="L1967" s="2728"/>
      <c r="M1967" s="2748"/>
      <c r="N1967" s="2728"/>
      <c r="O1967" s="2728"/>
      <c r="P1967" s="2728"/>
      <c r="Q1967" s="2748"/>
      <c r="R1967" s="2748"/>
      <c r="S1967" s="2748"/>
      <c r="T1967" s="2748"/>
      <c r="U1967" s="2748"/>
      <c r="V1967" s="2748"/>
      <c r="W1967" s="2748"/>
      <c r="X1967" s="2748"/>
      <c r="Y1967" s="2748"/>
      <c r="Z1967" s="2748"/>
      <c r="AA1967" s="2748"/>
      <c r="AB1967" s="2748"/>
      <c r="AC1967" s="2748"/>
      <c r="AD1967" s="2748"/>
      <c r="AE1967" s="2748"/>
      <c r="AF1967" s="2748"/>
      <c r="AG1967" s="2748"/>
      <c r="AH1967" s="2748"/>
      <c r="AI1967" s="2748"/>
      <c r="AK1967" s="2748"/>
      <c r="AL1967" s="2748"/>
      <c r="AN1967" s="2748"/>
      <c r="AO1967" s="2748"/>
      <c r="AP1967" s="2748"/>
    </row>
    <row r="1968" spans="2:42" ht="18" customHeight="1">
      <c r="B1968" s="2728"/>
      <c r="C1968" s="2728"/>
      <c r="D1968" s="2728"/>
      <c r="E1968" s="2728"/>
      <c r="G1968" s="2512"/>
      <c r="I1968" s="2748"/>
      <c r="J1968" s="2728"/>
      <c r="L1968" s="2728"/>
      <c r="M1968" s="2748"/>
      <c r="N1968" s="2728"/>
      <c r="O1968" s="2728"/>
      <c r="P1968" s="2728"/>
      <c r="Q1968" s="2748"/>
      <c r="R1968" s="2748"/>
      <c r="S1968" s="2748"/>
      <c r="T1968" s="2748"/>
      <c r="U1968" s="2748"/>
      <c r="V1968" s="2748"/>
      <c r="W1968" s="2748"/>
      <c r="X1968" s="2748"/>
      <c r="Y1968" s="2748"/>
      <c r="Z1968" s="2748"/>
      <c r="AA1968" s="2748"/>
      <c r="AB1968" s="2748"/>
      <c r="AC1968" s="2748"/>
      <c r="AD1968" s="2748"/>
      <c r="AE1968" s="2748"/>
      <c r="AF1968" s="2748"/>
      <c r="AG1968" s="2748"/>
      <c r="AH1968" s="2748"/>
      <c r="AI1968" s="2748"/>
      <c r="AK1968" s="2748"/>
      <c r="AL1968" s="2748"/>
      <c r="AN1968" s="2748"/>
      <c r="AO1968" s="2748"/>
      <c r="AP1968" s="2748"/>
    </row>
    <row r="1969" spans="2:42" ht="18" customHeight="1">
      <c r="B1969" s="2728"/>
      <c r="C1969" s="2728"/>
      <c r="D1969" s="2728"/>
      <c r="E1969" s="2728"/>
      <c r="G1969" s="2512"/>
      <c r="I1969" s="2748"/>
      <c r="J1969" s="2728"/>
      <c r="L1969" s="2728"/>
      <c r="M1969" s="2748"/>
      <c r="N1969" s="2728"/>
      <c r="O1969" s="2728"/>
      <c r="P1969" s="2728"/>
      <c r="Q1969" s="2748"/>
      <c r="R1969" s="2748"/>
      <c r="S1969" s="2748"/>
      <c r="T1969" s="2748"/>
      <c r="U1969" s="2748"/>
      <c r="V1969" s="2748"/>
      <c r="W1969" s="2748"/>
      <c r="X1969" s="2748"/>
      <c r="Y1969" s="2748"/>
      <c r="Z1969" s="2748"/>
      <c r="AA1969" s="2748"/>
      <c r="AB1969" s="2748"/>
      <c r="AC1969" s="2748"/>
      <c r="AD1969" s="2748"/>
      <c r="AE1969" s="2748"/>
      <c r="AF1969" s="2748"/>
      <c r="AG1969" s="2748"/>
      <c r="AH1969" s="2748"/>
      <c r="AI1969" s="2748"/>
      <c r="AK1969" s="2748"/>
      <c r="AL1969" s="2748"/>
      <c r="AN1969" s="2748"/>
      <c r="AO1969" s="2748"/>
      <c r="AP1969" s="2748"/>
    </row>
    <row r="1970" spans="2:42" ht="18" customHeight="1">
      <c r="B1970" s="2728"/>
      <c r="C1970" s="2728"/>
      <c r="D1970" s="2728"/>
      <c r="E1970" s="2728"/>
      <c r="G1970" s="2512"/>
      <c r="I1970" s="2748"/>
      <c r="J1970" s="2728"/>
      <c r="L1970" s="2728"/>
      <c r="M1970" s="2748"/>
      <c r="N1970" s="2728"/>
      <c r="O1970" s="2728"/>
      <c r="P1970" s="2728"/>
      <c r="Q1970" s="2748"/>
      <c r="R1970" s="2748"/>
      <c r="S1970" s="2748"/>
      <c r="T1970" s="2748"/>
      <c r="U1970" s="2748"/>
      <c r="V1970" s="2748"/>
      <c r="W1970" s="2748"/>
      <c r="X1970" s="2748"/>
      <c r="Y1970" s="2748"/>
      <c r="Z1970" s="2748"/>
      <c r="AA1970" s="2748"/>
      <c r="AB1970" s="2748"/>
      <c r="AC1970" s="2748"/>
      <c r="AD1970" s="2748"/>
      <c r="AE1970" s="2748"/>
      <c r="AF1970" s="2748"/>
      <c r="AG1970" s="2748"/>
      <c r="AH1970" s="2748"/>
      <c r="AI1970" s="2748"/>
      <c r="AK1970" s="2748"/>
      <c r="AL1970" s="2748"/>
      <c r="AN1970" s="2748"/>
      <c r="AO1970" s="2748"/>
      <c r="AP1970" s="2748"/>
    </row>
  </sheetData>
  <sheetProtection insertColumns="0" insertRows="0" deleteColumns="0" deleteRows="0"/>
  <mergeCells count="4">
    <mergeCell ref="C6:D6"/>
    <mergeCell ref="F78:G78"/>
    <mergeCell ref="F91:G91"/>
    <mergeCell ref="F93:G93"/>
  </mergeCells>
  <printOptions horizontalCentered="1" verticalCentered="1"/>
  <pageMargins left="0.39370078740157483" right="0.39370078740157483" top="0.61" bottom="0.78740157480314965" header="0.39370078740157483" footer="0.39370078740157483"/>
  <pageSetup paperSize="8" scale="59" fitToHeight="0" orientation="portrait" r:id="rId1"/>
  <headerFooter alignWithMargins="0">
    <oddHeader>&amp;L&amp;"Arial,Gras"&amp;16SODEGIS&amp;C&amp;"Arial Narrow,Gras"&amp;14PLAN CPT BUDGETAIRE D'OPERATION&amp;R&amp;"Arial Narrow,Gras"&amp;14PRZA</oddHeader>
    <oddFooter>&amp;C&amp;"Arial,Gras"&amp;14&amp;P</oddFooter>
  </headerFooter>
  <colBreaks count="1" manualBreakCount="1">
    <brk id="31" max="94" man="1"/>
  </colBreaks>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11"/>
  <sheetViews>
    <sheetView topLeftCell="A76" zoomScale="55" zoomScaleNormal="55" workbookViewId="0">
      <selection activeCell="L81" sqref="L81"/>
    </sheetView>
  </sheetViews>
  <sheetFormatPr baseColWidth="10" defaultColWidth="11.42578125" defaultRowHeight="65.25" customHeight="1" outlineLevelCol="1"/>
  <cols>
    <col min="1" max="1" width="4.42578125" style="1827" customWidth="1"/>
    <col min="2" max="2" width="39.42578125" style="1827" customWidth="1"/>
    <col min="3" max="3" width="17.85546875" style="1827" customWidth="1"/>
    <col min="4" max="4" width="26.42578125" style="1935" customWidth="1"/>
    <col min="5" max="5" width="26.42578125" style="1935" customWidth="1" outlineLevel="1"/>
    <col min="6" max="6" width="26.42578125" style="1827" customWidth="1"/>
    <col min="7" max="7" width="8.5703125" style="1827" customWidth="1"/>
    <col min="8" max="8" width="15.140625" style="1827" customWidth="1"/>
    <col min="9" max="9" width="18.140625" style="1827" customWidth="1"/>
    <col min="10" max="10" width="13.5703125" style="1847" customWidth="1"/>
    <col min="11" max="11" width="11.85546875" style="1847" customWidth="1"/>
    <col min="12" max="12" width="14.5703125" style="1847" customWidth="1"/>
    <col min="13" max="13" width="17.42578125" style="1847" customWidth="1"/>
    <col min="14" max="14" width="18.5703125" style="1847" customWidth="1"/>
    <col min="15" max="16384" width="11.42578125" style="1827"/>
  </cols>
  <sheetData>
    <row r="1" spans="2:14" s="1877" customFormat="1" ht="16.5">
      <c r="B1" s="3438" t="s">
        <v>671</v>
      </c>
      <c r="C1" s="3438"/>
      <c r="D1" s="3438"/>
      <c r="E1" s="3438"/>
      <c r="F1" s="3438"/>
      <c r="G1" s="3438"/>
      <c r="H1" s="3438"/>
      <c r="I1" s="3438"/>
      <c r="J1" s="3438"/>
      <c r="K1" s="3438"/>
      <c r="L1" s="3438"/>
      <c r="M1" s="3438"/>
      <c r="N1" s="3438"/>
    </row>
    <row r="2" spans="2:14" ht="15.75">
      <c r="B2" s="3439" t="s">
        <v>672</v>
      </c>
      <c r="C2" s="3439"/>
      <c r="D2" s="3439"/>
      <c r="E2" s="3439"/>
      <c r="F2" s="3439"/>
      <c r="G2" s="3439"/>
      <c r="H2" s="3439"/>
      <c r="I2" s="3439"/>
      <c r="J2" s="3439"/>
      <c r="K2" s="3439"/>
      <c r="L2" s="3439"/>
      <c r="M2" s="3439"/>
      <c r="N2" s="3439"/>
    </row>
    <row r="3" spans="2:14" ht="16.5" thickBot="1">
      <c r="B3" s="1828"/>
      <c r="C3" s="1828"/>
      <c r="D3" s="1828"/>
      <c r="E3" s="2020"/>
      <c r="F3" s="1828"/>
      <c r="G3" s="1828"/>
      <c r="H3" s="1828"/>
      <c r="I3" s="1828"/>
      <c r="J3" s="1828"/>
      <c r="K3" s="1828"/>
      <c r="L3" s="1828"/>
      <c r="M3" s="1828"/>
      <c r="N3" s="1828"/>
    </row>
    <row r="4" spans="2:14" ht="18.75" thickBot="1">
      <c r="B4" s="1878" t="s">
        <v>673</v>
      </c>
      <c r="C4" s="3440">
        <f>nom</f>
        <v>0</v>
      </c>
      <c r="D4" s="3440"/>
      <c r="E4" s="3440"/>
      <c r="F4" s="3440"/>
      <c r="G4" s="3440"/>
      <c r="H4" s="3441" t="s">
        <v>674</v>
      </c>
      <c r="I4" s="3441"/>
      <c r="J4" s="3441"/>
      <c r="K4" s="1879"/>
      <c r="L4" s="1880"/>
      <c r="M4" s="1881"/>
      <c r="N4" s="1828"/>
    </row>
    <row r="5" spans="2:14" ht="16.5" thickBot="1">
      <c r="B5" s="1828"/>
      <c r="C5" s="1828"/>
      <c r="D5" s="1828"/>
      <c r="E5" s="2020"/>
      <c r="F5" s="1828"/>
      <c r="G5" s="1828"/>
      <c r="H5" s="1828"/>
      <c r="I5" s="1828"/>
      <c r="J5" s="1828"/>
      <c r="K5" s="1828"/>
      <c r="L5" s="1828"/>
      <c r="M5" s="1828"/>
      <c r="N5" s="1828"/>
    </row>
    <row r="6" spans="2:14" ht="17.25" thickTop="1" thickBot="1">
      <c r="B6" s="3442" t="s">
        <v>675</v>
      </c>
      <c r="C6" s="3442"/>
      <c r="D6" s="1882"/>
      <c r="E6" s="1882"/>
      <c r="F6" s="1882"/>
      <c r="G6" s="1828"/>
      <c r="H6" s="1828"/>
      <c r="I6" s="1828"/>
      <c r="J6" s="1828"/>
      <c r="K6" s="1828"/>
      <c r="L6" s="1828"/>
      <c r="M6" s="1828"/>
      <c r="N6" s="1828"/>
    </row>
    <row r="7" spans="2:14" ht="26.45" customHeight="1" thickTop="1" thickBot="1">
      <c r="B7" s="1883" t="s">
        <v>676</v>
      </c>
      <c r="C7" s="1884" t="s">
        <v>726</v>
      </c>
      <c r="D7" s="3443"/>
      <c r="E7" s="2021"/>
      <c r="F7" s="1885"/>
      <c r="G7" s="1828"/>
      <c r="H7" s="1828"/>
      <c r="I7" s="1828"/>
      <c r="J7" s="1828"/>
      <c r="K7" s="1828"/>
      <c r="L7" s="1828"/>
      <c r="M7" s="1828"/>
      <c r="N7" s="1828"/>
    </row>
    <row r="8" spans="2:14" ht="26.45" customHeight="1" thickBot="1">
      <c r="B8" s="1883" t="s">
        <v>588</v>
      </c>
      <c r="C8" s="1886"/>
      <c r="D8" s="3443"/>
      <c r="E8" s="2021"/>
      <c r="F8" s="1885"/>
      <c r="G8" s="1828"/>
      <c r="H8" s="1828"/>
      <c r="I8" s="1828"/>
      <c r="J8" s="1828"/>
      <c r="K8" s="1828"/>
      <c r="L8" s="1828"/>
      <c r="M8" s="1828"/>
      <c r="N8" s="1828"/>
    </row>
    <row r="9" spans="2:14" ht="13.5" thickTop="1">
      <c r="B9" s="1873"/>
      <c r="C9" s="1873"/>
      <c r="D9" s="1873"/>
      <c r="E9" s="1873"/>
      <c r="F9" s="1873"/>
      <c r="H9" s="3444" t="s">
        <v>589</v>
      </c>
      <c r="I9" s="3444"/>
      <c r="J9" s="3444"/>
      <c r="K9" s="3444"/>
      <c r="L9" s="3444"/>
      <c r="M9" s="3444"/>
      <c r="N9" s="1827"/>
    </row>
    <row r="10" spans="2:14" s="1829" customFormat="1" ht="123.75" customHeight="1">
      <c r="C10" s="1830" t="s">
        <v>590</v>
      </c>
      <c r="D10" s="1887" t="s">
        <v>677</v>
      </c>
      <c r="E10" s="1887" t="s">
        <v>668</v>
      </c>
      <c r="F10" s="1888" t="s">
        <v>678</v>
      </c>
      <c r="H10" s="1831" t="s">
        <v>591</v>
      </c>
      <c r="M10" s="1832"/>
    </row>
    <row r="11" spans="2:14" ht="18" customHeight="1">
      <c r="B11" s="1833"/>
      <c r="C11" s="1834"/>
      <c r="D11" s="1889"/>
      <c r="E11" s="1889"/>
      <c r="F11" s="1835"/>
      <c r="H11" s="1831"/>
      <c r="I11" s="1874" t="s">
        <v>592</v>
      </c>
      <c r="J11" s="3432" t="s">
        <v>679</v>
      </c>
      <c r="K11" s="3432"/>
      <c r="L11" s="1874" t="s">
        <v>680</v>
      </c>
      <c r="M11" s="1874" t="s">
        <v>299</v>
      </c>
      <c r="N11" s="1827"/>
    </row>
    <row r="12" spans="2:14" ht="18" customHeight="1">
      <c r="B12" s="1838" t="s">
        <v>594</v>
      </c>
      <c r="C12" s="1890"/>
      <c r="D12" s="1891">
        <f>SUM(D13:D16)</f>
        <v>0</v>
      </c>
      <c r="E12" s="1891">
        <f>SUM(E13:E16)</f>
        <v>0</v>
      </c>
      <c r="F12" s="1892">
        <f>SUM(F13:F16)</f>
        <v>0</v>
      </c>
      <c r="H12" s="1840" t="s">
        <v>681</v>
      </c>
      <c r="I12" s="1874"/>
      <c r="J12" s="3445"/>
      <c r="K12" s="3445"/>
      <c r="L12" s="1893" t="e">
        <f>M12/J12</f>
        <v>#DIV/0!</v>
      </c>
      <c r="M12" s="1841"/>
      <c r="N12" s="1827"/>
    </row>
    <row r="13" spans="2:14" ht="18" customHeight="1">
      <c r="B13" s="1894"/>
      <c r="C13" s="1895"/>
      <c r="D13" s="1896"/>
      <c r="E13" s="1896"/>
      <c r="F13" s="1897"/>
      <c r="H13" s="1840" t="s">
        <v>681</v>
      </c>
      <c r="I13" s="1874"/>
      <c r="J13" s="3445"/>
      <c r="K13" s="3445"/>
      <c r="L13" s="1893">
        <v>0</v>
      </c>
      <c r="M13" s="1841">
        <f>J13*L13</f>
        <v>0</v>
      </c>
      <c r="N13" s="1827"/>
    </row>
    <row r="14" spans="2:14" ht="18" customHeight="1">
      <c r="B14" s="1894"/>
      <c r="C14" s="1895"/>
      <c r="D14" s="1896"/>
      <c r="E14" s="1896"/>
      <c r="F14" s="1897"/>
      <c r="H14" s="1840" t="s">
        <v>681</v>
      </c>
      <c r="I14" s="1874"/>
      <c r="J14" s="3445"/>
      <c r="K14" s="3445"/>
      <c r="L14" s="1893">
        <v>0</v>
      </c>
      <c r="M14" s="1841">
        <f>J14*L14</f>
        <v>0</v>
      </c>
      <c r="N14" s="1827"/>
    </row>
    <row r="15" spans="2:14" ht="18" customHeight="1">
      <c r="B15" s="1894"/>
      <c r="C15" s="1895"/>
      <c r="D15" s="1896"/>
      <c r="E15" s="1896"/>
      <c r="F15" s="1897"/>
      <c r="H15" s="1833" t="s">
        <v>681</v>
      </c>
      <c r="I15" s="1835"/>
      <c r="J15" s="3437"/>
      <c r="K15" s="3437"/>
      <c r="L15" s="1898">
        <v>0</v>
      </c>
      <c r="M15" s="1899">
        <f>J15*L15</f>
        <v>0</v>
      </c>
      <c r="N15" s="1876"/>
    </row>
    <row r="16" spans="2:14" ht="18" customHeight="1">
      <c r="B16" s="1900"/>
      <c r="C16" s="1876"/>
      <c r="D16" s="1896"/>
      <c r="E16" s="1896"/>
      <c r="F16" s="1901"/>
      <c r="H16" s="3433" t="s">
        <v>682</v>
      </c>
      <c r="I16" s="3433"/>
      <c r="J16" s="3435">
        <f>SUM(J12:K15)</f>
        <v>0</v>
      </c>
      <c r="K16" s="3435"/>
      <c r="L16" s="1859" t="s">
        <v>683</v>
      </c>
      <c r="M16" s="1902">
        <f>SUM(M12:M15)</f>
        <v>0</v>
      </c>
      <c r="N16" s="1873"/>
    </row>
    <row r="17" spans="2:14" ht="18" customHeight="1">
      <c r="B17" s="1844"/>
      <c r="C17" s="1845"/>
      <c r="D17" s="1903"/>
      <c r="E17" s="1903"/>
      <c r="F17" s="1904"/>
      <c r="H17" s="1876"/>
      <c r="I17" s="1905"/>
      <c r="J17" s="1905"/>
      <c r="K17" s="1905"/>
      <c r="L17" s="1905"/>
      <c r="M17" s="1876"/>
      <c r="N17" s="1906"/>
    </row>
    <row r="18" spans="2:14" ht="18" customHeight="1">
      <c r="B18" s="1838" t="s">
        <v>595</v>
      </c>
      <c r="C18" s="1839"/>
      <c r="D18" s="1892">
        <f>SUM(D19:D20)</f>
        <v>0</v>
      </c>
      <c r="E18" s="1892">
        <f>SUM(E19:E20)</f>
        <v>0</v>
      </c>
      <c r="F18" s="1892">
        <f>SUM(F19:F20)</f>
        <v>0</v>
      </c>
      <c r="H18" s="1876"/>
      <c r="I18" s="1846"/>
      <c r="J18" s="1846"/>
      <c r="K18" s="1846"/>
      <c r="L18" s="1846"/>
      <c r="M18" s="1846"/>
      <c r="N18" s="1827"/>
    </row>
    <row r="19" spans="2:14" ht="18" customHeight="1">
      <c r="B19" s="1894"/>
      <c r="C19" s="1907"/>
      <c r="D19" s="1908"/>
      <c r="E19" s="1909"/>
      <c r="F19" s="1909"/>
      <c r="H19" s="1876"/>
      <c r="I19" s="1846"/>
      <c r="J19" s="1846"/>
      <c r="K19" s="1846"/>
      <c r="L19" s="1846"/>
      <c r="M19" s="1846"/>
      <c r="N19" s="1827"/>
    </row>
    <row r="20" spans="2:14" ht="18" customHeight="1">
      <c r="B20" s="1842"/>
      <c r="C20" s="1876"/>
      <c r="D20" s="1910"/>
      <c r="E20" s="2022"/>
      <c r="F20" s="1904"/>
      <c r="H20" s="1848" t="s">
        <v>596</v>
      </c>
      <c r="I20" s="1848"/>
      <c r="N20" s="1827"/>
    </row>
    <row r="21" spans="2:14" ht="18" customHeight="1">
      <c r="B21" s="1844"/>
      <c r="C21" s="1911"/>
      <c r="D21" s="1903"/>
      <c r="E21" s="1903"/>
      <c r="F21" s="1833"/>
      <c r="H21" s="1826"/>
      <c r="I21" s="1836"/>
      <c r="J21" s="3436" t="s">
        <v>597</v>
      </c>
      <c r="K21" s="3436"/>
      <c r="L21" s="3432" t="s">
        <v>598</v>
      </c>
      <c r="M21" s="3432"/>
      <c r="N21" s="1827"/>
    </row>
    <row r="22" spans="2:14" ht="18" customHeight="1">
      <c r="B22" s="1838" t="s">
        <v>591</v>
      </c>
      <c r="C22" s="1912"/>
      <c r="D22" s="1892">
        <f>SUM(D23:D25)</f>
        <v>0</v>
      </c>
      <c r="E22" s="1892">
        <f>SUM(E23:E25)</f>
        <v>0</v>
      </c>
      <c r="F22" s="1892">
        <f>SUM(F23:F25)</f>
        <v>0</v>
      </c>
      <c r="H22" s="1850" t="s">
        <v>599</v>
      </c>
      <c r="I22" s="1913"/>
      <c r="J22" s="3431"/>
      <c r="K22" s="3431"/>
      <c r="L22" s="3432"/>
      <c r="M22" s="3432"/>
      <c r="N22" s="1827"/>
    </row>
    <row r="23" spans="2:14" ht="18" customHeight="1">
      <c r="B23" s="1851" t="s">
        <v>600</v>
      </c>
      <c r="C23" s="1914"/>
      <c r="D23" s="1915">
        <f>'PRZA '!I10</f>
        <v>0</v>
      </c>
      <c r="E23" s="1915">
        <f>D23*1.021</f>
        <v>0</v>
      </c>
      <c r="F23" s="2030"/>
      <c r="H23" s="1850" t="s">
        <v>601</v>
      </c>
      <c r="I23" s="1913"/>
      <c r="J23" s="3431"/>
      <c r="K23" s="3431"/>
      <c r="L23" s="3432"/>
      <c r="M23" s="3432"/>
      <c r="N23" s="1827"/>
    </row>
    <row r="24" spans="2:14" ht="18" customHeight="1">
      <c r="B24" s="1851" t="s">
        <v>602</v>
      </c>
      <c r="C24" s="2029">
        <v>0.02</v>
      </c>
      <c r="D24" s="1915">
        <f>'PRZA '!I13</f>
        <v>0</v>
      </c>
      <c r="E24" s="1915">
        <f>D24*1.085</f>
        <v>0</v>
      </c>
      <c r="F24" s="2030"/>
      <c r="H24" s="1850" t="s">
        <v>603</v>
      </c>
      <c r="I24" s="1913"/>
      <c r="J24" s="3431"/>
      <c r="K24" s="3431"/>
      <c r="L24" s="3432"/>
      <c r="M24" s="3432"/>
      <c r="N24" s="1827"/>
    </row>
    <row r="25" spans="2:14" ht="18" customHeight="1">
      <c r="B25" s="1843" t="s">
        <v>684</v>
      </c>
      <c r="C25" s="1916"/>
      <c r="D25" s="1910"/>
      <c r="E25" s="1915">
        <f>D25*1.085</f>
        <v>0</v>
      </c>
      <c r="F25" s="1843"/>
      <c r="H25" s="1850"/>
      <c r="I25" s="1913"/>
      <c r="J25" s="3431"/>
      <c r="K25" s="3431"/>
      <c r="L25" s="3432"/>
      <c r="M25" s="3432"/>
      <c r="N25" s="1827"/>
    </row>
    <row r="26" spans="2:14" ht="18" customHeight="1">
      <c r="B26" s="1833"/>
      <c r="C26" s="1911"/>
      <c r="D26" s="1917"/>
      <c r="E26" s="1917"/>
      <c r="F26" s="1833"/>
      <c r="H26" s="1850"/>
      <c r="I26" s="1913"/>
      <c r="J26" s="3431"/>
      <c r="K26" s="3431"/>
      <c r="L26" s="3432"/>
      <c r="M26" s="3432"/>
      <c r="N26" s="1827"/>
    </row>
    <row r="27" spans="2:14" ht="18" customHeight="1">
      <c r="B27" s="1838" t="s">
        <v>604</v>
      </c>
      <c r="C27" s="1912">
        <f>D27/I81</f>
        <v>0</v>
      </c>
      <c r="D27" s="1891">
        <f>SUM(D28:D42)</f>
        <v>0</v>
      </c>
      <c r="E27" s="1891">
        <f>SUM(E28:E42)</f>
        <v>0</v>
      </c>
      <c r="F27" s="1892"/>
      <c r="H27" s="3433" t="s">
        <v>685</v>
      </c>
      <c r="I27" s="3433"/>
      <c r="J27" s="3434">
        <f>SUM(J22:K25)</f>
        <v>0</v>
      </c>
      <c r="K27" s="3434"/>
      <c r="L27" s="3432"/>
      <c r="M27" s="3432"/>
      <c r="N27" s="1827"/>
    </row>
    <row r="28" spans="2:14" ht="18" customHeight="1">
      <c r="B28" s="1851" t="s">
        <v>605</v>
      </c>
      <c r="C28" s="1904"/>
      <c r="D28" s="1918"/>
      <c r="E28" s="1918">
        <f>D28*1.085</f>
        <v>0</v>
      </c>
      <c r="F28" s="1908"/>
      <c r="I28" s="1847"/>
      <c r="N28" s="1827"/>
    </row>
    <row r="29" spans="2:14" ht="18" customHeight="1">
      <c r="B29" s="1851" t="s">
        <v>80</v>
      </c>
      <c r="C29" s="1904"/>
      <c r="D29" s="1915">
        <f>'PRZA '!I32</f>
        <v>0</v>
      </c>
      <c r="E29" s="1918">
        <f t="shared" ref="E29:E37" si="0">D29*1.085</f>
        <v>0</v>
      </c>
      <c r="F29" s="1908"/>
      <c r="I29" s="1847"/>
      <c r="N29" s="1827"/>
    </row>
    <row r="30" spans="2:14" ht="18" customHeight="1">
      <c r="B30" s="1851" t="s">
        <v>606</v>
      </c>
      <c r="C30" s="1904"/>
      <c r="D30" s="1915"/>
      <c r="E30" s="1918">
        <f t="shared" si="0"/>
        <v>0</v>
      </c>
      <c r="F30" s="1908"/>
      <c r="H30" s="1848" t="s">
        <v>607</v>
      </c>
      <c r="I30" s="1848"/>
      <c r="N30" s="1827"/>
    </row>
    <row r="31" spans="2:14" ht="18" customHeight="1">
      <c r="B31" s="1851" t="s">
        <v>608</v>
      </c>
      <c r="C31" s="1904"/>
      <c r="D31" s="1915"/>
      <c r="E31" s="1918">
        <f t="shared" si="0"/>
        <v>0</v>
      </c>
      <c r="F31" s="1908"/>
      <c r="I31" s="1874" t="s">
        <v>609</v>
      </c>
      <c r="J31" s="1874" t="s">
        <v>610</v>
      </c>
      <c r="K31" s="1837" t="s">
        <v>611</v>
      </c>
      <c r="L31" s="1874" t="s">
        <v>590</v>
      </c>
      <c r="M31" s="1874" t="s">
        <v>299</v>
      </c>
      <c r="N31" s="1827"/>
    </row>
    <row r="32" spans="2:14" ht="18" customHeight="1">
      <c r="B32" s="1851" t="s">
        <v>612</v>
      </c>
      <c r="C32" s="1904"/>
      <c r="D32" s="1915"/>
      <c r="E32" s="1918">
        <f t="shared" si="0"/>
        <v>0</v>
      </c>
      <c r="F32" s="1908"/>
      <c r="H32" s="1840" t="s">
        <v>613</v>
      </c>
      <c r="I32" s="1874" t="s">
        <v>686</v>
      </c>
      <c r="J32" s="1874" t="s">
        <v>614</v>
      </c>
      <c r="K32" s="1919"/>
      <c r="L32" s="1874"/>
      <c r="M32" s="1920"/>
      <c r="N32" s="1827"/>
    </row>
    <row r="33" spans="2:14" ht="18" customHeight="1">
      <c r="B33" s="1851" t="s">
        <v>615</v>
      </c>
      <c r="C33" s="1904"/>
      <c r="D33" s="1915"/>
      <c r="E33" s="1918">
        <f t="shared" si="0"/>
        <v>0</v>
      </c>
      <c r="F33" s="1908"/>
      <c r="H33" s="1840" t="s">
        <v>616</v>
      </c>
      <c r="I33" s="1874" t="s">
        <v>686</v>
      </c>
      <c r="J33" s="1874" t="s">
        <v>614</v>
      </c>
      <c r="K33" s="1919"/>
      <c r="L33" s="1874"/>
      <c r="M33" s="1920"/>
      <c r="N33" s="1827"/>
    </row>
    <row r="34" spans="2:14" ht="18" customHeight="1">
      <c r="B34" s="1851" t="s">
        <v>617</v>
      </c>
      <c r="C34" s="1904"/>
      <c r="D34" s="1915"/>
      <c r="E34" s="1918">
        <f t="shared" si="0"/>
        <v>0</v>
      </c>
      <c r="F34" s="1908"/>
      <c r="H34" s="1840" t="s">
        <v>618</v>
      </c>
      <c r="I34" s="1874"/>
      <c r="J34" s="1874" t="s">
        <v>614</v>
      </c>
      <c r="K34" s="1919"/>
      <c r="L34" s="1874"/>
      <c r="M34" s="1920"/>
      <c r="N34" s="1827"/>
    </row>
    <row r="35" spans="2:14" ht="18" customHeight="1">
      <c r="B35" s="1851" t="s">
        <v>619</v>
      </c>
      <c r="C35" s="1904"/>
      <c r="D35" s="1915"/>
      <c r="E35" s="1918">
        <f t="shared" si="0"/>
        <v>0</v>
      </c>
      <c r="F35" s="1908"/>
      <c r="H35" s="1840" t="s">
        <v>620</v>
      </c>
      <c r="I35" s="1874"/>
      <c r="J35" s="1874" t="s">
        <v>614</v>
      </c>
      <c r="K35" s="1919"/>
      <c r="L35" s="1874"/>
      <c r="M35" s="1920"/>
      <c r="N35" s="1827"/>
    </row>
    <row r="36" spans="2:14" ht="18" customHeight="1">
      <c r="B36" s="1851" t="s">
        <v>621</v>
      </c>
      <c r="C36" s="1904"/>
      <c r="D36" s="1915"/>
      <c r="E36" s="1918">
        <f t="shared" si="0"/>
        <v>0</v>
      </c>
      <c r="F36" s="1908"/>
      <c r="H36" s="1840" t="s">
        <v>622</v>
      </c>
      <c r="I36" s="1874"/>
      <c r="J36" s="1874" t="s">
        <v>614</v>
      </c>
      <c r="K36" s="1919"/>
      <c r="L36" s="1874"/>
      <c r="M36" s="1920"/>
      <c r="N36" s="1827"/>
    </row>
    <row r="37" spans="2:14" ht="18" customHeight="1">
      <c r="B37" s="1851" t="s">
        <v>57</v>
      </c>
      <c r="C37" s="1904"/>
      <c r="D37" s="1915"/>
      <c r="E37" s="1918">
        <f t="shared" si="0"/>
        <v>0</v>
      </c>
      <c r="F37" s="1908"/>
      <c r="H37" s="1840" t="s">
        <v>623</v>
      </c>
      <c r="I37" s="1874"/>
      <c r="J37" s="1874" t="s">
        <v>614</v>
      </c>
      <c r="K37" s="1919"/>
      <c r="L37" s="1874"/>
      <c r="M37" s="1920"/>
      <c r="N37" s="1827"/>
    </row>
    <row r="38" spans="2:14" ht="18" customHeight="1">
      <c r="B38" s="1851"/>
      <c r="C38" s="1904"/>
      <c r="D38" s="1915"/>
      <c r="E38" s="1915"/>
      <c r="F38" s="1908"/>
      <c r="H38" s="1840" t="s">
        <v>186</v>
      </c>
      <c r="I38" s="1874" t="s">
        <v>686</v>
      </c>
      <c r="J38" s="1874" t="s">
        <v>624</v>
      </c>
      <c r="K38" s="1919"/>
      <c r="L38" s="1874"/>
      <c r="M38" s="1920"/>
      <c r="N38" s="1827"/>
    </row>
    <row r="39" spans="2:14" ht="18" customHeight="1">
      <c r="B39" s="1851"/>
      <c r="C39" s="1904"/>
      <c r="D39" s="1915"/>
      <c r="E39" s="1915"/>
      <c r="F39" s="1908"/>
      <c r="H39" s="1840" t="s">
        <v>625</v>
      </c>
      <c r="I39" s="1874"/>
      <c r="J39" s="1874" t="s">
        <v>624</v>
      </c>
      <c r="K39" s="1919"/>
      <c r="L39" s="1874"/>
      <c r="M39" s="1920"/>
      <c r="N39" s="1827"/>
    </row>
    <row r="40" spans="2:14" ht="18" customHeight="1">
      <c r="B40" s="1851"/>
      <c r="C40" s="1904"/>
      <c r="D40" s="1915"/>
      <c r="E40" s="1915"/>
      <c r="F40" s="1908"/>
      <c r="H40" s="1833" t="s">
        <v>57</v>
      </c>
      <c r="I40" s="1835" t="s">
        <v>686</v>
      </c>
      <c r="J40" s="1835" t="s">
        <v>614</v>
      </c>
      <c r="K40" s="1921"/>
      <c r="L40" s="1835"/>
      <c r="M40" s="1922"/>
      <c r="N40" s="1827"/>
    </row>
    <row r="41" spans="2:14" ht="18" customHeight="1">
      <c r="B41" s="1851"/>
      <c r="C41" s="1904"/>
      <c r="D41" s="1915"/>
      <c r="E41" s="1915"/>
      <c r="F41" s="1908"/>
      <c r="H41" s="1833"/>
      <c r="I41" s="1835"/>
      <c r="J41" s="1835"/>
      <c r="K41" s="1921"/>
      <c r="L41" s="1835"/>
      <c r="M41" s="1922"/>
      <c r="N41" s="1827"/>
    </row>
    <row r="42" spans="2:14" ht="18" customHeight="1">
      <c r="B42" s="1851"/>
      <c r="C42" s="1916"/>
      <c r="D42" s="1910"/>
      <c r="E42" s="1910"/>
      <c r="F42" s="1923"/>
      <c r="H42" s="1833"/>
      <c r="I42" s="1835"/>
      <c r="J42" s="1835"/>
      <c r="K42" s="1921"/>
      <c r="L42" s="1835"/>
      <c r="M42" s="1922"/>
      <c r="N42" s="1827"/>
    </row>
    <row r="43" spans="2:14" ht="18" customHeight="1">
      <c r="B43" s="1833"/>
      <c r="C43" s="1911"/>
      <c r="D43" s="1924"/>
      <c r="E43" s="1924"/>
      <c r="F43" s="1833"/>
      <c r="H43" s="3423" t="s">
        <v>687</v>
      </c>
      <c r="I43" s="3423"/>
      <c r="J43" s="3423"/>
      <c r="K43" s="3423"/>
      <c r="L43" s="3423"/>
      <c r="M43" s="1902">
        <f>SUM(M32:M42)</f>
        <v>0</v>
      </c>
      <c r="N43" s="1873"/>
    </row>
    <row r="44" spans="2:14" ht="18" customHeight="1">
      <c r="B44" s="1838" t="s">
        <v>607</v>
      </c>
      <c r="C44" s="1912"/>
      <c r="D44" s="1892">
        <f>SUM(D45:D53)</f>
        <v>0</v>
      </c>
      <c r="E44" s="1892">
        <f>SUM(E45:E53)</f>
        <v>0</v>
      </c>
      <c r="F44" s="1892">
        <f>SUM(F45:F53)</f>
        <v>0</v>
      </c>
      <c r="I44" s="1847"/>
      <c r="N44" s="1827"/>
    </row>
    <row r="45" spans="2:14" ht="18" customHeight="1">
      <c r="B45" s="1851" t="s">
        <v>613</v>
      </c>
      <c r="C45" s="1904"/>
      <c r="D45" s="1897">
        <f>'PRZA '!I22</f>
        <v>0</v>
      </c>
      <c r="E45" s="1897">
        <f>D45*1.085</f>
        <v>0</v>
      </c>
      <c r="F45" s="1897"/>
      <c r="H45" s="1876"/>
      <c r="I45" s="1846"/>
      <c r="N45" s="1827"/>
    </row>
    <row r="46" spans="2:14" ht="18" customHeight="1">
      <c r="B46" s="1851" t="s">
        <v>616</v>
      </c>
      <c r="C46" s="1904"/>
      <c r="D46" s="1897">
        <f>'PRZA '!I51</f>
        <v>0</v>
      </c>
      <c r="E46" s="1897">
        <f t="shared" ref="E46:E51" si="1">D46*1.085</f>
        <v>0</v>
      </c>
      <c r="F46" s="1897"/>
      <c r="H46" s="1848" t="s">
        <v>626</v>
      </c>
      <c r="I46" s="1848"/>
      <c r="M46" s="1925"/>
      <c r="N46" s="1827"/>
    </row>
    <row r="47" spans="2:14" ht="18" customHeight="1">
      <c r="B47" s="1851" t="s">
        <v>666</v>
      </c>
      <c r="C47" s="1904"/>
      <c r="D47" s="1897"/>
      <c r="E47" s="1897">
        <f t="shared" si="1"/>
        <v>0</v>
      </c>
      <c r="F47" s="1897"/>
      <c r="I47" s="1874" t="s">
        <v>688</v>
      </c>
      <c r="J47" s="1874" t="s">
        <v>610</v>
      </c>
      <c r="K47" s="1874"/>
      <c r="L47" s="1874" t="s">
        <v>590</v>
      </c>
      <c r="M47" s="1920" t="s">
        <v>299</v>
      </c>
      <c r="N47" s="1827"/>
    </row>
    <row r="48" spans="2:14" ht="18" customHeight="1">
      <c r="B48" s="1851" t="s">
        <v>622</v>
      </c>
      <c r="C48" s="1904"/>
      <c r="D48" s="1897"/>
      <c r="E48" s="1897">
        <f t="shared" si="1"/>
        <v>0</v>
      </c>
      <c r="F48" s="1897"/>
      <c r="H48" s="1840" t="s">
        <v>628</v>
      </c>
      <c r="I48" s="1874" t="s">
        <v>689</v>
      </c>
      <c r="J48" s="1874" t="s">
        <v>614</v>
      </c>
      <c r="K48" s="1919"/>
      <c r="L48" s="1874"/>
      <c r="M48" s="1920"/>
      <c r="N48" s="1827"/>
    </row>
    <row r="49" spans="2:20" ht="18" customHeight="1">
      <c r="B49" s="1851" t="s">
        <v>186</v>
      </c>
      <c r="C49" s="2268"/>
      <c r="D49" s="1897">
        <f>'PRZA '!I48</f>
        <v>0</v>
      </c>
      <c r="E49" s="1897">
        <f t="shared" si="1"/>
        <v>0</v>
      </c>
      <c r="F49" s="1897"/>
      <c r="H49" s="1840" t="s">
        <v>629</v>
      </c>
      <c r="I49" s="1874"/>
      <c r="J49" s="1874" t="s">
        <v>614</v>
      </c>
      <c r="K49" s="1919"/>
      <c r="L49" s="1874"/>
      <c r="M49" s="1920"/>
      <c r="N49" s="1827"/>
    </row>
    <row r="50" spans="2:20" ht="18" customHeight="1">
      <c r="B50" s="1851" t="s">
        <v>627</v>
      </c>
      <c r="C50" s="1904"/>
      <c r="D50" s="1897"/>
      <c r="E50" s="1897">
        <f t="shared" si="1"/>
        <v>0</v>
      </c>
      <c r="F50" s="1897"/>
      <c r="H50" s="1840" t="s">
        <v>630</v>
      </c>
      <c r="I50" s="1874"/>
      <c r="J50" s="1874"/>
      <c r="K50" s="1919"/>
      <c r="L50" s="1863"/>
      <c r="M50" s="1920"/>
      <c r="N50" s="1827"/>
    </row>
    <row r="51" spans="2:20" ht="18" customHeight="1">
      <c r="B51" s="1851" t="s">
        <v>625</v>
      </c>
      <c r="C51" s="1851"/>
      <c r="D51" s="1926">
        <f>'PRZA '!I49</f>
        <v>0</v>
      </c>
      <c r="E51" s="1897">
        <f t="shared" si="1"/>
        <v>0</v>
      </c>
      <c r="F51" s="1926"/>
      <c r="H51" s="1840" t="s">
        <v>690</v>
      </c>
      <c r="I51" s="1874"/>
      <c r="J51" s="1874"/>
      <c r="K51" s="1919"/>
      <c r="L51" s="1927"/>
      <c r="M51" s="1920"/>
      <c r="N51" s="1827"/>
    </row>
    <row r="52" spans="2:20" ht="18" customHeight="1">
      <c r="B52" s="1851"/>
      <c r="C52" s="1851"/>
      <c r="D52" s="1926"/>
      <c r="E52" s="1926"/>
      <c r="F52" s="1926"/>
      <c r="H52" s="1840"/>
      <c r="I52" s="1874"/>
      <c r="J52" s="1874"/>
      <c r="K52" s="1919"/>
      <c r="L52" s="1863"/>
      <c r="M52" s="1920"/>
      <c r="N52" s="1827"/>
    </row>
    <row r="53" spans="2:20" ht="18" customHeight="1">
      <c r="B53" s="1843"/>
      <c r="C53" s="1876"/>
      <c r="D53" s="1897"/>
      <c r="E53" s="1926"/>
      <c r="F53" s="1926"/>
      <c r="H53" s="1840"/>
      <c r="I53" s="1874"/>
      <c r="J53" s="1874"/>
      <c r="K53" s="1919"/>
      <c r="L53" s="1927"/>
      <c r="M53" s="1920"/>
      <c r="N53" s="1827"/>
    </row>
    <row r="54" spans="2:20" ht="18" customHeight="1">
      <c r="B54" s="1851"/>
      <c r="C54" s="1845"/>
      <c r="D54" s="1924"/>
      <c r="E54" s="2023"/>
      <c r="F54" s="1911"/>
      <c r="H54" s="1840"/>
      <c r="I54" s="1874"/>
      <c r="J54" s="1874"/>
      <c r="K54" s="1874"/>
      <c r="L54" s="1874"/>
      <c r="M54" s="1920"/>
      <c r="N54" s="1827"/>
    </row>
    <row r="55" spans="2:20" ht="18" customHeight="1">
      <c r="B55" s="1838" t="s">
        <v>691</v>
      </c>
      <c r="C55" s="2269">
        <v>0.01</v>
      </c>
      <c r="D55" s="1892">
        <f>D56</f>
        <v>0</v>
      </c>
      <c r="E55" s="1892">
        <f>D55*1.085</f>
        <v>0</v>
      </c>
      <c r="F55" s="1892">
        <f>F56</f>
        <v>0</v>
      </c>
      <c r="H55" s="3423" t="s">
        <v>692</v>
      </c>
      <c r="I55" s="3423"/>
      <c r="J55" s="3423"/>
      <c r="K55" s="3423"/>
      <c r="L55" s="3423"/>
      <c r="M55" s="1902">
        <f>SUM(M44:M54)</f>
        <v>0</v>
      </c>
      <c r="N55" s="1827"/>
    </row>
    <row r="56" spans="2:20" ht="18" customHeight="1">
      <c r="B56" s="1842"/>
      <c r="C56" s="1876"/>
      <c r="D56" s="1923">
        <f>'PRZA '!I56</f>
        <v>0</v>
      </c>
      <c r="E56" s="1923"/>
      <c r="F56" s="1923"/>
      <c r="J56" s="1827"/>
      <c r="K56" s="1827"/>
      <c r="L56" s="1827"/>
      <c r="M56" s="1827"/>
      <c r="N56" s="1827"/>
    </row>
    <row r="57" spans="2:20" ht="18" customHeight="1">
      <c r="B57" s="1833"/>
      <c r="C57" s="1845"/>
      <c r="D57" s="1903"/>
      <c r="E57" s="2024"/>
      <c r="F57" s="1928"/>
      <c r="I57" s="1847"/>
      <c r="M57" s="1925"/>
      <c r="N57" s="1827"/>
    </row>
    <row r="58" spans="2:20" ht="18" customHeight="1">
      <c r="B58" s="1838" t="s">
        <v>693</v>
      </c>
      <c r="C58" s="2269">
        <v>0.01</v>
      </c>
      <c r="D58" s="1892">
        <f>D59</f>
        <v>0</v>
      </c>
      <c r="E58" s="1892">
        <f>D58*1.085</f>
        <v>0</v>
      </c>
      <c r="F58" s="1892">
        <f>F59</f>
        <v>0</v>
      </c>
      <c r="H58" s="1848" t="s">
        <v>694</v>
      </c>
      <c r="I58" s="1848"/>
      <c r="M58" s="1925"/>
      <c r="N58" s="1827"/>
    </row>
    <row r="59" spans="2:20" ht="18" customHeight="1">
      <c r="B59" s="1842"/>
      <c r="C59" s="1876"/>
      <c r="D59" s="1923">
        <f>'PRZA '!I57</f>
        <v>0</v>
      </c>
      <c r="E59" s="1923"/>
      <c r="F59" s="1923"/>
      <c r="H59" s="1848"/>
      <c r="I59" s="1874" t="s">
        <v>688</v>
      </c>
      <c r="J59" s="1837" t="s">
        <v>610</v>
      </c>
      <c r="K59" s="1874" t="s">
        <v>631</v>
      </c>
      <c r="L59" s="1874" t="s">
        <v>593</v>
      </c>
      <c r="M59" s="1920" t="s">
        <v>299</v>
      </c>
      <c r="N59" s="1827"/>
      <c r="S59" s="1847"/>
      <c r="T59" s="1847"/>
    </row>
    <row r="60" spans="2:20" ht="18" customHeight="1">
      <c r="B60" s="1833"/>
      <c r="C60" s="1911"/>
      <c r="D60" s="1924"/>
      <c r="E60" s="1924"/>
      <c r="F60" s="1833"/>
      <c r="H60" s="1840" t="s">
        <v>632</v>
      </c>
      <c r="I60" s="1836" t="s">
        <v>695</v>
      </c>
      <c r="J60" s="1874" t="s">
        <v>696</v>
      </c>
      <c r="K60" s="1919"/>
      <c r="L60" s="1874"/>
      <c r="M60" s="1929"/>
      <c r="N60" s="1827"/>
    </row>
    <row r="61" spans="2:20" ht="18" customHeight="1">
      <c r="B61" s="1838" t="s">
        <v>626</v>
      </c>
      <c r="C61" s="1912"/>
      <c r="D61" s="1892">
        <f>SUM(D62:D68)</f>
        <v>0</v>
      </c>
      <c r="E61" s="1892">
        <f>SUM(E62:E68)</f>
        <v>0</v>
      </c>
      <c r="F61" s="1892">
        <f>SUM(F62:F68)</f>
        <v>0</v>
      </c>
      <c r="H61" s="1840" t="s">
        <v>633</v>
      </c>
      <c r="I61" s="1837" t="s">
        <v>697</v>
      </c>
      <c r="J61" s="1874" t="s">
        <v>696</v>
      </c>
      <c r="K61" s="1919"/>
      <c r="L61" s="1874"/>
      <c r="M61" s="1929"/>
      <c r="N61" s="1827"/>
    </row>
    <row r="62" spans="2:20" ht="18" customHeight="1">
      <c r="B62" s="1851" t="s">
        <v>634</v>
      </c>
      <c r="C62" s="2031">
        <v>0.05</v>
      </c>
      <c r="D62" s="1908">
        <f>'PRZA '!I63</f>
        <v>0</v>
      </c>
      <c r="E62" s="1908">
        <f>D62</f>
        <v>0</v>
      </c>
      <c r="F62" s="1908"/>
      <c r="H62" s="1840" t="s">
        <v>698</v>
      </c>
      <c r="I62" s="1837"/>
      <c r="J62" s="1874" t="s">
        <v>696</v>
      </c>
      <c r="K62" s="1919"/>
      <c r="L62" s="1862"/>
      <c r="M62" s="1929"/>
      <c r="N62" s="1827"/>
    </row>
    <row r="63" spans="2:20" ht="18" customHeight="1">
      <c r="B63" s="1853" t="s">
        <v>636</v>
      </c>
      <c r="C63" s="1904"/>
      <c r="D63" s="1908"/>
      <c r="E63" s="1908">
        <f>D63</f>
        <v>0</v>
      </c>
      <c r="F63" s="1908"/>
      <c r="H63" s="1858"/>
      <c r="I63" s="1854"/>
      <c r="J63" s="1874"/>
      <c r="K63" s="1855" t="s">
        <v>221</v>
      </c>
      <c r="L63" s="1840"/>
      <c r="M63" s="1930"/>
      <c r="N63" s="1931"/>
    </row>
    <row r="64" spans="2:20" ht="18" customHeight="1">
      <c r="B64" s="1853" t="s">
        <v>630</v>
      </c>
      <c r="C64" s="1904"/>
      <c r="D64" s="1908"/>
      <c r="E64" s="1908">
        <f>D64*1.085</f>
        <v>0</v>
      </c>
      <c r="F64" s="1908"/>
      <c r="H64" s="1858"/>
      <c r="I64" s="1854"/>
      <c r="J64" s="1849"/>
      <c r="K64" s="1855"/>
      <c r="L64" s="1840"/>
      <c r="M64" s="1930"/>
      <c r="N64" s="1932"/>
    </row>
    <row r="65" spans="1:14" ht="18" customHeight="1">
      <c r="B65" s="1853" t="s">
        <v>637</v>
      </c>
      <c r="C65" s="1904"/>
      <c r="D65" s="1908"/>
      <c r="E65" s="1908">
        <f>D65</f>
        <v>0</v>
      </c>
      <c r="F65" s="1908"/>
      <c r="H65" s="1858"/>
      <c r="I65" s="1854"/>
      <c r="J65" s="1849"/>
      <c r="K65" s="1855"/>
      <c r="L65" s="1840"/>
      <c r="M65" s="1930"/>
      <c r="N65" s="1931"/>
    </row>
    <row r="66" spans="1:14" ht="18" customHeight="1">
      <c r="B66" s="1851"/>
      <c r="C66" s="1904"/>
      <c r="D66" s="1908"/>
      <c r="E66" s="1908"/>
      <c r="F66" s="1908"/>
      <c r="H66" s="3423" t="s">
        <v>699</v>
      </c>
      <c r="I66" s="3423"/>
      <c r="J66" s="3423"/>
      <c r="K66" s="3423"/>
      <c r="L66" s="3423"/>
      <c r="M66" s="1902">
        <f>SUM(M60:M65)</f>
        <v>0</v>
      </c>
      <c r="N66" s="1827"/>
    </row>
    <row r="67" spans="1:14" ht="18" customHeight="1">
      <c r="B67" s="1851"/>
      <c r="C67" s="1904"/>
      <c r="D67" s="1908"/>
      <c r="E67" s="1908"/>
      <c r="F67" s="1908"/>
      <c r="H67" s="1933"/>
      <c r="I67" s="1933"/>
      <c r="J67" s="1905"/>
      <c r="K67" s="1905"/>
      <c r="L67" s="1876"/>
      <c r="M67" s="1934"/>
      <c r="N67" s="1827"/>
    </row>
    <row r="68" spans="1:14" ht="18" customHeight="1">
      <c r="B68" s="1856"/>
      <c r="C68" s="1916"/>
      <c r="D68" s="1923"/>
      <c r="E68" s="1923"/>
      <c r="F68" s="1923"/>
      <c r="H68" s="1848" t="s">
        <v>638</v>
      </c>
      <c r="I68" s="1848"/>
      <c r="N68" s="1827"/>
    </row>
    <row r="69" spans="1:14" ht="18" customHeight="1" thickBot="1">
      <c r="B69" s="3424"/>
      <c r="C69" s="3424"/>
      <c r="F69" s="1876"/>
      <c r="H69" s="1857"/>
      <c r="I69" s="1874" t="s">
        <v>688</v>
      </c>
      <c r="J69" s="1874" t="s">
        <v>610</v>
      </c>
      <c r="K69" s="1874" t="s">
        <v>631</v>
      </c>
      <c r="L69" s="1874" t="s">
        <v>593</v>
      </c>
      <c r="M69" s="1874" t="s">
        <v>299</v>
      </c>
      <c r="N69" s="1827"/>
    </row>
    <row r="70" spans="1:14" ht="18" customHeight="1" thickBot="1">
      <c r="B70" s="3425" t="s">
        <v>640</v>
      </c>
      <c r="C70" s="3425"/>
      <c r="D70" s="3425"/>
      <c r="E70" s="3425"/>
      <c r="F70" s="3425"/>
      <c r="H70" s="1858" t="s">
        <v>639</v>
      </c>
      <c r="I70" s="1875"/>
      <c r="J70" s="1874" t="s">
        <v>696</v>
      </c>
      <c r="K70" s="1919"/>
      <c r="L70" s="1874"/>
      <c r="M70" s="1936"/>
      <c r="N70" s="1827"/>
    </row>
    <row r="71" spans="1:14" ht="18" customHeight="1" thickBot="1">
      <c r="A71" s="1937"/>
      <c r="B71" s="3426"/>
      <c r="C71" s="3426"/>
      <c r="D71" s="1938">
        <f>D61+D58+D55+D44+D27+D22+D18+D12</f>
        <v>0</v>
      </c>
      <c r="E71" s="1938">
        <f>E61+E58+E55+E44+E27+E22+E18+E12</f>
        <v>0</v>
      </c>
      <c r="F71" s="1939">
        <f>F61+F58+F55+F44+F27+F22+F18+F12</f>
        <v>0</v>
      </c>
      <c r="H71" s="1858" t="s">
        <v>639</v>
      </c>
      <c r="I71" s="1858"/>
      <c r="J71" s="1874" t="s">
        <v>696</v>
      </c>
      <c r="K71" s="1919"/>
      <c r="L71" s="1874"/>
      <c r="M71" s="1936"/>
      <c r="N71" s="1827"/>
    </row>
    <row r="72" spans="1:14" s="1937" customFormat="1" ht="18" customHeight="1" thickBot="1">
      <c r="A72" s="1827"/>
      <c r="B72" s="3427"/>
      <c r="C72" s="3427"/>
      <c r="D72" s="1940"/>
      <c r="E72" s="1940"/>
      <c r="F72" s="1941"/>
      <c r="H72" s="1858" t="s">
        <v>639</v>
      </c>
      <c r="I72" s="1858"/>
      <c r="J72" s="1874" t="s">
        <v>696</v>
      </c>
      <c r="K72" s="1919"/>
      <c r="L72" s="1874"/>
      <c r="M72" s="1936"/>
    </row>
    <row r="73" spans="1:14" ht="18" customHeight="1" thickBot="1">
      <c r="B73" s="3428" t="s">
        <v>641</v>
      </c>
      <c r="C73" s="3428"/>
      <c r="D73" s="3428"/>
      <c r="E73" s="3428"/>
      <c r="F73" s="3428"/>
      <c r="H73" s="3423" t="s">
        <v>700</v>
      </c>
      <c r="I73" s="3423"/>
      <c r="J73" s="3423"/>
      <c r="K73" s="3423"/>
      <c r="L73" s="3423"/>
      <c r="M73" s="1902">
        <f>SUM(N70:N72)</f>
        <v>0</v>
      </c>
      <c r="N73" s="1827"/>
    </row>
    <row r="74" spans="1:14" ht="18" customHeight="1" thickBot="1">
      <c r="B74" s="3429">
        <f>D76+D81+D85</f>
        <v>0</v>
      </c>
      <c r="C74" s="3429"/>
      <c r="D74" s="3429"/>
      <c r="E74" s="3429"/>
      <c r="F74" s="3429"/>
      <c r="H74" s="1826"/>
      <c r="I74" s="1826"/>
      <c r="J74" s="1826"/>
      <c r="K74" s="1826"/>
      <c r="L74" s="1826"/>
      <c r="M74" s="1826"/>
      <c r="N74" s="1827"/>
    </row>
    <row r="75" spans="1:14" ht="18" customHeight="1">
      <c r="B75" s="3430"/>
      <c r="C75" s="3430"/>
      <c r="D75" s="1942"/>
      <c r="E75" s="2019"/>
      <c r="F75" s="1943"/>
      <c r="H75" s="1826"/>
      <c r="I75" s="1826"/>
      <c r="J75" s="1826"/>
      <c r="K75" s="1826"/>
      <c r="L75" s="1826"/>
      <c r="M75" s="1826"/>
      <c r="N75" s="1827"/>
    </row>
    <row r="76" spans="1:14" ht="18" customHeight="1">
      <c r="B76" s="3396" t="s">
        <v>642</v>
      </c>
      <c r="C76" s="3396"/>
      <c r="D76" s="1944">
        <f>SUM(D77:D79)</f>
        <v>0</v>
      </c>
      <c r="E76" s="1944"/>
      <c r="F76" s="1945"/>
      <c r="H76" s="1826"/>
      <c r="I76" s="1826"/>
      <c r="J76" s="1826"/>
      <c r="K76" s="1826"/>
      <c r="L76" s="1826"/>
      <c r="M76" s="1826"/>
      <c r="N76" s="1827"/>
    </row>
    <row r="77" spans="1:14" ht="18" customHeight="1">
      <c r="B77" s="3415" t="s">
        <v>643</v>
      </c>
      <c r="C77" s="3415"/>
      <c r="D77" s="1946"/>
      <c r="E77" s="1946"/>
      <c r="F77" s="1945"/>
      <c r="H77" s="1848" t="s">
        <v>701</v>
      </c>
      <c r="I77" s="1848"/>
      <c r="J77" s="1848"/>
      <c r="K77" s="1848"/>
      <c r="N77" s="1827"/>
    </row>
    <row r="78" spans="1:14" ht="18" customHeight="1">
      <c r="B78" s="3415" t="s">
        <v>633</v>
      </c>
      <c r="C78" s="3415"/>
      <c r="D78" s="1946"/>
      <c r="E78" s="1946"/>
      <c r="F78" s="1945"/>
      <c r="I78" s="1849" t="s">
        <v>644</v>
      </c>
      <c r="J78" s="3421" t="s">
        <v>702</v>
      </c>
      <c r="K78" s="3421"/>
      <c r="L78" s="1852" t="s">
        <v>703</v>
      </c>
      <c r="M78" s="1835" t="s">
        <v>299</v>
      </c>
      <c r="N78" s="1827"/>
    </row>
    <row r="79" spans="1:14" ht="18" customHeight="1">
      <c r="B79" s="3415" t="s">
        <v>635</v>
      </c>
      <c r="C79" s="3415"/>
      <c r="D79" s="1947"/>
      <c r="E79" s="1947"/>
      <c r="F79" s="1948"/>
      <c r="H79" s="1850" t="s">
        <v>645</v>
      </c>
      <c r="I79" s="1849"/>
      <c r="J79" s="3413">
        <v>115</v>
      </c>
      <c r="K79" s="3413"/>
      <c r="L79" s="1837"/>
      <c r="M79" s="1920">
        <f t="shared" ref="M79:M84" si="2">J79*L79</f>
        <v>0</v>
      </c>
      <c r="N79" s="1827"/>
    </row>
    <row r="80" spans="1:14" ht="18" customHeight="1">
      <c r="B80" s="3422"/>
      <c r="C80" s="3422"/>
      <c r="D80" s="1949"/>
      <c r="E80" s="1949"/>
      <c r="F80" s="1945"/>
      <c r="H80" s="1850" t="s">
        <v>2</v>
      </c>
      <c r="I80" s="2026">
        <f>Bdgt!Q2</f>
        <v>35</v>
      </c>
      <c r="J80" s="3413">
        <v>130</v>
      </c>
      <c r="K80" s="3413"/>
      <c r="L80" s="3043">
        <f>Bdgt!Q4</f>
        <v>0</v>
      </c>
      <c r="M80" s="1920">
        <f t="shared" si="2"/>
        <v>0</v>
      </c>
      <c r="N80" s="1827"/>
    </row>
    <row r="81" spans="2:15" ht="18" customHeight="1">
      <c r="B81" s="3396" t="s">
        <v>638</v>
      </c>
      <c r="C81" s="3396"/>
      <c r="D81" s="1950">
        <f>SUM(D82:D84)</f>
        <v>0</v>
      </c>
      <c r="E81" s="1950"/>
      <c r="F81" s="1945"/>
      <c r="H81" s="1850" t="s">
        <v>3</v>
      </c>
      <c r="I81" s="2026">
        <f>Bdgt!U2</f>
        <v>35</v>
      </c>
      <c r="J81" s="3413">
        <v>115</v>
      </c>
      <c r="K81" s="3413"/>
      <c r="L81" s="2032">
        <f>Bdgt!U4</f>
        <v>0</v>
      </c>
      <c r="M81" s="1920">
        <f t="shared" si="2"/>
        <v>0</v>
      </c>
      <c r="N81" s="1827"/>
    </row>
    <row r="82" spans="2:15" ht="18" customHeight="1" thickBot="1">
      <c r="B82" s="3415" t="s">
        <v>646</v>
      </c>
      <c r="C82" s="3415"/>
      <c r="D82" s="1949"/>
      <c r="E82" s="1949"/>
      <c r="F82" s="1945"/>
      <c r="H82" s="1951" t="s">
        <v>704</v>
      </c>
      <c r="I82" s="1952"/>
      <c r="J82" s="3418">
        <v>215</v>
      </c>
      <c r="K82" s="3418"/>
      <c r="L82" s="1953"/>
      <c r="M82" s="1920">
        <f t="shared" si="2"/>
        <v>0</v>
      </c>
      <c r="N82" s="1827"/>
    </row>
    <row r="83" spans="2:15" ht="18" customHeight="1" thickTop="1">
      <c r="B83" s="3419"/>
      <c r="C83" s="3419"/>
      <c r="D83" s="1946"/>
      <c r="E83" s="1946"/>
      <c r="F83" s="1945"/>
      <c r="H83" s="1954" t="s">
        <v>705</v>
      </c>
      <c r="I83" s="1955"/>
      <c r="J83" s="3420">
        <v>215</v>
      </c>
      <c r="K83" s="3420"/>
      <c r="L83" s="1956"/>
      <c r="M83" s="1957">
        <f t="shared" si="2"/>
        <v>0</v>
      </c>
      <c r="N83" s="1958"/>
      <c r="O83" s="1876"/>
    </row>
    <row r="84" spans="2:15" ht="18" customHeight="1">
      <c r="B84" s="3412"/>
      <c r="C84" s="3412"/>
      <c r="D84" s="1947"/>
      <c r="E84" s="1947"/>
      <c r="F84" s="1948"/>
      <c r="H84" s="1959" t="s">
        <v>648</v>
      </c>
      <c r="I84" s="1960"/>
      <c r="J84" s="3413">
        <v>215</v>
      </c>
      <c r="K84" s="3413"/>
      <c r="L84" s="1961"/>
      <c r="M84" s="1920">
        <f t="shared" si="2"/>
        <v>0</v>
      </c>
      <c r="N84" s="1827"/>
    </row>
    <row r="85" spans="2:15" ht="18" customHeight="1">
      <c r="B85" s="3396" t="s">
        <v>647</v>
      </c>
      <c r="C85" s="3396"/>
      <c r="D85" s="1944">
        <f>SUM(D86:D91)</f>
        <v>0</v>
      </c>
      <c r="E85" s="1944"/>
      <c r="F85" s="1944">
        <f>SUM(F86:F91)</f>
        <v>0</v>
      </c>
      <c r="H85" s="1962" t="s">
        <v>299</v>
      </c>
      <c r="I85" s="1963">
        <f>SUM(I79:I84)</f>
        <v>70</v>
      </c>
      <c r="J85" s="3414"/>
      <c r="K85" s="3414"/>
      <c r="L85" s="1963">
        <f>SUM(L79:L84)</f>
        <v>0</v>
      </c>
      <c r="M85" s="1902">
        <f>SUM(M79:M84)</f>
        <v>0</v>
      </c>
      <c r="N85" s="1827"/>
    </row>
    <row r="86" spans="2:15" ht="18" customHeight="1">
      <c r="B86" s="3415" t="s">
        <v>649</v>
      </c>
      <c r="C86" s="3415"/>
      <c r="D86" s="1949"/>
      <c r="E86" s="1949"/>
      <c r="F86" s="1964"/>
      <c r="H86" s="1826"/>
      <c r="I86" s="1826"/>
      <c r="J86" s="1826"/>
      <c r="K86" s="1826"/>
      <c r="L86" s="1826"/>
      <c r="M86" s="1826"/>
      <c r="N86" s="1827"/>
    </row>
    <row r="87" spans="2:15" ht="18" customHeight="1">
      <c r="B87" s="3415" t="s">
        <v>584</v>
      </c>
      <c r="C87" s="3415"/>
      <c r="D87" s="1949"/>
      <c r="E87" s="1949"/>
      <c r="F87" s="1964"/>
      <c r="J87" s="1827"/>
      <c r="K87" s="1827"/>
      <c r="L87" s="1827"/>
      <c r="M87" s="1827"/>
      <c r="N87" s="1827"/>
    </row>
    <row r="88" spans="2:15" ht="18" customHeight="1">
      <c r="B88" s="3415" t="s">
        <v>650</v>
      </c>
      <c r="C88" s="3415"/>
      <c r="D88" s="1949"/>
      <c r="E88" s="1949"/>
      <c r="F88" s="1964"/>
      <c r="J88" s="1827"/>
      <c r="K88" s="1827"/>
      <c r="L88" s="1827"/>
      <c r="M88" s="1827"/>
      <c r="N88" s="1827"/>
    </row>
    <row r="89" spans="2:15" ht="18" customHeight="1">
      <c r="B89" s="1965"/>
      <c r="C89" s="1966"/>
      <c r="D89" s="1949"/>
      <c r="E89" s="1949"/>
      <c r="F89" s="1964"/>
      <c r="H89" s="1848" t="s">
        <v>651</v>
      </c>
      <c r="I89" s="1857"/>
      <c r="J89" s="1860" t="s">
        <v>706</v>
      </c>
      <c r="K89" s="1874" t="s">
        <v>707</v>
      </c>
      <c r="L89" s="1874" t="s">
        <v>652</v>
      </c>
      <c r="M89" s="1874" t="s">
        <v>299</v>
      </c>
      <c r="N89" s="1827"/>
    </row>
    <row r="90" spans="2:15" ht="18" customHeight="1">
      <c r="B90" s="3415" t="s">
        <v>653</v>
      </c>
      <c r="C90" s="3415"/>
      <c r="D90" s="1949"/>
      <c r="E90" s="1949"/>
      <c r="F90" s="1964"/>
      <c r="H90" s="3416" t="s">
        <v>708</v>
      </c>
      <c r="I90" s="3416"/>
      <c r="J90" s="1967"/>
      <c r="K90" s="1967"/>
      <c r="L90" s="1967"/>
      <c r="M90" s="1968">
        <f>C106</f>
        <v>0</v>
      </c>
      <c r="N90" s="1827"/>
    </row>
    <row r="91" spans="2:15" ht="18" customHeight="1" thickBot="1">
      <c r="B91" s="3415"/>
      <c r="C91" s="3415"/>
      <c r="D91" s="1949"/>
      <c r="E91" s="1949"/>
      <c r="F91" s="1964"/>
      <c r="H91" s="3417" t="s">
        <v>709</v>
      </c>
      <c r="I91" s="3417"/>
      <c r="J91" s="1969"/>
      <c r="K91" s="1969"/>
      <c r="L91" s="1970" t="s">
        <v>710</v>
      </c>
      <c r="M91" s="1971">
        <f>C108</f>
        <v>0</v>
      </c>
      <c r="N91" s="1827"/>
    </row>
    <row r="92" spans="2:15" ht="18" customHeight="1" thickBot="1">
      <c r="B92" s="3411" t="s">
        <v>654</v>
      </c>
      <c r="C92" s="3411"/>
      <c r="D92" s="3411"/>
      <c r="E92" s="3411"/>
      <c r="F92" s="3411"/>
      <c r="H92" s="1840" t="s">
        <v>711</v>
      </c>
      <c r="I92" s="1858" t="s">
        <v>655</v>
      </c>
      <c r="J92" s="1972"/>
      <c r="K92" s="1973"/>
      <c r="L92" s="1973"/>
      <c r="M92" s="1974"/>
      <c r="N92" s="1827"/>
    </row>
    <row r="93" spans="2:15" ht="18" customHeight="1" thickBot="1">
      <c r="B93" s="2270"/>
      <c r="C93" s="2271"/>
      <c r="D93" s="2271">
        <f>D94</f>
        <v>0</v>
      </c>
      <c r="E93" s="2271">
        <f>E94</f>
        <v>0</v>
      </c>
      <c r="F93" s="2272"/>
      <c r="H93" s="1975"/>
      <c r="I93" s="1976"/>
      <c r="J93" s="1977"/>
      <c r="K93" s="1977"/>
      <c r="L93" s="1977"/>
      <c r="M93" s="1977"/>
      <c r="N93" s="1827"/>
    </row>
    <row r="94" spans="2:15" ht="18" customHeight="1">
      <c r="B94" s="3403" t="s">
        <v>657</v>
      </c>
      <c r="C94" s="3403"/>
      <c r="D94" s="1944">
        <f>SUM(D95:D98)</f>
        <v>0</v>
      </c>
      <c r="E94" s="1944">
        <f>SUM(E95:E98)</f>
        <v>0</v>
      </c>
      <c r="F94" s="1945"/>
      <c r="H94" s="1861" t="s">
        <v>656</v>
      </c>
      <c r="I94" s="1861"/>
      <c r="J94" s="1861"/>
      <c r="K94" s="1861"/>
      <c r="L94" s="1978">
        <v>0.60000000000000009</v>
      </c>
      <c r="M94" s="1968">
        <f>D106</f>
        <v>0</v>
      </c>
      <c r="N94" s="1827"/>
    </row>
    <row r="95" spans="2:15" ht="18" customHeight="1">
      <c r="B95" s="3404" t="s">
        <v>658</v>
      </c>
      <c r="C95" s="3404"/>
      <c r="D95" s="1979">
        <f>M85</f>
        <v>0</v>
      </c>
      <c r="E95" s="1979">
        <f>D95*1.021</f>
        <v>0</v>
      </c>
      <c r="F95" s="1945"/>
      <c r="H95" s="1840" t="s">
        <v>711</v>
      </c>
      <c r="I95" s="1858" t="s">
        <v>655</v>
      </c>
      <c r="J95" s="1980"/>
      <c r="K95" s="1981"/>
      <c r="L95" s="1982">
        <v>0.4</v>
      </c>
      <c r="M95" s="1968"/>
      <c r="N95" s="1827"/>
    </row>
    <row r="96" spans="2:15" ht="18" customHeight="1">
      <c r="B96" s="3404" t="s">
        <v>712</v>
      </c>
      <c r="C96" s="3404"/>
      <c r="D96" s="1979"/>
      <c r="E96" s="1979"/>
      <c r="F96" s="1945"/>
      <c r="H96" s="1983"/>
      <c r="I96" s="1984"/>
      <c r="J96" s="1985"/>
      <c r="K96" s="1985"/>
      <c r="L96" s="1986"/>
      <c r="M96" s="1987"/>
      <c r="N96" s="1827"/>
    </row>
    <row r="97" spans="2:14" ht="18" customHeight="1">
      <c r="B97" s="3404"/>
      <c r="C97" s="3404"/>
      <c r="D97" s="1979"/>
      <c r="E97" s="1979"/>
      <c r="F97" s="1945"/>
      <c r="H97" s="1988"/>
      <c r="I97" s="1988"/>
      <c r="J97" s="1989"/>
      <c r="K97" s="1989"/>
      <c r="L97" s="1989"/>
      <c r="M97" s="1988"/>
      <c r="N97" s="1827"/>
    </row>
    <row r="98" spans="2:14" ht="18" customHeight="1">
      <c r="B98" s="3405"/>
      <c r="C98" s="3405"/>
      <c r="D98" s="1990"/>
      <c r="E98" s="1979"/>
      <c r="F98" s="1945"/>
      <c r="H98" s="1988"/>
      <c r="I98" s="1988"/>
      <c r="J98" s="1989"/>
      <c r="K98" s="1989"/>
      <c r="L98" s="1989"/>
      <c r="M98" s="1989"/>
      <c r="N98" s="1827"/>
    </row>
    <row r="99" spans="2:14" s="1993" customFormat="1" ht="18" customHeight="1">
      <c r="B99" s="3406" t="s">
        <v>660</v>
      </c>
      <c r="C99" s="3406"/>
      <c r="D99" s="1991">
        <f>D71</f>
        <v>0</v>
      </c>
      <c r="E99" s="1991">
        <f>E71</f>
        <v>0</v>
      </c>
      <c r="F99" s="1992">
        <f>F71</f>
        <v>0</v>
      </c>
      <c r="H99" s="1994" t="s">
        <v>659</v>
      </c>
      <c r="J99" s="1988"/>
      <c r="K99" s="1988"/>
      <c r="L99" s="1988"/>
    </row>
    <row r="100" spans="2:14" s="1993" customFormat="1" ht="18" customHeight="1">
      <c r="B100" s="3407" t="s">
        <v>662</v>
      </c>
      <c r="C100" s="3407"/>
      <c r="D100" s="1995">
        <f>B74</f>
        <v>0</v>
      </c>
      <c r="E100" s="1995">
        <f>C74</f>
        <v>0</v>
      </c>
      <c r="F100" s="1996"/>
      <c r="H100" s="1997"/>
      <c r="I100" s="1997"/>
      <c r="J100" s="1997"/>
      <c r="K100" s="1997"/>
      <c r="L100" s="1997"/>
      <c r="M100" s="1997"/>
    </row>
    <row r="101" spans="2:14" s="1993" customFormat="1" ht="18" customHeight="1">
      <c r="B101" s="3408" t="s">
        <v>713</v>
      </c>
      <c r="C101" s="3408"/>
      <c r="D101" s="1998">
        <f>D93</f>
        <v>0</v>
      </c>
      <c r="E101" s="1998">
        <f>E93</f>
        <v>0</v>
      </c>
      <c r="F101" s="1999"/>
      <c r="H101" s="2000" t="s">
        <v>661</v>
      </c>
      <c r="I101" s="1997"/>
      <c r="J101" s="1997"/>
      <c r="K101" s="1997"/>
      <c r="L101" s="1997"/>
      <c r="M101" s="1997"/>
    </row>
    <row r="102" spans="2:14" s="1993" customFormat="1" ht="18" customHeight="1">
      <c r="B102" s="3409" t="s">
        <v>714</v>
      </c>
      <c r="C102" s="3409"/>
      <c r="D102" s="2001">
        <f>D99-D100-D101</f>
        <v>0</v>
      </c>
      <c r="E102" s="2001">
        <f>E99-E100-E101</f>
        <v>0</v>
      </c>
      <c r="F102" s="1999"/>
      <c r="H102" s="1993" t="s">
        <v>715</v>
      </c>
      <c r="I102" s="1997"/>
      <c r="J102" s="1997"/>
      <c r="K102" s="1997"/>
      <c r="L102" s="1997"/>
      <c r="M102" s="1997"/>
    </row>
    <row r="103" spans="2:14" s="1993" customFormat="1" ht="28.15" customHeight="1">
      <c r="B103" s="3410"/>
      <c r="C103" s="3410"/>
      <c r="D103" s="2002"/>
      <c r="E103" s="2002"/>
      <c r="F103" s="2003"/>
      <c r="H103" s="3397" t="s">
        <v>716</v>
      </c>
      <c r="I103" s="3397"/>
      <c r="J103" s="3397"/>
      <c r="K103" s="3397"/>
      <c r="L103" s="3397"/>
      <c r="M103" s="3397"/>
    </row>
    <row r="104" spans="2:14" s="1993" customFormat="1" ht="29.25" customHeight="1">
      <c r="B104" s="3396" t="s">
        <v>664</v>
      </c>
      <c r="C104" s="3396"/>
      <c r="D104" s="2004">
        <f>D105+D106+D107</f>
        <v>0</v>
      </c>
      <c r="E104" s="2004">
        <f>E105+E106+E107</f>
        <v>0</v>
      </c>
      <c r="F104" s="2005">
        <f>F105+F106</f>
        <v>0</v>
      </c>
      <c r="H104" s="3397" t="s">
        <v>717</v>
      </c>
      <c r="I104" s="3397"/>
      <c r="J104" s="3397"/>
      <c r="K104" s="3397"/>
      <c r="L104" s="3397"/>
      <c r="M104" s="3397"/>
    </row>
    <row r="105" spans="2:14" s="1993" customFormat="1" ht="42" customHeight="1">
      <c r="B105" s="3398" t="s">
        <v>718</v>
      </c>
      <c r="C105" s="3398"/>
      <c r="D105" s="2006">
        <f>IF(IF(C7="x",I85*20000,I85*15000)&gt;D102,D102,IF(C7="x",I85*20000,I85*15000))</f>
        <v>0</v>
      </c>
      <c r="E105" s="2006">
        <f>LBU_FRAFU</f>
        <v>0</v>
      </c>
      <c r="F105" s="2006">
        <f>IF(I85*5000&gt;F102,F102,I85*5000)</f>
        <v>0</v>
      </c>
      <c r="H105" s="2007" t="s">
        <v>663</v>
      </c>
      <c r="J105" s="1988"/>
      <c r="K105" s="1988"/>
      <c r="L105" s="1988"/>
      <c r="M105" s="1988"/>
    </row>
    <row r="106" spans="2:14" s="1993" customFormat="1" ht="37.15" customHeight="1">
      <c r="B106" s="3399" t="s">
        <v>719</v>
      </c>
      <c r="C106" s="3399"/>
      <c r="D106" s="2008">
        <f>D102-D105</f>
        <v>0</v>
      </c>
      <c r="E106" s="2025">
        <f>D106</f>
        <v>0</v>
      </c>
      <c r="F106" s="2009">
        <f>F102-F105</f>
        <v>0</v>
      </c>
      <c r="H106" s="2010" t="s">
        <v>720</v>
      </c>
      <c r="M106" s="1988"/>
    </row>
    <row r="107" spans="2:14" s="1993" customFormat="1" ht="33" customHeight="1">
      <c r="B107" s="3400" t="s">
        <v>721</v>
      </c>
      <c r="C107" s="3400"/>
      <c r="D107" s="2008"/>
      <c r="E107" s="2025"/>
      <c r="F107" s="2011"/>
      <c r="J107" s="1988"/>
      <c r="K107" s="1988"/>
      <c r="L107" s="1988"/>
      <c r="M107" s="1988"/>
    </row>
    <row r="108" spans="2:14" s="1993" customFormat="1" ht="28.15" customHeight="1" thickBot="1">
      <c r="B108" s="3401"/>
      <c r="C108" s="3401"/>
      <c r="D108" s="2012">
        <f>D109-D71</f>
        <v>0</v>
      </c>
      <c r="E108" s="2012">
        <f>E109-E71</f>
        <v>0</v>
      </c>
      <c r="F108" s="2013"/>
      <c r="H108" s="3402"/>
      <c r="I108" s="3402"/>
      <c r="J108" s="3402"/>
      <c r="K108" s="3402"/>
      <c r="L108" s="3402"/>
      <c r="M108" s="3402"/>
    </row>
    <row r="109" spans="2:14" s="1993" customFormat="1" ht="28.15" customHeight="1" thickBot="1">
      <c r="B109" s="3393" t="s">
        <v>665</v>
      </c>
      <c r="C109" s="3393"/>
      <c r="D109" s="2014">
        <f>B74+D93+D104</f>
        <v>0</v>
      </c>
      <c r="E109" s="2014">
        <f>C74+E93+E104</f>
        <v>0</v>
      </c>
      <c r="F109" s="2015">
        <f>F104</f>
        <v>0</v>
      </c>
      <c r="H109" s="2016"/>
      <c r="I109" s="2016"/>
      <c r="J109" s="2016"/>
      <c r="K109" s="2016"/>
      <c r="L109" s="2016"/>
      <c r="M109" s="2016"/>
    </row>
    <row r="110" spans="2:14" s="1993" customFormat="1" ht="14.25" customHeight="1">
      <c r="B110" s="3394"/>
      <c r="C110" s="3394"/>
      <c r="D110" s="1935"/>
      <c r="E110" s="1935"/>
      <c r="F110" s="1876"/>
      <c r="H110" s="1827"/>
      <c r="I110" s="2017"/>
      <c r="J110" s="2018"/>
      <c r="K110" s="2018"/>
      <c r="L110" s="2018"/>
      <c r="M110" s="2018"/>
    </row>
    <row r="111" spans="2:14" s="1993" customFormat="1" ht="28.15" customHeight="1">
      <c r="B111" s="3395" t="s">
        <v>722</v>
      </c>
      <c r="C111" s="3395"/>
      <c r="D111" s="3395"/>
      <c r="E111" s="3395"/>
      <c r="F111" s="3395"/>
      <c r="G111" s="3395"/>
      <c r="H111" s="3395"/>
      <c r="I111" s="3395"/>
      <c r="J111" s="3395"/>
      <c r="K111" s="3395"/>
      <c r="L111" s="3395"/>
      <c r="M111" s="3395"/>
    </row>
  </sheetData>
  <sheetProtection selectLockedCells="1" selectUnlockedCells="1"/>
  <mergeCells count="87">
    <mergeCell ref="J15:K15"/>
    <mergeCell ref="B1:N1"/>
    <mergeCell ref="B2:N2"/>
    <mergeCell ref="C4:G4"/>
    <mergeCell ref="H4:J4"/>
    <mergeCell ref="B6:C6"/>
    <mergeCell ref="D7:D8"/>
    <mergeCell ref="H9:M9"/>
    <mergeCell ref="J11:K11"/>
    <mergeCell ref="J12:K12"/>
    <mergeCell ref="J13:K13"/>
    <mergeCell ref="J14:K14"/>
    <mergeCell ref="H16:I16"/>
    <mergeCell ref="J16:K16"/>
    <mergeCell ref="J21:K21"/>
    <mergeCell ref="L21:M21"/>
    <mergeCell ref="J22:K22"/>
    <mergeCell ref="L22:M22"/>
    <mergeCell ref="H43:L43"/>
    <mergeCell ref="J23:K23"/>
    <mergeCell ref="L23:M23"/>
    <mergeCell ref="J24:K24"/>
    <mergeCell ref="L24:M24"/>
    <mergeCell ref="J25:K25"/>
    <mergeCell ref="L25:M25"/>
    <mergeCell ref="J26:K26"/>
    <mergeCell ref="L26:M26"/>
    <mergeCell ref="H27:I27"/>
    <mergeCell ref="J27:K27"/>
    <mergeCell ref="L27:M27"/>
    <mergeCell ref="B77:C77"/>
    <mergeCell ref="H55:L55"/>
    <mergeCell ref="H66:L66"/>
    <mergeCell ref="B69:C69"/>
    <mergeCell ref="B70:F70"/>
    <mergeCell ref="B71:C71"/>
    <mergeCell ref="B72:C72"/>
    <mergeCell ref="B73:F73"/>
    <mergeCell ref="H73:L73"/>
    <mergeCell ref="B74:F74"/>
    <mergeCell ref="B75:C75"/>
    <mergeCell ref="B76:C76"/>
    <mergeCell ref="B78:C78"/>
    <mergeCell ref="J78:K78"/>
    <mergeCell ref="B79:C79"/>
    <mergeCell ref="J79:K79"/>
    <mergeCell ref="B80:C80"/>
    <mergeCell ref="J80:K80"/>
    <mergeCell ref="B81:C81"/>
    <mergeCell ref="J81:K81"/>
    <mergeCell ref="B82:C82"/>
    <mergeCell ref="J82:K82"/>
    <mergeCell ref="B83:C83"/>
    <mergeCell ref="J83:K83"/>
    <mergeCell ref="B92:F92"/>
    <mergeCell ref="B84:C84"/>
    <mergeCell ref="J84:K84"/>
    <mergeCell ref="B85:C85"/>
    <mergeCell ref="J85:K85"/>
    <mergeCell ref="B86:C86"/>
    <mergeCell ref="B87:C87"/>
    <mergeCell ref="B88:C88"/>
    <mergeCell ref="B90:C90"/>
    <mergeCell ref="H90:I90"/>
    <mergeCell ref="B91:C91"/>
    <mergeCell ref="H91:I91"/>
    <mergeCell ref="H103:M103"/>
    <mergeCell ref="B94:C94"/>
    <mergeCell ref="B95:C95"/>
    <mergeCell ref="B96:C96"/>
    <mergeCell ref="B97:C97"/>
    <mergeCell ref="B98:C98"/>
    <mergeCell ref="B99:C99"/>
    <mergeCell ref="B100:C100"/>
    <mergeCell ref="B101:C101"/>
    <mergeCell ref="B102:C102"/>
    <mergeCell ref="B103:C103"/>
    <mergeCell ref="B109:C109"/>
    <mergeCell ref="B110:C110"/>
    <mergeCell ref="B111:M111"/>
    <mergeCell ref="B104:C104"/>
    <mergeCell ref="H104:M104"/>
    <mergeCell ref="B105:C105"/>
    <mergeCell ref="B106:C106"/>
    <mergeCell ref="B107:C107"/>
    <mergeCell ref="B108:C108"/>
    <mergeCell ref="H108:M108"/>
  </mergeCells>
  <printOptions horizontalCentered="1" verticalCentered="1"/>
  <pageMargins left="0.2361111111111111" right="0.11805555555555555" top="0.59027777777777768" bottom="0.65069444444444446" header="0.51180555555555551" footer="0.51180555555555551"/>
  <pageSetup paperSize="8" firstPageNumber="0" orientation="portrait" horizontalDpi="300" verticalDpi="300"/>
  <headerFooter alignWithMargins="0">
    <oddHeader>&amp;LDEAL de La Réunion
SHLS / UPFA - FRAFU&amp;RAnnexe 14C - Modéle du bilan FRAFU - juin 2013</oddHeader>
    <oddFooter>&amp;L14 juin 2013&amp;R&amp;A</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outlinePr applyStyles="1" summaryBelow="0"/>
  </sheetPr>
  <dimension ref="A1:CF3458"/>
  <sheetViews>
    <sheetView view="pageBreakPreview" topLeftCell="D1" zoomScale="70" zoomScaleNormal="25" zoomScaleSheetLayoutView="70" zoomScalePageLayoutView="40" workbookViewId="0">
      <pane xSplit="6" ySplit="6" topLeftCell="J110" activePane="bottomRight" state="frozen"/>
      <selection activeCell="E1" sqref="E1"/>
      <selection pane="topRight" activeCell="J1" sqref="J1"/>
      <selection pane="bottomLeft" activeCell="E7" sqref="E7"/>
      <selection pane="bottomRight" activeCell="I120" sqref="I120"/>
    </sheetView>
  </sheetViews>
  <sheetFormatPr baseColWidth="10" defaultColWidth="8" defaultRowHeight="18" customHeight="1" outlineLevelRow="3" outlineLevelCol="1"/>
  <cols>
    <col min="1" max="1" width="12.42578125" style="198" customWidth="1"/>
    <col min="2" max="2" width="4.42578125" style="219" hidden="1" customWidth="1" outlineLevel="1"/>
    <col min="3" max="3" width="4.85546875" style="203" customWidth="1" collapsed="1"/>
    <col min="4" max="4" width="4.85546875" style="220" customWidth="1" outlineLevel="1"/>
    <col min="5" max="5" width="6" style="203" customWidth="1"/>
    <col min="6" max="6" width="41.42578125" style="209" customWidth="1"/>
    <col min="7" max="7" width="18.42578125" style="221" customWidth="1"/>
    <col min="8" max="8" width="19.42578125" style="217" customWidth="1" outlineLevel="1"/>
    <col min="9" max="9" width="24.85546875" style="674" customWidth="1"/>
    <col min="10" max="10" width="13.85546875" style="248" customWidth="1" outlineLevel="1"/>
    <col min="11" max="11" width="16.85546875" style="598" customWidth="1"/>
    <col min="12" max="12" width="17.42578125" style="209" customWidth="1"/>
    <col min="13" max="13" width="12.5703125" style="19" customWidth="1" outlineLevel="1"/>
    <col min="14" max="14" width="12" style="121" customWidth="1" outlineLevel="1"/>
    <col min="15" max="15" width="2.42578125" style="165" customWidth="1"/>
    <col min="16" max="16" width="18.7109375" style="1610" customWidth="1" outlineLevel="1"/>
    <col min="17" max="17" width="17.140625" style="1597" customWidth="1" outlineLevel="1"/>
    <col min="18" max="18" width="15.42578125" style="1616" customWidth="1" outlineLevel="1"/>
    <col min="19" max="19" width="2.42578125" style="551" customWidth="1"/>
    <col min="20" max="20" width="20.42578125" style="1786" customWidth="1" outlineLevel="1"/>
    <col min="21" max="21" width="18" style="1768" customWidth="1" outlineLevel="1"/>
    <col min="22" max="22" width="19" style="1794" customWidth="1" outlineLevel="1"/>
    <col min="23" max="23" width="2.42578125" style="1779" customWidth="1"/>
    <col min="24" max="24" width="24" style="1786" customWidth="1" outlineLevel="1"/>
    <col min="25" max="25" width="18" style="1768" customWidth="1" outlineLevel="1"/>
    <col min="26" max="26" width="19" style="1794" customWidth="1" outlineLevel="1"/>
    <col min="27" max="27" width="2.42578125" style="551" customWidth="1"/>
    <col min="28" max="28" width="13" style="1282" customWidth="1" outlineLevel="1"/>
    <col min="29" max="29" width="16.42578125" style="11" customWidth="1" outlineLevel="1" collapsed="1"/>
    <col min="30" max="30" width="1.85546875" style="206" customWidth="1"/>
    <col min="31" max="31" width="12.140625" style="11" customWidth="1" outlineLevel="1"/>
    <col min="32" max="32" width="12.85546875" style="11" customWidth="1" outlineLevel="1"/>
    <col min="33" max="33" width="13.42578125" style="11" customWidth="1" outlineLevel="1"/>
    <col min="34" max="34" width="1.5703125" style="206" customWidth="1"/>
    <col min="35" max="36" width="12.42578125" style="11" customWidth="1" outlineLevel="1"/>
    <col min="37" max="37" width="3" style="165" customWidth="1"/>
    <col min="38" max="38" width="14.42578125" style="255" customWidth="1"/>
    <col min="39" max="39" width="1" style="255" customWidth="1"/>
    <col min="40" max="40" width="10.42578125" style="255" customWidth="1"/>
    <col min="41" max="41" width="6.42578125" style="255" customWidth="1"/>
    <col min="42" max="42" width="10.42578125" style="255" customWidth="1"/>
    <col min="43" max="43" width="1.42578125" style="255" customWidth="1"/>
    <col min="44" max="44" width="9.42578125" style="255" customWidth="1"/>
    <col min="45" max="45" width="10" style="255" customWidth="1"/>
    <col min="46" max="46" width="2.42578125" style="255" customWidth="1"/>
    <col min="47" max="47" width="6.42578125" style="255" customWidth="1"/>
    <col min="48" max="48" width="7.42578125" style="255" customWidth="1"/>
    <col min="49" max="63" width="6.42578125" style="255" customWidth="1"/>
    <col min="64" max="84" width="6.42578125" style="11" customWidth="1"/>
    <col min="85" max="16384" width="8" style="11"/>
  </cols>
  <sheetData>
    <row r="1" spans="1:63" ht="18" customHeight="1" thickBot="1">
      <c r="A1" s="3446">
        <f>nom</f>
        <v>0</v>
      </c>
      <c r="B1" s="3447"/>
      <c r="C1" s="3447"/>
      <c r="D1" s="3447"/>
      <c r="E1" s="3447"/>
      <c r="F1" s="3448"/>
      <c r="G1" s="2259" t="s">
        <v>913</v>
      </c>
      <c r="H1" s="7"/>
      <c r="I1" s="250" t="s">
        <v>305</v>
      </c>
      <c r="J1" s="251"/>
      <c r="K1" s="252"/>
      <c r="L1" s="8"/>
      <c r="M1" s="9"/>
      <c r="N1" s="10"/>
      <c r="O1" s="225"/>
      <c r="P1" s="1494"/>
      <c r="Q1" s="1495"/>
      <c r="R1" s="1496"/>
      <c r="S1" s="253"/>
      <c r="T1" s="1617"/>
      <c r="U1" s="1618"/>
      <c r="V1" s="1619"/>
      <c r="W1" s="1620"/>
      <c r="X1" s="1621"/>
      <c r="Y1" s="1618"/>
      <c r="Z1" s="1619"/>
      <c r="AA1" s="253"/>
      <c r="AB1" s="1283"/>
      <c r="AC1" s="1253"/>
      <c r="AD1" s="225"/>
      <c r="AE1" s="89"/>
      <c r="AF1" s="254"/>
      <c r="AG1" s="223"/>
      <c r="AH1" s="225"/>
      <c r="AI1" s="32"/>
      <c r="AJ1" s="154"/>
      <c r="AK1" s="225"/>
    </row>
    <row r="2" spans="1:63" ht="15.95" customHeight="1">
      <c r="A2" s="12"/>
      <c r="B2" s="13"/>
      <c r="C2" s="246"/>
      <c r="D2" s="14"/>
      <c r="E2" s="256"/>
      <c r="F2" s="15" t="s">
        <v>0</v>
      </c>
      <c r="G2" s="16">
        <f>+Q2+U2+Y2</f>
        <v>70</v>
      </c>
      <c r="H2" s="17"/>
      <c r="I2" s="657"/>
      <c r="J2" s="25" t="s">
        <v>1</v>
      </c>
      <c r="K2" s="257">
        <f>0%</f>
        <v>0</v>
      </c>
      <c r="L2" s="18"/>
      <c r="N2" s="99"/>
      <c r="O2" s="227"/>
      <c r="P2" s="1497" t="s">
        <v>2</v>
      </c>
      <c r="Q2" s="1172">
        <f>'Prgr. 2018'!NbreLLS</f>
        <v>35</v>
      </c>
      <c r="R2" s="1498"/>
      <c r="S2" s="258"/>
      <c r="T2" s="1622" t="s">
        <v>3</v>
      </c>
      <c r="U2" s="1623">
        <f>'Prgr. 2018'!NbreLLTS</f>
        <v>35</v>
      </c>
      <c r="V2" s="1624"/>
      <c r="W2" s="1625"/>
      <c r="X2" s="1824" t="s">
        <v>667</v>
      </c>
      <c r="Y2" s="1623">
        <f>'Prgr. 2018'!NbreCOMM</f>
        <v>0</v>
      </c>
      <c r="Z2" s="1624"/>
      <c r="AA2" s="258"/>
      <c r="AB2" s="1284"/>
      <c r="AC2" s="1254"/>
      <c r="AD2" s="225"/>
      <c r="AE2" s="10"/>
      <c r="AF2" s="259"/>
      <c r="AG2" s="226"/>
      <c r="AH2" s="225"/>
      <c r="AI2" s="260"/>
      <c r="AJ2" s="261"/>
      <c r="AK2" s="227"/>
    </row>
    <row r="3" spans="1:63" ht="15.95" customHeight="1">
      <c r="A3" s="12"/>
      <c r="B3" s="13"/>
      <c r="C3" s="246"/>
      <c r="D3" s="14"/>
      <c r="E3" s="256"/>
      <c r="F3" s="15" t="s">
        <v>412</v>
      </c>
      <c r="G3" s="1173">
        <f>+Q3+U3+Y3</f>
        <v>4372</v>
      </c>
      <c r="H3" s="623"/>
      <c r="I3" s="657"/>
      <c r="J3" s="25"/>
      <c r="K3" s="257"/>
      <c r="L3" s="18"/>
      <c r="N3" s="99"/>
      <c r="O3" s="227"/>
      <c r="P3" s="1497" t="s">
        <v>412</v>
      </c>
      <c r="Q3" s="619">
        <f>'Prgr. 2018'!SU.LLS</f>
        <v>2186</v>
      </c>
      <c r="R3" s="1498"/>
      <c r="S3" s="258"/>
      <c r="T3" s="1622" t="s">
        <v>412</v>
      </c>
      <c r="U3" s="1626">
        <f>'Prgr. 2018'!SU.LLTS</f>
        <v>2186</v>
      </c>
      <c r="V3" s="1624"/>
      <c r="W3" s="1625"/>
      <c r="X3" s="1622" t="s">
        <v>421</v>
      </c>
      <c r="Y3" s="1627">
        <f>'Prgr. 2018'!SU.COMM</f>
        <v>0</v>
      </c>
      <c r="Z3" s="1624"/>
      <c r="AA3" s="258"/>
      <c r="AB3" s="1284"/>
      <c r="AC3" s="1255"/>
      <c r="AD3" s="225"/>
      <c r="AE3" s="99"/>
      <c r="AF3" s="600"/>
      <c r="AG3" s="601"/>
      <c r="AH3" s="225"/>
      <c r="AI3" s="602"/>
      <c r="AJ3" s="603"/>
      <c r="AK3" s="227"/>
    </row>
    <row r="4" spans="1:63" ht="15.95" customHeight="1">
      <c r="A4" s="12"/>
      <c r="B4" s="13"/>
      <c r="C4" s="246"/>
      <c r="D4" s="14"/>
      <c r="E4" s="256"/>
      <c r="F4" s="1825" t="s">
        <v>587</v>
      </c>
      <c r="G4" s="1173">
        <f>Q4+U4</f>
        <v>0</v>
      </c>
      <c r="H4" s="623"/>
      <c r="I4" s="657"/>
      <c r="J4" s="25" t="s">
        <v>7</v>
      </c>
      <c r="K4" s="257">
        <v>2.1000000000000001E-2</v>
      </c>
      <c r="L4" s="23">
        <f>1/1.021</f>
        <v>0.97943192948090119</v>
      </c>
      <c r="N4" s="99"/>
      <c r="O4" s="227"/>
      <c r="P4" s="1824" t="s">
        <v>587</v>
      </c>
      <c r="Q4" s="619">
        <v>0</v>
      </c>
      <c r="R4" s="1499"/>
      <c r="S4" s="258"/>
      <c r="T4" s="1824" t="s">
        <v>587</v>
      </c>
      <c r="U4" s="1626">
        <v>0</v>
      </c>
      <c r="V4" s="1628"/>
      <c r="W4" s="1625"/>
      <c r="X4" s="1824" t="s">
        <v>587</v>
      </c>
      <c r="Y4" s="1627"/>
      <c r="Z4" s="1628"/>
      <c r="AA4" s="258"/>
      <c r="AB4" s="1284"/>
      <c r="AC4" s="1256" t="s">
        <v>4</v>
      </c>
      <c r="AD4" s="227"/>
      <c r="AE4" s="3449" t="s">
        <v>5</v>
      </c>
      <c r="AF4" s="3450"/>
      <c r="AG4" s="3451"/>
      <c r="AH4" s="227"/>
      <c r="AI4" s="95" t="s">
        <v>6</v>
      </c>
      <c r="AJ4" s="262" t="s">
        <v>6</v>
      </c>
      <c r="AK4" s="227"/>
    </row>
    <row r="5" spans="1:63" ht="15.95" customHeight="1" thickBot="1">
      <c r="A5" s="20"/>
      <c r="B5" s="21"/>
      <c r="C5" s="263"/>
      <c r="D5" s="14"/>
      <c r="E5" s="246"/>
      <c r="F5" s="3058" t="s">
        <v>439</v>
      </c>
      <c r="G5" s="1174">
        <f>+Q5+U5+Y5</f>
        <v>5247</v>
      </c>
      <c r="H5" s="264"/>
      <c r="I5" s="657"/>
      <c r="J5" s="25" t="s">
        <v>17</v>
      </c>
      <c r="K5" s="257">
        <v>8.5000000000000006E-2</v>
      </c>
      <c r="L5" s="23">
        <f>1/1.085</f>
        <v>0.92165898617511521</v>
      </c>
      <c r="M5" s="24" t="s">
        <v>18</v>
      </c>
      <c r="N5" s="118"/>
      <c r="O5" s="227"/>
      <c r="P5" s="3059" t="s">
        <v>439</v>
      </c>
      <c r="Q5" s="619">
        <f>'Prgr. 2018'!SF.LLS</f>
        <v>2623.5</v>
      </c>
      <c r="R5" s="1499">
        <f>Q5/G5</f>
        <v>0.5</v>
      </c>
      <c r="S5" s="258"/>
      <c r="T5" s="1622" t="s">
        <v>439</v>
      </c>
      <c r="U5" s="1626">
        <f>'Prgr. 2018'!SF.LLTS</f>
        <v>2623.5</v>
      </c>
      <c r="V5" s="1628"/>
      <c r="W5" s="1625"/>
      <c r="X5" s="1622" t="s">
        <v>439</v>
      </c>
      <c r="Y5" s="1627">
        <f>'Prgr. 2018'!SF.COMM</f>
        <v>0</v>
      </c>
      <c r="Z5" s="1629"/>
      <c r="AA5" s="258"/>
      <c r="AB5" s="1284"/>
      <c r="AC5" s="1256" t="s">
        <v>9</v>
      </c>
      <c r="AD5" s="227"/>
      <c r="AE5" s="25" t="s">
        <v>10</v>
      </c>
      <c r="AF5" s="22"/>
      <c r="AG5" s="265"/>
      <c r="AH5" s="227"/>
      <c r="AI5" s="95" t="s">
        <v>11</v>
      </c>
      <c r="AJ5" s="262" t="s">
        <v>12</v>
      </c>
      <c r="AK5" s="227"/>
    </row>
    <row r="6" spans="1:63" ht="15.95" customHeight="1" thickBot="1">
      <c r="A6" s="26" t="s">
        <v>13</v>
      </c>
      <c r="B6" s="27"/>
      <c r="C6" s="3452" t="s">
        <v>14</v>
      </c>
      <c r="D6" s="3453"/>
      <c r="E6" s="3454"/>
      <c r="F6" s="28" t="s">
        <v>15</v>
      </c>
      <c r="G6" s="29"/>
      <c r="H6" s="30" t="s">
        <v>16</v>
      </c>
      <c r="I6" s="266">
        <f>100000/655957</f>
        <v>0.15244901723741039</v>
      </c>
      <c r="J6" s="267" t="s">
        <v>306</v>
      </c>
      <c r="K6" s="268">
        <v>9.5000000000000001E-2</v>
      </c>
      <c r="L6" s="269">
        <f>1/1.095</f>
        <v>0.91324200913242015</v>
      </c>
      <c r="N6" s="270"/>
      <c r="O6" s="227"/>
      <c r="P6" s="1500"/>
      <c r="Q6" s="1501"/>
      <c r="R6" s="1502"/>
      <c r="S6" s="258"/>
      <c r="T6" s="1630"/>
      <c r="U6" s="1631"/>
      <c r="V6" s="1632"/>
      <c r="W6" s="1625"/>
      <c r="X6" s="1633"/>
      <c r="Y6" s="1631"/>
      <c r="Z6" s="1632"/>
      <c r="AA6" s="258"/>
      <c r="AB6" s="1284"/>
      <c r="AC6" s="1257"/>
      <c r="AD6" s="227"/>
      <c r="AE6" s="31"/>
      <c r="AF6" s="22"/>
      <c r="AG6" s="265"/>
      <c r="AH6" s="227"/>
      <c r="AI6" s="271"/>
      <c r="AJ6" s="272"/>
      <c r="AK6" s="227"/>
    </row>
    <row r="7" spans="1:63" s="32" customFormat="1" ht="15.95" customHeight="1" thickBot="1">
      <c r="A7" s="33"/>
      <c r="B7" s="34"/>
      <c r="C7" s="273" t="s">
        <v>307</v>
      </c>
      <c r="D7" s="35" t="s">
        <v>19</v>
      </c>
      <c r="E7" s="274" t="s">
        <v>20</v>
      </c>
      <c r="F7" s="36" t="s">
        <v>21</v>
      </c>
      <c r="G7" s="37"/>
      <c r="H7" s="275"/>
      <c r="I7" s="658" t="s">
        <v>22</v>
      </c>
      <c r="J7" s="228" t="s">
        <v>23</v>
      </c>
      <c r="K7" s="276" t="s">
        <v>24</v>
      </c>
      <c r="L7" s="38" t="s">
        <v>25</v>
      </c>
      <c r="M7" s="39" t="s">
        <v>308</v>
      </c>
      <c r="N7" s="277" t="s">
        <v>26</v>
      </c>
      <c r="O7" s="227"/>
      <c r="P7" s="1503" t="s">
        <v>22</v>
      </c>
      <c r="Q7" s="1504" t="s">
        <v>24</v>
      </c>
      <c r="R7" s="1505" t="s">
        <v>25</v>
      </c>
      <c r="S7" s="278"/>
      <c r="T7" s="1634" t="s">
        <v>22</v>
      </c>
      <c r="U7" s="1635" t="s">
        <v>24</v>
      </c>
      <c r="V7" s="1636" t="s">
        <v>25</v>
      </c>
      <c r="W7" s="1637"/>
      <c r="X7" s="1634" t="s">
        <v>22</v>
      </c>
      <c r="Y7" s="1635" t="s">
        <v>24</v>
      </c>
      <c r="Z7" s="1636" t="s">
        <v>25</v>
      </c>
      <c r="AA7" s="1243"/>
      <c r="AB7" s="3060" t="s">
        <v>309</v>
      </c>
      <c r="AC7" s="1258" t="s">
        <v>27</v>
      </c>
      <c r="AD7" s="227"/>
      <c r="AE7" s="40" t="s">
        <v>22</v>
      </c>
      <c r="AF7" s="279" t="s">
        <v>24</v>
      </c>
      <c r="AG7" s="41" t="s">
        <v>25</v>
      </c>
      <c r="AH7" s="227"/>
      <c r="AI7" s="280" t="s">
        <v>28</v>
      </c>
      <c r="AJ7" s="281" t="s">
        <v>28</v>
      </c>
      <c r="AK7" s="227"/>
      <c r="AL7" s="255"/>
      <c r="AM7" s="255"/>
      <c r="AN7" s="255"/>
      <c r="AO7" s="255"/>
      <c r="AP7" s="255"/>
      <c r="AQ7" s="255"/>
      <c r="AR7" s="255"/>
      <c r="AS7" s="255"/>
      <c r="AT7" s="255"/>
      <c r="AU7" s="255"/>
      <c r="AV7" s="255"/>
      <c r="AW7" s="255"/>
      <c r="AX7" s="255"/>
      <c r="AY7" s="255"/>
      <c r="AZ7" s="255"/>
      <c r="BA7" s="255"/>
      <c r="BB7" s="255"/>
      <c r="BC7" s="255"/>
      <c r="BD7" s="255"/>
      <c r="BE7" s="255"/>
      <c r="BF7" s="255"/>
      <c r="BG7" s="255"/>
      <c r="BH7" s="255"/>
      <c r="BI7" s="255"/>
      <c r="BJ7" s="255"/>
      <c r="BK7" s="255"/>
    </row>
    <row r="8" spans="1:63" s="51" customFormat="1" ht="15.95" customHeight="1" thickBot="1">
      <c r="A8" s="42" t="s">
        <v>29</v>
      </c>
      <c r="B8" s="43" t="s">
        <v>30</v>
      </c>
      <c r="C8" s="282"/>
      <c r="D8" s="3455">
        <v>190</v>
      </c>
      <c r="E8" s="3456"/>
      <c r="F8" s="44" t="s">
        <v>31</v>
      </c>
      <c r="G8" s="45"/>
      <c r="H8" s="46"/>
      <c r="I8" s="1864">
        <f>I9+I13+I17+I21+I24+I27+I30+I37</f>
        <v>64050</v>
      </c>
      <c r="J8" s="284"/>
      <c r="K8" s="285">
        <f>K9+K13+K17+K21+K24+K27+K30+K37</f>
        <v>0</v>
      </c>
      <c r="L8" s="286">
        <f>L9+L13+L17+L21+L24+L27+L30+L37</f>
        <v>64050</v>
      </c>
      <c r="M8" s="47">
        <f>M9+M13+M17+M21+M24+M27+M30+M37</f>
        <v>12.206975414522585</v>
      </c>
      <c r="N8" s="287">
        <f>N9+N13+N17+N21+N24+N27+N30+N37</f>
        <v>915</v>
      </c>
      <c r="O8" s="48"/>
      <c r="P8" s="1236">
        <f>P9+P13+P17+P21+P24+P27+P30+P37</f>
        <v>32025.000000000004</v>
      </c>
      <c r="Q8" s="288">
        <f>Q9+Q13+Q17+Q21+Q24+Q27+Q30+Q37</f>
        <v>0</v>
      </c>
      <c r="R8" s="289">
        <f>R9+R13+R17+R21+R24+R27+R30+R37</f>
        <v>32025.000000000004</v>
      </c>
      <c r="S8" s="290"/>
      <c r="T8" s="1638">
        <f>T9+T13+T17+T21+T24+T27+T30+T37</f>
        <v>32025.000000000004</v>
      </c>
      <c r="U8" s="1639">
        <f>U9+U13+U17+U21+U24+U27+U30+U37</f>
        <v>0</v>
      </c>
      <c r="V8" s="1640">
        <f>V9+V13+V17+V21+V24+V27+V30+V37</f>
        <v>32025.000000000004</v>
      </c>
      <c r="W8" s="1641"/>
      <c r="X8" s="1642">
        <f>X9+X13+X17+X21+X24+X27+X30+X37</f>
        <v>0</v>
      </c>
      <c r="Y8" s="1639">
        <f>Y9+Y13+Y17+Y21+Y24+Y27+Y30+Y37</f>
        <v>0</v>
      </c>
      <c r="Z8" s="1640">
        <f>Z9+Z13+Z17+Z21+Z24+Z27+Z30+Z37</f>
        <v>0</v>
      </c>
      <c r="AA8" s="1244"/>
      <c r="AB8" s="1175">
        <f>AB9+AB13+AB17+AB21+AB24+AB27+AB30+AB36</f>
        <v>0</v>
      </c>
      <c r="AC8" s="1259">
        <f>AC9+AC13+AC17+AC21+AC24+AC27+AC30+AC37</f>
        <v>0</v>
      </c>
      <c r="AD8" s="48"/>
      <c r="AE8" s="291">
        <f>AE9+AE13+AE17+AE21+AE24+AE27+AE30+AE37</f>
        <v>0</v>
      </c>
      <c r="AF8" s="292">
        <f>AF9+AF13+AF17+AF21+AF24+AF27+AF30+AF37</f>
        <v>0</v>
      </c>
      <c r="AG8" s="293">
        <f>AG9+AG13+AG17+AG21+AG24+AG27+AG30+AG37</f>
        <v>0</v>
      </c>
      <c r="AH8" s="49"/>
      <c r="AI8" s="291">
        <f>AI9+AI13+AI17+AI21+AI24+AI27+AI30+AI37</f>
        <v>64050</v>
      </c>
      <c r="AJ8" s="294">
        <f>AJ9+AJ13+AJ17+AJ21+AJ24+AJ27+AJ30+AJ37</f>
        <v>64050</v>
      </c>
      <c r="AK8" s="48"/>
      <c r="AL8" s="295"/>
      <c r="AM8" s="295"/>
      <c r="AN8" s="295"/>
      <c r="AO8" s="295"/>
      <c r="AP8" s="295"/>
      <c r="AQ8" s="295"/>
      <c r="AR8" s="295"/>
      <c r="AS8" s="295"/>
      <c r="AT8" s="295"/>
      <c r="AU8" s="295"/>
      <c r="AV8" s="295"/>
      <c r="AW8" s="255"/>
      <c r="AX8" s="255"/>
      <c r="AY8" s="255"/>
      <c r="AZ8" s="255"/>
      <c r="BA8" s="255"/>
      <c r="BB8" s="255"/>
      <c r="BC8" s="255"/>
      <c r="BD8" s="255"/>
      <c r="BE8" s="255"/>
      <c r="BF8" s="255"/>
      <c r="BG8" s="255"/>
      <c r="BH8" s="255"/>
      <c r="BI8" s="255"/>
      <c r="BJ8" s="255"/>
      <c r="BK8" s="255"/>
    </row>
    <row r="9" spans="1:63" s="1383" customFormat="1" ht="15.95" customHeight="1" outlineLevel="2">
      <c r="A9" s="1377" t="s">
        <v>32</v>
      </c>
      <c r="B9" s="1377" t="s">
        <v>33</v>
      </c>
      <c r="C9" s="296"/>
      <c r="D9" s="1385" t="s">
        <v>310</v>
      </c>
      <c r="E9" s="297"/>
      <c r="F9" s="1378" t="s">
        <v>34</v>
      </c>
      <c r="G9" s="1379"/>
      <c r="H9" s="1386"/>
      <c r="I9" s="666">
        <f>SUM(I10:I12)</f>
        <v>0</v>
      </c>
      <c r="J9" s="1387"/>
      <c r="K9" s="298">
        <f>SUM(K10:K12)</f>
        <v>0</v>
      </c>
      <c r="L9" s="1380">
        <f>SUM(L10:L12)</f>
        <v>0</v>
      </c>
      <c r="M9" s="1381">
        <f>SUM(M10:M12)</f>
        <v>0</v>
      </c>
      <c r="N9" s="1382">
        <f>SUM(N10:N12)</f>
        <v>0</v>
      </c>
      <c r="O9" s="227"/>
      <c r="P9" s="1506">
        <f>SUM(P10:P12)</f>
        <v>0</v>
      </c>
      <c r="Q9" s="1507">
        <f>SUM(Q10:Q12)</f>
        <v>0</v>
      </c>
      <c r="R9" s="1508">
        <f>SUM(R10:R12)</f>
        <v>0</v>
      </c>
      <c r="S9" s="1216"/>
      <c r="T9" s="1643">
        <f>SUM(T10:T12)</f>
        <v>0</v>
      </c>
      <c r="U9" s="1644">
        <f>SUM(U10:U12)</f>
        <v>0</v>
      </c>
      <c r="V9" s="1645">
        <f>SUM(V10:V12)</f>
        <v>0</v>
      </c>
      <c r="W9" s="1646"/>
      <c r="X9" s="1647">
        <f>SUM(X10:X12)</f>
        <v>0</v>
      </c>
      <c r="Y9" s="1644">
        <f>SUM(Y10:Y12)</f>
        <v>0</v>
      </c>
      <c r="Z9" s="1645">
        <f>SUM(Z10:Z12)</f>
        <v>0</v>
      </c>
      <c r="AA9" s="1249"/>
      <c r="AB9" s="432">
        <f>SUM(AB10:AB12)</f>
        <v>0</v>
      </c>
      <c r="AC9" s="1388">
        <f>SUM(AC10:AC12)</f>
        <v>0</v>
      </c>
      <c r="AD9" s="227"/>
      <c r="AE9" s="1389">
        <f>SUM(AE10:AE12)</f>
        <v>0</v>
      </c>
      <c r="AF9" s="1390">
        <f>SUM(AF10:AF12)</f>
        <v>0</v>
      </c>
      <c r="AG9" s="1389">
        <f>SUM(AG10:AG12)</f>
        <v>0</v>
      </c>
      <c r="AH9" s="227"/>
      <c r="AI9" s="1389">
        <f>SUM(AI10:AI12)</f>
        <v>0</v>
      </c>
      <c r="AJ9" s="1390">
        <f>SUM(AJ10:AJ12)</f>
        <v>0</v>
      </c>
      <c r="AK9" s="227"/>
      <c r="AL9" s="1391"/>
      <c r="AM9" s="1391"/>
      <c r="AN9" s="1391"/>
      <c r="AO9" s="1391"/>
      <c r="AP9" s="1391"/>
      <c r="AQ9" s="1391"/>
      <c r="AR9" s="1391"/>
      <c r="AS9" s="1391"/>
      <c r="AT9" s="1391"/>
      <c r="AU9" s="1391"/>
      <c r="AV9" s="1391"/>
      <c r="AW9" s="649"/>
      <c r="AX9" s="649"/>
      <c r="AY9" s="649"/>
      <c r="AZ9" s="649"/>
      <c r="BA9" s="649"/>
      <c r="BB9" s="649"/>
      <c r="BC9" s="649"/>
      <c r="BD9" s="649"/>
      <c r="BE9" s="649"/>
      <c r="BF9" s="649"/>
      <c r="BG9" s="649"/>
      <c r="BH9" s="649"/>
      <c r="BI9" s="649"/>
      <c r="BJ9" s="649"/>
      <c r="BK9" s="649"/>
    </row>
    <row r="10" spans="1:63" s="1190" customFormat="1" ht="15.95" customHeight="1" outlineLevel="3">
      <c r="A10" s="2233"/>
      <c r="B10" s="61"/>
      <c r="C10" s="2229"/>
      <c r="D10" s="2230"/>
      <c r="E10" s="2231" t="s">
        <v>35</v>
      </c>
      <c r="F10" s="3225" t="s">
        <v>36</v>
      </c>
      <c r="G10" s="64" t="s">
        <v>37</v>
      </c>
      <c r="H10" s="2234"/>
      <c r="I10" s="1321"/>
      <c r="J10" s="1214">
        <f>TVAS</f>
        <v>2.1000000000000001E-2</v>
      </c>
      <c r="K10" s="2235">
        <f>I10*J10</f>
        <v>0</v>
      </c>
      <c r="L10" s="1215">
        <f>I10+K10</f>
        <v>0</v>
      </c>
      <c r="M10" s="1194">
        <f>I10/$G$5</f>
        <v>0</v>
      </c>
      <c r="N10" s="1195">
        <f>I10/$G$2</f>
        <v>0</v>
      </c>
      <c r="O10" s="1189"/>
      <c r="P10" s="1509">
        <f>M10*$Q$5</f>
        <v>0</v>
      </c>
      <c r="Q10" s="1510">
        <f>P10*J10</f>
        <v>0</v>
      </c>
      <c r="R10" s="1511">
        <f>P10+Q10</f>
        <v>0</v>
      </c>
      <c r="S10" s="1189"/>
      <c r="T10" s="1648">
        <f>M10*$U$5</f>
        <v>0</v>
      </c>
      <c r="U10" s="1649">
        <f>T10*J10</f>
        <v>0</v>
      </c>
      <c r="V10" s="1650">
        <f>T10+U10</f>
        <v>0</v>
      </c>
      <c r="W10" s="1651"/>
      <c r="X10" s="1648">
        <v>0</v>
      </c>
      <c r="Y10" s="1649">
        <f>X10*J10</f>
        <v>0</v>
      </c>
      <c r="Z10" s="1650">
        <f>X10+Y10</f>
        <v>0</v>
      </c>
      <c r="AA10" s="1249"/>
      <c r="AB10" s="1217">
        <f>I10-(P10+T10+X10)</f>
        <v>0</v>
      </c>
      <c r="AC10" s="1260"/>
      <c r="AD10" s="1216"/>
      <c r="AE10" s="1218"/>
      <c r="AF10" s="305">
        <f>AE10*J10</f>
        <v>0</v>
      </c>
      <c r="AG10" s="1313">
        <f>AF10+AE10</f>
        <v>0</v>
      </c>
      <c r="AH10" s="1216"/>
      <c r="AI10" s="1198">
        <f>I10-AC10</f>
        <v>0</v>
      </c>
      <c r="AJ10" s="1199">
        <f>I10-AE10</f>
        <v>0</v>
      </c>
      <c r="AK10" s="1216"/>
      <c r="AL10" s="974"/>
      <c r="AM10" s="974"/>
      <c r="AN10" s="974"/>
      <c r="AO10" s="974"/>
      <c r="AP10" s="974"/>
      <c r="AQ10" s="974"/>
      <c r="AR10" s="974"/>
      <c r="AS10" s="974"/>
      <c r="AT10" s="974"/>
      <c r="AU10" s="974"/>
      <c r="AV10" s="974"/>
      <c r="AW10" s="974"/>
      <c r="AX10" s="974"/>
      <c r="AY10" s="974"/>
      <c r="AZ10" s="974"/>
      <c r="BA10" s="974"/>
      <c r="BB10" s="974"/>
      <c r="BC10" s="974"/>
      <c r="BD10" s="974"/>
      <c r="BE10" s="974"/>
      <c r="BF10" s="974"/>
      <c r="BG10" s="974"/>
      <c r="BH10" s="974"/>
      <c r="BI10" s="974"/>
      <c r="BJ10" s="974"/>
      <c r="BK10" s="974"/>
    </row>
    <row r="11" spans="1:63" s="1190" customFormat="1" ht="15.95" customHeight="1" outlineLevel="3">
      <c r="A11" s="2233"/>
      <c r="B11" s="61"/>
      <c r="C11" s="2229"/>
      <c r="D11" s="2230"/>
      <c r="E11" s="2231" t="s">
        <v>38</v>
      </c>
      <c r="F11" s="3225" t="s">
        <v>39</v>
      </c>
      <c r="G11" s="64" t="s">
        <v>37</v>
      </c>
      <c r="H11" s="627"/>
      <c r="I11" s="1330">
        <f>X11</f>
        <v>0</v>
      </c>
      <c r="J11" s="1181">
        <f>TVAN</f>
        <v>8.5000000000000006E-2</v>
      </c>
      <c r="K11" s="1323">
        <f>I11*J11</f>
        <v>0</v>
      </c>
      <c r="L11" s="1220">
        <f>I11+K11</f>
        <v>0</v>
      </c>
      <c r="M11" s="1221">
        <f>I11/$G$5</f>
        <v>0</v>
      </c>
      <c r="N11" s="1222">
        <f>I11/$G$2</f>
        <v>0</v>
      </c>
      <c r="O11" s="1189"/>
      <c r="P11" s="1512">
        <v>0</v>
      </c>
      <c r="Q11" s="1513">
        <f>P11*J11</f>
        <v>0</v>
      </c>
      <c r="R11" s="1514">
        <f>P11+Q11</f>
        <v>0</v>
      </c>
      <c r="S11" s="1189"/>
      <c r="T11" s="1652">
        <v>0</v>
      </c>
      <c r="U11" s="1653">
        <f>T11*J11</f>
        <v>0</v>
      </c>
      <c r="V11" s="1654">
        <f>T11+U11</f>
        <v>0</v>
      </c>
      <c r="W11" s="1651"/>
      <c r="X11" s="1652">
        <v>0</v>
      </c>
      <c r="Y11" s="1653">
        <f>X11*J11</f>
        <v>0</v>
      </c>
      <c r="Z11" s="1654">
        <f>X11+Y11</f>
        <v>0</v>
      </c>
      <c r="AA11" s="1249"/>
      <c r="AB11" s="1223">
        <f>I11-(P11+T11+X11)</f>
        <v>0</v>
      </c>
      <c r="AC11" s="1263"/>
      <c r="AD11" s="1216"/>
      <c r="AE11" s="1224"/>
      <c r="AF11" s="311">
        <f>AE11*J11</f>
        <v>0</v>
      </c>
      <c r="AG11" s="2236">
        <f>AF11+AE11</f>
        <v>0</v>
      </c>
      <c r="AH11" s="1216"/>
      <c r="AI11" s="1209">
        <f>I11-AC11</f>
        <v>0</v>
      </c>
      <c r="AJ11" s="1226">
        <f>I11-AE11</f>
        <v>0</v>
      </c>
      <c r="AK11" s="1216"/>
      <c r="AL11" s="974"/>
      <c r="AM11" s="974"/>
      <c r="AN11" s="974"/>
      <c r="AO11" s="974"/>
      <c r="AP11" s="974"/>
      <c r="AQ11" s="974"/>
      <c r="AR11" s="974"/>
      <c r="AS11" s="974"/>
      <c r="AT11" s="974"/>
      <c r="AU11" s="974"/>
      <c r="AV11" s="974"/>
      <c r="AW11" s="974"/>
      <c r="AX11" s="974"/>
      <c r="AY11" s="974"/>
      <c r="AZ11" s="974"/>
      <c r="BA11" s="974"/>
      <c r="BB11" s="974"/>
      <c r="BC11" s="974"/>
      <c r="BD11" s="974"/>
      <c r="BE11" s="974"/>
      <c r="BF11" s="974"/>
      <c r="BG11" s="974"/>
      <c r="BH11" s="974"/>
      <c r="BI11" s="974"/>
      <c r="BJ11" s="974"/>
      <c r="BK11" s="974"/>
    </row>
    <row r="12" spans="1:63" ht="15.95" customHeight="1" outlineLevel="3">
      <c r="A12" s="60"/>
      <c r="B12" s="70"/>
      <c r="C12" s="296"/>
      <c r="D12" s="62"/>
      <c r="E12" s="297" t="s">
        <v>40</v>
      </c>
      <c r="F12" s="89" t="s">
        <v>41</v>
      </c>
      <c r="G12" s="64" t="s">
        <v>42</v>
      </c>
      <c r="H12" s="2035" t="s">
        <v>727</v>
      </c>
      <c r="I12" s="1336">
        <f>P12+T12+X12</f>
        <v>0</v>
      </c>
      <c r="J12" s="1204">
        <f>TVAS</f>
        <v>2.1000000000000001E-2</v>
      </c>
      <c r="K12" s="1325">
        <f>I12*J12</f>
        <v>0</v>
      </c>
      <c r="L12" s="1205">
        <f>I12+K12</f>
        <v>0</v>
      </c>
      <c r="M12" s="1221">
        <f>I12/$G$5</f>
        <v>0</v>
      </c>
      <c r="N12" s="1222">
        <f>I12/$G$2</f>
        <v>0</v>
      </c>
      <c r="O12" s="1189"/>
      <c r="P12" s="1515">
        <f>'FRAFU AVS + LESG'!M80</f>
        <v>0</v>
      </c>
      <c r="Q12" s="1516">
        <f>P12*J12</f>
        <v>0</v>
      </c>
      <c r="R12" s="1517">
        <f>P12+Q12</f>
        <v>0</v>
      </c>
      <c r="S12" s="1189"/>
      <c r="T12" s="1655">
        <f>'FRAFU AVS + LESG'!M81</f>
        <v>0</v>
      </c>
      <c r="U12" s="1656">
        <f>T12*J12</f>
        <v>0</v>
      </c>
      <c r="V12" s="1657">
        <f>T12+U12</f>
        <v>0</v>
      </c>
      <c r="W12" s="1651"/>
      <c r="X12" s="1655">
        <f>'FRAFU AVS + LESG'!M60</f>
        <v>0</v>
      </c>
      <c r="Y12" s="1656">
        <f>X12*J12</f>
        <v>0</v>
      </c>
      <c r="Z12" s="1657">
        <f>X12+Y12</f>
        <v>0</v>
      </c>
      <c r="AA12" s="1243"/>
      <c r="AB12" s="315">
        <f>I12-(P12+T12+X12)</f>
        <v>0</v>
      </c>
      <c r="AC12" s="1262"/>
      <c r="AD12" s="227"/>
      <c r="AE12" s="316"/>
      <c r="AF12" s="317">
        <f>AE12*J12</f>
        <v>0</v>
      </c>
      <c r="AG12" s="318">
        <f>AF12+AE12</f>
        <v>0</v>
      </c>
      <c r="AH12" s="227"/>
      <c r="AI12" s="319">
        <f>I12-AC12</f>
        <v>0</v>
      </c>
      <c r="AJ12" s="320">
        <f>I12-AE12</f>
        <v>0</v>
      </c>
      <c r="AK12" s="227"/>
    </row>
    <row r="13" spans="1:63" s="1383" customFormat="1" ht="15.95" customHeight="1" outlineLevel="2">
      <c r="A13" s="1377" t="s">
        <v>43</v>
      </c>
      <c r="B13" s="1377" t="s">
        <v>44</v>
      </c>
      <c r="C13" s="296"/>
      <c r="D13" s="1385" t="s">
        <v>311</v>
      </c>
      <c r="E13" s="297"/>
      <c r="F13" s="1378" t="s">
        <v>312</v>
      </c>
      <c r="G13" s="1379"/>
      <c r="H13" s="1386"/>
      <c r="I13" s="666">
        <f>SUM(I14:I16)</f>
        <v>0</v>
      </c>
      <c r="J13" s="1387"/>
      <c r="K13" s="298">
        <f>SUM(K14:K16)</f>
        <v>0</v>
      </c>
      <c r="L13" s="1380">
        <f>SUM(L14:L16)</f>
        <v>0</v>
      </c>
      <c r="M13" s="1392">
        <f>SUM(M14:M16)</f>
        <v>0</v>
      </c>
      <c r="N13" s="1393">
        <f>SUM(N14:N16)</f>
        <v>0</v>
      </c>
      <c r="O13" s="227"/>
      <c r="P13" s="1506">
        <f>SUM(P14:P16)</f>
        <v>0</v>
      </c>
      <c r="Q13" s="1507">
        <f>SUM(Q14:Q16)</f>
        <v>0</v>
      </c>
      <c r="R13" s="1508">
        <f>SUM(R14:R16)</f>
        <v>0</v>
      </c>
      <c r="S13" s="1216"/>
      <c r="T13" s="1643">
        <f>SUM(T14:T16)</f>
        <v>0</v>
      </c>
      <c r="U13" s="1644">
        <f>SUM(U14:U16)</f>
        <v>0</v>
      </c>
      <c r="V13" s="1645">
        <f>SUM(V14:V16)</f>
        <v>0</v>
      </c>
      <c r="W13" s="1646"/>
      <c r="X13" s="1647">
        <f>SUM(X14:X16)</f>
        <v>0</v>
      </c>
      <c r="Y13" s="1644">
        <f>SUM(Y14:Y16)</f>
        <v>0</v>
      </c>
      <c r="Z13" s="1645">
        <f>SUM(Z14:Z16)</f>
        <v>0</v>
      </c>
      <c r="AA13" s="1249"/>
      <c r="AB13" s="432">
        <f>SUM(AB14:AB16)</f>
        <v>0</v>
      </c>
      <c r="AC13" s="1388">
        <f>SUM(AC14:AC16)</f>
        <v>0</v>
      </c>
      <c r="AD13" s="227"/>
      <c r="AE13" s="1394">
        <f>SUM(AE14:AE16)</f>
        <v>0</v>
      </c>
      <c r="AF13" s="1390">
        <f>SUM(AF14:AF16)</f>
        <v>0</v>
      </c>
      <c r="AG13" s="1388">
        <f>SUM(AG14:AG16)</f>
        <v>0</v>
      </c>
      <c r="AH13" s="227"/>
      <c r="AI13" s="1394">
        <f>SUM(AI14:AI16)</f>
        <v>0</v>
      </c>
      <c r="AJ13" s="1390">
        <f>SUM(AJ14:AJ16)</f>
        <v>0</v>
      </c>
      <c r="AK13" s="227"/>
      <c r="AL13" s="1391"/>
      <c r="AM13" s="1391"/>
      <c r="AN13" s="1391"/>
      <c r="AO13" s="1391"/>
      <c r="AP13" s="1391"/>
      <c r="AQ13" s="1391"/>
      <c r="AR13" s="1391"/>
      <c r="AS13" s="1391"/>
      <c r="AT13" s="1391"/>
      <c r="AU13" s="1391"/>
      <c r="AV13" s="1391"/>
      <c r="AW13" s="649"/>
      <c r="AX13" s="649"/>
      <c r="AY13" s="649"/>
      <c r="AZ13" s="649"/>
      <c r="BA13" s="649"/>
      <c r="BB13" s="649"/>
      <c r="BC13" s="649"/>
      <c r="BD13" s="649"/>
      <c r="BE13" s="649"/>
      <c r="BF13" s="649"/>
      <c r="BG13" s="649"/>
      <c r="BH13" s="649"/>
      <c r="BI13" s="649"/>
      <c r="BJ13" s="649"/>
      <c r="BK13" s="649"/>
    </row>
    <row r="14" spans="1:63" ht="15.95" customHeight="1" outlineLevel="3">
      <c r="A14" s="74"/>
      <c r="B14" s="70"/>
      <c r="C14" s="296"/>
      <c r="D14" s="62"/>
      <c r="E14" s="297" t="s">
        <v>45</v>
      </c>
      <c r="F14" s="89" t="s">
        <v>46</v>
      </c>
      <c r="G14" s="75"/>
      <c r="H14" s="324"/>
      <c r="I14" s="1321"/>
      <c r="J14" s="1214">
        <v>0</v>
      </c>
      <c r="K14" s="1327">
        <f>I14*J14</f>
        <v>0</v>
      </c>
      <c r="L14" s="1215">
        <f>I14+K14</f>
        <v>0</v>
      </c>
      <c r="M14" s="1194">
        <f>I14/$G$5</f>
        <v>0</v>
      </c>
      <c r="N14" s="1195">
        <f>I14/$G$2</f>
        <v>0</v>
      </c>
      <c r="O14" s="1189"/>
      <c r="P14" s="1509">
        <f>M14*$Q$5</f>
        <v>0</v>
      </c>
      <c r="Q14" s="1510">
        <f>P14*J14</f>
        <v>0</v>
      </c>
      <c r="R14" s="1511">
        <f>P14+Q14</f>
        <v>0</v>
      </c>
      <c r="S14" s="1189"/>
      <c r="T14" s="1648">
        <f>M14*$U$5</f>
        <v>0</v>
      </c>
      <c r="U14" s="1649">
        <f>T14*J14</f>
        <v>0</v>
      </c>
      <c r="V14" s="1650">
        <f>T14+U14</f>
        <v>0</v>
      </c>
      <c r="W14" s="1651"/>
      <c r="X14" s="1648">
        <f>M14*$Y$5</f>
        <v>0</v>
      </c>
      <c r="Y14" s="1649">
        <f>X14*J14</f>
        <v>0</v>
      </c>
      <c r="Z14" s="1650">
        <f>X14+Y14</f>
        <v>0</v>
      </c>
      <c r="AA14" s="1243"/>
      <c r="AB14" s="303">
        <f>I14-(P14+T14+X14)</f>
        <v>0</v>
      </c>
      <c r="AC14" s="1260"/>
      <c r="AD14" s="227"/>
      <c r="AE14" s="304"/>
      <c r="AF14" s="305">
        <f>AE14*J14</f>
        <v>0</v>
      </c>
      <c r="AG14" s="306">
        <f>AF14+AE14</f>
        <v>0</v>
      </c>
      <c r="AH14" s="227"/>
      <c r="AI14" s="307">
        <f>I14-AC14</f>
        <v>0</v>
      </c>
      <c r="AJ14" s="308">
        <f>I14-AE14</f>
        <v>0</v>
      </c>
      <c r="AK14" s="227"/>
    </row>
    <row r="15" spans="1:63" ht="15.95" customHeight="1" outlineLevel="3">
      <c r="A15" s="74"/>
      <c r="B15" s="70"/>
      <c r="C15" s="296"/>
      <c r="D15" s="62"/>
      <c r="E15" s="297" t="s">
        <v>45</v>
      </c>
      <c r="F15" s="89" t="s">
        <v>46</v>
      </c>
      <c r="G15" s="75"/>
      <c r="H15" s="324">
        <v>0.02</v>
      </c>
      <c r="I15" s="1330">
        <f>H15*(I10+I11)</f>
        <v>0</v>
      </c>
      <c r="J15" s="1181">
        <f>TVAN</f>
        <v>8.5000000000000006E-2</v>
      </c>
      <c r="K15" s="1323">
        <f>I15*J15</f>
        <v>0</v>
      </c>
      <c r="L15" s="1220">
        <f>I15+K15</f>
        <v>0</v>
      </c>
      <c r="M15" s="1221">
        <f>I15/$G$5</f>
        <v>0</v>
      </c>
      <c r="N15" s="1222">
        <f>I15/$G$2</f>
        <v>0</v>
      </c>
      <c r="O15" s="1189"/>
      <c r="P15" s="1512">
        <f>M15*$Q$5</f>
        <v>0</v>
      </c>
      <c r="Q15" s="1513">
        <f>P15*J15</f>
        <v>0</v>
      </c>
      <c r="R15" s="1514">
        <f>P15+Q15</f>
        <v>0</v>
      </c>
      <c r="S15" s="1189"/>
      <c r="T15" s="1652">
        <f>M15*$U$5</f>
        <v>0</v>
      </c>
      <c r="U15" s="1653">
        <f>T15*J15</f>
        <v>0</v>
      </c>
      <c r="V15" s="1654">
        <f>T15+U15</f>
        <v>0</v>
      </c>
      <c r="W15" s="1651"/>
      <c r="X15" s="1652">
        <f>M15*$Y$5</f>
        <v>0</v>
      </c>
      <c r="Y15" s="1653">
        <f>X15*J15</f>
        <v>0</v>
      </c>
      <c r="Z15" s="1654">
        <f>X15+Y15</f>
        <v>0</v>
      </c>
      <c r="AA15" s="1243"/>
      <c r="AB15" s="309">
        <f>I15-(P15+T15+X15)</f>
        <v>0</v>
      </c>
      <c r="AC15" s="1263"/>
      <c r="AD15" s="227"/>
      <c r="AE15" s="310"/>
      <c r="AF15" s="311">
        <f>AE15*J15</f>
        <v>0</v>
      </c>
      <c r="AG15" s="312">
        <f>AF15+AE15</f>
        <v>0</v>
      </c>
      <c r="AH15" s="227"/>
      <c r="AI15" s="313">
        <f>I15-AC15</f>
        <v>0</v>
      </c>
      <c r="AJ15" s="314">
        <f>I15-AE15</f>
        <v>0</v>
      </c>
      <c r="AK15" s="227"/>
    </row>
    <row r="16" spans="1:63" ht="15.95" customHeight="1" outlineLevel="3">
      <c r="A16" s="74"/>
      <c r="B16" s="70"/>
      <c r="C16" s="296"/>
      <c r="D16" s="62"/>
      <c r="E16" s="297" t="s">
        <v>47</v>
      </c>
      <c r="F16" s="107" t="s">
        <v>48</v>
      </c>
      <c r="G16" s="77"/>
      <c r="H16" s="65"/>
      <c r="I16" s="1336"/>
      <c r="J16" s="1204">
        <f>TVAN</f>
        <v>8.5000000000000006E-2</v>
      </c>
      <c r="K16" s="1325">
        <f>I16*J16</f>
        <v>0</v>
      </c>
      <c r="L16" s="1205">
        <f>I16+K16</f>
        <v>0</v>
      </c>
      <c r="M16" s="1221">
        <f>I16/$G$5</f>
        <v>0</v>
      </c>
      <c r="N16" s="1222">
        <f>I16/$G$2</f>
        <v>0</v>
      </c>
      <c r="O16" s="1189"/>
      <c r="P16" s="1515">
        <f>M16*$Q$5</f>
        <v>0</v>
      </c>
      <c r="Q16" s="1518">
        <f>P16*J16</f>
        <v>0</v>
      </c>
      <c r="R16" s="1517">
        <f>P16+Q16</f>
        <v>0</v>
      </c>
      <c r="S16" s="1189"/>
      <c r="T16" s="1655">
        <f>M16*$U$5</f>
        <v>0</v>
      </c>
      <c r="U16" s="1656">
        <f>T16*J16</f>
        <v>0</v>
      </c>
      <c r="V16" s="1657">
        <f>T16+U16</f>
        <v>0</v>
      </c>
      <c r="W16" s="1651"/>
      <c r="X16" s="1655">
        <f>M16*$Y$5</f>
        <v>0</v>
      </c>
      <c r="Y16" s="1656">
        <f>X16*J16</f>
        <v>0</v>
      </c>
      <c r="Z16" s="1657">
        <f>X16+Y16</f>
        <v>0</v>
      </c>
      <c r="AA16" s="1243"/>
      <c r="AB16" s="315">
        <f>I16-(P16+T16+X16)</f>
        <v>0</v>
      </c>
      <c r="AC16" s="1264"/>
      <c r="AD16" s="227"/>
      <c r="AE16" s="316"/>
      <c r="AF16" s="317">
        <f>AE16*J16</f>
        <v>0</v>
      </c>
      <c r="AG16" s="318">
        <f>AF16+AE16</f>
        <v>0</v>
      </c>
      <c r="AH16" s="227"/>
      <c r="AI16" s="319">
        <f>I16-AC16</f>
        <v>0</v>
      </c>
      <c r="AJ16" s="320">
        <f>I16-AE16</f>
        <v>0</v>
      </c>
      <c r="AK16" s="227"/>
    </row>
    <row r="17" spans="1:63" s="1383" customFormat="1" ht="15.75" customHeight="1" outlineLevel="2">
      <c r="A17" s="1377" t="s">
        <v>49</v>
      </c>
      <c r="B17" s="1377" t="s">
        <v>50</v>
      </c>
      <c r="C17" s="296"/>
      <c r="D17" s="1385" t="s">
        <v>51</v>
      </c>
      <c r="E17" s="297"/>
      <c r="F17" s="1378" t="s">
        <v>313</v>
      </c>
      <c r="G17" s="1379"/>
      <c r="H17" s="1386"/>
      <c r="I17" s="666">
        <f>SUM(I18:I20)</f>
        <v>0</v>
      </c>
      <c r="J17" s="1387"/>
      <c r="K17" s="298">
        <f>SUM(K18:K20)</f>
        <v>0</v>
      </c>
      <c r="L17" s="1380">
        <f>SUM(L18:L19)</f>
        <v>0</v>
      </c>
      <c r="M17" s="1392">
        <f>SUM(M18:M20)</f>
        <v>0</v>
      </c>
      <c r="N17" s="1393">
        <f>SUM(N18:N20)</f>
        <v>0</v>
      </c>
      <c r="O17" s="227"/>
      <c r="P17" s="1519">
        <f>SUM(P18:P20)</f>
        <v>0</v>
      </c>
      <c r="Q17" s="1520">
        <f>SUM(Q18:Q20)</f>
        <v>0</v>
      </c>
      <c r="R17" s="1508">
        <f>SUM(R18:R19)</f>
        <v>0</v>
      </c>
      <c r="S17" s="1216"/>
      <c r="T17" s="1647">
        <f>SUM(T18:T20)</f>
        <v>0</v>
      </c>
      <c r="U17" s="1644">
        <f>SUM(U18:U20)</f>
        <v>0</v>
      </c>
      <c r="V17" s="1645">
        <f>SUM(V18:V19)</f>
        <v>0</v>
      </c>
      <c r="W17" s="1646"/>
      <c r="X17" s="1647">
        <f>SUM(X18:X20)</f>
        <v>0</v>
      </c>
      <c r="Y17" s="1644">
        <f>SUM(Y18:Y20)</f>
        <v>0</v>
      </c>
      <c r="Z17" s="1645">
        <f>SUM(Z18:Z19)</f>
        <v>0</v>
      </c>
      <c r="AA17" s="1249"/>
      <c r="AB17" s="432">
        <f>AB21+AB24+AB27+AB30+AB36</f>
        <v>0</v>
      </c>
      <c r="AC17" s="1388">
        <f>SUM(AC18:AC20)</f>
        <v>0</v>
      </c>
      <c r="AD17" s="227"/>
      <c r="AE17" s="1394">
        <f>SUM(AE18:AE20)</f>
        <v>0</v>
      </c>
      <c r="AF17" s="1390">
        <f>SUM(AF18:AF20)</f>
        <v>0</v>
      </c>
      <c r="AG17" s="1388">
        <f>SUM(AG18:AG20)</f>
        <v>0</v>
      </c>
      <c r="AH17" s="227"/>
      <c r="AI17" s="1394">
        <f>SUM(AI18:AI20)</f>
        <v>0</v>
      </c>
      <c r="AJ17" s="1390">
        <f>SUM(AJ18:AJ20)</f>
        <v>0</v>
      </c>
      <c r="AK17" s="227"/>
      <c r="AL17" s="1391"/>
      <c r="AM17" s="1391"/>
      <c r="AN17" s="1391"/>
      <c r="AO17" s="1391"/>
      <c r="AP17" s="1391"/>
      <c r="AQ17" s="1391"/>
      <c r="AR17" s="1391"/>
      <c r="AS17" s="1391"/>
      <c r="AT17" s="1391"/>
      <c r="AU17" s="1391"/>
      <c r="AV17" s="1391"/>
      <c r="AW17" s="649"/>
      <c r="AX17" s="649"/>
      <c r="AY17" s="649"/>
      <c r="AZ17" s="649"/>
      <c r="BA17" s="649"/>
      <c r="BB17" s="649"/>
      <c r="BC17" s="649"/>
      <c r="BD17" s="649"/>
      <c r="BE17" s="649"/>
      <c r="BF17" s="649"/>
      <c r="BG17" s="649"/>
      <c r="BH17" s="649"/>
      <c r="BI17" s="649"/>
      <c r="BJ17" s="649"/>
      <c r="BK17" s="649"/>
    </row>
    <row r="18" spans="1:63" ht="15.95" customHeight="1" outlineLevel="3">
      <c r="A18" s="74"/>
      <c r="B18" s="61"/>
      <c r="C18" s="296"/>
      <c r="D18" s="62"/>
      <c r="E18" s="297" t="s">
        <v>52</v>
      </c>
      <c r="F18" s="89" t="s">
        <v>53</v>
      </c>
      <c r="G18" s="75"/>
      <c r="H18" s="65"/>
      <c r="I18" s="1321"/>
      <c r="J18" s="1214">
        <f>TVA0</f>
        <v>0</v>
      </c>
      <c r="K18" s="1327">
        <f>I18*J18</f>
        <v>0</v>
      </c>
      <c r="L18" s="1215">
        <f>I18+K18</f>
        <v>0</v>
      </c>
      <c r="M18" s="1194">
        <f>I18/$G$5</f>
        <v>0</v>
      </c>
      <c r="N18" s="1195">
        <f>I18/$G$2</f>
        <v>0</v>
      </c>
      <c r="O18" s="1189"/>
      <c r="P18" s="1521">
        <f>M18*$Q$5</f>
        <v>0</v>
      </c>
      <c r="Q18" s="1510">
        <f>P18*J18</f>
        <v>0</v>
      </c>
      <c r="R18" s="1511">
        <f>P18+Q18</f>
        <v>0</v>
      </c>
      <c r="S18" s="1189"/>
      <c r="T18" s="1648">
        <f>M18*$U$5</f>
        <v>0</v>
      </c>
      <c r="U18" s="1649">
        <f>T18*J18</f>
        <v>0</v>
      </c>
      <c r="V18" s="1650">
        <f>T18+U18</f>
        <v>0</v>
      </c>
      <c r="W18" s="1651"/>
      <c r="X18" s="1648">
        <f>M18*$Y$5</f>
        <v>0</v>
      </c>
      <c r="Y18" s="1649">
        <f>X18*J18</f>
        <v>0</v>
      </c>
      <c r="Z18" s="1650">
        <f>X18+Y18</f>
        <v>0</v>
      </c>
      <c r="AA18" s="1243"/>
      <c r="AB18" s="303">
        <f>I18-(P18+T18+X18)</f>
        <v>0</v>
      </c>
      <c r="AC18" s="1265">
        <v>0</v>
      </c>
      <c r="AD18" s="227"/>
      <c r="AE18" s="304">
        <v>0</v>
      </c>
      <c r="AF18" s="305">
        <f>AE18*J18</f>
        <v>0</v>
      </c>
      <c r="AG18" s="306">
        <f>AF18+AE18</f>
        <v>0</v>
      </c>
      <c r="AH18" s="227"/>
      <c r="AI18" s="307">
        <f>I18-AC18</f>
        <v>0</v>
      </c>
      <c r="AJ18" s="308">
        <f>I18-AE18</f>
        <v>0</v>
      </c>
      <c r="AK18" s="227"/>
    </row>
    <row r="19" spans="1:63" ht="15.95" customHeight="1" outlineLevel="3">
      <c r="A19" s="74"/>
      <c r="B19" s="78"/>
      <c r="C19" s="296"/>
      <c r="D19" s="79"/>
      <c r="E19" s="325" t="s">
        <v>54</v>
      </c>
      <c r="F19" s="89" t="s">
        <v>55</v>
      </c>
      <c r="G19" s="75"/>
      <c r="H19" s="65"/>
      <c r="I19" s="1330"/>
      <c r="J19" s="1181">
        <f>TVAN</f>
        <v>8.5000000000000006E-2</v>
      </c>
      <c r="K19" s="1323">
        <f>I19*J19</f>
        <v>0</v>
      </c>
      <c r="L19" s="1220">
        <f>I19+K19</f>
        <v>0</v>
      </c>
      <c r="M19" s="1221">
        <f>I19/$G$5</f>
        <v>0</v>
      </c>
      <c r="N19" s="1222">
        <f>I19/$G$2</f>
        <v>0</v>
      </c>
      <c r="O19" s="1189"/>
      <c r="P19" s="1522">
        <f>M19*$Q$5</f>
        <v>0</v>
      </c>
      <c r="Q19" s="1513">
        <f>P19*J19</f>
        <v>0</v>
      </c>
      <c r="R19" s="1514">
        <f>P19+Q19</f>
        <v>0</v>
      </c>
      <c r="S19" s="1189"/>
      <c r="T19" s="1652">
        <f>M19*$U$5</f>
        <v>0</v>
      </c>
      <c r="U19" s="1653">
        <f>T19*J19</f>
        <v>0</v>
      </c>
      <c r="V19" s="1654">
        <f>T19+U19</f>
        <v>0</v>
      </c>
      <c r="W19" s="1651"/>
      <c r="X19" s="1652">
        <f>M19*$Y$5</f>
        <v>0</v>
      </c>
      <c r="Y19" s="1653">
        <f>X19*J19</f>
        <v>0</v>
      </c>
      <c r="Z19" s="1654">
        <f>X19+Y19</f>
        <v>0</v>
      </c>
      <c r="AA19" s="1243"/>
      <c r="AB19" s="309">
        <f>I19-(P19+T19+X19)</f>
        <v>0</v>
      </c>
      <c r="AC19" s="1261">
        <v>0</v>
      </c>
      <c r="AD19" s="227"/>
      <c r="AE19" s="310">
        <v>0</v>
      </c>
      <c r="AF19" s="311">
        <f>AE19*J19</f>
        <v>0</v>
      </c>
      <c r="AG19" s="312">
        <f>AF19+AE19</f>
        <v>0</v>
      </c>
      <c r="AH19" s="227"/>
      <c r="AI19" s="313">
        <f>I19-AC19</f>
        <v>0</v>
      </c>
      <c r="AJ19" s="314">
        <f>I19-AE19</f>
        <v>0</v>
      </c>
      <c r="AK19" s="227"/>
    </row>
    <row r="20" spans="1:63" ht="15.95" customHeight="1" outlineLevel="3">
      <c r="A20" s="74"/>
      <c r="B20" s="70"/>
      <c r="C20" s="296"/>
      <c r="D20" s="62"/>
      <c r="E20" s="297" t="s">
        <v>56</v>
      </c>
      <c r="F20" s="89" t="s">
        <v>57</v>
      </c>
      <c r="G20" s="75"/>
      <c r="H20" s="65"/>
      <c r="I20" s="1336"/>
      <c r="J20" s="1204">
        <f>TVAN</f>
        <v>8.5000000000000006E-2</v>
      </c>
      <c r="K20" s="1325">
        <f>I20*J20</f>
        <v>0</v>
      </c>
      <c r="L20" s="1205">
        <f>I20+K20</f>
        <v>0</v>
      </c>
      <c r="M20" s="1221">
        <f>I20/$G$5</f>
        <v>0</v>
      </c>
      <c r="N20" s="1222">
        <f>I20/$G$2</f>
        <v>0</v>
      </c>
      <c r="O20" s="1189"/>
      <c r="P20" s="1523">
        <f>M20*$Q$5</f>
        <v>0</v>
      </c>
      <c r="Q20" s="1518">
        <f>P20*J20</f>
        <v>0</v>
      </c>
      <c r="R20" s="1517">
        <f>P20+Q20</f>
        <v>0</v>
      </c>
      <c r="S20" s="1189"/>
      <c r="T20" s="1655">
        <f>M20*$U$5</f>
        <v>0</v>
      </c>
      <c r="U20" s="1656">
        <f>T20*J20</f>
        <v>0</v>
      </c>
      <c r="V20" s="1657">
        <f>T20+U20</f>
        <v>0</v>
      </c>
      <c r="W20" s="1651"/>
      <c r="X20" s="1655">
        <f>M20*$Y$5</f>
        <v>0</v>
      </c>
      <c r="Y20" s="1656">
        <f>X20*J20</f>
        <v>0</v>
      </c>
      <c r="Z20" s="1657">
        <f>X20+Y20</f>
        <v>0</v>
      </c>
      <c r="AA20" s="1243"/>
      <c r="AB20" s="315">
        <f>I20-(P20+T20+X20)</f>
        <v>0</v>
      </c>
      <c r="AC20" s="1262">
        <v>0</v>
      </c>
      <c r="AD20" s="227"/>
      <c r="AE20" s="316">
        <v>0</v>
      </c>
      <c r="AF20" s="317">
        <f>AE20*J20</f>
        <v>0</v>
      </c>
      <c r="AG20" s="318">
        <f>AF20+AE20</f>
        <v>0</v>
      </c>
      <c r="AH20" s="227"/>
      <c r="AI20" s="319">
        <f>I20-AC20</f>
        <v>0</v>
      </c>
      <c r="AJ20" s="320">
        <f>I20-AE20</f>
        <v>0</v>
      </c>
      <c r="AK20" s="227"/>
    </row>
    <row r="21" spans="1:63" s="1383" customFormat="1" ht="15.95" customHeight="1" outlineLevel="2">
      <c r="A21" s="1377" t="s">
        <v>58</v>
      </c>
      <c r="B21" s="1377" t="s">
        <v>59</v>
      </c>
      <c r="C21" s="296"/>
      <c r="D21" s="1385" t="s">
        <v>314</v>
      </c>
      <c r="E21" s="297"/>
      <c r="F21" s="2181" t="s">
        <v>886</v>
      </c>
      <c r="G21" s="1379"/>
      <c r="H21" s="1386"/>
      <c r="I21" s="1865">
        <f>SUM(I22:I23)</f>
        <v>0</v>
      </c>
      <c r="J21" s="1387"/>
      <c r="K21" s="298">
        <f>SUM(K22:K23)</f>
        <v>0</v>
      </c>
      <c r="L21" s="1380">
        <f>SUM(L22:L23)</f>
        <v>0</v>
      </c>
      <c r="M21" s="1392">
        <f>SUM(M22:M23)</f>
        <v>0</v>
      </c>
      <c r="N21" s="1393">
        <f>SUM(N22:N23)</f>
        <v>0</v>
      </c>
      <c r="O21" s="227"/>
      <c r="P21" s="1506">
        <f>SUM(P22:P23)</f>
        <v>0</v>
      </c>
      <c r="Q21" s="1520">
        <f>SUM(Q22:Q23)</f>
        <v>0</v>
      </c>
      <c r="R21" s="1508">
        <f>SUM(R22:R23)</f>
        <v>0</v>
      </c>
      <c r="S21" s="1216"/>
      <c r="T21" s="1643">
        <f>SUM(T22:T23)</f>
        <v>0</v>
      </c>
      <c r="U21" s="1644">
        <f>SUM(U22:U23)</f>
        <v>0</v>
      </c>
      <c r="V21" s="1645">
        <f>SUM(V22:V23)</f>
        <v>0</v>
      </c>
      <c r="W21" s="1646"/>
      <c r="X21" s="1647">
        <f>SUM(X22:X23)</f>
        <v>0</v>
      </c>
      <c r="Y21" s="1644">
        <f>SUM(Y22:Y23)</f>
        <v>0</v>
      </c>
      <c r="Z21" s="1645">
        <f>SUM(Z22:Z23)</f>
        <v>0</v>
      </c>
      <c r="AA21" s="1249"/>
      <c r="AB21" s="432">
        <f>SUM(AB22:AB23)</f>
        <v>0</v>
      </c>
      <c r="AC21" s="1388">
        <f>SUM(AC22:AC23)</f>
        <v>0</v>
      </c>
      <c r="AD21" s="227"/>
      <c r="AE21" s="1394">
        <f>SUM(AE22:AE23)</f>
        <v>0</v>
      </c>
      <c r="AF21" s="1390">
        <f>SUM(AF22:AF23)</f>
        <v>0</v>
      </c>
      <c r="AG21" s="1388">
        <f>SUM(AG22:AG23)</f>
        <v>0</v>
      </c>
      <c r="AH21" s="227"/>
      <c r="AI21" s="1394">
        <f>SUM(AI22:AI23)</f>
        <v>0</v>
      </c>
      <c r="AJ21" s="1390">
        <f>SUM(AJ22:AJ23)</f>
        <v>0</v>
      </c>
      <c r="AK21" s="227"/>
      <c r="AL21" s="1391"/>
      <c r="AM21" s="1391"/>
      <c r="AN21" s="1391"/>
      <c r="AO21" s="1391"/>
      <c r="AP21" s="1391"/>
      <c r="AQ21" s="1391"/>
      <c r="AR21" s="1391"/>
      <c r="AS21" s="1391"/>
      <c r="AT21" s="1391"/>
      <c r="AU21" s="1391"/>
      <c r="AV21" s="1391"/>
      <c r="AW21" s="649"/>
      <c r="AX21" s="649"/>
      <c r="AY21" s="649"/>
      <c r="AZ21" s="649"/>
      <c r="BA21" s="649"/>
      <c r="BB21" s="649"/>
      <c r="BC21" s="649"/>
      <c r="BD21" s="649"/>
      <c r="BE21" s="649"/>
      <c r="BF21" s="649"/>
      <c r="BG21" s="649"/>
      <c r="BH21" s="649"/>
      <c r="BI21" s="649"/>
      <c r="BJ21" s="649"/>
      <c r="BK21" s="649"/>
    </row>
    <row r="22" spans="1:63" ht="15.95" customHeight="1" outlineLevel="3">
      <c r="A22" s="84"/>
      <c r="B22" s="70"/>
      <c r="C22" s="296"/>
      <c r="D22" s="62"/>
      <c r="E22" s="297" t="s">
        <v>60</v>
      </c>
      <c r="F22" s="89" t="s">
        <v>61</v>
      </c>
      <c r="G22" s="75"/>
      <c r="H22" s="65"/>
      <c r="I22" s="3218"/>
      <c r="J22" s="1214">
        <f>TVAN</f>
        <v>8.5000000000000006E-2</v>
      </c>
      <c r="K22" s="1327">
        <f>I22*J22</f>
        <v>0</v>
      </c>
      <c r="L22" s="1215">
        <f>I22+K22</f>
        <v>0</v>
      </c>
      <c r="M22" s="1194">
        <f>I22/$G$5</f>
        <v>0</v>
      </c>
      <c r="N22" s="1195">
        <f>I22/$G$2</f>
        <v>0</v>
      </c>
      <c r="O22" s="1189"/>
      <c r="P22" s="1509">
        <f>M22*$Q$5</f>
        <v>0</v>
      </c>
      <c r="Q22" s="1510">
        <f>P22*J22</f>
        <v>0</v>
      </c>
      <c r="R22" s="1511">
        <f>P22+Q22</f>
        <v>0</v>
      </c>
      <c r="S22" s="1189"/>
      <c r="T22" s="1648">
        <f>M22*$U$5</f>
        <v>0</v>
      </c>
      <c r="U22" s="1649">
        <f>T22*J22</f>
        <v>0</v>
      </c>
      <c r="V22" s="1650">
        <f>T22+U22</f>
        <v>0</v>
      </c>
      <c r="W22" s="1651"/>
      <c r="X22" s="1648">
        <f>M22*$Y$5</f>
        <v>0</v>
      </c>
      <c r="Y22" s="1649">
        <f>X22*J22</f>
        <v>0</v>
      </c>
      <c r="Z22" s="1650">
        <f>X22+Y22</f>
        <v>0</v>
      </c>
      <c r="AA22" s="1243"/>
      <c r="AB22" s="303">
        <f>I22-(P22+T22+X22)</f>
        <v>0</v>
      </c>
      <c r="AC22" s="1265">
        <v>0</v>
      </c>
      <c r="AD22" s="227"/>
      <c r="AE22" s="304">
        <v>0</v>
      </c>
      <c r="AF22" s="305">
        <f>AE22*J22</f>
        <v>0</v>
      </c>
      <c r="AG22" s="306">
        <f>AF22+AE22</f>
        <v>0</v>
      </c>
      <c r="AH22" s="227"/>
      <c r="AI22" s="307">
        <f>I22-AC22</f>
        <v>0</v>
      </c>
      <c r="AJ22" s="326">
        <f>I22-AE22</f>
        <v>0</v>
      </c>
      <c r="AK22" s="227"/>
    </row>
    <row r="23" spans="1:63" ht="15.75" customHeight="1" outlineLevel="3">
      <c r="A23" s="84"/>
      <c r="B23" s="78"/>
      <c r="C23" s="296"/>
      <c r="D23" s="79"/>
      <c r="E23" s="325" t="s">
        <v>62</v>
      </c>
      <c r="F23" s="89" t="s">
        <v>315</v>
      </c>
      <c r="G23" s="75"/>
      <c r="H23" s="65"/>
      <c r="I23" s="1324"/>
      <c r="J23" s="1204">
        <f>TVAN</f>
        <v>8.5000000000000006E-2</v>
      </c>
      <c r="K23" s="1325">
        <f>I23*J23</f>
        <v>0</v>
      </c>
      <c r="L23" s="1205">
        <f>I23+K23</f>
        <v>0</v>
      </c>
      <c r="M23" s="1221">
        <f>I23/$G$5</f>
        <v>0</v>
      </c>
      <c r="N23" s="1222">
        <f>I23/$G$2</f>
        <v>0</v>
      </c>
      <c r="O23" s="1189"/>
      <c r="P23" s="1515">
        <f>M23*$Q$5</f>
        <v>0</v>
      </c>
      <c r="Q23" s="1516">
        <f>P23*J23</f>
        <v>0</v>
      </c>
      <c r="R23" s="1517">
        <f>P23+Q23</f>
        <v>0</v>
      </c>
      <c r="S23" s="1189"/>
      <c r="T23" s="1655">
        <f>M23*$U$5</f>
        <v>0</v>
      </c>
      <c r="U23" s="1656">
        <f>T23*J23</f>
        <v>0</v>
      </c>
      <c r="V23" s="1657">
        <f>T23+U23</f>
        <v>0</v>
      </c>
      <c r="W23" s="1651"/>
      <c r="X23" s="1655">
        <f>M23*$Y$5</f>
        <v>0</v>
      </c>
      <c r="Y23" s="1656">
        <f>X23*J23</f>
        <v>0</v>
      </c>
      <c r="Z23" s="1657">
        <f>X23+Y23</f>
        <v>0</v>
      </c>
      <c r="AA23" s="1243"/>
      <c r="AB23" s="315">
        <f>I23-(P23+T23+X23)</f>
        <v>0</v>
      </c>
      <c r="AC23" s="1262">
        <v>0</v>
      </c>
      <c r="AD23" s="227"/>
      <c r="AE23" s="316">
        <v>0</v>
      </c>
      <c r="AF23" s="317">
        <f>AE23*J23</f>
        <v>0</v>
      </c>
      <c r="AG23" s="318">
        <f>AF23+AE23</f>
        <v>0</v>
      </c>
      <c r="AH23" s="227"/>
      <c r="AI23" s="313">
        <f>I23-AC23</f>
        <v>0</v>
      </c>
      <c r="AJ23" s="314">
        <f>I23-AE23</f>
        <v>0</v>
      </c>
      <c r="AK23" s="227"/>
    </row>
    <row r="24" spans="1:63" s="1383" customFormat="1" ht="15.75" customHeight="1" outlineLevel="2">
      <c r="A24" s="1377" t="s">
        <v>63</v>
      </c>
      <c r="B24" s="1377" t="s">
        <v>64</v>
      </c>
      <c r="C24" s="296"/>
      <c r="D24" s="1385" t="s">
        <v>316</v>
      </c>
      <c r="E24" s="297"/>
      <c r="F24" s="1378" t="s">
        <v>304</v>
      </c>
      <c r="G24" s="1379"/>
      <c r="H24" s="1386"/>
      <c r="I24" s="659">
        <f>SUM(I25:I26)</f>
        <v>0</v>
      </c>
      <c r="J24" s="1387"/>
      <c r="K24" s="298">
        <f>SUM(K25:K26)</f>
        <v>0</v>
      </c>
      <c r="L24" s="1380">
        <f>SUM(L25:L26)</f>
        <v>0</v>
      </c>
      <c r="M24" s="1392">
        <f>SUM(M25:M26)</f>
        <v>0</v>
      </c>
      <c r="N24" s="1393">
        <f>SUM(N25:N26)</f>
        <v>0</v>
      </c>
      <c r="O24" s="227"/>
      <c r="P24" s="1506">
        <f>SUM(P25:P26)</f>
        <v>0</v>
      </c>
      <c r="Q24" s="1520">
        <f>SUM(Q25:Q26)</f>
        <v>0</v>
      </c>
      <c r="R24" s="1508">
        <f>SUM(R25:R26)</f>
        <v>0</v>
      </c>
      <c r="S24" s="1216"/>
      <c r="T24" s="1643">
        <f>SUM(T25:T26)</f>
        <v>0</v>
      </c>
      <c r="U24" s="1644">
        <f>SUM(U25:U26)</f>
        <v>0</v>
      </c>
      <c r="V24" s="1645">
        <f>SUM(V25:V26)</f>
        <v>0</v>
      </c>
      <c r="W24" s="1646"/>
      <c r="X24" s="1647">
        <f>SUM(X25:X26)</f>
        <v>0</v>
      </c>
      <c r="Y24" s="1644">
        <f>SUM(Y25:Y26)</f>
        <v>0</v>
      </c>
      <c r="Z24" s="1645">
        <f>SUM(Z25:Z26)</f>
        <v>0</v>
      </c>
      <c r="AA24" s="1249"/>
      <c r="AB24" s="432">
        <f>SUM(AB25:AB26)</f>
        <v>0</v>
      </c>
      <c r="AC24" s="1388">
        <f>SUM(AC25:AC26)</f>
        <v>0</v>
      </c>
      <c r="AD24" s="227"/>
      <c r="AE24" s="1394">
        <f>SUM(AE25:AE26)</f>
        <v>0</v>
      </c>
      <c r="AF24" s="1390">
        <f>SUM(AF25:AF26)</f>
        <v>0</v>
      </c>
      <c r="AG24" s="1388">
        <f>SUM(AG25:AG26)</f>
        <v>0</v>
      </c>
      <c r="AH24" s="227"/>
      <c r="AI24" s="1395">
        <f>SUM(AI25:AI26)</f>
        <v>0</v>
      </c>
      <c r="AJ24" s="1396">
        <f>SUM(AJ25:AJ26)</f>
        <v>0</v>
      </c>
      <c r="AK24" s="227"/>
      <c r="AL24" s="1391"/>
      <c r="AM24" s="1391"/>
      <c r="AN24" s="1391"/>
      <c r="AO24" s="1391"/>
      <c r="AP24" s="1391"/>
      <c r="AQ24" s="1391"/>
      <c r="AR24" s="1391"/>
      <c r="AS24" s="1391"/>
      <c r="AT24" s="1391"/>
      <c r="AU24" s="1391"/>
      <c r="AV24" s="1391"/>
      <c r="AW24" s="649"/>
      <c r="AX24" s="649"/>
      <c r="AY24" s="649"/>
      <c r="AZ24" s="649"/>
      <c r="BA24" s="649"/>
      <c r="BB24" s="649"/>
      <c r="BC24" s="649"/>
      <c r="BD24" s="649"/>
      <c r="BE24" s="649"/>
      <c r="BF24" s="649"/>
      <c r="BG24" s="649"/>
      <c r="BH24" s="649"/>
      <c r="BI24" s="649"/>
      <c r="BJ24" s="649"/>
      <c r="BK24" s="649"/>
    </row>
    <row r="25" spans="1:63" ht="15.95" customHeight="1" outlineLevel="3">
      <c r="A25" s="84"/>
      <c r="B25" s="61"/>
      <c r="C25" s="296"/>
      <c r="D25" s="62"/>
      <c r="E25" s="297" t="s">
        <v>65</v>
      </c>
      <c r="F25" s="89" t="s">
        <v>317</v>
      </c>
      <c r="G25" s="75"/>
      <c r="H25" s="2037" t="s">
        <v>1008</v>
      </c>
      <c r="I25" s="1326"/>
      <c r="J25" s="1214">
        <f>TVAN</f>
        <v>8.5000000000000006E-2</v>
      </c>
      <c r="K25" s="1327">
        <f>I25*J25</f>
        <v>0</v>
      </c>
      <c r="L25" s="1215">
        <f>I25+K25</f>
        <v>0</v>
      </c>
      <c r="M25" s="1194">
        <f>I25/$G$5</f>
        <v>0</v>
      </c>
      <c r="N25" s="1195">
        <f>I25/$G$2</f>
        <v>0</v>
      </c>
      <c r="O25" s="1189"/>
      <c r="P25" s="1509">
        <f>M25*$Q$5</f>
        <v>0</v>
      </c>
      <c r="Q25" s="1510">
        <f>P25*J25</f>
        <v>0</v>
      </c>
      <c r="R25" s="1511">
        <f>P25+Q25</f>
        <v>0</v>
      </c>
      <c r="S25" s="1189"/>
      <c r="T25" s="1648">
        <f>M25*$U$5</f>
        <v>0</v>
      </c>
      <c r="U25" s="1649">
        <f>T25*J25</f>
        <v>0</v>
      </c>
      <c r="V25" s="1650">
        <f>T25+U25</f>
        <v>0</v>
      </c>
      <c r="W25" s="1651"/>
      <c r="X25" s="1648">
        <f>M25*$Y$5</f>
        <v>0</v>
      </c>
      <c r="Y25" s="1649">
        <f>X25*J25</f>
        <v>0</v>
      </c>
      <c r="Z25" s="1650">
        <f>X25+Y25</f>
        <v>0</v>
      </c>
      <c r="AA25" s="1243"/>
      <c r="AB25" s="303">
        <f>I25-(P25+T25+X25)</f>
        <v>0</v>
      </c>
      <c r="AC25" s="1260"/>
      <c r="AD25" s="227"/>
      <c r="AE25" s="66"/>
      <c r="AF25" s="305">
        <f>AE25*J25</f>
        <v>0</v>
      </c>
      <c r="AG25" s="327">
        <f>AF25+AE25</f>
        <v>0</v>
      </c>
      <c r="AH25" s="227"/>
      <c r="AI25" s="313">
        <f>I25-AC25</f>
        <v>0</v>
      </c>
      <c r="AJ25" s="314">
        <f>I25-AE25</f>
        <v>0</v>
      </c>
      <c r="AK25" s="227"/>
    </row>
    <row r="26" spans="1:63" ht="15.95" customHeight="1" outlineLevel="3">
      <c r="A26" s="84"/>
      <c r="B26" s="70"/>
      <c r="C26" s="296"/>
      <c r="D26" s="79"/>
      <c r="E26" s="325" t="s">
        <v>68</v>
      </c>
      <c r="F26" s="89" t="s">
        <v>303</v>
      </c>
      <c r="G26" s="75"/>
      <c r="H26" s="65"/>
      <c r="I26" s="1324"/>
      <c r="J26" s="1204">
        <f>TVA0</f>
        <v>0</v>
      </c>
      <c r="K26" s="1325">
        <f>I26*J26</f>
        <v>0</v>
      </c>
      <c r="L26" s="1205">
        <f>I26+K26</f>
        <v>0</v>
      </c>
      <c r="M26" s="1221">
        <f>I26/$G$5</f>
        <v>0</v>
      </c>
      <c r="N26" s="1222">
        <f>I26/$G$2</f>
        <v>0</v>
      </c>
      <c r="O26" s="1189"/>
      <c r="P26" s="1515">
        <f>M26*$Q$5</f>
        <v>0</v>
      </c>
      <c r="Q26" s="1516">
        <f>P26*J26</f>
        <v>0</v>
      </c>
      <c r="R26" s="1517">
        <f>P26+Q26</f>
        <v>0</v>
      </c>
      <c r="S26" s="1189"/>
      <c r="T26" s="1655">
        <f>M26*$U$5</f>
        <v>0</v>
      </c>
      <c r="U26" s="1656">
        <f>T26*J26</f>
        <v>0</v>
      </c>
      <c r="V26" s="1657">
        <f>T26+U26</f>
        <v>0</v>
      </c>
      <c r="W26" s="1651"/>
      <c r="X26" s="1655">
        <f>M26*$Y$5</f>
        <v>0</v>
      </c>
      <c r="Y26" s="1656">
        <f>X26*J26</f>
        <v>0</v>
      </c>
      <c r="Z26" s="1657">
        <f>X26+Y26</f>
        <v>0</v>
      </c>
      <c r="AA26" s="1243"/>
      <c r="AB26" s="315">
        <f>I26-(P26+T26+X26)</f>
        <v>0</v>
      </c>
      <c r="AC26" s="1264"/>
      <c r="AD26" s="227"/>
      <c r="AE26" s="71"/>
      <c r="AF26" s="317">
        <f>AE26*J26</f>
        <v>0</v>
      </c>
      <c r="AG26" s="328">
        <f>AF26+AE26</f>
        <v>0</v>
      </c>
      <c r="AH26" s="227"/>
      <c r="AI26" s="313">
        <f>I26-AC26</f>
        <v>0</v>
      </c>
      <c r="AJ26" s="329">
        <f>I26-AE26</f>
        <v>0</v>
      </c>
      <c r="AK26" s="227"/>
    </row>
    <row r="27" spans="1:63" s="1383" customFormat="1" ht="15.95" customHeight="1" outlineLevel="2">
      <c r="A27" s="1377" t="s">
        <v>318</v>
      </c>
      <c r="B27" s="1377" t="s">
        <v>319</v>
      </c>
      <c r="C27" s="296"/>
      <c r="D27" s="1385" t="s">
        <v>320</v>
      </c>
      <c r="E27" s="297"/>
      <c r="F27" s="1378" t="s">
        <v>66</v>
      </c>
      <c r="G27" s="1379"/>
      <c r="H27" s="1386"/>
      <c r="I27" s="659">
        <f>SUM(I28:I29)</f>
        <v>0</v>
      </c>
      <c r="J27" s="1387"/>
      <c r="K27" s="298">
        <f>SUM(K28:K29)</f>
        <v>0</v>
      </c>
      <c r="L27" s="1380">
        <f>SUM(L28:L29)</f>
        <v>0</v>
      </c>
      <c r="M27" s="1392">
        <f>SUM(M28:M29)</f>
        <v>0</v>
      </c>
      <c r="N27" s="1393">
        <f>SUM(N28:N29)</f>
        <v>0</v>
      </c>
      <c r="O27" s="227"/>
      <c r="P27" s="1519">
        <f>SUM(P28:P29)</f>
        <v>0</v>
      </c>
      <c r="Q27" s="1520">
        <f>SUM(Q28:Q29)</f>
        <v>0</v>
      </c>
      <c r="R27" s="1508">
        <f>SUM(R28:R29)</f>
        <v>0</v>
      </c>
      <c r="S27" s="1216"/>
      <c r="T27" s="1647">
        <f>SUM(T28:T29)</f>
        <v>0</v>
      </c>
      <c r="U27" s="1644">
        <f>SUM(U28:U29)</f>
        <v>0</v>
      </c>
      <c r="V27" s="1645">
        <f>SUM(V28:V29)</f>
        <v>0</v>
      </c>
      <c r="W27" s="1646"/>
      <c r="X27" s="1647">
        <f>SUM(X28:X29)</f>
        <v>0</v>
      </c>
      <c r="Y27" s="1644">
        <f>SUM(Y28:Y29)</f>
        <v>0</v>
      </c>
      <c r="Z27" s="1645">
        <f>SUM(Z28:Z29)</f>
        <v>0</v>
      </c>
      <c r="AA27" s="1249"/>
      <c r="AB27" s="432">
        <f>SUM(AB28:AB29)</f>
        <v>0</v>
      </c>
      <c r="AC27" s="417">
        <f>SUM(AC28:AC29)</f>
        <v>0</v>
      </c>
      <c r="AD27" s="227"/>
      <c r="AE27" s="1397">
        <f t="shared" ref="AE27:AG27" si="0">SUM(AE28:AE29)</f>
        <v>0</v>
      </c>
      <c r="AF27" s="1398">
        <f t="shared" si="0"/>
        <v>0</v>
      </c>
      <c r="AG27" s="1399">
        <f t="shared" si="0"/>
        <v>0</v>
      </c>
      <c r="AH27" s="227"/>
      <c r="AI27" s="1344">
        <f t="shared" ref="AI27:AJ27" si="1">SUM(AI28:AI29)</f>
        <v>0</v>
      </c>
      <c r="AJ27" s="1400">
        <f t="shared" si="1"/>
        <v>0</v>
      </c>
      <c r="AK27" s="227"/>
      <c r="AL27" s="1391"/>
      <c r="AM27" s="1391"/>
      <c r="AN27" s="1391"/>
      <c r="AO27" s="1391"/>
      <c r="AP27" s="1391"/>
      <c r="AQ27" s="1391"/>
      <c r="AR27" s="1391"/>
      <c r="AS27" s="1391"/>
      <c r="AT27" s="1391"/>
      <c r="AU27" s="1391"/>
      <c r="AV27" s="1391"/>
      <c r="AW27" s="649"/>
      <c r="AX27" s="649"/>
      <c r="AY27" s="649"/>
      <c r="AZ27" s="649"/>
      <c r="BA27" s="649"/>
      <c r="BB27" s="649"/>
      <c r="BC27" s="649"/>
      <c r="BD27" s="649"/>
      <c r="BE27" s="649"/>
      <c r="BF27" s="649"/>
      <c r="BG27" s="649"/>
      <c r="BH27" s="649"/>
      <c r="BI27" s="649"/>
      <c r="BJ27" s="649"/>
      <c r="BK27" s="649"/>
    </row>
    <row r="28" spans="1:63" ht="15.95" customHeight="1" outlineLevel="3">
      <c r="A28" s="84"/>
      <c r="B28" s="61"/>
      <c r="C28" s="296"/>
      <c r="D28" s="62"/>
      <c r="E28" s="297" t="s">
        <v>321</v>
      </c>
      <c r="F28" s="89" t="s">
        <v>322</v>
      </c>
      <c r="G28" s="75"/>
      <c r="H28" s="65"/>
      <c r="I28" s="1326"/>
      <c r="J28" s="1214">
        <f>TVA0</f>
        <v>0</v>
      </c>
      <c r="K28" s="1327">
        <f>I28*J28</f>
        <v>0</v>
      </c>
      <c r="L28" s="1215">
        <f>I28+K28</f>
        <v>0</v>
      </c>
      <c r="M28" s="1194">
        <f>I28/$G$5</f>
        <v>0</v>
      </c>
      <c r="N28" s="1195">
        <f>I28/$G$2</f>
        <v>0</v>
      </c>
      <c r="O28" s="1189"/>
      <c r="P28" s="1521">
        <f>M28*$Q$5</f>
        <v>0</v>
      </c>
      <c r="Q28" s="1510">
        <f>P28*J28</f>
        <v>0</v>
      </c>
      <c r="R28" s="1511">
        <f>P28+Q28</f>
        <v>0</v>
      </c>
      <c r="S28" s="1189"/>
      <c r="T28" s="1648">
        <f>M28*$U$5</f>
        <v>0</v>
      </c>
      <c r="U28" s="1649">
        <f>T28*J28</f>
        <v>0</v>
      </c>
      <c r="V28" s="1650">
        <f>T28+U28</f>
        <v>0</v>
      </c>
      <c r="W28" s="1651"/>
      <c r="X28" s="1648">
        <f>M28*$Y$5</f>
        <v>0</v>
      </c>
      <c r="Y28" s="1649">
        <f>X28*J28</f>
        <v>0</v>
      </c>
      <c r="Z28" s="1650">
        <f>X28+Y28</f>
        <v>0</v>
      </c>
      <c r="AA28" s="1243"/>
      <c r="AB28" s="303">
        <f>I28-(P28+T28+X28)</f>
        <v>0</v>
      </c>
      <c r="AC28" s="1261">
        <v>0</v>
      </c>
      <c r="AD28" s="227"/>
      <c r="AE28" s="330">
        <v>0</v>
      </c>
      <c r="AF28" s="311">
        <f>AE28*J28</f>
        <v>0</v>
      </c>
      <c r="AG28" s="331">
        <f>AF28+AE28</f>
        <v>0</v>
      </c>
      <c r="AH28" s="227"/>
      <c r="AI28" s="332">
        <f>I28-AC28</f>
        <v>0</v>
      </c>
      <c r="AJ28" s="326">
        <f>I28-AE28</f>
        <v>0</v>
      </c>
      <c r="AK28" s="227"/>
    </row>
    <row r="29" spans="1:63" ht="15.95" customHeight="1" outlineLevel="3">
      <c r="A29" s="84"/>
      <c r="B29" s="70"/>
      <c r="C29" s="296"/>
      <c r="D29" s="79"/>
      <c r="E29" s="325" t="s">
        <v>323</v>
      </c>
      <c r="F29" s="89" t="s">
        <v>324</v>
      </c>
      <c r="G29" s="75"/>
      <c r="H29" s="65"/>
      <c r="I29" s="1324"/>
      <c r="J29" s="1204">
        <f>TVA0</f>
        <v>0</v>
      </c>
      <c r="K29" s="1325">
        <f>I29*J29</f>
        <v>0</v>
      </c>
      <c r="L29" s="1205">
        <f>I29+K29</f>
        <v>0</v>
      </c>
      <c r="M29" s="1221">
        <f>I29/$G$5</f>
        <v>0</v>
      </c>
      <c r="N29" s="1222">
        <f>I29/$G$2</f>
        <v>0</v>
      </c>
      <c r="O29" s="1189"/>
      <c r="P29" s="1523">
        <f>M29*$Q$5</f>
        <v>0</v>
      </c>
      <c r="Q29" s="1516">
        <f>P29*J29</f>
        <v>0</v>
      </c>
      <c r="R29" s="1517">
        <f>P29+Q29</f>
        <v>0</v>
      </c>
      <c r="S29" s="1189"/>
      <c r="T29" s="1655">
        <f>M29*$U$5</f>
        <v>0</v>
      </c>
      <c r="U29" s="1656">
        <f>T29*J29</f>
        <v>0</v>
      </c>
      <c r="V29" s="1657">
        <f>T29+U29</f>
        <v>0</v>
      </c>
      <c r="W29" s="1651"/>
      <c r="X29" s="1655">
        <f>M29*$Y$5</f>
        <v>0</v>
      </c>
      <c r="Y29" s="1656">
        <f>X29*J29</f>
        <v>0</v>
      </c>
      <c r="Z29" s="1657">
        <f>X29+Y29</f>
        <v>0</v>
      </c>
      <c r="AA29" s="1243"/>
      <c r="AB29" s="315">
        <f>I29-(P29+T29+X29)</f>
        <v>0</v>
      </c>
      <c r="AC29" s="1262">
        <v>0</v>
      </c>
      <c r="AD29" s="227"/>
      <c r="AE29" s="333">
        <v>0</v>
      </c>
      <c r="AF29" s="317">
        <f>AE29*J29</f>
        <v>0</v>
      </c>
      <c r="AG29" s="334">
        <f>AF29+AE29</f>
        <v>0</v>
      </c>
      <c r="AH29" s="227"/>
      <c r="AI29" s="319">
        <f>I29-AC29</f>
        <v>0</v>
      </c>
      <c r="AJ29" s="320">
        <f>I29-AE29</f>
        <v>0</v>
      </c>
      <c r="AK29" s="227"/>
    </row>
    <row r="30" spans="1:63" s="1383" customFormat="1" ht="15.95" customHeight="1" outlineLevel="2">
      <c r="A30" s="1377" t="s">
        <v>325</v>
      </c>
      <c r="B30" s="1377" t="s">
        <v>326</v>
      </c>
      <c r="C30" s="296"/>
      <c r="D30" s="1385" t="s">
        <v>327</v>
      </c>
      <c r="E30" s="297"/>
      <c r="F30" s="1378" t="s">
        <v>328</v>
      </c>
      <c r="G30" s="1379"/>
      <c r="H30" s="1386"/>
      <c r="I30" s="660">
        <f>SUM(I31:I35)</f>
        <v>64050</v>
      </c>
      <c r="J30" s="1387"/>
      <c r="K30" s="298">
        <f>SUM(K31:K35)</f>
        <v>0</v>
      </c>
      <c r="L30" s="1380">
        <f>SUM(L31:L35)</f>
        <v>64050</v>
      </c>
      <c r="M30" s="1392">
        <f>SUM(M31:M35)</f>
        <v>12.206975414522585</v>
      </c>
      <c r="N30" s="1393">
        <f>SUM(N31:N35)</f>
        <v>915</v>
      </c>
      <c r="O30" s="227"/>
      <c r="P30" s="1519">
        <f>SUM(P31:P35)</f>
        <v>32025.000000000004</v>
      </c>
      <c r="Q30" s="1507">
        <f>SUM(Q31:Q35)</f>
        <v>0</v>
      </c>
      <c r="R30" s="1508">
        <f>SUM(R31:R35)</f>
        <v>32025.000000000004</v>
      </c>
      <c r="S30" s="1216"/>
      <c r="T30" s="1647">
        <f>SUM(T31:T35)</f>
        <v>32025.000000000004</v>
      </c>
      <c r="U30" s="1644">
        <f>SUM(U31:U35)</f>
        <v>0</v>
      </c>
      <c r="V30" s="1645">
        <f>SUM(V31:V35)</f>
        <v>32025.000000000004</v>
      </c>
      <c r="W30" s="1646"/>
      <c r="X30" s="1647">
        <f>SUM(X31:X35)</f>
        <v>0</v>
      </c>
      <c r="Y30" s="1644">
        <f>SUM(Y31:Y35)</f>
        <v>0</v>
      </c>
      <c r="Z30" s="1645">
        <f>SUM(Z31:Z35)</f>
        <v>0</v>
      </c>
      <c r="AA30" s="1249"/>
      <c r="AB30" s="432">
        <f>SUM(AB31:AB35)</f>
        <v>0</v>
      </c>
      <c r="AC30" s="1401">
        <f>SUM(AC31:AC35)</f>
        <v>0</v>
      </c>
      <c r="AD30" s="227"/>
      <c r="AE30" s="1402">
        <f t="shared" ref="AE30:AG30" si="2">SUM(AE31:AE35)</f>
        <v>0</v>
      </c>
      <c r="AF30" s="1403">
        <f t="shared" si="2"/>
        <v>0</v>
      </c>
      <c r="AG30" s="1404">
        <f t="shared" si="2"/>
        <v>0</v>
      </c>
      <c r="AH30" s="227"/>
      <c r="AI30" s="1402">
        <f t="shared" ref="AI30:AJ30" si="3">SUM(AI31:AI35)</f>
        <v>64050</v>
      </c>
      <c r="AJ30" s="1403">
        <f t="shared" si="3"/>
        <v>64050</v>
      </c>
      <c r="AK30" s="227"/>
      <c r="AL30" s="1391"/>
      <c r="AM30" s="1391"/>
      <c r="AN30" s="1391"/>
      <c r="AO30" s="1391"/>
      <c r="AP30" s="1391"/>
      <c r="AQ30" s="1391"/>
      <c r="AR30" s="1391"/>
      <c r="AS30" s="1391"/>
      <c r="AT30" s="1391"/>
      <c r="AU30" s="1391"/>
      <c r="AV30" s="1391"/>
      <c r="AW30" s="649"/>
      <c r="AX30" s="649"/>
      <c r="AY30" s="649"/>
      <c r="AZ30" s="649"/>
      <c r="BA30" s="649"/>
      <c r="BB30" s="649"/>
      <c r="BC30" s="649"/>
      <c r="BD30" s="649"/>
      <c r="BE30" s="649"/>
      <c r="BF30" s="649"/>
      <c r="BG30" s="649"/>
      <c r="BH30" s="649"/>
      <c r="BI30" s="649"/>
      <c r="BJ30" s="649"/>
      <c r="BK30" s="649"/>
    </row>
    <row r="31" spans="1:63" ht="15.95" customHeight="1" outlineLevel="3">
      <c r="A31" s="84"/>
      <c r="B31" s="70"/>
      <c r="C31" s="296"/>
      <c r="D31" s="79"/>
      <c r="E31" s="325" t="s">
        <v>329</v>
      </c>
      <c r="F31" s="63" t="s">
        <v>67</v>
      </c>
      <c r="G31" s="75"/>
      <c r="H31" s="65">
        <f>915</f>
        <v>915</v>
      </c>
      <c r="I31" s="1322">
        <f>H31*G2</f>
        <v>64050</v>
      </c>
      <c r="J31" s="1214">
        <f>TVA0</f>
        <v>0</v>
      </c>
      <c r="K31" s="1327">
        <f>I31*J31</f>
        <v>0</v>
      </c>
      <c r="L31" s="1215">
        <f>I31+K31</f>
        <v>64050</v>
      </c>
      <c r="M31" s="1194">
        <f>I31/$G$5</f>
        <v>12.206975414522585</v>
      </c>
      <c r="N31" s="1195">
        <f>I31/$G$2</f>
        <v>915</v>
      </c>
      <c r="O31" s="1328"/>
      <c r="P31" s="1521">
        <f>M31*$Q$5</f>
        <v>32025.000000000004</v>
      </c>
      <c r="Q31" s="1510">
        <f>P31*K31</f>
        <v>0</v>
      </c>
      <c r="R31" s="1511">
        <f>P31+Q31</f>
        <v>32025.000000000004</v>
      </c>
      <c r="S31" s="1329"/>
      <c r="T31" s="1648">
        <f>M31*$U$5</f>
        <v>32025.000000000004</v>
      </c>
      <c r="U31" s="1649">
        <f>T31*J31</f>
        <v>0</v>
      </c>
      <c r="V31" s="1650">
        <f>T31+U31</f>
        <v>32025.000000000004</v>
      </c>
      <c r="W31" s="1658"/>
      <c r="X31" s="1648">
        <f>M31*$Y$5</f>
        <v>0</v>
      </c>
      <c r="Y31" s="1649">
        <f>X31*J31</f>
        <v>0</v>
      </c>
      <c r="Z31" s="1650">
        <f>X31+Y31</f>
        <v>0</v>
      </c>
      <c r="AA31" s="1245"/>
      <c r="AB31" s="303">
        <f>I31-(P31+T31+X31)</f>
        <v>0</v>
      </c>
      <c r="AC31" s="1260"/>
      <c r="AD31" s="123"/>
      <c r="AE31" s="1232"/>
      <c r="AF31" s="305">
        <f>AE31*J31</f>
        <v>0</v>
      </c>
      <c r="AG31" s="338">
        <f>AF31+AE31</f>
        <v>0</v>
      </c>
      <c r="AH31" s="123"/>
      <c r="AI31" s="307">
        <f>I31-AC31</f>
        <v>64050</v>
      </c>
      <c r="AJ31" s="308">
        <f>I31-AE31</f>
        <v>64050</v>
      </c>
      <c r="AK31" s="227"/>
    </row>
    <row r="32" spans="1:63" ht="22.5" customHeight="1" outlineLevel="3">
      <c r="A32" s="84"/>
      <c r="B32" s="70"/>
      <c r="C32" s="296"/>
      <c r="D32" s="62"/>
      <c r="E32" s="325" t="s">
        <v>330</v>
      </c>
      <c r="F32" s="3225" t="s">
        <v>1005</v>
      </c>
      <c r="G32" s="3201" t="s">
        <v>1007</v>
      </c>
      <c r="H32" s="65">
        <v>701</v>
      </c>
      <c r="I32" s="1322">
        <f>(P32+T32)</f>
        <v>0</v>
      </c>
      <c r="J32" s="1181">
        <f>TVA0</f>
        <v>0</v>
      </c>
      <c r="K32" s="1323">
        <f>I32*J32</f>
        <v>0</v>
      </c>
      <c r="L32" s="1220">
        <f>I32+K32</f>
        <v>0</v>
      </c>
      <c r="M32" s="1221">
        <f>I32/($Q$5+$U$5)</f>
        <v>0</v>
      </c>
      <c r="N32" s="1222">
        <f>I32/$G$2</f>
        <v>0</v>
      </c>
      <c r="O32" s="1189"/>
      <c r="P32" s="1322">
        <f>(Q4*H32*(5%+0.4%))</f>
        <v>0</v>
      </c>
      <c r="Q32" s="1518">
        <f>P32*J32</f>
        <v>0</v>
      </c>
      <c r="R32" s="1514">
        <f>P32+Q32</f>
        <v>0</v>
      </c>
      <c r="S32" s="1189"/>
      <c r="T32" s="1652">
        <f>(U4*H32*(0.4%))</f>
        <v>0</v>
      </c>
      <c r="U32" s="1653">
        <f>T32*J32</f>
        <v>0</v>
      </c>
      <c r="V32" s="1654">
        <f>T32+U32</f>
        <v>0</v>
      </c>
      <c r="W32" s="1651"/>
      <c r="X32" s="1652">
        <v>0</v>
      </c>
      <c r="Y32" s="1653">
        <f>X32*J32</f>
        <v>0</v>
      </c>
      <c r="Z32" s="1654">
        <f>X32+Y32</f>
        <v>0</v>
      </c>
      <c r="AA32" s="1243"/>
      <c r="AB32" s="309">
        <f>I32-(P32+T32+X32)</f>
        <v>0</v>
      </c>
      <c r="AC32" s="1263"/>
      <c r="AD32" s="227"/>
      <c r="AE32" s="1234"/>
      <c r="AF32" s="311">
        <f>AE32*J32</f>
        <v>0</v>
      </c>
      <c r="AG32" s="338">
        <f>AF32+AE32</f>
        <v>0</v>
      </c>
      <c r="AH32" s="227"/>
      <c r="AI32" s="313">
        <f>I32-AC32</f>
        <v>0</v>
      </c>
      <c r="AJ32" s="314">
        <f>I32-AE32</f>
        <v>0</v>
      </c>
      <c r="AK32" s="227"/>
    </row>
    <row r="33" spans="1:83" ht="22.5" customHeight="1" outlineLevel="3">
      <c r="A33" s="84"/>
      <c r="B33" s="70"/>
      <c r="C33" s="296"/>
      <c r="D33" s="62"/>
      <c r="E33" s="325" t="s">
        <v>331</v>
      </c>
      <c r="F33" s="3225" t="s">
        <v>1039</v>
      </c>
      <c r="G33" s="3201"/>
      <c r="H33" s="65">
        <v>701</v>
      </c>
      <c r="I33" s="1322">
        <f>(P33+T33+X33)</f>
        <v>0</v>
      </c>
      <c r="J33" s="1181">
        <f>TVA0</f>
        <v>0</v>
      </c>
      <c r="K33" s="1323">
        <f>I33*J33</f>
        <v>0</v>
      </c>
      <c r="L33" s="1220">
        <f>I33+K33</f>
        <v>0</v>
      </c>
      <c r="M33" s="1221">
        <f>I33/($Q$5+$U$5)</f>
        <v>0</v>
      </c>
      <c r="N33" s="1222">
        <f>I33/$G$2</f>
        <v>0</v>
      </c>
      <c r="O33" s="1189"/>
      <c r="P33" s="1322">
        <f>IF(Q4=0,0,(H33/2*0.4)+((H33*0.4%))*(Q4-100))</f>
        <v>0</v>
      </c>
      <c r="Q33" s="1518">
        <f>P33*J33</f>
        <v>0</v>
      </c>
      <c r="R33" s="1514">
        <f>P33+Q33</f>
        <v>0</v>
      </c>
      <c r="S33" s="1189"/>
      <c r="T33" s="1652">
        <f>IF(U4=0,0,(H33/2*0.4)+((H33*0.4%))*(U4-100))</f>
        <v>0</v>
      </c>
      <c r="U33" s="1653">
        <f t="shared" ref="U33:U34" si="4">T33*J33</f>
        <v>0</v>
      </c>
      <c r="V33" s="1654">
        <f t="shared" ref="V33:V34" si="5">T33+U33</f>
        <v>0</v>
      </c>
      <c r="W33" s="1651"/>
      <c r="X33" s="1652">
        <f>IF(Y4=0,0,(H33/2*0.4)+((H33*0.4%))*(Y4-100))</f>
        <v>0</v>
      </c>
      <c r="Y33" s="1653">
        <f>X33*J33</f>
        <v>0</v>
      </c>
      <c r="Z33" s="1654">
        <f>X33+Y33</f>
        <v>0</v>
      </c>
      <c r="AA33" s="1243"/>
      <c r="AB33" s="309">
        <f>I33-(P33+T33+X33)</f>
        <v>0</v>
      </c>
      <c r="AC33" s="1263"/>
      <c r="AD33" s="227"/>
      <c r="AE33" s="1234"/>
      <c r="AF33" s="311">
        <f>AE33*J33</f>
        <v>0</v>
      </c>
      <c r="AG33" s="338">
        <f>AF33+AE33</f>
        <v>0</v>
      </c>
      <c r="AH33" s="227"/>
      <c r="AI33" s="313">
        <f>I33-AC33</f>
        <v>0</v>
      </c>
      <c r="AJ33" s="314">
        <f>I33-AE33</f>
        <v>0</v>
      </c>
      <c r="AK33" s="227"/>
    </row>
    <row r="34" spans="1:83" ht="15.95" customHeight="1" outlineLevel="3">
      <c r="A34" s="84"/>
      <c r="B34" s="70"/>
      <c r="C34" s="296"/>
      <c r="D34" s="62"/>
      <c r="E34" s="325" t="s">
        <v>330</v>
      </c>
      <c r="F34" s="3225" t="s">
        <v>1006</v>
      </c>
      <c r="G34" s="80"/>
      <c r="H34" s="65">
        <v>701</v>
      </c>
      <c r="I34" s="1330">
        <f>P34+T34+X34</f>
        <v>0</v>
      </c>
      <c r="J34" s="1181">
        <f>TVA0</f>
        <v>0</v>
      </c>
      <c r="K34" s="1323">
        <f>I34*J34</f>
        <v>0</v>
      </c>
      <c r="L34" s="1220">
        <f>I34+K34</f>
        <v>0</v>
      </c>
      <c r="M34" s="1221">
        <f>I34/($Q$5+$U$5)</f>
        <v>0</v>
      </c>
      <c r="N34" s="1222">
        <f>I34/$G$2</f>
        <v>0</v>
      </c>
      <c r="O34" s="1189"/>
      <c r="P34" s="1522">
        <v>0</v>
      </c>
      <c r="Q34" s="1518">
        <f>P34*J34</f>
        <v>0</v>
      </c>
      <c r="R34" s="1514">
        <f>P34+Q34</f>
        <v>0</v>
      </c>
      <c r="S34" s="1189"/>
      <c r="T34" s="1652">
        <v>0</v>
      </c>
      <c r="U34" s="1653">
        <f t="shared" si="4"/>
        <v>0</v>
      </c>
      <c r="V34" s="1654">
        <f t="shared" si="5"/>
        <v>0</v>
      </c>
      <c r="W34" s="1651"/>
      <c r="X34" s="1652">
        <f>H34*Y4*(5%+0.3%+1.4%)</f>
        <v>0</v>
      </c>
      <c r="Y34" s="1653">
        <f>X34*J34</f>
        <v>0</v>
      </c>
      <c r="Z34" s="1654">
        <f>X34+Y34</f>
        <v>0</v>
      </c>
      <c r="AA34" s="1243"/>
      <c r="AB34" s="309">
        <f>I34-(P34+T34+X34)</f>
        <v>0</v>
      </c>
      <c r="AC34" s="1263"/>
      <c r="AD34" s="227"/>
      <c r="AE34" s="1234"/>
      <c r="AF34" s="311">
        <f>AE34*J34</f>
        <v>0</v>
      </c>
      <c r="AG34" s="338">
        <f>AF34+AE34</f>
        <v>0</v>
      </c>
      <c r="AH34" s="227"/>
      <c r="AI34" s="313">
        <f>I34-AC34</f>
        <v>0</v>
      </c>
      <c r="AJ34" s="314">
        <f>I34-AE34</f>
        <v>0</v>
      </c>
      <c r="AK34" s="227"/>
    </row>
    <row r="35" spans="1:83" ht="15.95" customHeight="1" outlineLevel="3">
      <c r="A35" s="84"/>
      <c r="B35" s="70"/>
      <c r="C35" s="296"/>
      <c r="D35" s="62"/>
      <c r="E35" s="325" t="s">
        <v>331</v>
      </c>
      <c r="F35" s="89" t="s">
        <v>332</v>
      </c>
      <c r="G35" s="80"/>
      <c r="H35" s="11"/>
      <c r="I35" s="1324"/>
      <c r="J35" s="1204">
        <f>TVA0</f>
        <v>0</v>
      </c>
      <c r="K35" s="1325">
        <f>I35*J35</f>
        <v>0</v>
      </c>
      <c r="L35" s="1205">
        <f>I35+K35</f>
        <v>0</v>
      </c>
      <c r="M35" s="1206">
        <f>I35/$G$5</f>
        <v>0</v>
      </c>
      <c r="N35" s="1207">
        <f>I35/$G$2</f>
        <v>0</v>
      </c>
      <c r="O35" s="1189"/>
      <c r="P35" s="1523">
        <f>M35*$Q$5</f>
        <v>0</v>
      </c>
      <c r="Q35" s="1516">
        <f>P35*J35</f>
        <v>0</v>
      </c>
      <c r="R35" s="1517">
        <f>P35+Q35</f>
        <v>0</v>
      </c>
      <c r="S35" s="1189"/>
      <c r="T35" s="1655">
        <f>M35*$U$5</f>
        <v>0</v>
      </c>
      <c r="U35" s="1656">
        <f>T35*J35</f>
        <v>0</v>
      </c>
      <c r="V35" s="1657">
        <f>T35+U35</f>
        <v>0</v>
      </c>
      <c r="W35" s="1651"/>
      <c r="X35" s="1655">
        <f>M35*$Y$5</f>
        <v>0</v>
      </c>
      <c r="Y35" s="1656">
        <f>X35*J35</f>
        <v>0</v>
      </c>
      <c r="Z35" s="1657">
        <f>X35+Y35</f>
        <v>0</v>
      </c>
      <c r="AA35" s="1243"/>
      <c r="AB35" s="315">
        <f>I35-(P35+T35+X35)</f>
        <v>0</v>
      </c>
      <c r="AC35" s="1264"/>
      <c r="AD35" s="227"/>
      <c r="AE35" s="1196"/>
      <c r="AF35" s="317">
        <f>AE35*J35</f>
        <v>0</v>
      </c>
      <c r="AG35" s="328">
        <f>AF35+AE35</f>
        <v>0</v>
      </c>
      <c r="AH35" s="227"/>
      <c r="AI35" s="313">
        <f>I35-AC35</f>
        <v>0</v>
      </c>
      <c r="AJ35" s="320">
        <f>I35-AE35</f>
        <v>0</v>
      </c>
      <c r="AK35" s="227"/>
    </row>
    <row r="36" spans="1:83" ht="12.75" customHeight="1" outlineLevel="1">
      <c r="A36" s="74"/>
      <c r="B36" s="109"/>
      <c r="C36" s="339"/>
      <c r="D36" s="340"/>
      <c r="E36" s="341"/>
      <c r="F36" s="89"/>
      <c r="G36" s="342"/>
      <c r="H36" s="65"/>
      <c r="I36" s="659"/>
      <c r="J36" s="235"/>
      <c r="K36" s="298"/>
      <c r="L36" s="83"/>
      <c r="M36" s="343"/>
      <c r="N36" s="344"/>
      <c r="O36" s="227"/>
      <c r="P36" s="1524"/>
      <c r="Q36" s="1525"/>
      <c r="R36" s="1526"/>
      <c r="S36" s="278"/>
      <c r="T36" s="1659"/>
      <c r="U36" s="1660"/>
      <c r="V36" s="1661"/>
      <c r="W36" s="1637"/>
      <c r="X36" s="1659"/>
      <c r="Y36" s="1660"/>
      <c r="Z36" s="1661"/>
      <c r="AA36" s="1243"/>
      <c r="AB36" s="73"/>
      <c r="AC36" s="1241"/>
      <c r="AD36" s="227"/>
      <c r="AE36" s="82"/>
      <c r="AF36" s="311"/>
      <c r="AG36" s="345"/>
      <c r="AH36" s="227"/>
      <c r="AI36" s="346"/>
      <c r="AJ36" s="347"/>
      <c r="AK36" s="227"/>
    </row>
    <row r="37" spans="1:83" s="88" customFormat="1" ht="16.5" customHeight="1" outlineLevel="1">
      <c r="A37" s="348" t="s">
        <v>333</v>
      </c>
      <c r="B37" s="348" t="s">
        <v>334</v>
      </c>
      <c r="C37" s="296"/>
      <c r="D37" s="349"/>
      <c r="E37" s="297"/>
      <c r="F37" s="350" t="s">
        <v>335</v>
      </c>
      <c r="G37" s="119"/>
      <c r="H37" s="351" t="s">
        <v>137</v>
      </c>
      <c r="I37" s="661"/>
      <c r="J37" s="352">
        <f>TVAN</f>
        <v>8.5000000000000006E-2</v>
      </c>
      <c r="K37" s="353">
        <f>I37*J37</f>
        <v>0</v>
      </c>
      <c r="L37" s="354">
        <f>I37+K37</f>
        <v>0</v>
      </c>
      <c r="M37" s="67">
        <f>I37/$G$5</f>
        <v>0</v>
      </c>
      <c r="N37" s="302">
        <f>I37/$G$2</f>
        <v>0</v>
      </c>
      <c r="O37" s="227"/>
      <c r="P37" s="1527">
        <f>M37*$Q$5</f>
        <v>0</v>
      </c>
      <c r="Q37" s="1528">
        <f>P37*J37</f>
        <v>0</v>
      </c>
      <c r="R37" s="1529">
        <f>P37+Q37</f>
        <v>0</v>
      </c>
      <c r="S37" s="278"/>
      <c r="T37" s="1662">
        <f>M37*$U$5</f>
        <v>0</v>
      </c>
      <c r="U37" s="1663">
        <f>T37*J37</f>
        <v>0</v>
      </c>
      <c r="V37" s="1664">
        <f>T37+U37</f>
        <v>0</v>
      </c>
      <c r="W37" s="1637"/>
      <c r="X37" s="1662">
        <f>M37*$Y$5</f>
        <v>0</v>
      </c>
      <c r="Y37" s="1663">
        <f>X37*J37</f>
        <v>0</v>
      </c>
      <c r="Z37" s="1664">
        <f>X37+Y37</f>
        <v>0</v>
      </c>
      <c r="AA37" s="1243"/>
      <c r="AB37" s="303">
        <f>I37-(P37+T37+X37)</f>
        <v>0</v>
      </c>
      <c r="AC37" s="1266"/>
      <c r="AD37" s="227"/>
      <c r="AE37" s="87"/>
      <c r="AF37" s="355">
        <f>AE37*J37</f>
        <v>0</v>
      </c>
      <c r="AG37" s="356">
        <f>AF37+AE37</f>
        <v>0</v>
      </c>
      <c r="AH37" s="227"/>
      <c r="AI37" s="357">
        <f>I37-AC37</f>
        <v>0</v>
      </c>
      <c r="AJ37" s="358">
        <f>I37-AE37</f>
        <v>0</v>
      </c>
      <c r="AK37" s="300"/>
      <c r="AL37" s="255"/>
      <c r="AM37" s="255"/>
      <c r="AN37" s="255"/>
      <c r="AO37" s="255"/>
      <c r="AP37" s="255"/>
      <c r="AQ37" s="255"/>
      <c r="AR37" s="255"/>
      <c r="AS37" s="255"/>
      <c r="AT37" s="255"/>
      <c r="AU37" s="255"/>
      <c r="AV37" s="255"/>
      <c r="AW37" s="255"/>
      <c r="AX37" s="255"/>
      <c r="AY37" s="255"/>
      <c r="AZ37" s="255"/>
      <c r="BA37" s="255"/>
      <c r="BB37" s="255"/>
      <c r="BC37" s="255"/>
      <c r="BD37" s="255"/>
      <c r="BE37" s="255"/>
      <c r="BF37" s="255"/>
      <c r="BG37" s="255"/>
      <c r="BH37" s="255"/>
      <c r="BI37" s="255"/>
      <c r="BJ37" s="255"/>
      <c r="BK37" s="255"/>
    </row>
    <row r="38" spans="1:83" s="368" customFormat="1" ht="10.15" customHeight="1">
      <c r="A38" s="359"/>
      <c r="B38" s="113"/>
      <c r="C38" s="339"/>
      <c r="D38" s="360"/>
      <c r="E38" s="341"/>
      <c r="F38" s="361"/>
      <c r="G38" s="362"/>
      <c r="H38" s="363"/>
      <c r="I38" s="659"/>
      <c r="J38" s="364"/>
      <c r="K38" s="298"/>
      <c r="L38" s="365"/>
      <c r="M38" s="366"/>
      <c r="N38" s="367"/>
      <c r="O38" s="227"/>
      <c r="P38" s="1553"/>
      <c r="Q38" s="1525"/>
      <c r="R38" s="1530"/>
      <c r="S38" s="278"/>
      <c r="T38" s="1659"/>
      <c r="U38" s="1660"/>
      <c r="V38" s="1665"/>
      <c r="W38" s="1637"/>
      <c r="X38" s="1659"/>
      <c r="Y38" s="1660"/>
      <c r="Z38" s="1665"/>
      <c r="AA38" s="1243"/>
      <c r="AB38" s="303"/>
      <c r="AC38" s="1241"/>
      <c r="AD38" s="227"/>
      <c r="AE38" s="82"/>
      <c r="AF38" s="311"/>
      <c r="AG38" s="345"/>
      <c r="AH38" s="227"/>
      <c r="AI38" s="173"/>
      <c r="AJ38" s="347"/>
      <c r="AK38" s="227"/>
      <c r="AL38" s="255"/>
      <c r="AM38" s="255"/>
      <c r="AN38" s="255"/>
      <c r="AO38" s="255"/>
      <c r="AP38" s="255"/>
      <c r="AQ38" s="255"/>
      <c r="AR38" s="255"/>
      <c r="AS38" s="255"/>
      <c r="AT38" s="255"/>
      <c r="AU38" s="255"/>
      <c r="AV38" s="255"/>
      <c r="AW38" s="255"/>
      <c r="AX38" s="255"/>
      <c r="AY38" s="255"/>
      <c r="AZ38" s="255"/>
      <c r="BA38" s="255"/>
      <c r="BB38" s="255"/>
      <c r="BC38" s="255"/>
      <c r="BD38" s="255"/>
      <c r="BE38" s="255"/>
      <c r="BF38" s="255"/>
      <c r="BG38" s="255"/>
      <c r="BH38" s="255"/>
      <c r="BI38" s="255"/>
      <c r="BJ38" s="255"/>
      <c r="BK38" s="255"/>
    </row>
    <row r="39" spans="1:83" s="93" customFormat="1" ht="15.95" customHeight="1">
      <c r="A39" s="92" t="s">
        <v>69</v>
      </c>
      <c r="B39" s="43" t="s">
        <v>70</v>
      </c>
      <c r="C39" s="369"/>
      <c r="D39" s="3459">
        <v>290</v>
      </c>
      <c r="E39" s="3460"/>
      <c r="F39" s="44" t="s">
        <v>71</v>
      </c>
      <c r="G39" s="45"/>
      <c r="H39" s="46"/>
      <c r="I39" s="283">
        <f>I40+I45+I54+I58+I63+I69+I74</f>
        <v>69300</v>
      </c>
      <c r="J39" s="284"/>
      <c r="K39" s="285">
        <f>K40+K45+K54+K58+K63+K69+K74</f>
        <v>5890.5</v>
      </c>
      <c r="L39" s="286">
        <f>L40+L45+L54+L58+L63+L69+L74</f>
        <v>75190.5</v>
      </c>
      <c r="M39" s="47">
        <f>M40+M45+M54+M58+M63+M69+M74</f>
        <v>13.20754716981132</v>
      </c>
      <c r="N39" s="286">
        <f>N40+N45+N54+N58+N63+N69+N74</f>
        <v>990</v>
      </c>
      <c r="O39" s="370"/>
      <c r="P39" s="1236">
        <f>P40+P45+P54+P58+P63+P69+P74</f>
        <v>34650</v>
      </c>
      <c r="Q39" s="288">
        <f>Q40+Q45+Q54+Q58+Q63+Q69+Q74</f>
        <v>2945.25</v>
      </c>
      <c r="R39" s="289">
        <f>R40+R45+R54+R58+R63+R69+R74</f>
        <v>37595.25</v>
      </c>
      <c r="S39" s="371"/>
      <c r="T39" s="1638">
        <f>T40+T45+T54+T58+T63+T69+T74</f>
        <v>34650</v>
      </c>
      <c r="U39" s="1639">
        <f>U40+U45+U54+U58+U63+U69+U74</f>
        <v>2945.25</v>
      </c>
      <c r="V39" s="1640">
        <f>V40+V45+V54+V58+V63+V69+V74</f>
        <v>37595.25</v>
      </c>
      <c r="W39" s="1666"/>
      <c r="X39" s="1642">
        <f>X40+X45+X54+X58+X63+X69+X74</f>
        <v>0</v>
      </c>
      <c r="Y39" s="1639">
        <f>Y40+Y45+Y54+Y58+Y63+Y69+Y74</f>
        <v>0</v>
      </c>
      <c r="Z39" s="1640">
        <f>Z40+Z45+Z54+Z58+Z63+Z69+Z74</f>
        <v>0</v>
      </c>
      <c r="AA39" s="1246"/>
      <c r="AB39" s="47">
        <f>AB40+AB45+AB54+AB58+AB63+AB69+AB74</f>
        <v>0</v>
      </c>
      <c r="AC39" s="1267">
        <f>AC40+AC45+AC54+AC58+AC63+AC69+AC74</f>
        <v>0</v>
      </c>
      <c r="AD39" s="227"/>
      <c r="AE39" s="372">
        <f>AE40+AE45+AE54+AE58+AE63+AE69+AE74</f>
        <v>0</v>
      </c>
      <c r="AF39" s="373">
        <f>AF40+AF45+AF54+AF58+AF63+AF69+AF74</f>
        <v>0</v>
      </c>
      <c r="AG39" s="374">
        <f>AG40+AG45+AG54+AG58+AG63+AG69+AG74</f>
        <v>0</v>
      </c>
      <c r="AH39" s="227"/>
      <c r="AI39" s="375">
        <f>AI40+AI45+AI54+AI58+AI63+AI69+AI74</f>
        <v>69300</v>
      </c>
      <c r="AJ39" s="376">
        <f>AJ40+AJ45+AJ54+AJ58+AJ63+AJ69+AJ74</f>
        <v>69300</v>
      </c>
      <c r="AK39" s="227"/>
      <c r="AL39" s="295"/>
      <c r="AM39" s="295"/>
      <c r="AN39" s="295"/>
      <c r="AO39" s="295"/>
      <c r="AP39" s="295"/>
      <c r="AQ39" s="295"/>
      <c r="AR39" s="295"/>
      <c r="AS39" s="295"/>
      <c r="AT39" s="295"/>
      <c r="AU39" s="295"/>
      <c r="AV39" s="295"/>
      <c r="AW39" s="255"/>
      <c r="AX39" s="255"/>
      <c r="AY39" s="255"/>
      <c r="AZ39" s="255"/>
      <c r="BA39" s="255"/>
      <c r="BB39" s="255"/>
      <c r="BC39" s="255"/>
      <c r="BD39" s="255"/>
      <c r="BE39" s="255"/>
      <c r="BF39" s="255"/>
      <c r="BG39" s="255"/>
      <c r="BH39" s="255"/>
      <c r="BI39" s="255"/>
      <c r="BJ39" s="255"/>
      <c r="BK39" s="255"/>
      <c r="BL39" s="51"/>
      <c r="BM39" s="51"/>
      <c r="BN39" s="51"/>
      <c r="BO39" s="51"/>
      <c r="BP39" s="51"/>
      <c r="BQ39" s="51"/>
      <c r="BR39" s="51"/>
      <c r="BS39" s="51"/>
      <c r="BT39" s="51"/>
      <c r="BU39" s="51"/>
      <c r="BV39" s="51"/>
      <c r="BW39" s="51"/>
      <c r="BX39" s="51"/>
      <c r="BY39" s="51"/>
      <c r="BZ39" s="51"/>
      <c r="CA39" s="51"/>
      <c r="CB39" s="51"/>
      <c r="CC39" s="51"/>
      <c r="CD39" s="51"/>
      <c r="CE39" s="51"/>
    </row>
    <row r="40" spans="1:83" s="32" customFormat="1" ht="15.95" customHeight="1" outlineLevel="1">
      <c r="A40" s="410" t="s">
        <v>73</v>
      </c>
      <c r="B40" s="411" t="s">
        <v>74</v>
      </c>
      <c r="C40" s="296"/>
      <c r="D40" s="1354" t="s">
        <v>75</v>
      </c>
      <c r="E40" s="297"/>
      <c r="F40" s="1355" t="s">
        <v>76</v>
      </c>
      <c r="G40" s="1356"/>
      <c r="H40" s="2033">
        <f>N40+'FRAFU AVS + LESG'!C27</f>
        <v>0</v>
      </c>
      <c r="I40" s="659">
        <f>SUM(I41:I44)</f>
        <v>0</v>
      </c>
      <c r="J40" s="1358"/>
      <c r="K40" s="298">
        <f>SUM(K41:K44)</f>
        <v>0</v>
      </c>
      <c r="L40" s="431">
        <f>SUM(L41:L44)</f>
        <v>0</v>
      </c>
      <c r="M40" s="1359">
        <f>SUM(M41:M44)</f>
        <v>0</v>
      </c>
      <c r="N40" s="1360">
        <f>SUM(N41:N44)</f>
        <v>0</v>
      </c>
      <c r="O40" s="227"/>
      <c r="P40" s="1531">
        <f>SUM(P41:P44)</f>
        <v>0</v>
      </c>
      <c r="Q40" s="1532">
        <f>SUM(Q41:Q44)</f>
        <v>0</v>
      </c>
      <c r="R40" s="1533">
        <f>SUM(R41:R44)</f>
        <v>0</v>
      </c>
      <c r="S40" s="1216"/>
      <c r="T40" s="1667">
        <f>SUM(T41:T44)</f>
        <v>0</v>
      </c>
      <c r="U40" s="1668">
        <f>SUM(U41:U44)</f>
        <v>0</v>
      </c>
      <c r="V40" s="1669">
        <f>SUM(V41:V44)</f>
        <v>0</v>
      </c>
      <c r="W40" s="1646"/>
      <c r="X40" s="1670">
        <f>SUM(X41:X44)</f>
        <v>0</v>
      </c>
      <c r="Y40" s="1668">
        <f>SUM(Y41:Y44)</f>
        <v>0</v>
      </c>
      <c r="Z40" s="1669">
        <f>SUM(Z41:Z44)</f>
        <v>0</v>
      </c>
      <c r="AA40" s="1249"/>
      <c r="AB40" s="432">
        <f>SUM(AB41:AB44)</f>
        <v>0</v>
      </c>
      <c r="AC40" s="417">
        <f>SUM(AC41:AC44)</f>
        <v>0</v>
      </c>
      <c r="AD40" s="227"/>
      <c r="AE40" s="1348">
        <f t="shared" ref="AE40:AG40" si="6">SUM(AE41:AE44)</f>
        <v>0</v>
      </c>
      <c r="AF40" s="1361">
        <f t="shared" si="6"/>
        <v>0</v>
      </c>
      <c r="AG40" s="1349">
        <f t="shared" si="6"/>
        <v>0</v>
      </c>
      <c r="AH40" s="227"/>
      <c r="AI40" s="1350">
        <f t="shared" ref="AI40:AJ40" si="7">SUM(AI41:AI44)</f>
        <v>0</v>
      </c>
      <c r="AJ40" s="1398">
        <f t="shared" si="7"/>
        <v>0</v>
      </c>
      <c r="AK40" s="227"/>
      <c r="AL40" s="1363"/>
      <c r="AM40" s="1363"/>
      <c r="AN40" s="1363"/>
      <c r="AO40" s="1363"/>
      <c r="AP40" s="1363"/>
      <c r="AQ40" s="1363"/>
      <c r="AR40" s="1363"/>
      <c r="AS40" s="1363"/>
      <c r="AT40" s="1363"/>
      <c r="AU40" s="1363"/>
      <c r="AV40" s="1363"/>
      <c r="AW40" s="649"/>
      <c r="AX40" s="649"/>
      <c r="AY40" s="649"/>
      <c r="AZ40" s="649"/>
      <c r="BA40" s="649"/>
      <c r="BB40" s="649"/>
      <c r="BC40" s="649"/>
      <c r="BD40" s="649"/>
      <c r="BE40" s="649"/>
      <c r="BF40" s="649"/>
      <c r="BG40" s="649"/>
      <c r="BH40" s="649"/>
      <c r="BI40" s="649"/>
      <c r="BJ40" s="649"/>
      <c r="BK40" s="649"/>
      <c r="BL40" s="418"/>
      <c r="BM40" s="418"/>
      <c r="BN40" s="418"/>
      <c r="BO40" s="418"/>
      <c r="BP40" s="418"/>
      <c r="BQ40" s="418"/>
      <c r="BR40" s="418"/>
      <c r="BS40" s="418"/>
      <c r="BT40" s="418"/>
      <c r="BU40" s="418"/>
      <c r="BV40" s="418"/>
      <c r="BW40" s="418"/>
      <c r="BX40" s="418"/>
      <c r="BY40" s="418"/>
      <c r="BZ40" s="418"/>
      <c r="CA40" s="418"/>
      <c r="CB40" s="418"/>
      <c r="CC40" s="418"/>
      <c r="CD40" s="418"/>
      <c r="CE40" s="418"/>
    </row>
    <row r="41" spans="1:83" ht="15.6" customHeight="1" outlineLevel="2">
      <c r="A41" s="74"/>
      <c r="B41" s="70"/>
      <c r="C41" s="296"/>
      <c r="D41" s="62"/>
      <c r="E41" s="297" t="s">
        <v>77</v>
      </c>
      <c r="F41" s="98" t="s">
        <v>78</v>
      </c>
      <c r="G41" s="75"/>
      <c r="H41" s="2038" t="s">
        <v>579</v>
      </c>
      <c r="I41" s="1326"/>
      <c r="J41" s="1214">
        <f>TVAN</f>
        <v>8.5000000000000006E-2</v>
      </c>
      <c r="K41" s="1327">
        <f>I41*J41</f>
        <v>0</v>
      </c>
      <c r="L41" s="1215">
        <f>I41+K41</f>
        <v>0</v>
      </c>
      <c r="M41" s="1194">
        <f>I41/$G$5</f>
        <v>0</v>
      </c>
      <c r="N41" s="1195">
        <f>I41/$G$2</f>
        <v>0</v>
      </c>
      <c r="O41" s="1189"/>
      <c r="P41" s="1509">
        <f>M41*$Q$5</f>
        <v>0</v>
      </c>
      <c r="Q41" s="1510">
        <f>P41*J41</f>
        <v>0</v>
      </c>
      <c r="R41" s="1511">
        <f>P41+Q41</f>
        <v>0</v>
      </c>
      <c r="S41" s="1189"/>
      <c r="T41" s="1648">
        <f>M41*$U$5</f>
        <v>0</v>
      </c>
      <c r="U41" s="1649">
        <f>T41*J41</f>
        <v>0</v>
      </c>
      <c r="V41" s="1650">
        <f>T41+U41</f>
        <v>0</v>
      </c>
      <c r="W41" s="1651"/>
      <c r="X41" s="1648">
        <f>M41*$Y$5</f>
        <v>0</v>
      </c>
      <c r="Y41" s="1649">
        <f>X41*J41</f>
        <v>0</v>
      </c>
      <c r="Z41" s="1650">
        <f>X41+Y41</f>
        <v>0</v>
      </c>
      <c r="AA41" s="1243"/>
      <c r="AB41" s="303">
        <f>I41-(P41+T41+X41)</f>
        <v>0</v>
      </c>
      <c r="AC41" s="1265"/>
      <c r="AD41" s="227"/>
      <c r="AE41" s="304"/>
      <c r="AF41" s="311">
        <f>AE41*J41</f>
        <v>0</v>
      </c>
      <c r="AG41" s="380">
        <f>AF41+AE41</f>
        <v>0</v>
      </c>
      <c r="AH41" s="227"/>
      <c r="AI41" s="307">
        <f>I41-AC41</f>
        <v>0</v>
      </c>
      <c r="AJ41" s="308">
        <f>I41-AE41</f>
        <v>0</v>
      </c>
      <c r="AK41" s="227"/>
    </row>
    <row r="42" spans="1:83" s="1190" customFormat="1" ht="15.95" customHeight="1" outlineLevel="2">
      <c r="A42" s="1200"/>
      <c r="B42" s="1201"/>
      <c r="C42" s="2229"/>
      <c r="D42" s="2230"/>
      <c r="E42" s="2231" t="s">
        <v>79</v>
      </c>
      <c r="F42" s="648" t="s">
        <v>80</v>
      </c>
      <c r="G42" s="1203"/>
      <c r="H42" s="1795"/>
      <c r="I42" s="1322"/>
      <c r="J42" s="1181">
        <f>TVAN</f>
        <v>8.5000000000000006E-2</v>
      </c>
      <c r="K42" s="1323">
        <f>I42*J42</f>
        <v>0</v>
      </c>
      <c r="L42" s="1220">
        <f>I42+K42</f>
        <v>0</v>
      </c>
      <c r="M42" s="1221">
        <f>I42/$G$5</f>
        <v>0</v>
      </c>
      <c r="N42" s="1222">
        <f>I42/$G$2</f>
        <v>0</v>
      </c>
      <c r="O42" s="1189"/>
      <c r="P42" s="1322">
        <f t="shared" ref="P42:P43" si="8">M42*$Q$5</f>
        <v>0</v>
      </c>
      <c r="Q42" s="1518">
        <f>P42*J42</f>
        <v>0</v>
      </c>
      <c r="R42" s="1514">
        <f>P42+Q42</f>
        <v>0</v>
      </c>
      <c r="S42" s="1189"/>
      <c r="T42" s="1652">
        <f>M42*$U$5</f>
        <v>0</v>
      </c>
      <c r="U42" s="1653">
        <f>T42*J42</f>
        <v>0</v>
      </c>
      <c r="V42" s="1654">
        <f>T42+U42</f>
        <v>0</v>
      </c>
      <c r="W42" s="1651"/>
      <c r="X42" s="1652">
        <f t="shared" ref="X42:X43" si="9">M42*$Y$5</f>
        <v>0</v>
      </c>
      <c r="Y42" s="1653">
        <f>X42*J42</f>
        <v>0</v>
      </c>
      <c r="Z42" s="1654">
        <f>X42+Y42</f>
        <v>0</v>
      </c>
      <c r="AA42" s="1249"/>
      <c r="AB42" s="1223">
        <f>I42-(P42+T42+X42)</f>
        <v>0</v>
      </c>
      <c r="AC42" s="1263"/>
      <c r="AD42" s="1216"/>
      <c r="AE42" s="1224"/>
      <c r="AF42" s="311">
        <f>AE42*J42</f>
        <v>0</v>
      </c>
      <c r="AG42" s="1225">
        <f>AF42+AE42</f>
        <v>0</v>
      </c>
      <c r="AH42" s="1216"/>
      <c r="AI42" s="1209">
        <f>I42-AC42</f>
        <v>0</v>
      </c>
      <c r="AJ42" s="1226">
        <f>I42-AE42</f>
        <v>0</v>
      </c>
      <c r="AK42" s="1216"/>
      <c r="AL42" s="974"/>
      <c r="AM42" s="974"/>
      <c r="AN42" s="974"/>
      <c r="AO42" s="974"/>
      <c r="AP42" s="974"/>
      <c r="AQ42" s="974"/>
      <c r="AR42" s="974"/>
      <c r="AS42" s="974"/>
      <c r="AT42" s="974"/>
      <c r="AU42" s="974"/>
      <c r="AV42" s="974"/>
      <c r="AW42" s="974"/>
      <c r="AX42" s="974"/>
      <c r="AY42" s="974"/>
      <c r="AZ42" s="974"/>
      <c r="BA42" s="974"/>
      <c r="BB42" s="974"/>
      <c r="BC42" s="974"/>
      <c r="BD42" s="974"/>
      <c r="BE42" s="974"/>
      <c r="BF42" s="974"/>
      <c r="BG42" s="974"/>
      <c r="BH42" s="974"/>
      <c r="BI42" s="974"/>
      <c r="BJ42" s="974"/>
      <c r="BK42" s="974"/>
    </row>
    <row r="43" spans="1:83" s="1190" customFormat="1" ht="15.95" customHeight="1" outlineLevel="2">
      <c r="A43" s="1200"/>
      <c r="B43" s="1201"/>
      <c r="C43" s="2229"/>
      <c r="D43" s="2230"/>
      <c r="E43" s="2231" t="s">
        <v>336</v>
      </c>
      <c r="F43" s="648" t="s">
        <v>107</v>
      </c>
      <c r="G43" s="1203"/>
      <c r="H43" s="627"/>
      <c r="I43" s="1322"/>
      <c r="J43" s="1181">
        <f>TVAN</f>
        <v>8.5000000000000006E-2</v>
      </c>
      <c r="K43" s="1323">
        <f>I43*J43</f>
        <v>0</v>
      </c>
      <c r="L43" s="1220">
        <f>I43+K43</f>
        <v>0</v>
      </c>
      <c r="M43" s="1221">
        <f>I43/$G$5</f>
        <v>0</v>
      </c>
      <c r="N43" s="1222">
        <f>I43/$G$2</f>
        <v>0</v>
      </c>
      <c r="O43" s="1189"/>
      <c r="P43" s="1322">
        <f t="shared" si="8"/>
        <v>0</v>
      </c>
      <c r="Q43" s="1518">
        <f>P43*J43</f>
        <v>0</v>
      </c>
      <c r="R43" s="1514">
        <f>P43+Q43</f>
        <v>0</v>
      </c>
      <c r="S43" s="1189"/>
      <c r="T43" s="1652">
        <f>M43*$U$5</f>
        <v>0</v>
      </c>
      <c r="U43" s="1653">
        <f>T43*J43</f>
        <v>0</v>
      </c>
      <c r="V43" s="1654">
        <f>T43+U43</f>
        <v>0</v>
      </c>
      <c r="W43" s="1651"/>
      <c r="X43" s="1652">
        <f t="shared" si="9"/>
        <v>0</v>
      </c>
      <c r="Y43" s="1653">
        <f>X43*J43</f>
        <v>0</v>
      </c>
      <c r="Z43" s="1654">
        <f>X43+Y43</f>
        <v>0</v>
      </c>
      <c r="AA43" s="1249"/>
      <c r="AB43" s="1223">
        <f>I43-(P43+T43+X43)</f>
        <v>0</v>
      </c>
      <c r="AC43" s="1263"/>
      <c r="AD43" s="1216"/>
      <c r="AE43" s="1224"/>
      <c r="AF43" s="311">
        <f>AE43*J43</f>
        <v>0</v>
      </c>
      <c r="AG43" s="1225">
        <f>AF43+AE43</f>
        <v>0</v>
      </c>
      <c r="AH43" s="1216"/>
      <c r="AI43" s="1209">
        <f>I43-AC43</f>
        <v>0</v>
      </c>
      <c r="AJ43" s="1226">
        <f>I43-AE43</f>
        <v>0</v>
      </c>
      <c r="AK43" s="1216"/>
      <c r="AL43" s="974"/>
      <c r="AM43" s="974"/>
      <c r="AN43" s="974"/>
      <c r="AO43" s="974"/>
      <c r="AP43" s="974"/>
      <c r="AQ43" s="974"/>
      <c r="AR43" s="974"/>
      <c r="AS43" s="974"/>
      <c r="AT43" s="974"/>
      <c r="AU43" s="974"/>
      <c r="AV43" s="974"/>
      <c r="AW43" s="974"/>
      <c r="AX43" s="974"/>
      <c r="AY43" s="974"/>
      <c r="AZ43" s="974"/>
      <c r="BA43" s="974"/>
      <c r="BB43" s="974"/>
      <c r="BC43" s="974"/>
      <c r="BD43" s="974"/>
      <c r="BE43" s="974"/>
      <c r="BF43" s="974"/>
      <c r="BG43" s="974"/>
      <c r="BH43" s="974"/>
      <c r="BI43" s="974"/>
      <c r="BJ43" s="974"/>
      <c r="BK43" s="974"/>
    </row>
    <row r="44" spans="1:83" ht="15.95" customHeight="1" outlineLevel="2">
      <c r="A44" s="74"/>
      <c r="B44" s="70"/>
      <c r="C44" s="296"/>
      <c r="D44" s="62"/>
      <c r="E44" s="297" t="s">
        <v>81</v>
      </c>
      <c r="F44" s="63" t="s">
        <v>82</v>
      </c>
      <c r="G44" s="75"/>
      <c r="H44" s="2036" t="s">
        <v>582</v>
      </c>
      <c r="I44" s="1324"/>
      <c r="J44" s="1204">
        <f>TVAN</f>
        <v>8.5000000000000006E-2</v>
      </c>
      <c r="K44" s="1325">
        <f>I44*J44</f>
        <v>0</v>
      </c>
      <c r="L44" s="1205">
        <f>I44+K44</f>
        <v>0</v>
      </c>
      <c r="M44" s="1206">
        <f>I44/$G$5</f>
        <v>0</v>
      </c>
      <c r="N44" s="1207">
        <f>I44/$G$2</f>
        <v>0</v>
      </c>
      <c r="O44" s="1189"/>
      <c r="P44" s="1324">
        <f>M44*$Q$5</f>
        <v>0</v>
      </c>
      <c r="Q44" s="1516">
        <f>P44*J44</f>
        <v>0</v>
      </c>
      <c r="R44" s="1517">
        <f>P44+Q44</f>
        <v>0</v>
      </c>
      <c r="S44" s="1189"/>
      <c r="T44" s="1655">
        <f>M44*$U$5</f>
        <v>0</v>
      </c>
      <c r="U44" s="1656">
        <f>T44*J44</f>
        <v>0</v>
      </c>
      <c r="V44" s="1657">
        <f>T44+U44</f>
        <v>0</v>
      </c>
      <c r="W44" s="1651"/>
      <c r="X44" s="1655">
        <f>M44*$Y$5</f>
        <v>0</v>
      </c>
      <c r="Y44" s="1656">
        <f>X44*J44</f>
        <v>0</v>
      </c>
      <c r="Z44" s="1657">
        <f>X44+Y44</f>
        <v>0</v>
      </c>
      <c r="AA44" s="1243"/>
      <c r="AB44" s="315">
        <f>I44-(P44+T44+X44)</f>
        <v>0</v>
      </c>
      <c r="AC44" s="1262"/>
      <c r="AD44" s="227"/>
      <c r="AE44" s="316"/>
      <c r="AF44" s="317">
        <f>AE44*J44</f>
        <v>0</v>
      </c>
      <c r="AG44" s="318">
        <f>AF44+AE44</f>
        <v>0</v>
      </c>
      <c r="AH44" s="227"/>
      <c r="AI44" s="313">
        <f>I44-AC44</f>
        <v>0</v>
      </c>
      <c r="AJ44" s="320">
        <f>I44-AE44</f>
        <v>0</v>
      </c>
      <c r="AK44" s="227"/>
    </row>
    <row r="45" spans="1:83" s="32" customFormat="1" ht="15.95" customHeight="1" outlineLevel="1">
      <c r="A45" s="410" t="s">
        <v>83</v>
      </c>
      <c r="B45" s="411" t="s">
        <v>84</v>
      </c>
      <c r="C45" s="296"/>
      <c r="D45" s="1354" t="s">
        <v>85</v>
      </c>
      <c r="E45" s="297"/>
      <c r="F45" s="1355" t="s">
        <v>86</v>
      </c>
      <c r="G45" s="1356"/>
      <c r="H45" s="1357"/>
      <c r="I45" s="659">
        <f>SUM(I46:I53)</f>
        <v>0</v>
      </c>
      <c r="J45" s="1358"/>
      <c r="K45" s="298">
        <f>SUM(K46:K53)</f>
        <v>0</v>
      </c>
      <c r="L45" s="431">
        <f>SUM(L46:L53)</f>
        <v>0</v>
      </c>
      <c r="M45" s="1359">
        <f>SUM(M46:M53)</f>
        <v>0</v>
      </c>
      <c r="N45" s="1360">
        <f>SUM(N46:N53)</f>
        <v>0</v>
      </c>
      <c r="O45" s="227"/>
      <c r="P45" s="1531">
        <f>SUM(P46:P53)</f>
        <v>0</v>
      </c>
      <c r="Q45" s="1532">
        <f>SUM(Q46:Q53)</f>
        <v>0</v>
      </c>
      <c r="R45" s="1533">
        <f>SUM(R46:R53)</f>
        <v>0</v>
      </c>
      <c r="S45" s="1216"/>
      <c r="T45" s="1700">
        <f>SUM(T46:T53)</f>
        <v>0</v>
      </c>
      <c r="U45" s="1668">
        <f>SUM(U46:U53)</f>
        <v>0</v>
      </c>
      <c r="V45" s="1669">
        <f>SUM(V46:V53)</f>
        <v>0</v>
      </c>
      <c r="W45" s="1646"/>
      <c r="X45" s="1670">
        <f>SUM(X46:X53)</f>
        <v>0</v>
      </c>
      <c r="Y45" s="1668">
        <f>SUM(Y46:Y53)</f>
        <v>0</v>
      </c>
      <c r="Z45" s="1669">
        <f>SUM(Z46:Z53)</f>
        <v>0</v>
      </c>
      <c r="AA45" s="1249"/>
      <c r="AB45" s="432">
        <f>SUM(AB46:AB53)</f>
        <v>0</v>
      </c>
      <c r="AC45" s="417">
        <f>SUM(AC46:AC53)</f>
        <v>0</v>
      </c>
      <c r="AD45" s="227"/>
      <c r="AE45" s="1344">
        <f t="shared" ref="AE45:AG45" si="10">SUM(AE46:AE53)</f>
        <v>0</v>
      </c>
      <c r="AF45" s="1361">
        <f t="shared" si="10"/>
        <v>0</v>
      </c>
      <c r="AG45" s="1345">
        <f t="shared" si="10"/>
        <v>0</v>
      </c>
      <c r="AH45" s="227"/>
      <c r="AI45" s="1362">
        <f>SUM(AI46:AI53)</f>
        <v>0</v>
      </c>
      <c r="AJ45" s="1368">
        <f>SUM(AJ46:AJ53)</f>
        <v>0</v>
      </c>
      <c r="AK45" s="227"/>
      <c r="AL45" s="1363"/>
      <c r="AM45" s="1363"/>
      <c r="AN45" s="1363"/>
      <c r="AO45" s="1363"/>
      <c r="AP45" s="1363"/>
      <c r="AQ45" s="1363"/>
      <c r="AR45" s="1363"/>
      <c r="AS45" s="1363"/>
      <c r="AT45" s="1363"/>
      <c r="AU45" s="1363"/>
      <c r="AV45" s="1363"/>
      <c r="AW45" s="649"/>
      <c r="AX45" s="649"/>
      <c r="AY45" s="649"/>
      <c r="AZ45" s="649"/>
      <c r="BA45" s="649"/>
      <c r="BB45" s="649"/>
      <c r="BC45" s="649"/>
      <c r="BD45" s="649"/>
      <c r="BE45" s="649"/>
      <c r="BF45" s="649"/>
      <c r="BG45" s="649"/>
      <c r="BH45" s="649"/>
      <c r="BI45" s="649"/>
      <c r="BJ45" s="649"/>
      <c r="BK45" s="649"/>
      <c r="BL45" s="418"/>
      <c r="BM45" s="418"/>
      <c r="BN45" s="418"/>
      <c r="BO45" s="418"/>
      <c r="BP45" s="418"/>
      <c r="BQ45" s="418"/>
      <c r="BR45" s="418"/>
      <c r="BS45" s="418"/>
      <c r="BT45" s="418"/>
      <c r="BU45" s="418"/>
      <c r="BV45" s="418"/>
      <c r="BW45" s="418"/>
      <c r="BX45" s="418"/>
      <c r="BY45" s="418"/>
      <c r="BZ45" s="418"/>
      <c r="CA45" s="418"/>
      <c r="CB45" s="418"/>
      <c r="CC45" s="418"/>
      <c r="CD45" s="418"/>
      <c r="CE45" s="418"/>
    </row>
    <row r="46" spans="1:83" ht="15.95" customHeight="1" outlineLevel="2">
      <c r="A46" s="74"/>
      <c r="B46" s="70"/>
      <c r="C46" s="296"/>
      <c r="D46" s="62"/>
      <c r="E46" s="297" t="s">
        <v>87</v>
      </c>
      <c r="F46" s="63" t="s">
        <v>88</v>
      </c>
      <c r="G46" s="75"/>
      <c r="H46" s="627"/>
      <c r="I46" s="1326">
        <v>0</v>
      </c>
      <c r="J46" s="1214">
        <f t="shared" ref="J46:J53" si="11">TVAN</f>
        <v>8.5000000000000006E-2</v>
      </c>
      <c r="K46" s="1327">
        <f t="shared" ref="K46:K53" si="12">I46*J46</f>
        <v>0</v>
      </c>
      <c r="L46" s="1215">
        <f t="shared" ref="L46:L53" si="13">I46+K46</f>
        <v>0</v>
      </c>
      <c r="M46" s="1194">
        <f t="shared" ref="M46:M53" si="14">I46/$G$5</f>
        <v>0</v>
      </c>
      <c r="N46" s="1195">
        <f t="shared" ref="N46:N53" si="15">I46/$G$2</f>
        <v>0</v>
      </c>
      <c r="O46" s="1189"/>
      <c r="P46" s="1509">
        <f t="shared" ref="P46:P53" si="16">M46*$Q$5</f>
        <v>0</v>
      </c>
      <c r="Q46" s="1510">
        <f t="shared" ref="Q46:Q53" si="17">P46*J46</f>
        <v>0</v>
      </c>
      <c r="R46" s="1511">
        <f t="shared" ref="R46:R53" si="18">P46+Q46</f>
        <v>0</v>
      </c>
      <c r="S46" s="1189"/>
      <c r="T46" s="1648">
        <f t="shared" ref="T46:T53" si="19">M46*$U$5</f>
        <v>0</v>
      </c>
      <c r="U46" s="1649">
        <f t="shared" ref="U46:U53" si="20">T46*J46</f>
        <v>0</v>
      </c>
      <c r="V46" s="1650">
        <f t="shared" ref="V46:V53" si="21">T46+U46</f>
        <v>0</v>
      </c>
      <c r="W46" s="1651"/>
      <c r="X46" s="1648">
        <f t="shared" ref="X46:X53" si="22">M46*$Y$5</f>
        <v>0</v>
      </c>
      <c r="Y46" s="1649">
        <f t="shared" ref="Y46:Y53" si="23">X46*J46</f>
        <v>0</v>
      </c>
      <c r="Z46" s="1650">
        <f t="shared" ref="Z46:Z53" si="24">X46+Y46</f>
        <v>0</v>
      </c>
      <c r="AA46" s="1243"/>
      <c r="AB46" s="303">
        <f t="shared" ref="AB46:AB53" si="25">I46-(P46+T46+X46)</f>
        <v>0</v>
      </c>
      <c r="AC46" s="1261"/>
      <c r="AD46" s="227"/>
      <c r="AE46" s="310"/>
      <c r="AF46" s="311">
        <f t="shared" ref="AF46:AF53" si="26">AE46*J46</f>
        <v>0</v>
      </c>
      <c r="AG46" s="381">
        <f t="shared" ref="AG46:AG53" si="27">AF46+AE46</f>
        <v>0</v>
      </c>
      <c r="AH46" s="227"/>
      <c r="AI46" s="307">
        <f t="shared" ref="AI46:AI53" si="28">I46-AC46</f>
        <v>0</v>
      </c>
      <c r="AJ46" s="308">
        <f t="shared" ref="AJ46:AJ53" si="29">I46-AE46</f>
        <v>0</v>
      </c>
      <c r="AK46" s="227"/>
    </row>
    <row r="47" spans="1:83" ht="15.95" customHeight="1" outlineLevel="2">
      <c r="A47" s="74"/>
      <c r="B47" s="70"/>
      <c r="C47" s="296"/>
      <c r="D47" s="62"/>
      <c r="E47" s="297" t="s">
        <v>89</v>
      </c>
      <c r="F47" s="63" t="s">
        <v>90</v>
      </c>
      <c r="G47" s="75"/>
      <c r="H47" s="627"/>
      <c r="I47" s="1322">
        <v>0</v>
      </c>
      <c r="J47" s="1181">
        <f t="shared" si="11"/>
        <v>8.5000000000000006E-2</v>
      </c>
      <c r="K47" s="1323">
        <f t="shared" si="12"/>
        <v>0</v>
      </c>
      <c r="L47" s="1220">
        <f t="shared" si="13"/>
        <v>0</v>
      </c>
      <c r="M47" s="1221">
        <f t="shared" si="14"/>
        <v>0</v>
      </c>
      <c r="N47" s="1222">
        <f t="shared" si="15"/>
        <v>0</v>
      </c>
      <c r="O47" s="1331"/>
      <c r="P47" s="1512">
        <f t="shared" si="16"/>
        <v>0</v>
      </c>
      <c r="Q47" s="1518">
        <f t="shared" si="17"/>
        <v>0</v>
      </c>
      <c r="R47" s="1514">
        <f t="shared" si="18"/>
        <v>0</v>
      </c>
      <c r="S47" s="1189"/>
      <c r="T47" s="1652">
        <f t="shared" si="19"/>
        <v>0</v>
      </c>
      <c r="U47" s="1653">
        <f t="shared" si="20"/>
        <v>0</v>
      </c>
      <c r="V47" s="1654">
        <f t="shared" si="21"/>
        <v>0</v>
      </c>
      <c r="W47" s="1651"/>
      <c r="X47" s="1652">
        <f t="shared" si="22"/>
        <v>0</v>
      </c>
      <c r="Y47" s="1653">
        <f t="shared" si="23"/>
        <v>0</v>
      </c>
      <c r="Z47" s="1654">
        <f t="shared" si="24"/>
        <v>0</v>
      </c>
      <c r="AA47" s="1243"/>
      <c r="AB47" s="309">
        <f t="shared" si="25"/>
        <v>0</v>
      </c>
      <c r="AC47" s="1261"/>
      <c r="AD47" s="227"/>
      <c r="AE47" s="310"/>
      <c r="AF47" s="311">
        <f t="shared" si="26"/>
        <v>0</v>
      </c>
      <c r="AG47" s="381">
        <f t="shared" si="27"/>
        <v>0</v>
      </c>
      <c r="AH47" s="227"/>
      <c r="AI47" s="313">
        <f t="shared" si="28"/>
        <v>0</v>
      </c>
      <c r="AJ47" s="314">
        <f t="shared" si="29"/>
        <v>0</v>
      </c>
      <c r="AK47" s="227"/>
    </row>
    <row r="48" spans="1:83" ht="15.95" customHeight="1" outlineLevel="2">
      <c r="A48" s="74"/>
      <c r="B48" s="70"/>
      <c r="C48" s="296"/>
      <c r="D48" s="62"/>
      <c r="E48" s="297" t="s">
        <v>337</v>
      </c>
      <c r="F48" s="63" t="s">
        <v>338</v>
      </c>
      <c r="G48" s="75"/>
      <c r="H48" s="627"/>
      <c r="I48" s="1322">
        <v>0</v>
      </c>
      <c r="J48" s="1181">
        <f t="shared" si="11"/>
        <v>8.5000000000000006E-2</v>
      </c>
      <c r="K48" s="1323">
        <f t="shared" si="12"/>
        <v>0</v>
      </c>
      <c r="L48" s="1220">
        <f t="shared" si="13"/>
        <v>0</v>
      </c>
      <c r="M48" s="1221">
        <f t="shared" si="14"/>
        <v>0</v>
      </c>
      <c r="N48" s="1222">
        <f t="shared" si="15"/>
        <v>0</v>
      </c>
      <c r="O48" s="1189"/>
      <c r="P48" s="1512">
        <f t="shared" si="16"/>
        <v>0</v>
      </c>
      <c r="Q48" s="1518">
        <f t="shared" si="17"/>
        <v>0</v>
      </c>
      <c r="R48" s="1514">
        <f t="shared" si="18"/>
        <v>0</v>
      </c>
      <c r="S48" s="1189"/>
      <c r="T48" s="1652">
        <f t="shared" si="19"/>
        <v>0</v>
      </c>
      <c r="U48" s="1653">
        <f t="shared" si="20"/>
        <v>0</v>
      </c>
      <c r="V48" s="1654">
        <f t="shared" si="21"/>
        <v>0</v>
      </c>
      <c r="W48" s="1651"/>
      <c r="X48" s="1652">
        <f t="shared" si="22"/>
        <v>0</v>
      </c>
      <c r="Y48" s="1653">
        <f t="shared" si="23"/>
        <v>0</v>
      </c>
      <c r="Z48" s="1654">
        <f t="shared" si="24"/>
        <v>0</v>
      </c>
      <c r="AA48" s="1243"/>
      <c r="AB48" s="309">
        <f t="shared" si="25"/>
        <v>0</v>
      </c>
      <c r="AC48" s="1261"/>
      <c r="AD48" s="227"/>
      <c r="AE48" s="310"/>
      <c r="AF48" s="311">
        <f t="shared" si="26"/>
        <v>0</v>
      </c>
      <c r="AG48" s="381">
        <f t="shared" si="27"/>
        <v>0</v>
      </c>
      <c r="AH48" s="227"/>
      <c r="AI48" s="313">
        <f t="shared" si="28"/>
        <v>0</v>
      </c>
      <c r="AJ48" s="314">
        <f t="shared" si="29"/>
        <v>0</v>
      </c>
      <c r="AK48" s="227"/>
    </row>
    <row r="49" spans="1:83" ht="15.95" customHeight="1" outlineLevel="2">
      <c r="A49" s="74"/>
      <c r="B49" s="70"/>
      <c r="C49" s="296"/>
      <c r="D49" s="62"/>
      <c r="E49" s="297" t="s">
        <v>339</v>
      </c>
      <c r="F49" s="63" t="s">
        <v>340</v>
      </c>
      <c r="G49" s="75"/>
      <c r="H49" s="627"/>
      <c r="I49" s="1322">
        <v>0</v>
      </c>
      <c r="J49" s="1181">
        <f t="shared" si="11"/>
        <v>8.5000000000000006E-2</v>
      </c>
      <c r="K49" s="1323">
        <f t="shared" si="12"/>
        <v>0</v>
      </c>
      <c r="L49" s="1220">
        <f t="shared" si="13"/>
        <v>0</v>
      </c>
      <c r="M49" s="1221">
        <f t="shared" si="14"/>
        <v>0</v>
      </c>
      <c r="N49" s="1222">
        <f t="shared" si="15"/>
        <v>0</v>
      </c>
      <c r="O49" s="1189"/>
      <c r="P49" s="1512">
        <f t="shared" si="16"/>
        <v>0</v>
      </c>
      <c r="Q49" s="1518">
        <f t="shared" si="17"/>
        <v>0</v>
      </c>
      <c r="R49" s="1514">
        <f t="shared" si="18"/>
        <v>0</v>
      </c>
      <c r="S49" s="1189"/>
      <c r="T49" s="1652">
        <f t="shared" si="19"/>
        <v>0</v>
      </c>
      <c r="U49" s="1653">
        <f t="shared" si="20"/>
        <v>0</v>
      </c>
      <c r="V49" s="1654">
        <f t="shared" si="21"/>
        <v>0</v>
      </c>
      <c r="W49" s="1651"/>
      <c r="X49" s="1652">
        <f t="shared" si="22"/>
        <v>0</v>
      </c>
      <c r="Y49" s="1653">
        <f t="shared" si="23"/>
        <v>0</v>
      </c>
      <c r="Z49" s="1654">
        <f t="shared" si="24"/>
        <v>0</v>
      </c>
      <c r="AA49" s="1243"/>
      <c r="AB49" s="309">
        <f t="shared" si="25"/>
        <v>0</v>
      </c>
      <c r="AC49" s="1261"/>
      <c r="AD49" s="227"/>
      <c r="AE49" s="68"/>
      <c r="AF49" s="311">
        <f t="shared" si="26"/>
        <v>0</v>
      </c>
      <c r="AG49" s="381">
        <f t="shared" si="27"/>
        <v>0</v>
      </c>
      <c r="AH49" s="227"/>
      <c r="AI49" s="313">
        <f t="shared" si="28"/>
        <v>0</v>
      </c>
      <c r="AJ49" s="314">
        <f t="shared" si="29"/>
        <v>0</v>
      </c>
      <c r="AK49" s="227"/>
    </row>
    <row r="50" spans="1:83" ht="15.95" customHeight="1" outlineLevel="2">
      <c r="A50" s="74"/>
      <c r="B50" s="70"/>
      <c r="C50" s="296"/>
      <c r="D50" s="62"/>
      <c r="E50" s="297" t="s">
        <v>91</v>
      </c>
      <c r="F50" s="63" t="s">
        <v>92</v>
      </c>
      <c r="G50" s="75"/>
      <c r="H50" s="627"/>
      <c r="I50" s="1330">
        <v>0</v>
      </c>
      <c r="J50" s="1181">
        <f t="shared" si="11"/>
        <v>8.5000000000000006E-2</v>
      </c>
      <c r="K50" s="1323">
        <f t="shared" si="12"/>
        <v>0</v>
      </c>
      <c r="L50" s="1220">
        <f t="shared" si="13"/>
        <v>0</v>
      </c>
      <c r="M50" s="1221">
        <f t="shared" si="14"/>
        <v>0</v>
      </c>
      <c r="N50" s="1222">
        <f t="shared" si="15"/>
        <v>0</v>
      </c>
      <c r="O50" s="1189"/>
      <c r="P50" s="1512">
        <f t="shared" si="16"/>
        <v>0</v>
      </c>
      <c r="Q50" s="1518">
        <f t="shared" si="17"/>
        <v>0</v>
      </c>
      <c r="R50" s="1514">
        <f t="shared" si="18"/>
        <v>0</v>
      </c>
      <c r="S50" s="1189"/>
      <c r="T50" s="1652">
        <f t="shared" si="19"/>
        <v>0</v>
      </c>
      <c r="U50" s="1653">
        <f t="shared" si="20"/>
        <v>0</v>
      </c>
      <c r="V50" s="1654">
        <f t="shared" si="21"/>
        <v>0</v>
      </c>
      <c r="W50" s="1651"/>
      <c r="X50" s="1652">
        <f t="shared" si="22"/>
        <v>0</v>
      </c>
      <c r="Y50" s="1653">
        <f t="shared" si="23"/>
        <v>0</v>
      </c>
      <c r="Z50" s="1654">
        <f t="shared" si="24"/>
        <v>0</v>
      </c>
      <c r="AA50" s="1243"/>
      <c r="AB50" s="309">
        <f t="shared" si="25"/>
        <v>0</v>
      </c>
      <c r="AC50" s="1261"/>
      <c r="AD50" s="227"/>
      <c r="AE50" s="68"/>
      <c r="AF50" s="311">
        <f t="shared" si="26"/>
        <v>0</v>
      </c>
      <c r="AG50" s="381">
        <f t="shared" si="27"/>
        <v>0</v>
      </c>
      <c r="AH50" s="227"/>
      <c r="AI50" s="313">
        <f t="shared" si="28"/>
        <v>0</v>
      </c>
      <c r="AJ50" s="314">
        <f t="shared" si="29"/>
        <v>0</v>
      </c>
      <c r="AK50" s="227"/>
    </row>
    <row r="51" spans="1:83" ht="15.95" customHeight="1" outlineLevel="2">
      <c r="A51" s="74"/>
      <c r="B51" s="70"/>
      <c r="C51" s="296"/>
      <c r="D51" s="62"/>
      <c r="E51" s="297" t="s">
        <v>93</v>
      </c>
      <c r="F51" s="63" t="s">
        <v>94</v>
      </c>
      <c r="G51" s="75"/>
      <c r="H51" s="1191"/>
      <c r="I51" s="1330">
        <v>0</v>
      </c>
      <c r="J51" s="1181">
        <f t="shared" si="11"/>
        <v>8.5000000000000006E-2</v>
      </c>
      <c r="K51" s="1323">
        <f t="shared" si="12"/>
        <v>0</v>
      </c>
      <c r="L51" s="1220">
        <f>I51+K51</f>
        <v>0</v>
      </c>
      <c r="M51" s="1221">
        <f>I51/$G$5</f>
        <v>0</v>
      </c>
      <c r="N51" s="1222">
        <f t="shared" si="15"/>
        <v>0</v>
      </c>
      <c r="O51" s="1189"/>
      <c r="P51" s="1512">
        <f t="shared" si="16"/>
        <v>0</v>
      </c>
      <c r="Q51" s="1518">
        <f t="shared" si="17"/>
        <v>0</v>
      </c>
      <c r="R51" s="1514">
        <f t="shared" si="18"/>
        <v>0</v>
      </c>
      <c r="S51" s="1189"/>
      <c r="T51" s="1652">
        <f>M51*$U$5</f>
        <v>0</v>
      </c>
      <c r="U51" s="1653">
        <f t="shared" si="20"/>
        <v>0</v>
      </c>
      <c r="V51" s="1654">
        <f t="shared" si="21"/>
        <v>0</v>
      </c>
      <c r="W51" s="1651"/>
      <c r="X51" s="1652">
        <f>M51*$Y$5</f>
        <v>0</v>
      </c>
      <c r="Y51" s="1653">
        <f t="shared" si="23"/>
        <v>0</v>
      </c>
      <c r="Z51" s="1654">
        <f t="shared" si="24"/>
        <v>0</v>
      </c>
      <c r="AA51" s="1243"/>
      <c r="AB51" s="309">
        <f t="shared" si="25"/>
        <v>0</v>
      </c>
      <c r="AC51" s="1261"/>
      <c r="AD51" s="227"/>
      <c r="AE51" s="68"/>
      <c r="AF51" s="311">
        <f t="shared" si="26"/>
        <v>0</v>
      </c>
      <c r="AG51" s="381">
        <f t="shared" si="27"/>
        <v>0</v>
      </c>
      <c r="AH51" s="227"/>
      <c r="AI51" s="313">
        <f t="shared" si="28"/>
        <v>0</v>
      </c>
      <c r="AJ51" s="314">
        <f t="shared" si="29"/>
        <v>0</v>
      </c>
      <c r="AK51" s="227"/>
    </row>
    <row r="52" spans="1:83" ht="15.95" customHeight="1" outlineLevel="2">
      <c r="A52" s="74"/>
      <c r="B52" s="70"/>
      <c r="C52" s="296"/>
      <c r="D52" s="62"/>
      <c r="E52" s="297" t="s">
        <v>95</v>
      </c>
      <c r="F52" s="63" t="s">
        <v>341</v>
      </c>
      <c r="G52" s="75"/>
      <c r="H52" s="604"/>
      <c r="I52" s="1330">
        <v>0</v>
      </c>
      <c r="J52" s="1181">
        <f t="shared" si="11"/>
        <v>8.5000000000000006E-2</v>
      </c>
      <c r="K52" s="1323">
        <f t="shared" si="12"/>
        <v>0</v>
      </c>
      <c r="L52" s="1220">
        <f t="shared" si="13"/>
        <v>0</v>
      </c>
      <c r="M52" s="1221">
        <f t="shared" si="14"/>
        <v>0</v>
      </c>
      <c r="N52" s="1222">
        <f t="shared" si="15"/>
        <v>0</v>
      </c>
      <c r="O52" s="1331"/>
      <c r="P52" s="1512">
        <f t="shared" si="16"/>
        <v>0</v>
      </c>
      <c r="Q52" s="1518">
        <f t="shared" si="17"/>
        <v>0</v>
      </c>
      <c r="R52" s="1514">
        <f t="shared" si="18"/>
        <v>0</v>
      </c>
      <c r="S52" s="1189"/>
      <c r="T52" s="1652">
        <f t="shared" si="19"/>
        <v>0</v>
      </c>
      <c r="U52" s="1653">
        <f t="shared" si="20"/>
        <v>0</v>
      </c>
      <c r="V52" s="1654">
        <f t="shared" si="21"/>
        <v>0</v>
      </c>
      <c r="W52" s="1651"/>
      <c r="X52" s="1652">
        <f t="shared" si="22"/>
        <v>0</v>
      </c>
      <c r="Y52" s="1653">
        <f t="shared" si="23"/>
        <v>0</v>
      </c>
      <c r="Z52" s="1654">
        <f t="shared" si="24"/>
        <v>0</v>
      </c>
      <c r="AA52" s="1243"/>
      <c r="AB52" s="309">
        <f t="shared" si="25"/>
        <v>0</v>
      </c>
      <c r="AC52" s="1261"/>
      <c r="AD52" s="227"/>
      <c r="AE52" s="68"/>
      <c r="AF52" s="311">
        <f t="shared" si="26"/>
        <v>0</v>
      </c>
      <c r="AG52" s="381">
        <f t="shared" si="27"/>
        <v>0</v>
      </c>
      <c r="AH52" s="227"/>
      <c r="AI52" s="313">
        <f t="shared" si="28"/>
        <v>0</v>
      </c>
      <c r="AJ52" s="314">
        <f t="shared" si="29"/>
        <v>0</v>
      </c>
      <c r="AK52" s="227"/>
    </row>
    <row r="53" spans="1:83" ht="15.95" customHeight="1" outlineLevel="2">
      <c r="A53" s="74"/>
      <c r="B53" s="70"/>
      <c r="C53" s="296"/>
      <c r="D53" s="62"/>
      <c r="E53" s="297" t="s">
        <v>96</v>
      </c>
      <c r="F53" s="63" t="s">
        <v>82</v>
      </c>
      <c r="G53" s="75"/>
      <c r="H53" s="65"/>
      <c r="I53" s="1336">
        <v>0</v>
      </c>
      <c r="J53" s="1204">
        <f t="shared" si="11"/>
        <v>8.5000000000000006E-2</v>
      </c>
      <c r="K53" s="1325">
        <f t="shared" si="12"/>
        <v>0</v>
      </c>
      <c r="L53" s="1205">
        <f t="shared" si="13"/>
        <v>0</v>
      </c>
      <c r="M53" s="1206">
        <f t="shared" si="14"/>
        <v>0</v>
      </c>
      <c r="N53" s="1207">
        <f t="shared" si="15"/>
        <v>0</v>
      </c>
      <c r="O53" s="1189"/>
      <c r="P53" s="1515">
        <f t="shared" si="16"/>
        <v>0</v>
      </c>
      <c r="Q53" s="1516">
        <f t="shared" si="17"/>
        <v>0</v>
      </c>
      <c r="R53" s="1517">
        <f t="shared" si="18"/>
        <v>0</v>
      </c>
      <c r="S53" s="1189"/>
      <c r="T53" s="1655">
        <f t="shared" si="19"/>
        <v>0</v>
      </c>
      <c r="U53" s="1656">
        <f t="shared" si="20"/>
        <v>0</v>
      </c>
      <c r="V53" s="1657">
        <f t="shared" si="21"/>
        <v>0</v>
      </c>
      <c r="W53" s="1651"/>
      <c r="X53" s="1655">
        <f t="shared" si="22"/>
        <v>0</v>
      </c>
      <c r="Y53" s="1656">
        <f t="shared" si="23"/>
        <v>0</v>
      </c>
      <c r="Z53" s="1657">
        <f t="shared" si="24"/>
        <v>0</v>
      </c>
      <c r="AA53" s="1243"/>
      <c r="AB53" s="315">
        <f t="shared" si="25"/>
        <v>0</v>
      </c>
      <c r="AC53" s="1262"/>
      <c r="AD53" s="227"/>
      <c r="AE53" s="71"/>
      <c r="AF53" s="317">
        <f t="shared" si="26"/>
        <v>0</v>
      </c>
      <c r="AG53" s="381">
        <f t="shared" si="27"/>
        <v>0</v>
      </c>
      <c r="AH53" s="227"/>
      <c r="AI53" s="313">
        <f t="shared" si="28"/>
        <v>0</v>
      </c>
      <c r="AJ53" s="329">
        <f t="shared" si="29"/>
        <v>0</v>
      </c>
      <c r="AK53" s="227"/>
    </row>
    <row r="54" spans="1:83" s="32" customFormat="1" ht="15.95" customHeight="1" outlineLevel="1">
      <c r="A54" s="410" t="s">
        <v>97</v>
      </c>
      <c r="B54" s="411" t="s">
        <v>98</v>
      </c>
      <c r="C54" s="296"/>
      <c r="D54" s="1354" t="s">
        <v>342</v>
      </c>
      <c r="E54" s="297"/>
      <c r="F54" s="1355" t="s">
        <v>99</v>
      </c>
      <c r="G54" s="1356"/>
      <c r="H54" s="1357"/>
      <c r="I54" s="1865">
        <f>SUM(I55:I57)</f>
        <v>69300</v>
      </c>
      <c r="J54" s="1358"/>
      <c r="K54" s="298">
        <f>SUM(K55:K57)</f>
        <v>5890.5</v>
      </c>
      <c r="L54" s="431">
        <f>SUM(L55:L57)</f>
        <v>75190.5</v>
      </c>
      <c r="M54" s="1359">
        <f>SUM(M55:M57)</f>
        <v>13.20754716981132</v>
      </c>
      <c r="N54" s="1360">
        <f>SUM(N55:N57)</f>
        <v>990</v>
      </c>
      <c r="O54" s="227"/>
      <c r="P54" s="1534">
        <f>SUM(P55:P57)</f>
        <v>34650</v>
      </c>
      <c r="Q54" s="1532">
        <f>SUM(Q55:Q57)</f>
        <v>2945.25</v>
      </c>
      <c r="R54" s="1533">
        <f>SUM(R55:R57)</f>
        <v>37595.25</v>
      </c>
      <c r="S54" s="1216"/>
      <c r="T54" s="1671">
        <f>SUM(T55:T57)</f>
        <v>34650</v>
      </c>
      <c r="U54" s="1668">
        <f>SUM(U55:U57)</f>
        <v>2945.25</v>
      </c>
      <c r="V54" s="1669">
        <f>SUM(V55:V57)</f>
        <v>37595.25</v>
      </c>
      <c r="W54" s="1646"/>
      <c r="X54" s="1672">
        <f>SUM(X55:X57)</f>
        <v>0</v>
      </c>
      <c r="Y54" s="1668">
        <f>SUM(Y55:Y57)</f>
        <v>0</v>
      </c>
      <c r="Z54" s="1669">
        <f>SUM(Z55:Z57)</f>
        <v>0</v>
      </c>
      <c r="AA54" s="1249"/>
      <c r="AB54" s="432">
        <f>SUM(AB55:AB57)</f>
        <v>0</v>
      </c>
      <c r="AC54" s="1351">
        <f>SUM(AC55:AC57)</f>
        <v>0</v>
      </c>
      <c r="AD54" s="227"/>
      <c r="AE54" s="1344">
        <f t="shared" ref="AE54:AG54" si="30">SUM(AE55:AE57)</f>
        <v>0</v>
      </c>
      <c r="AF54" s="1361">
        <f t="shared" si="30"/>
        <v>0</v>
      </c>
      <c r="AG54" s="1345">
        <f t="shared" si="30"/>
        <v>0</v>
      </c>
      <c r="AH54" s="227"/>
      <c r="AI54" s="1362">
        <f t="shared" ref="AI54:AJ54" si="31">SUM(AI55:AI57)</f>
        <v>69300</v>
      </c>
      <c r="AJ54" s="1368">
        <f t="shared" si="31"/>
        <v>69300</v>
      </c>
      <c r="AK54" s="227"/>
      <c r="AL54" s="1363"/>
      <c r="AM54" s="1363"/>
      <c r="AN54" s="1363"/>
      <c r="AO54" s="1363"/>
      <c r="AP54" s="1363"/>
      <c r="AQ54" s="1363"/>
      <c r="AR54" s="1363"/>
      <c r="AS54" s="1363"/>
      <c r="AT54" s="1363"/>
      <c r="AU54" s="1363"/>
      <c r="AV54" s="1363"/>
      <c r="AW54" s="649"/>
      <c r="AX54" s="649"/>
      <c r="AY54" s="649"/>
      <c r="AZ54" s="649"/>
      <c r="BA54" s="649"/>
      <c r="BB54" s="649"/>
      <c r="BC54" s="649"/>
      <c r="BD54" s="649"/>
      <c r="BE54" s="649"/>
      <c r="BF54" s="649"/>
      <c r="BG54" s="649"/>
      <c r="BH54" s="649"/>
      <c r="BI54" s="649"/>
      <c r="BJ54" s="649"/>
      <c r="BK54" s="649"/>
      <c r="BL54" s="418"/>
      <c r="BM54" s="418"/>
      <c r="BN54" s="418"/>
      <c r="BO54" s="418"/>
      <c r="BP54" s="418"/>
      <c r="BQ54" s="418"/>
      <c r="BR54" s="418"/>
      <c r="BS54" s="418"/>
      <c r="BT54" s="418"/>
      <c r="BU54" s="418"/>
      <c r="BV54" s="418"/>
      <c r="BW54" s="418"/>
      <c r="BX54" s="418"/>
      <c r="BY54" s="418"/>
      <c r="BZ54" s="418"/>
      <c r="CA54" s="418"/>
      <c r="CB54" s="418"/>
      <c r="CC54" s="418"/>
      <c r="CD54" s="418"/>
      <c r="CE54" s="418"/>
    </row>
    <row r="55" spans="1:83" ht="15.95" customHeight="1" outlineLevel="2">
      <c r="A55" s="74"/>
      <c r="B55" s="70"/>
      <c r="C55" s="296"/>
      <c r="D55" s="62"/>
      <c r="E55" s="297" t="s">
        <v>100</v>
      </c>
      <c r="F55" s="89" t="s">
        <v>419</v>
      </c>
      <c r="G55" s="75"/>
      <c r="H55" s="65">
        <v>310</v>
      </c>
      <c r="I55" s="1326">
        <f>H55*G2</f>
        <v>21700</v>
      </c>
      <c r="J55" s="1214">
        <f>TVAN</f>
        <v>8.5000000000000006E-2</v>
      </c>
      <c r="K55" s="1327">
        <f>I55*J55</f>
        <v>1844.5000000000002</v>
      </c>
      <c r="L55" s="1215">
        <f>I55+K55</f>
        <v>23544.5</v>
      </c>
      <c r="M55" s="1194">
        <f>I55/$G$5</f>
        <v>4.1356965885267769</v>
      </c>
      <c r="N55" s="1195">
        <f>I55/$G$2</f>
        <v>310</v>
      </c>
      <c r="O55" s="1331"/>
      <c r="P55" s="1512">
        <f>M55*$Q$5</f>
        <v>10850</v>
      </c>
      <c r="Q55" s="1510">
        <f>P55*J55</f>
        <v>922.25000000000011</v>
      </c>
      <c r="R55" s="1511">
        <f>P55+Q55</f>
        <v>11772.25</v>
      </c>
      <c r="S55" s="1189"/>
      <c r="T55" s="1652">
        <f>M55*$U$5</f>
        <v>10850</v>
      </c>
      <c r="U55" s="1649">
        <f>T55*J55</f>
        <v>922.25000000000011</v>
      </c>
      <c r="V55" s="1650">
        <f>T55+U55</f>
        <v>11772.25</v>
      </c>
      <c r="W55" s="1651"/>
      <c r="X55" s="1652">
        <f>M55*$Y$5</f>
        <v>0</v>
      </c>
      <c r="Y55" s="1649">
        <f>X55*J55</f>
        <v>0</v>
      </c>
      <c r="Z55" s="1650">
        <f>X55+Y55</f>
        <v>0</v>
      </c>
      <c r="AA55" s="1243"/>
      <c r="AB55" s="303">
        <f>I55-(P55+T55+X55)</f>
        <v>0</v>
      </c>
      <c r="AC55" s="1261"/>
      <c r="AD55" s="227"/>
      <c r="AE55" s="310"/>
      <c r="AF55" s="305">
        <f>AE55*J55</f>
        <v>0</v>
      </c>
      <c r="AG55" s="381">
        <f>AF55+AE55</f>
        <v>0</v>
      </c>
      <c r="AH55" s="227"/>
      <c r="AI55" s="307">
        <f>I55-AC55</f>
        <v>21700</v>
      </c>
      <c r="AJ55" s="326">
        <f>I55-AE55</f>
        <v>21700</v>
      </c>
      <c r="AK55" s="227"/>
    </row>
    <row r="56" spans="1:83" s="89" customFormat="1" ht="15.95" customHeight="1" outlineLevel="2">
      <c r="A56" s="74"/>
      <c r="B56" s="70"/>
      <c r="C56" s="296"/>
      <c r="D56" s="62"/>
      <c r="E56" s="297" t="s">
        <v>101</v>
      </c>
      <c r="F56" s="89" t="s">
        <v>343</v>
      </c>
      <c r="G56" s="75"/>
      <c r="H56" s="65">
        <v>500</v>
      </c>
      <c r="I56" s="1322">
        <f>H56*G2</f>
        <v>35000</v>
      </c>
      <c r="J56" s="1181">
        <f>TVAN</f>
        <v>8.5000000000000006E-2</v>
      </c>
      <c r="K56" s="1323">
        <f>I56*J56</f>
        <v>2975</v>
      </c>
      <c r="L56" s="1220">
        <f>I56+K56</f>
        <v>37975</v>
      </c>
      <c r="M56" s="1221">
        <f>I56/$G$5</f>
        <v>6.6704783685915761</v>
      </c>
      <c r="N56" s="1222">
        <f>I56/$G$2</f>
        <v>500</v>
      </c>
      <c r="O56" s="1331"/>
      <c r="P56" s="1512">
        <f>M56*$Q$5</f>
        <v>17500</v>
      </c>
      <c r="Q56" s="1513">
        <f>P56*J56</f>
        <v>1487.5</v>
      </c>
      <c r="R56" s="1514">
        <f>P56+Q56</f>
        <v>18987.5</v>
      </c>
      <c r="S56" s="1189"/>
      <c r="T56" s="1652">
        <f>M56*$U$5</f>
        <v>17500</v>
      </c>
      <c r="U56" s="1653">
        <f>T56*J56</f>
        <v>1487.5</v>
      </c>
      <c r="V56" s="1654">
        <f>T56+U56</f>
        <v>18987.5</v>
      </c>
      <c r="W56" s="1651"/>
      <c r="X56" s="1652">
        <f>M56*$Y$5</f>
        <v>0</v>
      </c>
      <c r="Y56" s="1653">
        <f>X56*J56</f>
        <v>0</v>
      </c>
      <c r="Z56" s="1654">
        <f>X56+Y56</f>
        <v>0</v>
      </c>
      <c r="AA56" s="1243"/>
      <c r="AB56" s="309">
        <f>I56-(P56+T56+X56)</f>
        <v>0</v>
      </c>
      <c r="AC56" s="1261"/>
      <c r="AD56" s="227"/>
      <c r="AE56" s="310"/>
      <c r="AF56" s="311">
        <f>AE56*J56</f>
        <v>0</v>
      </c>
      <c r="AG56" s="381">
        <f>AF56+AE56</f>
        <v>0</v>
      </c>
      <c r="AH56" s="227"/>
      <c r="AI56" s="313">
        <f>I56-AC56</f>
        <v>35000</v>
      </c>
      <c r="AJ56" s="329">
        <f>I56-AE56</f>
        <v>35000</v>
      </c>
      <c r="AK56" s="227"/>
      <c r="AL56" s="383"/>
      <c r="AM56" s="383"/>
      <c r="AN56" s="383"/>
      <c r="AO56" s="383"/>
      <c r="AP56" s="383"/>
      <c r="AQ56" s="383"/>
      <c r="AR56" s="383"/>
      <c r="AS56" s="383"/>
      <c r="AT56" s="383"/>
      <c r="AU56" s="383"/>
      <c r="AV56" s="383"/>
      <c r="AW56" s="383"/>
      <c r="AX56" s="383"/>
      <c r="AY56" s="383"/>
      <c r="AZ56" s="383"/>
      <c r="BA56" s="383"/>
      <c r="BB56" s="383"/>
      <c r="BC56" s="383"/>
      <c r="BD56" s="383"/>
      <c r="BE56" s="383"/>
      <c r="BF56" s="383"/>
      <c r="BG56" s="383"/>
      <c r="BH56" s="383"/>
      <c r="BI56" s="383"/>
      <c r="BJ56" s="383"/>
      <c r="BK56" s="383"/>
    </row>
    <row r="57" spans="1:83" ht="15.75" customHeight="1" outlineLevel="2">
      <c r="A57" s="74"/>
      <c r="B57" s="70"/>
      <c r="C57" s="296"/>
      <c r="D57" s="62"/>
      <c r="E57" s="297" t="s">
        <v>101</v>
      </c>
      <c r="F57" s="89" t="s">
        <v>102</v>
      </c>
      <c r="G57" s="75"/>
      <c r="H57" s="65">
        <f>180</f>
        <v>180</v>
      </c>
      <c r="I57" s="1336">
        <f>H57*(G2)</f>
        <v>12600</v>
      </c>
      <c r="J57" s="1204">
        <f>TVAN</f>
        <v>8.5000000000000006E-2</v>
      </c>
      <c r="K57" s="1325">
        <f>I57*J57</f>
        <v>1071</v>
      </c>
      <c r="L57" s="1205">
        <f>I57+K57</f>
        <v>13671</v>
      </c>
      <c r="M57" s="1206">
        <f>I57/$G$5</f>
        <v>2.4013722126929675</v>
      </c>
      <c r="N57" s="1207">
        <f>I57/$G$2</f>
        <v>180</v>
      </c>
      <c r="O57" s="1331"/>
      <c r="P57" s="1515">
        <f>M57*$Q$5</f>
        <v>6300</v>
      </c>
      <c r="Q57" s="1516">
        <f>P57*J57</f>
        <v>535.5</v>
      </c>
      <c r="R57" s="1517">
        <f>P57+Q57</f>
        <v>6835.5</v>
      </c>
      <c r="S57" s="1189"/>
      <c r="T57" s="1655">
        <f>M57*$U$5</f>
        <v>6300</v>
      </c>
      <c r="U57" s="1656">
        <f>T57*J57</f>
        <v>535.5</v>
      </c>
      <c r="V57" s="1657">
        <f>T57+U57</f>
        <v>6835.5</v>
      </c>
      <c r="W57" s="1651"/>
      <c r="X57" s="1655">
        <f>M57*$Y$5</f>
        <v>0</v>
      </c>
      <c r="Y57" s="1656">
        <f>X57*J57</f>
        <v>0</v>
      </c>
      <c r="Z57" s="1657">
        <f>X57+Y57</f>
        <v>0</v>
      </c>
      <c r="AA57" s="1243"/>
      <c r="AB57" s="315">
        <f>I57-(P57+T57+X57)</f>
        <v>0</v>
      </c>
      <c r="AC57" s="1261"/>
      <c r="AD57" s="227"/>
      <c r="AE57" s="310"/>
      <c r="AF57" s="317">
        <f>AE57*J57</f>
        <v>0</v>
      </c>
      <c r="AG57" s="381">
        <f>AF57+AE57</f>
        <v>0</v>
      </c>
      <c r="AH57" s="227"/>
      <c r="AI57" s="313">
        <f>I57-AC57</f>
        <v>12600</v>
      </c>
      <c r="AJ57" s="329">
        <f>I57-AE57</f>
        <v>12600</v>
      </c>
      <c r="AK57" s="227"/>
    </row>
    <row r="58" spans="1:83" s="32" customFormat="1" ht="15.95" customHeight="1" outlineLevel="1">
      <c r="A58" s="410" t="s">
        <v>103</v>
      </c>
      <c r="B58" s="411" t="s">
        <v>104</v>
      </c>
      <c r="C58" s="296"/>
      <c r="D58" s="1354" t="s">
        <v>105</v>
      </c>
      <c r="E58" s="297"/>
      <c r="F58" s="1355" t="s">
        <v>344</v>
      </c>
      <c r="G58" s="1356"/>
      <c r="H58" s="1357"/>
      <c r="I58" s="659">
        <f>SUM(I59:I62)</f>
        <v>0</v>
      </c>
      <c r="J58" s="1358"/>
      <c r="K58" s="298">
        <f>SUM(K59:K62)</f>
        <v>0</v>
      </c>
      <c r="L58" s="431">
        <f>SUM(L59:L62)</f>
        <v>0</v>
      </c>
      <c r="M58" s="1359">
        <f>SUM(M59:M62)</f>
        <v>0</v>
      </c>
      <c r="N58" s="1360">
        <f>SUM(N59:N62)</f>
        <v>0</v>
      </c>
      <c r="O58" s="227"/>
      <c r="P58" s="1535">
        <f>SUM(P59:P62)</f>
        <v>0</v>
      </c>
      <c r="Q58" s="1532">
        <f>SUM(Q59:Q62)</f>
        <v>0</v>
      </c>
      <c r="R58" s="1533">
        <f>SUM(R59:R62)</f>
        <v>0</v>
      </c>
      <c r="S58" s="1216"/>
      <c r="T58" s="1670">
        <f>SUM(T59:T62)</f>
        <v>0</v>
      </c>
      <c r="U58" s="1668">
        <f>SUM(U59:U62)</f>
        <v>0</v>
      </c>
      <c r="V58" s="1669">
        <f>SUM(V59:V62)</f>
        <v>0</v>
      </c>
      <c r="W58" s="1646"/>
      <c r="X58" s="1670">
        <f>SUM(X59:X62)</f>
        <v>0</v>
      </c>
      <c r="Y58" s="1668">
        <f>SUM(Y59:Y62)</f>
        <v>0</v>
      </c>
      <c r="Z58" s="1669">
        <f>SUM(Z59:Z62)</f>
        <v>0</v>
      </c>
      <c r="AA58" s="1249"/>
      <c r="AB58" s="432">
        <f>SUM(AB59:AB62)</f>
        <v>0</v>
      </c>
      <c r="AC58" s="1364">
        <f>SUM(AC59:AC62)</f>
        <v>0</v>
      </c>
      <c r="AD58" s="227"/>
      <c r="AE58" s="1365">
        <f t="shared" ref="AE58:AG58" si="32">SUM(AE59:AE62)</f>
        <v>0</v>
      </c>
      <c r="AF58" s="1366">
        <f t="shared" si="32"/>
        <v>0</v>
      </c>
      <c r="AG58" s="1367">
        <f t="shared" si="32"/>
        <v>0</v>
      </c>
      <c r="AH58" s="227"/>
      <c r="AI58" s="1362">
        <f t="shared" ref="AI58:AJ58" si="33">SUM(AI59:AI62)</f>
        <v>0</v>
      </c>
      <c r="AJ58" s="1367">
        <f t="shared" si="33"/>
        <v>0</v>
      </c>
      <c r="AK58" s="227"/>
      <c r="AL58" s="1363"/>
      <c r="AM58" s="1363"/>
      <c r="AN58" s="1363"/>
      <c r="AO58" s="1363"/>
      <c r="AP58" s="1363"/>
      <c r="AQ58" s="1363"/>
      <c r="AR58" s="1363"/>
      <c r="AS58" s="1363"/>
      <c r="AT58" s="1363"/>
      <c r="AU58" s="1363"/>
      <c r="AV58" s="1363"/>
      <c r="AW58" s="649"/>
      <c r="AX58" s="649"/>
      <c r="AY58" s="649"/>
      <c r="AZ58" s="649"/>
      <c r="BA58" s="649"/>
      <c r="BB58" s="649"/>
      <c r="BC58" s="649"/>
      <c r="BD58" s="649"/>
      <c r="BE58" s="649"/>
      <c r="BF58" s="649"/>
      <c r="BG58" s="649"/>
      <c r="BH58" s="649"/>
      <c r="BI58" s="649"/>
      <c r="BJ58" s="649"/>
      <c r="BK58" s="649"/>
      <c r="BL58" s="418"/>
      <c r="BM58" s="418"/>
      <c r="BN58" s="418"/>
      <c r="BO58" s="418"/>
      <c r="BP58" s="418"/>
      <c r="BQ58" s="418"/>
      <c r="BR58" s="418"/>
      <c r="BS58" s="418"/>
      <c r="BT58" s="418"/>
      <c r="BU58" s="418"/>
      <c r="BV58" s="418"/>
      <c r="BW58" s="418"/>
      <c r="BX58" s="418"/>
      <c r="BY58" s="418"/>
      <c r="BZ58" s="418"/>
      <c r="CA58" s="418"/>
      <c r="CB58" s="418"/>
      <c r="CC58" s="418"/>
      <c r="CD58" s="418"/>
      <c r="CE58" s="418"/>
    </row>
    <row r="59" spans="1:83" ht="15.95" customHeight="1" outlineLevel="2">
      <c r="A59" s="74"/>
      <c r="B59" s="70"/>
      <c r="C59" s="385" t="s">
        <v>345</v>
      </c>
      <c r="D59" s="62"/>
      <c r="E59" s="297" t="s">
        <v>106</v>
      </c>
      <c r="F59" s="63" t="s">
        <v>346</v>
      </c>
      <c r="G59" s="75"/>
      <c r="H59" s="65"/>
      <c r="I59" s="1332"/>
      <c r="J59" s="1214">
        <f>TVAN</f>
        <v>8.5000000000000006E-2</v>
      </c>
      <c r="K59" s="1327">
        <f>I59*J59</f>
        <v>0</v>
      </c>
      <c r="L59" s="1215">
        <f>I59+K59</f>
        <v>0</v>
      </c>
      <c r="M59" s="1194">
        <f>I59/$G$5</f>
        <v>0</v>
      </c>
      <c r="N59" s="1195">
        <f>I59/$G$2</f>
        <v>0</v>
      </c>
      <c r="O59" s="1189"/>
      <c r="P59" s="1536">
        <f>M59*$Q$5</f>
        <v>0</v>
      </c>
      <c r="Q59" s="1510">
        <f>P59*J59</f>
        <v>0</v>
      </c>
      <c r="R59" s="1511">
        <f>P59+Q59</f>
        <v>0</v>
      </c>
      <c r="S59" s="1189"/>
      <c r="T59" s="1673">
        <f>M59*$U$5</f>
        <v>0</v>
      </c>
      <c r="U59" s="1649">
        <f>T59*J59</f>
        <v>0</v>
      </c>
      <c r="V59" s="1650">
        <f>T59+U59</f>
        <v>0</v>
      </c>
      <c r="W59" s="1651"/>
      <c r="X59" s="1673">
        <f>M59*$Y$5</f>
        <v>0</v>
      </c>
      <c r="Y59" s="1649">
        <f>X59*J59</f>
        <v>0</v>
      </c>
      <c r="Z59" s="1650">
        <f>X59+Y59</f>
        <v>0</v>
      </c>
      <c r="AA59" s="1243"/>
      <c r="AB59" s="303">
        <f>I59-(P59+T59+X59)</f>
        <v>0</v>
      </c>
      <c r="AC59" s="1265"/>
      <c r="AD59" s="227"/>
      <c r="AE59" s="304"/>
      <c r="AF59" s="305">
        <f>AE59*J59</f>
        <v>0</v>
      </c>
      <c r="AG59" s="380">
        <f>AF59+AE59</f>
        <v>0</v>
      </c>
      <c r="AH59" s="227"/>
      <c r="AI59" s="307">
        <f>I59-AC59</f>
        <v>0</v>
      </c>
      <c r="AJ59" s="308">
        <f>I59-AE59</f>
        <v>0</v>
      </c>
      <c r="AK59" s="227"/>
    </row>
    <row r="60" spans="1:83" ht="15.95" customHeight="1" outlineLevel="2">
      <c r="A60" s="74"/>
      <c r="B60" s="70"/>
      <c r="C60" s="386"/>
      <c r="D60" s="62"/>
      <c r="E60" s="297" t="s">
        <v>108</v>
      </c>
      <c r="F60" s="63" t="s">
        <v>347</v>
      </c>
      <c r="G60" s="75"/>
      <c r="H60" s="65"/>
      <c r="I60" s="1322"/>
      <c r="J60" s="1181">
        <f>TVAN</f>
        <v>8.5000000000000006E-2</v>
      </c>
      <c r="K60" s="1323">
        <f>I60*J60</f>
        <v>0</v>
      </c>
      <c r="L60" s="1220">
        <f>I60+K60</f>
        <v>0</v>
      </c>
      <c r="M60" s="1221">
        <f>I60/$G$5</f>
        <v>0</v>
      </c>
      <c r="N60" s="1222">
        <f>I60/$G$2</f>
        <v>0</v>
      </c>
      <c r="O60" s="1189"/>
      <c r="P60" s="1512">
        <f>M60*$Q$5</f>
        <v>0</v>
      </c>
      <c r="Q60" s="1513">
        <f>P60*J60</f>
        <v>0</v>
      </c>
      <c r="R60" s="1514">
        <f>P60+Q60</f>
        <v>0</v>
      </c>
      <c r="S60" s="1189"/>
      <c r="T60" s="1652">
        <f>M60*$U$5</f>
        <v>0</v>
      </c>
      <c r="U60" s="1653">
        <f>T60*J60</f>
        <v>0</v>
      </c>
      <c r="V60" s="1654">
        <f>T60+U60</f>
        <v>0</v>
      </c>
      <c r="W60" s="1651"/>
      <c r="X60" s="1652">
        <f>M60*$Y$5</f>
        <v>0</v>
      </c>
      <c r="Y60" s="1653">
        <f>X60*J60</f>
        <v>0</v>
      </c>
      <c r="Z60" s="1654">
        <f>X60+Y60</f>
        <v>0</v>
      </c>
      <c r="AA60" s="1243"/>
      <c r="AB60" s="309">
        <f>I60-(P60+T60+X60)</f>
        <v>0</v>
      </c>
      <c r="AC60" s="1261"/>
      <c r="AD60" s="227"/>
      <c r="AE60" s="310"/>
      <c r="AF60" s="311">
        <f>AE60*J60</f>
        <v>0</v>
      </c>
      <c r="AG60" s="381">
        <f>AF60+AE60</f>
        <v>0</v>
      </c>
      <c r="AH60" s="227"/>
      <c r="AI60" s="313">
        <f>I60-AC60</f>
        <v>0</v>
      </c>
      <c r="AJ60" s="314">
        <f>I60-AE60</f>
        <v>0</v>
      </c>
      <c r="AK60" s="227"/>
    </row>
    <row r="61" spans="1:83" ht="15.95" customHeight="1" outlineLevel="2">
      <c r="A61" s="74"/>
      <c r="B61" s="70"/>
      <c r="C61" s="385" t="s">
        <v>345</v>
      </c>
      <c r="D61" s="62"/>
      <c r="E61" s="297" t="s">
        <v>109</v>
      </c>
      <c r="F61" s="63" t="s">
        <v>348</v>
      </c>
      <c r="G61" s="75"/>
      <c r="H61" s="65"/>
      <c r="I61" s="1333"/>
      <c r="J61" s="1181">
        <f>TVAN</f>
        <v>8.5000000000000006E-2</v>
      </c>
      <c r="K61" s="1323">
        <f>I61*J61</f>
        <v>0</v>
      </c>
      <c r="L61" s="1220">
        <f>I61+K61</f>
        <v>0</v>
      </c>
      <c r="M61" s="1221">
        <f>I61/$G$5</f>
        <v>0</v>
      </c>
      <c r="N61" s="1222">
        <f>I61/$G$2</f>
        <v>0</v>
      </c>
      <c r="O61" s="1189"/>
      <c r="P61" s="1537">
        <f>M61*$Q$5</f>
        <v>0</v>
      </c>
      <c r="Q61" s="1513">
        <f>P61*J61</f>
        <v>0</v>
      </c>
      <c r="R61" s="1514">
        <f>P61+Q61</f>
        <v>0</v>
      </c>
      <c r="S61" s="1189"/>
      <c r="T61" s="1674">
        <f>M61*$U$5</f>
        <v>0</v>
      </c>
      <c r="U61" s="1653">
        <f>T61*J61</f>
        <v>0</v>
      </c>
      <c r="V61" s="1654">
        <f>T61+U61</f>
        <v>0</v>
      </c>
      <c r="W61" s="1651"/>
      <c r="X61" s="1674">
        <f>M61*$Y$5</f>
        <v>0</v>
      </c>
      <c r="Y61" s="1653">
        <f>X61*J61</f>
        <v>0</v>
      </c>
      <c r="Z61" s="1654">
        <f>X61+Y61</f>
        <v>0</v>
      </c>
      <c r="AA61" s="1243"/>
      <c r="AB61" s="309">
        <f>I61-(P61+T61+X61)</f>
        <v>0</v>
      </c>
      <c r="AC61" s="1261"/>
      <c r="AD61" s="227"/>
      <c r="AE61" s="310"/>
      <c r="AF61" s="311">
        <f>AE61*J61</f>
        <v>0</v>
      </c>
      <c r="AG61" s="381">
        <f>AF61+AE61</f>
        <v>0</v>
      </c>
      <c r="AH61" s="227"/>
      <c r="AI61" s="313">
        <f>I61-AC61</f>
        <v>0</v>
      </c>
      <c r="AJ61" s="314">
        <f>I61-AE61</f>
        <v>0</v>
      </c>
      <c r="AK61" s="227"/>
    </row>
    <row r="62" spans="1:83" ht="15.95" customHeight="1" outlineLevel="2">
      <c r="A62" s="74"/>
      <c r="B62" s="70"/>
      <c r="C62" s="386"/>
      <c r="D62" s="62"/>
      <c r="E62" s="297" t="s">
        <v>110</v>
      </c>
      <c r="F62" s="99" t="s">
        <v>82</v>
      </c>
      <c r="G62" s="100"/>
      <c r="H62" s="65"/>
      <c r="I62" s="1324"/>
      <c r="J62" s="1204">
        <f>TVAN</f>
        <v>8.5000000000000006E-2</v>
      </c>
      <c r="K62" s="1325">
        <f>I62*J62</f>
        <v>0</v>
      </c>
      <c r="L62" s="1205">
        <f>I62+K62</f>
        <v>0</v>
      </c>
      <c r="M62" s="1206">
        <f>I62/$G$5</f>
        <v>0</v>
      </c>
      <c r="N62" s="1207">
        <f>I62/$G$2</f>
        <v>0</v>
      </c>
      <c r="O62" s="1189"/>
      <c r="P62" s="1515">
        <f>M62*$Q$5</f>
        <v>0</v>
      </c>
      <c r="Q62" s="1516">
        <f>P62*J62</f>
        <v>0</v>
      </c>
      <c r="R62" s="1517">
        <f>P62+Q62</f>
        <v>0</v>
      </c>
      <c r="S62" s="1189"/>
      <c r="T62" s="1655">
        <f>M62*$U$5</f>
        <v>0</v>
      </c>
      <c r="U62" s="1656">
        <f>T62*J62</f>
        <v>0</v>
      </c>
      <c r="V62" s="1657">
        <f>T62+U62</f>
        <v>0</v>
      </c>
      <c r="W62" s="1651"/>
      <c r="X62" s="1655">
        <f>M62*$Y$5</f>
        <v>0</v>
      </c>
      <c r="Y62" s="1656">
        <f>X62*J62</f>
        <v>0</v>
      </c>
      <c r="Z62" s="1657">
        <f>X62+Y62</f>
        <v>0</v>
      </c>
      <c r="AA62" s="1243"/>
      <c r="AB62" s="315">
        <f>I62-(P62+T62+X62)</f>
        <v>0</v>
      </c>
      <c r="AC62" s="1262"/>
      <c r="AD62" s="227"/>
      <c r="AE62" s="316"/>
      <c r="AF62" s="317">
        <f>AE62*J62</f>
        <v>0</v>
      </c>
      <c r="AG62" s="318">
        <f>AF62+AE62</f>
        <v>0</v>
      </c>
      <c r="AH62" s="227"/>
      <c r="AI62" s="319">
        <f>I62-AC62</f>
        <v>0</v>
      </c>
      <c r="AJ62" s="320">
        <f>I62-AE62</f>
        <v>0</v>
      </c>
      <c r="AK62" s="227"/>
    </row>
    <row r="63" spans="1:83" s="32" customFormat="1" ht="15.95" customHeight="1" outlineLevel="1">
      <c r="A63" s="410" t="s">
        <v>111</v>
      </c>
      <c r="B63" s="411" t="s">
        <v>112</v>
      </c>
      <c r="C63" s="296"/>
      <c r="D63" s="1354" t="s">
        <v>349</v>
      </c>
      <c r="E63" s="297"/>
      <c r="F63" s="1355" t="s">
        <v>113</v>
      </c>
      <c r="G63" s="1356"/>
      <c r="H63" s="1357"/>
      <c r="I63" s="659">
        <f>SUM(I64:I68)</f>
        <v>0</v>
      </c>
      <c r="J63" s="1358"/>
      <c r="K63" s="298">
        <f>SUM(K64:K68)</f>
        <v>0</v>
      </c>
      <c r="L63" s="431">
        <f>SUM(L64:L68)</f>
        <v>0</v>
      </c>
      <c r="M63" s="1359">
        <f>SUM(M64:M68)</f>
        <v>0</v>
      </c>
      <c r="N63" s="1360">
        <f>SUM(N64:N68)</f>
        <v>0</v>
      </c>
      <c r="O63" s="227"/>
      <c r="P63" s="1535">
        <f>SUM(P64:P68)</f>
        <v>0</v>
      </c>
      <c r="Q63" s="1532">
        <f>SUM(Q64:Q68)</f>
        <v>0</v>
      </c>
      <c r="R63" s="1533">
        <f>SUM(R64:R68)</f>
        <v>0</v>
      </c>
      <c r="S63" s="1216"/>
      <c r="T63" s="1670">
        <f>SUM(T64:T68)</f>
        <v>0</v>
      </c>
      <c r="U63" s="1668">
        <f>SUM(U64:U68)</f>
        <v>0</v>
      </c>
      <c r="V63" s="1669">
        <f>SUM(V64:V68)</f>
        <v>0</v>
      </c>
      <c r="W63" s="1646"/>
      <c r="X63" s="1670">
        <f>SUM(X64:X68)</f>
        <v>0</v>
      </c>
      <c r="Y63" s="1668">
        <f>SUM(Y64:Y68)</f>
        <v>0</v>
      </c>
      <c r="Z63" s="1669">
        <f>SUM(Z64:Z68)</f>
        <v>0</v>
      </c>
      <c r="AA63" s="1249"/>
      <c r="AB63" s="432">
        <f>SUM(AB64:AB68)</f>
        <v>0</v>
      </c>
      <c r="AC63" s="1351">
        <f>SUM(AC64:AC68)</f>
        <v>0</v>
      </c>
      <c r="AD63" s="227"/>
      <c r="AE63" s="1344">
        <f t="shared" ref="AE63:AG63" si="34">SUM(AE64:AE68)</f>
        <v>0</v>
      </c>
      <c r="AF63" s="1361">
        <f t="shared" si="34"/>
        <v>0</v>
      </c>
      <c r="AG63" s="1345">
        <f t="shared" si="34"/>
        <v>0</v>
      </c>
      <c r="AH63" s="227"/>
      <c r="AI63" s="1362">
        <f t="shared" ref="AI63:AJ63" si="35">SUM(AI64:AI68)</f>
        <v>0</v>
      </c>
      <c r="AJ63" s="131">
        <f t="shared" si="35"/>
        <v>0</v>
      </c>
      <c r="AK63" s="227"/>
      <c r="AL63" s="1363"/>
      <c r="AM63" s="1363"/>
      <c r="AN63" s="1363"/>
      <c r="AO63" s="1363"/>
      <c r="AP63" s="1363"/>
      <c r="AQ63" s="1363"/>
      <c r="AR63" s="1363"/>
      <c r="AS63" s="1363"/>
      <c r="AT63" s="1363"/>
      <c r="AU63" s="1363"/>
      <c r="AV63" s="1363"/>
      <c r="AW63" s="649"/>
      <c r="AX63" s="649"/>
      <c r="AY63" s="649"/>
      <c r="AZ63" s="649"/>
      <c r="BA63" s="649"/>
      <c r="BB63" s="649"/>
      <c r="BC63" s="649"/>
      <c r="BD63" s="649"/>
      <c r="BE63" s="649"/>
      <c r="BF63" s="649"/>
      <c r="BG63" s="649"/>
      <c r="BH63" s="649"/>
      <c r="BI63" s="649"/>
      <c r="BJ63" s="649"/>
      <c r="BK63" s="649"/>
      <c r="BL63" s="418"/>
      <c r="BM63" s="418"/>
      <c r="BN63" s="418"/>
      <c r="BO63" s="418"/>
      <c r="BP63" s="418"/>
      <c r="BQ63" s="418"/>
      <c r="BR63" s="418"/>
      <c r="BS63" s="418"/>
      <c r="BT63" s="418"/>
      <c r="BU63" s="418"/>
      <c r="BV63" s="418"/>
      <c r="BW63" s="418"/>
      <c r="BX63" s="418"/>
      <c r="BY63" s="418"/>
      <c r="BZ63" s="418"/>
      <c r="CA63" s="418"/>
      <c r="CB63" s="418"/>
      <c r="CC63" s="418"/>
      <c r="CD63" s="418"/>
      <c r="CE63" s="418"/>
    </row>
    <row r="64" spans="1:83" ht="15.95" customHeight="1" outlineLevel="2">
      <c r="A64" s="74"/>
      <c r="B64" s="101"/>
      <c r="C64" s="296"/>
      <c r="D64" s="102"/>
      <c r="E64" s="325" t="s">
        <v>114</v>
      </c>
      <c r="F64" s="89" t="s">
        <v>115</v>
      </c>
      <c r="G64" s="103"/>
      <c r="H64" s="65"/>
      <c r="I64" s="1326"/>
      <c r="J64" s="1214">
        <f>TVAN</f>
        <v>8.5000000000000006E-2</v>
      </c>
      <c r="K64" s="1327">
        <f>I64*J64</f>
        <v>0</v>
      </c>
      <c r="L64" s="1215">
        <f>I64+K64</f>
        <v>0</v>
      </c>
      <c r="M64" s="1194">
        <f>I64/$G$5</f>
        <v>0</v>
      </c>
      <c r="N64" s="1195">
        <f>I64/$G$2</f>
        <v>0</v>
      </c>
      <c r="O64" s="1189"/>
      <c r="P64" s="1509">
        <f>M64*$Q$5</f>
        <v>0</v>
      </c>
      <c r="Q64" s="1510">
        <f>P64*J64</f>
        <v>0</v>
      </c>
      <c r="R64" s="1511">
        <f>P64+Q64</f>
        <v>0</v>
      </c>
      <c r="S64" s="1189"/>
      <c r="T64" s="1648">
        <f>M64*$U$5</f>
        <v>0</v>
      </c>
      <c r="U64" s="1649">
        <f>T64*J64</f>
        <v>0</v>
      </c>
      <c r="V64" s="1650">
        <f>T64+U64</f>
        <v>0</v>
      </c>
      <c r="W64" s="1651"/>
      <c r="X64" s="1648">
        <f>M64*$Y$5</f>
        <v>0</v>
      </c>
      <c r="Y64" s="1649">
        <f>X64*J64</f>
        <v>0</v>
      </c>
      <c r="Z64" s="1650">
        <f>X64+Y64</f>
        <v>0</v>
      </c>
      <c r="AA64" s="1243"/>
      <c r="AB64" s="303">
        <f>I64-(P64+T64+X64)</f>
        <v>0</v>
      </c>
      <c r="AC64" s="1265"/>
      <c r="AD64" s="227"/>
      <c r="AE64" s="310"/>
      <c r="AF64" s="311">
        <f>AE64*J64</f>
        <v>0</v>
      </c>
      <c r="AG64" s="381">
        <f>AF64+AE64</f>
        <v>0</v>
      </c>
      <c r="AH64" s="227"/>
      <c r="AI64" s="307">
        <f>I64-AC64</f>
        <v>0</v>
      </c>
      <c r="AJ64" s="308">
        <f>I64-AE64</f>
        <v>0</v>
      </c>
      <c r="AK64" s="227"/>
    </row>
    <row r="65" spans="1:83" ht="15.95" customHeight="1" outlineLevel="2">
      <c r="A65" s="74"/>
      <c r="B65" s="101"/>
      <c r="C65" s="296"/>
      <c r="D65" s="102"/>
      <c r="E65" s="325" t="s">
        <v>116</v>
      </c>
      <c r="F65" s="89" t="s">
        <v>117</v>
      </c>
      <c r="G65" s="103"/>
      <c r="H65" s="65"/>
      <c r="I65" s="1322"/>
      <c r="J65" s="1181">
        <f>TVAN</f>
        <v>8.5000000000000006E-2</v>
      </c>
      <c r="K65" s="1323">
        <f>I65*J65</f>
        <v>0</v>
      </c>
      <c r="L65" s="1220">
        <f>I65+K65</f>
        <v>0</v>
      </c>
      <c r="M65" s="1221">
        <f>I65/$G$5</f>
        <v>0</v>
      </c>
      <c r="N65" s="1222">
        <f>I65/$G$2</f>
        <v>0</v>
      </c>
      <c r="O65" s="1189"/>
      <c r="P65" s="1512">
        <f>M65*$Q$5</f>
        <v>0</v>
      </c>
      <c r="Q65" s="1513">
        <f>P65*J65</f>
        <v>0</v>
      </c>
      <c r="R65" s="1514">
        <f>P65+Q65</f>
        <v>0</v>
      </c>
      <c r="S65" s="1189"/>
      <c r="T65" s="1652">
        <f>M65*$U$5</f>
        <v>0</v>
      </c>
      <c r="U65" s="1653">
        <f>T65*J65</f>
        <v>0</v>
      </c>
      <c r="V65" s="1654">
        <f>T65+U65</f>
        <v>0</v>
      </c>
      <c r="W65" s="1651"/>
      <c r="X65" s="1652">
        <f>M65*$Y$5</f>
        <v>0</v>
      </c>
      <c r="Y65" s="1653">
        <f>X65*J65</f>
        <v>0</v>
      </c>
      <c r="Z65" s="1654">
        <f>X65+Y65</f>
        <v>0</v>
      </c>
      <c r="AA65" s="1243"/>
      <c r="AB65" s="309">
        <f>I65-(P65+T65+X65)</f>
        <v>0</v>
      </c>
      <c r="AC65" s="1261"/>
      <c r="AD65" s="227"/>
      <c r="AE65" s="68"/>
      <c r="AF65" s="311">
        <f>AE65*J65</f>
        <v>0</v>
      </c>
      <c r="AG65" s="338">
        <f>AF65+AE65</f>
        <v>0</v>
      </c>
      <c r="AH65" s="227"/>
      <c r="AI65" s="313">
        <f>I65-AC65</f>
        <v>0</v>
      </c>
      <c r="AJ65" s="314">
        <f>I65-AE65</f>
        <v>0</v>
      </c>
      <c r="AK65" s="227"/>
    </row>
    <row r="66" spans="1:83" ht="15.95" customHeight="1" outlineLevel="2">
      <c r="A66" s="74"/>
      <c r="B66" s="101"/>
      <c r="C66" s="296"/>
      <c r="D66" s="102"/>
      <c r="E66" s="325" t="s">
        <v>118</v>
      </c>
      <c r="F66" s="89" t="s">
        <v>119</v>
      </c>
      <c r="G66" s="103"/>
      <c r="H66" s="65"/>
      <c r="I66" s="1322"/>
      <c r="J66" s="1181">
        <f>TVAN</f>
        <v>8.5000000000000006E-2</v>
      </c>
      <c r="K66" s="1323">
        <f>I66*J66</f>
        <v>0</v>
      </c>
      <c r="L66" s="1220">
        <f>I66+K66</f>
        <v>0</v>
      </c>
      <c r="M66" s="1221">
        <f>I66/$G$5</f>
        <v>0</v>
      </c>
      <c r="N66" s="1222">
        <f>I66/$G$2</f>
        <v>0</v>
      </c>
      <c r="O66" s="1189"/>
      <c r="P66" s="1512">
        <f>M66*$Q$5</f>
        <v>0</v>
      </c>
      <c r="Q66" s="1513">
        <f>P66*J66</f>
        <v>0</v>
      </c>
      <c r="R66" s="1514">
        <f>P66+Q66</f>
        <v>0</v>
      </c>
      <c r="S66" s="1189"/>
      <c r="T66" s="1652">
        <f>M66*$U$5</f>
        <v>0</v>
      </c>
      <c r="U66" s="1653">
        <f>T66*J66</f>
        <v>0</v>
      </c>
      <c r="V66" s="1654">
        <f>T66+U66</f>
        <v>0</v>
      </c>
      <c r="W66" s="1651"/>
      <c r="X66" s="1652">
        <f>M66*$Y$5</f>
        <v>0</v>
      </c>
      <c r="Y66" s="1653">
        <f>X66*J66</f>
        <v>0</v>
      </c>
      <c r="Z66" s="1654">
        <f>X66+Y66</f>
        <v>0</v>
      </c>
      <c r="AA66" s="1243"/>
      <c r="AB66" s="309">
        <f>I66-(P66+T66+X66)</f>
        <v>0</v>
      </c>
      <c r="AC66" s="1261"/>
      <c r="AD66" s="227"/>
      <c r="AE66" s="68"/>
      <c r="AF66" s="311">
        <f>AE66*J66</f>
        <v>0</v>
      </c>
      <c r="AG66" s="338">
        <f>AF66+AE66</f>
        <v>0</v>
      </c>
      <c r="AH66" s="227"/>
      <c r="AI66" s="313">
        <f>I66-AC66</f>
        <v>0</v>
      </c>
      <c r="AJ66" s="314">
        <f>I66-AE66</f>
        <v>0</v>
      </c>
      <c r="AK66" s="227"/>
    </row>
    <row r="67" spans="1:83" ht="15.95" customHeight="1" outlineLevel="2">
      <c r="A67" s="74"/>
      <c r="B67" s="101"/>
      <c r="C67" s="296"/>
      <c r="D67" s="102"/>
      <c r="E67" s="325" t="s">
        <v>120</v>
      </c>
      <c r="F67" s="121" t="s">
        <v>121</v>
      </c>
      <c r="G67" s="104"/>
      <c r="H67" s="65"/>
      <c r="I67" s="1322"/>
      <c r="J67" s="1181">
        <f>TVAN</f>
        <v>8.5000000000000006E-2</v>
      </c>
      <c r="K67" s="1323">
        <f>I67*J67</f>
        <v>0</v>
      </c>
      <c r="L67" s="1220">
        <f>I67+K67</f>
        <v>0</v>
      </c>
      <c r="M67" s="1221">
        <f>I67/$G$5</f>
        <v>0</v>
      </c>
      <c r="N67" s="1222">
        <f>I67/$G$2</f>
        <v>0</v>
      </c>
      <c r="O67" s="1189"/>
      <c r="P67" s="1512">
        <f>M67*$Q$5</f>
        <v>0</v>
      </c>
      <c r="Q67" s="1513">
        <f>P67*J67</f>
        <v>0</v>
      </c>
      <c r="R67" s="1514">
        <f>P67+Q67</f>
        <v>0</v>
      </c>
      <c r="S67" s="1189"/>
      <c r="T67" s="1652">
        <f>M67*$U$5</f>
        <v>0</v>
      </c>
      <c r="U67" s="1653">
        <f>T67*J67</f>
        <v>0</v>
      </c>
      <c r="V67" s="1654">
        <f>T67+U67</f>
        <v>0</v>
      </c>
      <c r="W67" s="1651"/>
      <c r="X67" s="1652">
        <f>M67*$Y$5</f>
        <v>0</v>
      </c>
      <c r="Y67" s="1653">
        <f>X67*J67</f>
        <v>0</v>
      </c>
      <c r="Z67" s="1654">
        <f>X67+Y67</f>
        <v>0</v>
      </c>
      <c r="AA67" s="1243"/>
      <c r="AB67" s="309">
        <f>I67-(P67+T67+X67)</f>
        <v>0</v>
      </c>
      <c r="AC67" s="1261"/>
      <c r="AD67" s="227"/>
      <c r="AE67" s="68"/>
      <c r="AF67" s="311">
        <f>AE67*J67</f>
        <v>0</v>
      </c>
      <c r="AG67" s="381">
        <f>AF67+AE67</f>
        <v>0</v>
      </c>
      <c r="AH67" s="227"/>
      <c r="AI67" s="313">
        <f>I67-AC67</f>
        <v>0</v>
      </c>
      <c r="AJ67" s="314">
        <f>I67-AE67</f>
        <v>0</v>
      </c>
      <c r="AK67" s="227"/>
    </row>
    <row r="68" spans="1:83" ht="15.95" customHeight="1" outlineLevel="2">
      <c r="A68" s="74"/>
      <c r="B68" s="101"/>
      <c r="C68" s="296"/>
      <c r="D68" s="102"/>
      <c r="E68" s="325" t="s">
        <v>122</v>
      </c>
      <c r="F68" s="89" t="s">
        <v>123</v>
      </c>
      <c r="G68" s="100"/>
      <c r="H68" s="65"/>
      <c r="I68" s="1324"/>
      <c r="J68" s="1204">
        <f>TVAN</f>
        <v>8.5000000000000006E-2</v>
      </c>
      <c r="K68" s="1325">
        <f>I68*J68</f>
        <v>0</v>
      </c>
      <c r="L68" s="1205">
        <f>I68+K68</f>
        <v>0</v>
      </c>
      <c r="M68" s="1206">
        <f>I68/$G$5</f>
        <v>0</v>
      </c>
      <c r="N68" s="1207">
        <f>I68/$G$2</f>
        <v>0</v>
      </c>
      <c r="O68" s="1189"/>
      <c r="P68" s="1515">
        <f>M68*$Q$5</f>
        <v>0</v>
      </c>
      <c r="Q68" s="1516">
        <f>P68*J68</f>
        <v>0</v>
      </c>
      <c r="R68" s="1517">
        <f>P68+Q68</f>
        <v>0</v>
      </c>
      <c r="S68" s="1189"/>
      <c r="T68" s="1655">
        <f>M68*$U$5</f>
        <v>0</v>
      </c>
      <c r="U68" s="1656">
        <f>T68*J68</f>
        <v>0</v>
      </c>
      <c r="V68" s="1657">
        <f>T68+U68</f>
        <v>0</v>
      </c>
      <c r="W68" s="1651"/>
      <c r="X68" s="1655">
        <f>M68*$Y$5</f>
        <v>0</v>
      </c>
      <c r="Y68" s="1656">
        <f>X68*J68</f>
        <v>0</v>
      </c>
      <c r="Z68" s="1657">
        <f>X68+Y68</f>
        <v>0</v>
      </c>
      <c r="AA68" s="1243"/>
      <c r="AB68" s="315">
        <f>I68-(P68+T68+X68)</f>
        <v>0</v>
      </c>
      <c r="AC68" s="1262"/>
      <c r="AD68" s="227"/>
      <c r="AE68" s="316"/>
      <c r="AF68" s="317">
        <f>AE68*J68</f>
        <v>0</v>
      </c>
      <c r="AG68" s="318">
        <f>AF68+AE68</f>
        <v>0</v>
      </c>
      <c r="AH68" s="227"/>
      <c r="AI68" s="319">
        <f>I68-AC68</f>
        <v>0</v>
      </c>
      <c r="AJ68" s="320">
        <f>I68-AE68</f>
        <v>0</v>
      </c>
      <c r="AK68" s="227"/>
    </row>
    <row r="69" spans="1:83" s="32" customFormat="1" ht="15.75" customHeight="1" outlineLevel="1">
      <c r="A69" s="410" t="s">
        <v>124</v>
      </c>
      <c r="B69" s="411" t="s">
        <v>125</v>
      </c>
      <c r="C69" s="296"/>
      <c r="D69" s="1354" t="s">
        <v>126</v>
      </c>
      <c r="E69" s="297"/>
      <c r="F69" s="1355" t="s">
        <v>127</v>
      </c>
      <c r="G69" s="1356"/>
      <c r="H69" s="1357"/>
      <c r="I69" s="659">
        <f>SUM(I70:I72)</f>
        <v>0</v>
      </c>
      <c r="J69" s="1358"/>
      <c r="K69" s="298">
        <f>SUM(K70:K72)</f>
        <v>0</v>
      </c>
      <c r="L69" s="431">
        <f>SUM(L70:L72)</f>
        <v>0</v>
      </c>
      <c r="M69" s="1359">
        <f>SUM(M70:M72)</f>
        <v>0</v>
      </c>
      <c r="N69" s="1360">
        <f>SUM(N70:N72)</f>
        <v>0</v>
      </c>
      <c r="O69" s="227"/>
      <c r="P69" s="1535">
        <f>SUM(P70:P72)</f>
        <v>0</v>
      </c>
      <c r="Q69" s="1532">
        <f>SUM(Q70:Q72)</f>
        <v>0</v>
      </c>
      <c r="R69" s="1533">
        <f>SUM(R70:R72)</f>
        <v>0</v>
      </c>
      <c r="S69" s="1216"/>
      <c r="T69" s="1672">
        <f>SUM(T70:T72)</f>
        <v>0</v>
      </c>
      <c r="U69" s="1668">
        <f>SUM(U70:U72)</f>
        <v>0</v>
      </c>
      <c r="V69" s="1669">
        <f>SUM(V70:V72)</f>
        <v>0</v>
      </c>
      <c r="W69" s="1646"/>
      <c r="X69" s="1672">
        <f>SUM(X70:X72)</f>
        <v>0</v>
      </c>
      <c r="Y69" s="1668">
        <f>SUM(Y70:Y72)</f>
        <v>0</v>
      </c>
      <c r="Z69" s="1669">
        <f>SUM(Z70:Z72)</f>
        <v>0</v>
      </c>
      <c r="AA69" s="1249"/>
      <c r="AB69" s="432">
        <f>SUM(AB70:AB72)</f>
        <v>0</v>
      </c>
      <c r="AC69" s="1388">
        <f>SUM(AC70:AC72)</f>
        <v>0</v>
      </c>
      <c r="AD69" s="227"/>
      <c r="AE69" s="1394">
        <f t="shared" ref="AE69:AG69" si="36">SUM(AE70:AE72)</f>
        <v>0</v>
      </c>
      <c r="AF69" s="1445">
        <f t="shared" si="36"/>
        <v>0</v>
      </c>
      <c r="AG69" s="1388">
        <f t="shared" si="36"/>
        <v>0</v>
      </c>
      <c r="AH69" s="227"/>
      <c r="AI69" s="1394">
        <f t="shared" ref="AI69:AJ69" si="37">SUM(AI70:AI72)</f>
        <v>0</v>
      </c>
      <c r="AJ69" s="1390">
        <f t="shared" si="37"/>
        <v>0</v>
      </c>
      <c r="AK69" s="227"/>
      <c r="AL69" s="1363"/>
      <c r="AM69" s="1363"/>
      <c r="AN69" s="1363"/>
      <c r="AO69" s="1363"/>
      <c r="AP69" s="1363"/>
      <c r="AQ69" s="1363"/>
      <c r="AR69" s="1363"/>
      <c r="AS69" s="1363"/>
      <c r="AT69" s="1363"/>
      <c r="AU69" s="1363"/>
      <c r="AV69" s="1363"/>
      <c r="AW69" s="649"/>
      <c r="AX69" s="649"/>
      <c r="AY69" s="649"/>
      <c r="AZ69" s="649"/>
      <c r="BA69" s="649"/>
      <c r="BB69" s="649"/>
      <c r="BC69" s="649"/>
      <c r="BD69" s="649"/>
      <c r="BE69" s="649"/>
      <c r="BF69" s="649"/>
      <c r="BG69" s="649"/>
      <c r="BH69" s="649"/>
      <c r="BI69" s="649"/>
      <c r="BJ69" s="649"/>
      <c r="BK69" s="649"/>
      <c r="BL69" s="418"/>
      <c r="BM69" s="418"/>
      <c r="BN69" s="418"/>
      <c r="BO69" s="418"/>
      <c r="BP69" s="418"/>
      <c r="BQ69" s="418"/>
      <c r="BR69" s="418"/>
      <c r="BS69" s="418"/>
      <c r="BT69" s="418"/>
      <c r="BU69" s="418"/>
      <c r="BV69" s="418"/>
      <c r="BW69" s="418"/>
      <c r="BX69" s="418"/>
      <c r="BY69" s="418"/>
      <c r="BZ69" s="418"/>
      <c r="CA69" s="418"/>
      <c r="CB69" s="418"/>
      <c r="CC69" s="418"/>
      <c r="CD69" s="418"/>
      <c r="CE69" s="418"/>
    </row>
    <row r="70" spans="1:83" ht="15.95" customHeight="1" outlineLevel="2">
      <c r="A70" s="74"/>
      <c r="B70" s="101"/>
      <c r="C70" s="296"/>
      <c r="D70" s="102"/>
      <c r="E70" s="325" t="s">
        <v>128</v>
      </c>
      <c r="F70" s="76" t="s">
        <v>129</v>
      </c>
      <c r="G70" s="105"/>
      <c r="H70" s="65"/>
      <c r="I70" s="1326"/>
      <c r="J70" s="1214">
        <f>TVAN</f>
        <v>8.5000000000000006E-2</v>
      </c>
      <c r="K70" s="1327">
        <f>I70*J70</f>
        <v>0</v>
      </c>
      <c r="L70" s="1215">
        <f>I70+K70</f>
        <v>0</v>
      </c>
      <c r="M70" s="1194">
        <f>I70/$G$5</f>
        <v>0</v>
      </c>
      <c r="N70" s="1195">
        <f>I70/$G$2</f>
        <v>0</v>
      </c>
      <c r="O70" s="1189"/>
      <c r="P70" s="1509">
        <f>M70*$Q$5</f>
        <v>0</v>
      </c>
      <c r="Q70" s="1510">
        <f>P70*J70</f>
        <v>0</v>
      </c>
      <c r="R70" s="1511">
        <f>P70+Q70</f>
        <v>0</v>
      </c>
      <c r="S70" s="1189"/>
      <c r="T70" s="1652">
        <f>M70*$U$5</f>
        <v>0</v>
      </c>
      <c r="U70" s="1649">
        <f>T70*J70</f>
        <v>0</v>
      </c>
      <c r="V70" s="1650">
        <f>T70+U70</f>
        <v>0</v>
      </c>
      <c r="W70" s="1651"/>
      <c r="X70" s="1652">
        <f>M70*$Y$5</f>
        <v>0</v>
      </c>
      <c r="Y70" s="1649">
        <f>X70*J70</f>
        <v>0</v>
      </c>
      <c r="Z70" s="1650">
        <f>X70+Y70</f>
        <v>0</v>
      </c>
      <c r="AA70" s="1243"/>
      <c r="AB70" s="303">
        <f>I70-(P70+T70+X70)</f>
        <v>0</v>
      </c>
      <c r="AC70" s="1265"/>
      <c r="AD70" s="227"/>
      <c r="AE70" s="304"/>
      <c r="AF70" s="311">
        <f>AE70*J70</f>
        <v>0</v>
      </c>
      <c r="AG70" s="380">
        <f>AF70+AE70</f>
        <v>0</v>
      </c>
      <c r="AH70" s="227"/>
      <c r="AI70" s="307">
        <f>I70-AC70</f>
        <v>0</v>
      </c>
      <c r="AJ70" s="308">
        <f>I70-AE70</f>
        <v>0</v>
      </c>
      <c r="AK70" s="227"/>
    </row>
    <row r="71" spans="1:83" ht="15.95" customHeight="1" outlineLevel="2">
      <c r="A71" s="74"/>
      <c r="B71" s="101"/>
      <c r="C71" s="296"/>
      <c r="D71" s="102"/>
      <c r="E71" s="325" t="s">
        <v>130</v>
      </c>
      <c r="F71" s="63" t="s">
        <v>131</v>
      </c>
      <c r="G71" s="106"/>
      <c r="H71" s="65"/>
      <c r="I71" s="1322"/>
      <c r="J71" s="1181">
        <f>TVAN</f>
        <v>8.5000000000000006E-2</v>
      </c>
      <c r="K71" s="1323">
        <f>I71*J71</f>
        <v>0</v>
      </c>
      <c r="L71" s="1220">
        <f>I71+K71</f>
        <v>0</v>
      </c>
      <c r="M71" s="1221">
        <f>I71/$G$5</f>
        <v>0</v>
      </c>
      <c r="N71" s="1222">
        <f>I71/$G$2</f>
        <v>0</v>
      </c>
      <c r="O71" s="1189"/>
      <c r="P71" s="1512">
        <f>M71*$Q$5</f>
        <v>0</v>
      </c>
      <c r="Q71" s="1513">
        <f>P71*J71</f>
        <v>0</v>
      </c>
      <c r="R71" s="1514">
        <f>P71+Q71</f>
        <v>0</v>
      </c>
      <c r="S71" s="1189"/>
      <c r="T71" s="1652">
        <f>M71*$U$5</f>
        <v>0</v>
      </c>
      <c r="U71" s="1653">
        <f>T71*J71</f>
        <v>0</v>
      </c>
      <c r="V71" s="1654">
        <f>T71+U71</f>
        <v>0</v>
      </c>
      <c r="W71" s="1651"/>
      <c r="X71" s="1652">
        <f>M71*$Y$5</f>
        <v>0</v>
      </c>
      <c r="Y71" s="1653">
        <f>X71*J71</f>
        <v>0</v>
      </c>
      <c r="Z71" s="1654">
        <f>X71+Y71</f>
        <v>0</v>
      </c>
      <c r="AA71" s="1243"/>
      <c r="AB71" s="309">
        <f>I71-(P71+T71+X71)</f>
        <v>0</v>
      </c>
      <c r="AC71" s="1261"/>
      <c r="AD71" s="227"/>
      <c r="AE71" s="310"/>
      <c r="AF71" s="311">
        <f>AE71*J71</f>
        <v>0</v>
      </c>
      <c r="AG71" s="381">
        <f>AF71+AE71</f>
        <v>0</v>
      </c>
      <c r="AH71" s="227"/>
      <c r="AI71" s="313">
        <f>I71-AC71</f>
        <v>0</v>
      </c>
      <c r="AJ71" s="314">
        <f>I71-AE71</f>
        <v>0</v>
      </c>
      <c r="AK71" s="227"/>
    </row>
    <row r="72" spans="1:83" ht="15.95" customHeight="1" outlineLevel="2">
      <c r="A72" s="74"/>
      <c r="B72" s="101"/>
      <c r="C72" s="296"/>
      <c r="D72" s="102"/>
      <c r="E72" s="325" t="s">
        <v>132</v>
      </c>
      <c r="F72" s="99" t="s">
        <v>133</v>
      </c>
      <c r="G72" s="100"/>
      <c r="H72" s="604"/>
      <c r="I72" s="1324"/>
      <c r="J72" s="1204">
        <f>TVAN</f>
        <v>8.5000000000000006E-2</v>
      </c>
      <c r="K72" s="1325">
        <f>I72*J72</f>
        <v>0</v>
      </c>
      <c r="L72" s="1205">
        <f>I72+K72</f>
        <v>0</v>
      </c>
      <c r="M72" s="1206">
        <f>I72/$G$5</f>
        <v>0</v>
      </c>
      <c r="N72" s="1207">
        <f>I72/$G$2</f>
        <v>0</v>
      </c>
      <c r="O72" s="1334"/>
      <c r="P72" s="1515">
        <f>M72*$Q$5</f>
        <v>0</v>
      </c>
      <c r="Q72" s="1516">
        <f>P72*J72</f>
        <v>0</v>
      </c>
      <c r="R72" s="1517">
        <f>P72+Q72</f>
        <v>0</v>
      </c>
      <c r="S72" s="1334"/>
      <c r="T72" s="1655">
        <f>M72*$U$5</f>
        <v>0</v>
      </c>
      <c r="U72" s="1656">
        <f>T72*J72</f>
        <v>0</v>
      </c>
      <c r="V72" s="1657">
        <f>T72+U72</f>
        <v>0</v>
      </c>
      <c r="W72" s="1675"/>
      <c r="X72" s="1655">
        <f>M72*$Y$5</f>
        <v>0</v>
      </c>
      <c r="Y72" s="1656">
        <f>X72*J72</f>
        <v>0</v>
      </c>
      <c r="Z72" s="1657">
        <f>X72+Y72</f>
        <v>0</v>
      </c>
      <c r="AA72" s="1247"/>
      <c r="AB72" s="315">
        <f>I72-(P72+T72+X72)</f>
        <v>0</v>
      </c>
      <c r="AC72" s="1262"/>
      <c r="AD72" s="227"/>
      <c r="AE72" s="316"/>
      <c r="AF72" s="317">
        <f>AE72*J72</f>
        <v>0</v>
      </c>
      <c r="AG72" s="318">
        <f>AF72+AE72</f>
        <v>0</v>
      </c>
      <c r="AH72" s="227"/>
      <c r="AI72" s="313">
        <f>I72-AC72</f>
        <v>0</v>
      </c>
      <c r="AJ72" s="329">
        <f>I72-AE72</f>
        <v>0</v>
      </c>
      <c r="AK72" s="227"/>
    </row>
    <row r="73" spans="1:83" ht="9" customHeight="1" outlineLevel="1">
      <c r="A73" s="110"/>
      <c r="B73" s="111"/>
      <c r="C73" s="339"/>
      <c r="D73" s="112"/>
      <c r="E73" s="325"/>
      <c r="F73" s="107"/>
      <c r="G73" s="108"/>
      <c r="H73" s="65" t="s">
        <v>221</v>
      </c>
      <c r="I73" s="659"/>
      <c r="J73" s="235"/>
      <c r="K73" s="298"/>
      <c r="L73" s="83"/>
      <c r="M73" s="90"/>
      <c r="N73" s="344"/>
      <c r="O73" s="240"/>
      <c r="P73" s="1524"/>
      <c r="Q73" s="1525"/>
      <c r="R73" s="1526"/>
      <c r="S73" s="389"/>
      <c r="T73" s="1659"/>
      <c r="U73" s="1660"/>
      <c r="V73" s="1661"/>
      <c r="W73" s="1676"/>
      <c r="X73" s="1659"/>
      <c r="Y73" s="1660"/>
      <c r="Z73" s="1661"/>
      <c r="AA73" s="1248"/>
      <c r="AB73" s="73">
        <f>SUM(AB68:AB69)</f>
        <v>0</v>
      </c>
      <c r="AC73" s="1268"/>
      <c r="AD73" s="227"/>
      <c r="AE73" s="378"/>
      <c r="AF73" s="317"/>
      <c r="AG73" s="390"/>
      <c r="AH73" s="227"/>
      <c r="AI73" s="391"/>
      <c r="AJ73" s="392"/>
      <c r="AK73" s="238"/>
    </row>
    <row r="74" spans="1:83" s="88" customFormat="1" ht="15.95" customHeight="1" outlineLevel="1">
      <c r="A74" s="348" t="s">
        <v>135</v>
      </c>
      <c r="B74" s="348" t="s">
        <v>136</v>
      </c>
      <c r="C74" s="296"/>
      <c r="D74" s="349"/>
      <c r="E74" s="297"/>
      <c r="F74" s="350" t="s">
        <v>350</v>
      </c>
      <c r="G74" s="119"/>
      <c r="H74" s="393" t="s">
        <v>137</v>
      </c>
      <c r="I74" s="661"/>
      <c r="J74" s="352">
        <f>TVAN</f>
        <v>8.5000000000000006E-2</v>
      </c>
      <c r="K74" s="353">
        <f>I74*J74</f>
        <v>0</v>
      </c>
      <c r="L74" s="354">
        <f>I74+K74</f>
        <v>0</v>
      </c>
      <c r="M74" s="139">
        <f>I74/$G$5</f>
        <v>0</v>
      </c>
      <c r="N74" s="395">
        <f>I74/$G$2</f>
        <v>0</v>
      </c>
      <c r="O74" s="48"/>
      <c r="P74" s="1527">
        <f>M74*$Q$5</f>
        <v>0</v>
      </c>
      <c r="Q74" s="1528">
        <f>P74*J74</f>
        <v>0</v>
      </c>
      <c r="R74" s="1529">
        <f>P74+Q74</f>
        <v>0</v>
      </c>
      <c r="S74" s="337"/>
      <c r="T74" s="1662">
        <f>M74*$U$5</f>
        <v>0</v>
      </c>
      <c r="U74" s="1663">
        <f>T74*J74</f>
        <v>0</v>
      </c>
      <c r="V74" s="1664">
        <f>T74+U74</f>
        <v>0</v>
      </c>
      <c r="W74" s="1677"/>
      <c r="X74" s="1662">
        <f>M74*$Y$5</f>
        <v>0</v>
      </c>
      <c r="Y74" s="1663">
        <f>X74*J74</f>
        <v>0</v>
      </c>
      <c r="Z74" s="1664">
        <f>X74+Y74</f>
        <v>0</v>
      </c>
      <c r="AA74" s="1245"/>
      <c r="AB74" s="303">
        <f>I74-(P74+T74+X74)</f>
        <v>0</v>
      </c>
      <c r="AC74" s="1265"/>
      <c r="AD74" s="227"/>
      <c r="AE74" s="1320"/>
      <c r="AF74" s="355">
        <f>AE74*J74</f>
        <v>0</v>
      </c>
      <c r="AG74" s="318">
        <f>AF74+AE74</f>
        <v>0</v>
      </c>
      <c r="AH74" s="227"/>
      <c r="AI74" s="307">
        <f>I74-AC74</f>
        <v>0</v>
      </c>
      <c r="AJ74" s="358">
        <f>I74-AE74</f>
        <v>0</v>
      </c>
      <c r="AK74" s="227"/>
      <c r="AL74" s="255"/>
      <c r="AM74" s="255"/>
      <c r="AN74" s="255"/>
      <c r="AO74" s="255"/>
      <c r="AP74" s="255"/>
      <c r="AQ74" s="255"/>
      <c r="AR74" s="255"/>
      <c r="AS74" s="255"/>
      <c r="AT74" s="255"/>
      <c r="AU74" s="255"/>
      <c r="AV74" s="255"/>
      <c r="AW74" s="255"/>
      <c r="AX74" s="255"/>
      <c r="AY74" s="255"/>
      <c r="AZ74" s="255"/>
      <c r="BA74" s="255"/>
      <c r="BB74" s="255"/>
      <c r="BC74" s="255"/>
      <c r="BD74" s="255"/>
      <c r="BE74" s="255"/>
      <c r="BF74" s="255"/>
      <c r="BG74" s="255"/>
      <c r="BH74" s="255"/>
      <c r="BI74" s="255"/>
      <c r="BJ74" s="255"/>
      <c r="BK74" s="255"/>
    </row>
    <row r="75" spans="1:83" s="88" customFormat="1" ht="15.95" customHeight="1">
      <c r="A75" s="113"/>
      <c r="B75" s="113"/>
      <c r="C75" s="339"/>
      <c r="D75" s="396"/>
      <c r="E75" s="397"/>
      <c r="F75" s="398"/>
      <c r="G75" s="85"/>
      <c r="H75" s="363"/>
      <c r="I75" s="662"/>
      <c r="J75" s="394"/>
      <c r="K75" s="353"/>
      <c r="L75" s="399"/>
      <c r="M75" s="400"/>
      <c r="N75" s="401"/>
      <c r="O75" s="227"/>
      <c r="P75" s="1538"/>
      <c r="Q75" s="1539"/>
      <c r="R75" s="1540"/>
      <c r="S75" s="278"/>
      <c r="T75" s="1678"/>
      <c r="U75" s="1663"/>
      <c r="V75" s="1679"/>
      <c r="W75" s="1637"/>
      <c r="X75" s="1678"/>
      <c r="Y75" s="1663"/>
      <c r="Z75" s="1679"/>
      <c r="AA75" s="1243"/>
      <c r="AB75" s="303"/>
      <c r="AC75" s="1269"/>
      <c r="AD75" s="227"/>
      <c r="AE75" s="402"/>
      <c r="AF75" s="403"/>
      <c r="AG75" s="404"/>
      <c r="AH75" s="227"/>
      <c r="AI75" s="405"/>
      <c r="AJ75" s="406"/>
      <c r="AK75" s="227"/>
      <c r="AL75" s="255"/>
      <c r="AM75" s="255"/>
      <c r="AN75" s="255"/>
      <c r="AO75" s="255"/>
      <c r="AP75" s="255"/>
      <c r="AQ75" s="255"/>
      <c r="AR75" s="255"/>
      <c r="AS75" s="255"/>
      <c r="AT75" s="255"/>
      <c r="AU75" s="255"/>
      <c r="AV75" s="255"/>
      <c r="AW75" s="255"/>
      <c r="AX75" s="255"/>
      <c r="AY75" s="255"/>
      <c r="AZ75" s="255"/>
      <c r="BA75" s="255"/>
      <c r="BB75" s="255"/>
      <c r="BC75" s="255"/>
      <c r="BD75" s="255"/>
      <c r="BE75" s="255"/>
      <c r="BF75" s="255"/>
      <c r="BG75" s="255"/>
      <c r="BH75" s="255"/>
      <c r="BI75" s="255"/>
      <c r="BJ75" s="255"/>
      <c r="BK75" s="255"/>
    </row>
    <row r="76" spans="1:83" s="1811" customFormat="1" ht="15.95" customHeight="1">
      <c r="A76" s="407"/>
      <c r="B76" s="43" t="s">
        <v>138</v>
      </c>
      <c r="C76" s="369"/>
      <c r="D76" s="3459">
        <v>390</v>
      </c>
      <c r="E76" s="3460"/>
      <c r="F76" s="44" t="s">
        <v>139</v>
      </c>
      <c r="G76" s="45"/>
      <c r="H76" s="408"/>
      <c r="I76" s="409">
        <f>I77+I108+I120+I123+I128+I132</f>
        <v>114297.9431526072</v>
      </c>
      <c r="J76" s="284"/>
      <c r="K76" s="285">
        <f>K77+K108+K120+K123+K128+K132</f>
        <v>9520</v>
      </c>
      <c r="L76" s="286">
        <f>L77+L108+L120+L123+L128+L132</f>
        <v>123817.9431526072</v>
      </c>
      <c r="M76" s="114">
        <f>M77+M108+M120+M123+M128+M132</f>
        <v>21.783484496399314</v>
      </c>
      <c r="N76" s="115">
        <f>N77+N108+N120+N123+N128+N132</f>
        <v>1632.82775932296</v>
      </c>
      <c r="O76" s="227"/>
      <c r="P76" s="1405">
        <f>P77+P108+P120+P123+P128+P132</f>
        <v>57148.9715763036</v>
      </c>
      <c r="Q76" s="1801">
        <f>Q77+Q108+Q120+Q123+Q128+Q132</f>
        <v>4760</v>
      </c>
      <c r="R76" s="1802">
        <f>R77+R108+R120+R123+R128+R132</f>
        <v>61908.9715763036</v>
      </c>
      <c r="S76" s="1803"/>
      <c r="T76" s="1638">
        <f>T77+T108+T120+T123+T128+T132</f>
        <v>57148.9715763036</v>
      </c>
      <c r="U76" s="1804">
        <f>U77+U108+U120+U123+U128+U132</f>
        <v>4760</v>
      </c>
      <c r="V76" s="1805">
        <f>V77+V108+V120+V123+V128+V132</f>
        <v>61908.9715763036</v>
      </c>
      <c r="W76" s="1806"/>
      <c r="X76" s="1638">
        <f>X77+X108+X120+X123+X128+X132</f>
        <v>0</v>
      </c>
      <c r="Y76" s="1804">
        <f>Y77+Y108+Y120+Y123+Y128+Y132</f>
        <v>0</v>
      </c>
      <c r="Z76" s="1805">
        <f>Z77+Z108+Z120+Z123+Z128+Z132</f>
        <v>0</v>
      </c>
      <c r="AA76" s="1807"/>
      <c r="AB76" s="47">
        <f>AB77+AB108+AB120+AB123+AB128</f>
        <v>0</v>
      </c>
      <c r="AC76" s="1808">
        <f>AC77+AC108+AC120+AC123+AC128+AC132</f>
        <v>0</v>
      </c>
      <c r="AD76" s="227"/>
      <c r="AE76" s="1809">
        <f>AE77+AE108+AE120+AE123+AE128+AE132</f>
        <v>0</v>
      </c>
      <c r="AF76" s="1810">
        <f>AF77+AF108+AF120+AF123+AF128+AF132</f>
        <v>0</v>
      </c>
      <c r="AG76" s="1808">
        <f>AG77+AG108+AG120+AG123+AG128+AG132</f>
        <v>0</v>
      </c>
      <c r="AH76" s="227"/>
      <c r="AI76" s="1809">
        <f>AI77+AI108+AI120+AI123+AI128+AI132</f>
        <v>114297.9431526072</v>
      </c>
      <c r="AJ76" s="1810">
        <f>AJ77+AJ108+AJ120+AJ123+AJ128+AJ132</f>
        <v>114297.9431526072</v>
      </c>
      <c r="AK76" s="48"/>
      <c r="AL76" s="295"/>
      <c r="AM76" s="295"/>
      <c r="AN76" s="295"/>
      <c r="AO76" s="295"/>
      <c r="AP76" s="295"/>
      <c r="AQ76" s="295"/>
      <c r="AR76" s="295"/>
      <c r="AS76" s="295"/>
      <c r="AT76" s="295"/>
      <c r="AU76" s="295"/>
      <c r="AV76" s="295"/>
      <c r="AW76" s="649"/>
      <c r="AX76" s="649"/>
      <c r="AY76" s="649"/>
      <c r="AZ76" s="649"/>
      <c r="BA76" s="649"/>
      <c r="BB76" s="649"/>
      <c r="BC76" s="649"/>
      <c r="BD76" s="649"/>
      <c r="BE76" s="649"/>
      <c r="BF76" s="649"/>
      <c r="BG76" s="649"/>
      <c r="BH76" s="649"/>
      <c r="BI76" s="649"/>
      <c r="BJ76" s="649"/>
      <c r="BK76" s="649"/>
      <c r="BL76" s="51"/>
      <c r="BM76" s="51"/>
      <c r="BN76" s="51"/>
      <c r="BO76" s="51"/>
      <c r="BP76" s="51"/>
      <c r="BQ76" s="51"/>
      <c r="BR76" s="51"/>
      <c r="BS76" s="51"/>
      <c r="BT76" s="51"/>
      <c r="BU76" s="51"/>
      <c r="BV76" s="51"/>
      <c r="BW76" s="51"/>
      <c r="BX76" s="51"/>
      <c r="BY76" s="51"/>
      <c r="BZ76" s="51"/>
      <c r="CA76" s="51"/>
      <c r="CB76" s="51"/>
      <c r="CC76" s="51"/>
      <c r="CD76" s="51"/>
      <c r="CE76" s="51"/>
    </row>
    <row r="77" spans="1:83" s="1469" customFormat="1" ht="15.75" customHeight="1" outlineLevel="1">
      <c r="A77" s="1450" t="s">
        <v>140</v>
      </c>
      <c r="B77" s="1451" t="s">
        <v>141</v>
      </c>
      <c r="C77" s="1452"/>
      <c r="D77" s="1453"/>
      <c r="E77" s="1454"/>
      <c r="F77" s="1455" t="s">
        <v>142</v>
      </c>
      <c r="G77" s="1456"/>
      <c r="H77" s="1457">
        <f>I77+I42+I41+'FRAFU AVS + LESG'!D27+I45</f>
        <v>0</v>
      </c>
      <c r="I77" s="1458">
        <f>I78+I82+I86+I92+I97+I106</f>
        <v>0</v>
      </c>
      <c r="J77" s="1459"/>
      <c r="K77" s="1460">
        <f>K78+K82+K86+K92+K97+K106</f>
        <v>0</v>
      </c>
      <c r="L77" s="1461">
        <f>L78+L82+L86+L92+L97+L106</f>
        <v>0</v>
      </c>
      <c r="M77" s="1462">
        <f>M78+M82+M86+M92+M97+M106</f>
        <v>0</v>
      </c>
      <c r="N77" s="1461">
        <f>N78+N82+N86+N92+N97+N106</f>
        <v>0</v>
      </c>
      <c r="O77" s="1463"/>
      <c r="P77" s="1541">
        <f>P78+P82+P86+P92+P97+P106</f>
        <v>0</v>
      </c>
      <c r="Q77" s="1542">
        <f>Q78+Q82+Q86+Q92+Q97+Q106</f>
        <v>0</v>
      </c>
      <c r="R77" s="1543">
        <f>R78+R82+R86+R92+R97+R106</f>
        <v>0</v>
      </c>
      <c r="S77" s="1463"/>
      <c r="T77" s="1680">
        <f>T78+T82+T86+T92+T97+T106</f>
        <v>0</v>
      </c>
      <c r="U77" s="1681">
        <f>U78+U82+U86+U92+U97+U106</f>
        <v>0</v>
      </c>
      <c r="V77" s="1682">
        <f>V78+V82+V86+V92+V97+V106</f>
        <v>0</v>
      </c>
      <c r="W77" s="1683"/>
      <c r="X77" s="1680">
        <f>X78+X82+X86+X92+X97+X106</f>
        <v>0</v>
      </c>
      <c r="Y77" s="1681">
        <f>Y78+Y82+Y86+Y92+Y97+Y106</f>
        <v>0</v>
      </c>
      <c r="Z77" s="1682">
        <f>Z78+Z82+Z86+Z92+Z97+Z106</f>
        <v>0</v>
      </c>
      <c r="AA77" s="1464"/>
      <c r="AB77" s="1796">
        <f>AB78+AB82+AB86+AB92+AB97+AB106</f>
        <v>0</v>
      </c>
      <c r="AC77" s="1465">
        <f>AC78+AC82+AC86+AC92+AC97+AC106</f>
        <v>0</v>
      </c>
      <c r="AD77" s="1463"/>
      <c r="AE77" s="1465">
        <f>AE78+AE82+AE86+AE92+AE97+AE106</f>
        <v>0</v>
      </c>
      <c r="AF77" s="1799">
        <f>AF78+AF82+AF86+AF92+AF97+AF106</f>
        <v>0</v>
      </c>
      <c r="AG77" s="1465">
        <f>AG78+AG82+AG86+AG92+AG97+AG106</f>
        <v>0</v>
      </c>
      <c r="AH77" s="1463"/>
      <c r="AI77" s="1800">
        <f>AI78+AI82+AI86+AI92+AI97+AI106</f>
        <v>0</v>
      </c>
      <c r="AJ77" s="1466">
        <f>AJ78+AJ82+AJ86+AJ92+AJ97+AJ106</f>
        <v>0</v>
      </c>
      <c r="AK77" s="1463"/>
      <c r="AL77" s="1467"/>
      <c r="AM77" s="1467"/>
      <c r="AN77" s="1467"/>
      <c r="AO77" s="1467"/>
      <c r="AP77" s="1467"/>
      <c r="AQ77" s="1467"/>
      <c r="AR77" s="1467"/>
      <c r="AS77" s="1467"/>
      <c r="AT77" s="1467"/>
      <c r="AU77" s="1467"/>
      <c r="AV77" s="1467"/>
      <c r="AW77" s="1467"/>
      <c r="AX77" s="1467"/>
      <c r="AY77" s="1467"/>
      <c r="AZ77" s="1467"/>
      <c r="BA77" s="1467"/>
      <c r="BB77" s="1467"/>
      <c r="BC77" s="1467"/>
      <c r="BD77" s="1467"/>
      <c r="BE77" s="1467"/>
      <c r="BF77" s="1467"/>
      <c r="BG77" s="1467"/>
      <c r="BH77" s="1467"/>
      <c r="BI77" s="1467"/>
      <c r="BJ77" s="1467"/>
      <c r="BK77" s="1467"/>
      <c r="BL77" s="1468"/>
      <c r="BM77" s="1468"/>
      <c r="BN77" s="1468"/>
      <c r="BO77" s="1468"/>
      <c r="BP77" s="1468"/>
      <c r="BQ77" s="1468"/>
      <c r="BR77" s="1468"/>
      <c r="BS77" s="1468"/>
      <c r="BT77" s="1468"/>
      <c r="BU77" s="1468"/>
      <c r="BV77" s="1468"/>
      <c r="BW77" s="1468"/>
      <c r="BX77" s="1468"/>
      <c r="BY77" s="1468"/>
      <c r="BZ77" s="1468"/>
      <c r="CA77" s="1468"/>
      <c r="CB77" s="1468"/>
      <c r="CC77" s="1468"/>
      <c r="CD77" s="1468"/>
      <c r="CE77" s="1468"/>
    </row>
    <row r="78" spans="1:83" s="32" customFormat="1" ht="15.95" customHeight="1" outlineLevel="1">
      <c r="A78" s="410"/>
      <c r="B78" s="411"/>
      <c r="C78" s="296"/>
      <c r="D78" s="1354" t="s">
        <v>143</v>
      </c>
      <c r="E78" s="297"/>
      <c r="F78" s="1355" t="s">
        <v>144</v>
      </c>
      <c r="G78" s="1356"/>
      <c r="H78" s="1410">
        <f>H77*0.9</f>
        <v>0</v>
      </c>
      <c r="I78" s="663">
        <f>SUM(I79:I81)</f>
        <v>0</v>
      </c>
      <c r="J78" s="1411"/>
      <c r="K78" s="1193">
        <f>SUM(K79:K81)</f>
        <v>0</v>
      </c>
      <c r="L78" s="1406">
        <f>SUM(L79:L81)</f>
        <v>0</v>
      </c>
      <c r="M78" s="1407">
        <f>SUM(M79:M81)</f>
        <v>0</v>
      </c>
      <c r="N78" s="1408">
        <f>SUM(N79:N81)</f>
        <v>0</v>
      </c>
      <c r="O78" s="227"/>
      <c r="P78" s="1544">
        <f>SUM(P79:P81)</f>
        <v>0</v>
      </c>
      <c r="Q78" s="1545">
        <f>SUM(Q79:Q81)</f>
        <v>0</v>
      </c>
      <c r="R78" s="1546">
        <f>SUM(R79:R81)</f>
        <v>0</v>
      </c>
      <c r="S78" s="1216"/>
      <c r="T78" s="1672">
        <f>SUM(T79:T81)</f>
        <v>0</v>
      </c>
      <c r="U78" s="1684">
        <f>SUM(U79:U81)</f>
        <v>0</v>
      </c>
      <c r="V78" s="1685">
        <f>SUM(V79:V81)</f>
        <v>0</v>
      </c>
      <c r="W78" s="1646"/>
      <c r="X78" s="1672">
        <f>SUM(X79:X81)</f>
        <v>0</v>
      </c>
      <c r="Y78" s="1684">
        <f>SUM(Y79:Y81)</f>
        <v>0</v>
      </c>
      <c r="Z78" s="1685">
        <f>SUM(Z79:Z81)</f>
        <v>0</v>
      </c>
      <c r="AA78" s="1249"/>
      <c r="AB78" s="432">
        <f>SUM(AB79:AB81)</f>
        <v>0</v>
      </c>
      <c r="AC78" s="1409">
        <f>SUM(AC79:AC81)</f>
        <v>0</v>
      </c>
      <c r="AD78" s="227"/>
      <c r="AE78" s="1409">
        <f t="shared" ref="AE78:AG78" si="38">SUM(AE79:AE81)</f>
        <v>0</v>
      </c>
      <c r="AF78" s="1398">
        <f t="shared" si="38"/>
        <v>0</v>
      </c>
      <c r="AG78" s="1409">
        <f t="shared" si="38"/>
        <v>0</v>
      </c>
      <c r="AH78" s="227"/>
      <c r="AI78" s="1397">
        <f t="shared" ref="AI78:AJ78" si="39">SUM(AI79:AI81)</f>
        <v>0</v>
      </c>
      <c r="AJ78" s="32">
        <f t="shared" si="39"/>
        <v>0</v>
      </c>
      <c r="AK78" s="227"/>
      <c r="AL78" s="1363"/>
      <c r="AM78" s="1363"/>
      <c r="AN78" s="1363"/>
      <c r="AO78" s="1363"/>
      <c r="AP78" s="1363"/>
      <c r="AQ78" s="1363"/>
      <c r="AR78" s="1363"/>
      <c r="AS78" s="1363"/>
      <c r="AT78" s="1363"/>
      <c r="AU78" s="1363"/>
      <c r="AV78" s="1363"/>
      <c r="AW78" s="649"/>
      <c r="AX78" s="649"/>
      <c r="AY78" s="649"/>
      <c r="AZ78" s="649"/>
      <c r="BA78" s="649"/>
      <c r="BB78" s="649"/>
      <c r="BC78" s="649"/>
      <c r="BD78" s="649"/>
      <c r="BE78" s="649"/>
      <c r="BF78" s="649"/>
      <c r="BG78" s="649"/>
      <c r="BH78" s="649"/>
      <c r="BI78" s="649"/>
      <c r="BJ78" s="649"/>
      <c r="BK78" s="649"/>
      <c r="BL78" s="418"/>
      <c r="BM78" s="418"/>
      <c r="BN78" s="418"/>
      <c r="BO78" s="418"/>
      <c r="BP78" s="418"/>
      <c r="BQ78" s="418"/>
      <c r="BR78" s="418"/>
      <c r="BS78" s="418"/>
      <c r="BT78" s="418"/>
      <c r="BU78" s="418"/>
      <c r="BV78" s="418"/>
      <c r="BW78" s="418"/>
      <c r="BX78" s="418"/>
      <c r="BY78" s="418"/>
      <c r="BZ78" s="418"/>
      <c r="CA78" s="418"/>
      <c r="CB78" s="418"/>
      <c r="CC78" s="418"/>
      <c r="CD78" s="418"/>
      <c r="CE78" s="418"/>
    </row>
    <row r="79" spans="1:83" s="1190" customFormat="1" ht="15.95" customHeight="1" outlineLevel="3">
      <c r="A79" s="1200"/>
      <c r="B79" s="1201"/>
      <c r="C79" s="296"/>
      <c r="D79" s="1202"/>
      <c r="E79" s="412" t="s">
        <v>145</v>
      </c>
      <c r="F79" s="1211" t="s">
        <v>146</v>
      </c>
      <c r="G79" s="1212"/>
      <c r="H79" s="1213"/>
      <c r="I79" s="1321">
        <f>H79*G5</f>
        <v>0</v>
      </c>
      <c r="J79" s="1214">
        <f>TVAN</f>
        <v>8.5000000000000006E-2</v>
      </c>
      <c r="K79" s="1327">
        <f>I79*J79</f>
        <v>0</v>
      </c>
      <c r="L79" s="1215">
        <f>I79+K79</f>
        <v>0</v>
      </c>
      <c r="M79" s="1194">
        <f>I79/$G$5</f>
        <v>0</v>
      </c>
      <c r="N79" s="1195">
        <f>I79/$G$2</f>
        <v>0</v>
      </c>
      <c r="O79" s="1335"/>
      <c r="P79" s="1509">
        <f>M79*$Q$5</f>
        <v>0</v>
      </c>
      <c r="Q79" s="1510">
        <f>P79*J79</f>
        <v>0</v>
      </c>
      <c r="R79" s="1511">
        <f>P79+Q79</f>
        <v>0</v>
      </c>
      <c r="S79" s="1189"/>
      <c r="T79" s="1648">
        <f>M79*$U$5</f>
        <v>0</v>
      </c>
      <c r="U79" s="1649">
        <f>T79*J79</f>
        <v>0</v>
      </c>
      <c r="V79" s="1650">
        <f>T79+U79</f>
        <v>0</v>
      </c>
      <c r="W79" s="1651"/>
      <c r="X79" s="1648">
        <f>M79*$Y$5</f>
        <v>0</v>
      </c>
      <c r="Y79" s="1649">
        <f>X79*J79</f>
        <v>0</v>
      </c>
      <c r="Z79" s="1650">
        <f>X79+Y79</f>
        <v>0</v>
      </c>
      <c r="AA79" s="1249"/>
      <c r="AB79" s="1217">
        <f>I79-(P79+T79+X79)</f>
        <v>0</v>
      </c>
      <c r="AC79" s="1260"/>
      <c r="AD79" s="227"/>
      <c r="AE79" s="1218"/>
      <c r="AF79" s="311">
        <f>AE79*J79</f>
        <v>0</v>
      </c>
      <c r="AG79" s="1219">
        <f>AF79+AE79</f>
        <v>0</v>
      </c>
      <c r="AH79" s="227"/>
      <c r="AI79" s="1198">
        <f>I79-AC79</f>
        <v>0</v>
      </c>
      <c r="AJ79" s="1199">
        <f>I79-AE79</f>
        <v>0</v>
      </c>
      <c r="AK79" s="1189"/>
      <c r="AL79" s="974"/>
      <c r="AM79" s="974"/>
      <c r="AN79" s="974"/>
      <c r="AO79" s="974"/>
      <c r="AP79" s="974"/>
      <c r="AQ79" s="974"/>
      <c r="AR79" s="974"/>
      <c r="AS79" s="974"/>
      <c r="AT79" s="974"/>
      <c r="AU79" s="974"/>
      <c r="AV79" s="974"/>
      <c r="AW79" s="974"/>
      <c r="AX79" s="974"/>
      <c r="AY79" s="974"/>
      <c r="AZ79" s="974"/>
      <c r="BA79" s="974"/>
      <c r="BB79" s="974"/>
      <c r="BC79" s="974"/>
      <c r="BD79" s="974"/>
      <c r="BE79" s="974"/>
      <c r="BF79" s="974"/>
      <c r="BG79" s="974"/>
      <c r="BH79" s="974"/>
      <c r="BI79" s="974"/>
      <c r="BJ79" s="974"/>
      <c r="BK79" s="974"/>
    </row>
    <row r="80" spans="1:83" s="1190" customFormat="1" ht="15.95" customHeight="1" outlineLevel="3">
      <c r="A80" s="1200"/>
      <c r="B80" s="1201"/>
      <c r="C80" s="296"/>
      <c r="D80" s="1202"/>
      <c r="E80" s="412" t="s">
        <v>147</v>
      </c>
      <c r="F80" s="1211" t="s">
        <v>148</v>
      </c>
      <c r="G80" s="1212"/>
      <c r="H80" s="1815" t="s">
        <v>586</v>
      </c>
      <c r="I80" s="1330">
        <v>0</v>
      </c>
      <c r="J80" s="1181">
        <f>TVAN</f>
        <v>8.5000000000000006E-2</v>
      </c>
      <c r="K80" s="1323">
        <f>I80*J80</f>
        <v>0</v>
      </c>
      <c r="L80" s="1220">
        <f>I80+K80</f>
        <v>0</v>
      </c>
      <c r="M80" s="1221">
        <f>I80/$G$5</f>
        <v>0</v>
      </c>
      <c r="N80" s="1222">
        <f>I80/$G$2</f>
        <v>0</v>
      </c>
      <c r="O80" s="1189"/>
      <c r="P80" s="1512">
        <f>M80*$Q$5</f>
        <v>0</v>
      </c>
      <c r="Q80" s="1513">
        <f>P80*J80</f>
        <v>0</v>
      </c>
      <c r="R80" s="1514">
        <f>P80+Q80</f>
        <v>0</v>
      </c>
      <c r="S80" s="1189"/>
      <c r="T80" s="1652">
        <f>M80*$U$5</f>
        <v>0</v>
      </c>
      <c r="U80" s="1653">
        <f>T80*J80</f>
        <v>0</v>
      </c>
      <c r="V80" s="1654">
        <f>T80+U80</f>
        <v>0</v>
      </c>
      <c r="W80" s="1651"/>
      <c r="X80" s="1652">
        <f>M80*$Y$5</f>
        <v>0</v>
      </c>
      <c r="Y80" s="1653">
        <f>X80*J80</f>
        <v>0</v>
      </c>
      <c r="Z80" s="1654">
        <f>X80+Y80</f>
        <v>0</v>
      </c>
      <c r="AA80" s="1249"/>
      <c r="AB80" s="1223">
        <f>I80-(P80+T80+X80)</f>
        <v>0</v>
      </c>
      <c r="AC80" s="1263"/>
      <c r="AD80" s="227"/>
      <c r="AE80" s="1224"/>
      <c r="AF80" s="311">
        <f>AE80*J80</f>
        <v>0</v>
      </c>
      <c r="AG80" s="1225">
        <f>AF80+AE80</f>
        <v>0</v>
      </c>
      <c r="AH80" s="227"/>
      <c r="AI80" s="1209">
        <f>I80-AC80</f>
        <v>0</v>
      </c>
      <c r="AJ80" s="1226">
        <f>I80-AE80</f>
        <v>0</v>
      </c>
      <c r="AK80" s="1189"/>
      <c r="AL80" s="974"/>
      <c r="AM80" s="974"/>
      <c r="AN80" s="974"/>
      <c r="AO80" s="974"/>
      <c r="AP80" s="974"/>
      <c r="AQ80" s="974"/>
      <c r="AR80" s="974"/>
      <c r="AS80" s="974"/>
      <c r="AT80" s="974"/>
      <c r="AU80" s="974"/>
      <c r="AV80" s="974"/>
      <c r="AW80" s="974"/>
      <c r="AX80" s="974"/>
      <c r="AY80" s="974"/>
      <c r="AZ80" s="974"/>
      <c r="BA80" s="974"/>
      <c r="BB80" s="974"/>
      <c r="BC80" s="974"/>
      <c r="BD80" s="974"/>
      <c r="BE80" s="974"/>
      <c r="BF80" s="974"/>
      <c r="BG80" s="974"/>
      <c r="BH80" s="974"/>
      <c r="BI80" s="974"/>
      <c r="BJ80" s="974"/>
      <c r="BK80" s="974"/>
    </row>
    <row r="81" spans="1:83" s="1190" customFormat="1" ht="15.95" customHeight="1" outlineLevel="3">
      <c r="A81" s="1200"/>
      <c r="B81" s="1201"/>
      <c r="C81" s="296"/>
      <c r="D81" s="1202"/>
      <c r="E81" s="412" t="s">
        <v>149</v>
      </c>
      <c r="F81" s="648" t="s">
        <v>150</v>
      </c>
      <c r="G81" s="1203"/>
      <c r="H81" s="1191"/>
      <c r="I81" s="1336">
        <v>0</v>
      </c>
      <c r="J81" s="1204">
        <f>TVAN</f>
        <v>8.5000000000000006E-2</v>
      </c>
      <c r="K81" s="1325">
        <f>I81*J81</f>
        <v>0</v>
      </c>
      <c r="L81" s="1205">
        <f>I81+K81</f>
        <v>0</v>
      </c>
      <c r="M81" s="1206">
        <f>I81/$G$5</f>
        <v>0</v>
      </c>
      <c r="N81" s="1207">
        <f>I81/$G$2</f>
        <v>0</v>
      </c>
      <c r="O81" s="1189"/>
      <c r="P81" s="1336">
        <f>M81*$Q$5</f>
        <v>0</v>
      </c>
      <c r="Q81" s="1516">
        <f>P81*J81</f>
        <v>0</v>
      </c>
      <c r="R81" s="1517">
        <f>P81+Q81</f>
        <v>0</v>
      </c>
      <c r="S81" s="1189"/>
      <c r="T81" s="1336">
        <f>M81*$U$5</f>
        <v>0</v>
      </c>
      <c r="U81" s="1656">
        <f>T81*J81</f>
        <v>0</v>
      </c>
      <c r="V81" s="1657">
        <f>T81+U81</f>
        <v>0</v>
      </c>
      <c r="W81" s="1651"/>
      <c r="X81" s="1655">
        <f>M81*$Y$5</f>
        <v>0</v>
      </c>
      <c r="Y81" s="1656">
        <f>X81*J81</f>
        <v>0</v>
      </c>
      <c r="Z81" s="1657">
        <f>X81+Y81</f>
        <v>0</v>
      </c>
      <c r="AA81" s="1249"/>
      <c r="AB81" s="1223">
        <f>I81-(P81+T81+X81)</f>
        <v>0</v>
      </c>
      <c r="AC81" s="1264"/>
      <c r="AD81" s="300"/>
      <c r="AE81" s="1227"/>
      <c r="AF81" s="317">
        <f>AE81*J81</f>
        <v>0</v>
      </c>
      <c r="AG81" s="421">
        <f>AF81+AE81</f>
        <v>0</v>
      </c>
      <c r="AH81" s="300"/>
      <c r="AI81" s="1228">
        <f>I81-AC81</f>
        <v>0</v>
      </c>
      <c r="AJ81" s="1210">
        <f>I81-AE81</f>
        <v>0</v>
      </c>
      <c r="AK81" s="1189"/>
      <c r="AL81" s="974"/>
      <c r="AM81" s="974"/>
      <c r="AN81" s="974"/>
      <c r="AO81" s="974"/>
      <c r="AP81" s="974"/>
      <c r="AQ81" s="974"/>
      <c r="AR81" s="974"/>
      <c r="AS81" s="974"/>
      <c r="AT81" s="974"/>
      <c r="AU81" s="974"/>
      <c r="AV81" s="974"/>
      <c r="AW81" s="974"/>
      <c r="AX81" s="974"/>
      <c r="AY81" s="974"/>
      <c r="AZ81" s="974"/>
      <c r="BA81" s="974"/>
      <c r="BB81" s="974"/>
      <c r="BC81" s="974"/>
      <c r="BD81" s="974"/>
      <c r="BE81" s="974"/>
      <c r="BF81" s="974"/>
      <c r="BG81" s="974"/>
      <c r="BH81" s="974"/>
      <c r="BI81" s="974"/>
      <c r="BJ81" s="974"/>
      <c r="BK81" s="974"/>
    </row>
    <row r="82" spans="1:83" s="32" customFormat="1" ht="15.95" customHeight="1" outlineLevel="1">
      <c r="A82" s="410"/>
      <c r="B82" s="411"/>
      <c r="C82" s="296"/>
      <c r="D82" s="1354" t="s">
        <v>151</v>
      </c>
      <c r="E82" s="297"/>
      <c r="F82" s="1355" t="s">
        <v>152</v>
      </c>
      <c r="G82" s="1356"/>
      <c r="H82" s="1418"/>
      <c r="I82" s="659">
        <f>SUM(I83:I85)</f>
        <v>0</v>
      </c>
      <c r="J82" s="1358"/>
      <c r="K82" s="298">
        <f>SUM(K83:K85)</f>
        <v>0</v>
      </c>
      <c r="L82" s="431">
        <f>SUM(L83:L85)</f>
        <v>0</v>
      </c>
      <c r="M82" s="1417">
        <f>SUM(M83:M85)</f>
        <v>0</v>
      </c>
      <c r="N82" s="1360">
        <f>SUM(N83:N85)</f>
        <v>0</v>
      </c>
      <c r="O82" s="227"/>
      <c r="P82" s="1547">
        <f>SUM(P83:P85)</f>
        <v>0</v>
      </c>
      <c r="Q82" s="1532">
        <f>SUM(Q83:Q85)</f>
        <v>0</v>
      </c>
      <c r="R82" s="1533">
        <f>SUM(R83:R85)</f>
        <v>0</v>
      </c>
      <c r="S82" s="1216"/>
      <c r="T82" s="1672">
        <f>SUM(T83:T85)</f>
        <v>0</v>
      </c>
      <c r="U82" s="1668">
        <f>SUM(U83:U85)</f>
        <v>0</v>
      </c>
      <c r="V82" s="1669">
        <f>SUM(V83:V85)</f>
        <v>0</v>
      </c>
      <c r="W82" s="1646"/>
      <c r="X82" s="1672">
        <f>SUM(X83:X85)</f>
        <v>0</v>
      </c>
      <c r="Y82" s="1668">
        <f>SUM(Y83:Y85)</f>
        <v>0</v>
      </c>
      <c r="Z82" s="1669">
        <f>SUM(Z83:Z85)</f>
        <v>0</v>
      </c>
      <c r="AA82" s="1249"/>
      <c r="AB82" s="1797">
        <f>SUM(AB83:AB85)</f>
        <v>0</v>
      </c>
      <c r="AC82" s="1351">
        <f>SUM(AC83:AC85)</f>
        <v>0</v>
      </c>
      <c r="AD82" s="227"/>
      <c r="AE82" s="1344">
        <f t="shared" ref="AE82:AG82" si="40">SUM(AE83:AE85)</f>
        <v>0</v>
      </c>
      <c r="AF82" s="1361">
        <f t="shared" si="40"/>
        <v>0</v>
      </c>
      <c r="AG82" s="1345">
        <f t="shared" si="40"/>
        <v>0</v>
      </c>
      <c r="AH82" s="227"/>
      <c r="AI82" s="1419">
        <f t="shared" ref="AI82:AJ82" si="41">SUM(AI83:AI85)</f>
        <v>0</v>
      </c>
      <c r="AJ82" s="1403">
        <f t="shared" si="41"/>
        <v>0</v>
      </c>
      <c r="AK82" s="227"/>
      <c r="AL82" s="1363"/>
      <c r="AM82" s="1363"/>
      <c r="AN82" s="1363"/>
      <c r="AO82" s="1363"/>
      <c r="AP82" s="1363"/>
      <c r="AQ82" s="1363"/>
      <c r="AR82" s="1363"/>
      <c r="AS82" s="1363"/>
      <c r="AT82" s="1363"/>
      <c r="AU82" s="1363"/>
      <c r="AV82" s="1363"/>
      <c r="AW82" s="649"/>
      <c r="AX82" s="649"/>
      <c r="AY82" s="649"/>
      <c r="AZ82" s="649"/>
      <c r="BA82" s="649"/>
      <c r="BB82" s="649"/>
      <c r="BC82" s="649"/>
      <c r="BD82" s="649"/>
      <c r="BE82" s="649"/>
      <c r="BF82" s="649"/>
      <c r="BG82" s="649"/>
      <c r="BH82" s="649"/>
      <c r="BI82" s="649"/>
      <c r="BJ82" s="649"/>
      <c r="BK82" s="649"/>
      <c r="BL82" s="418"/>
      <c r="BM82" s="418"/>
      <c r="BN82" s="418"/>
      <c r="BO82" s="418"/>
      <c r="BP82" s="418"/>
      <c r="BQ82" s="418"/>
      <c r="BR82" s="418"/>
      <c r="BS82" s="418"/>
      <c r="BT82" s="418"/>
      <c r="BU82" s="418"/>
      <c r="BV82" s="418"/>
      <c r="BW82" s="418"/>
      <c r="BX82" s="418"/>
      <c r="BY82" s="418"/>
      <c r="BZ82" s="418"/>
      <c r="CA82" s="418"/>
      <c r="CB82" s="418"/>
      <c r="CC82" s="418"/>
      <c r="CD82" s="418"/>
      <c r="CE82" s="418"/>
    </row>
    <row r="83" spans="1:83" s="1190" customFormat="1" ht="15.95" customHeight="1" outlineLevel="3">
      <c r="A83" s="1200"/>
      <c r="B83" s="1201"/>
      <c r="C83" s="296"/>
      <c r="D83" s="1202"/>
      <c r="E83" s="412" t="s">
        <v>153</v>
      </c>
      <c r="F83" s="648" t="s">
        <v>154</v>
      </c>
      <c r="G83" s="1203"/>
      <c r="H83" s="1191"/>
      <c r="I83" s="1321">
        <v>0</v>
      </c>
      <c r="J83" s="1214">
        <f>TVAN</f>
        <v>8.5000000000000006E-2</v>
      </c>
      <c r="K83" s="1327">
        <f>I83*J83</f>
        <v>0</v>
      </c>
      <c r="L83" s="1215">
        <f>I83+K83</f>
        <v>0</v>
      </c>
      <c r="M83" s="1194">
        <f>I83/$G$5</f>
        <v>0</v>
      </c>
      <c r="N83" s="1195">
        <f>I83/$G$2</f>
        <v>0</v>
      </c>
      <c r="O83" s="1335"/>
      <c r="P83" s="1321">
        <f>M83*$Q$5</f>
        <v>0</v>
      </c>
      <c r="Q83" s="1510">
        <f>P83*J83</f>
        <v>0</v>
      </c>
      <c r="R83" s="1511">
        <f>P83+Q83</f>
        <v>0</v>
      </c>
      <c r="S83" s="1189"/>
      <c r="T83" s="1321">
        <f>M83*$U$5</f>
        <v>0</v>
      </c>
      <c r="U83" s="1649">
        <f>T83*J83</f>
        <v>0</v>
      </c>
      <c r="V83" s="1650">
        <f>T83+U83</f>
        <v>0</v>
      </c>
      <c r="W83" s="1651"/>
      <c r="X83" s="1652">
        <f>M83*$Y$5</f>
        <v>0</v>
      </c>
      <c r="Y83" s="1649">
        <f>X83*J83</f>
        <v>0</v>
      </c>
      <c r="Z83" s="1650">
        <f>X83+Y83</f>
        <v>0</v>
      </c>
      <c r="AA83" s="1249"/>
      <c r="AB83" s="1217">
        <f>I83-(P83+T83+X83)</f>
        <v>0</v>
      </c>
      <c r="AC83" s="1263"/>
      <c r="AD83" s="227"/>
      <c r="AE83" s="1224"/>
      <c r="AF83" s="1229">
        <f>AE83*J83</f>
        <v>0</v>
      </c>
      <c r="AG83" s="1225">
        <f>AE83+AF83</f>
        <v>0</v>
      </c>
      <c r="AH83" s="227"/>
      <c r="AI83" s="1198">
        <f>I83-AC83</f>
        <v>0</v>
      </c>
      <c r="AJ83" s="1199">
        <f>I83-AE83</f>
        <v>0</v>
      </c>
      <c r="AK83" s="1189"/>
      <c r="AL83" s="974"/>
      <c r="AM83" s="974"/>
      <c r="AN83" s="974"/>
      <c r="AO83" s="974"/>
      <c r="AP83" s="974"/>
      <c r="AQ83" s="974"/>
      <c r="AR83" s="974"/>
      <c r="AS83" s="974"/>
      <c r="AT83" s="974"/>
      <c r="AU83" s="974"/>
      <c r="AV83" s="974"/>
      <c r="AW83" s="974"/>
      <c r="AX83" s="974"/>
      <c r="AY83" s="974"/>
      <c r="AZ83" s="974"/>
      <c r="BA83" s="974"/>
      <c r="BB83" s="974"/>
      <c r="BC83" s="974"/>
      <c r="BD83" s="974"/>
      <c r="BE83" s="974"/>
      <c r="BF83" s="974"/>
      <c r="BG83" s="974"/>
      <c r="BH83" s="974"/>
      <c r="BI83" s="974"/>
      <c r="BJ83" s="974"/>
      <c r="BK83" s="974"/>
    </row>
    <row r="84" spans="1:83" s="1190" customFormat="1" ht="15.95" customHeight="1" outlineLevel="3">
      <c r="A84" s="1200"/>
      <c r="B84" s="1201"/>
      <c r="C84" s="385" t="s">
        <v>213</v>
      </c>
      <c r="D84" s="1202"/>
      <c r="E84" s="412" t="s">
        <v>155</v>
      </c>
      <c r="F84" s="648" t="s">
        <v>156</v>
      </c>
      <c r="G84" s="1203"/>
      <c r="H84" s="627"/>
      <c r="I84" s="1337">
        <v>0</v>
      </c>
      <c r="J84" s="1181">
        <f>TVAN</f>
        <v>8.5000000000000006E-2</v>
      </c>
      <c r="K84" s="1323">
        <f>I84*J84</f>
        <v>0</v>
      </c>
      <c r="L84" s="1220">
        <f>I84+K84</f>
        <v>0</v>
      </c>
      <c r="M84" s="1221">
        <f>I84/$G$5</f>
        <v>0</v>
      </c>
      <c r="N84" s="1222">
        <f>I84/$G$2</f>
        <v>0</v>
      </c>
      <c r="O84" s="1335"/>
      <c r="P84" s="1512">
        <f>M84*$Q$5</f>
        <v>0</v>
      </c>
      <c r="Q84" s="1513">
        <f>P84*J84</f>
        <v>0</v>
      </c>
      <c r="R84" s="1514">
        <f>P84+Q84</f>
        <v>0</v>
      </c>
      <c r="S84" s="1189"/>
      <c r="T84" s="1652">
        <f>M84*$U$5</f>
        <v>0</v>
      </c>
      <c r="U84" s="1653">
        <f>T84*J84</f>
        <v>0</v>
      </c>
      <c r="V84" s="1654">
        <f>T84+U84</f>
        <v>0</v>
      </c>
      <c r="W84" s="1651"/>
      <c r="X84" s="1652">
        <f>M84*$Y$5</f>
        <v>0</v>
      </c>
      <c r="Y84" s="1653">
        <f>X84*J84</f>
        <v>0</v>
      </c>
      <c r="Z84" s="1654">
        <f>X84+Y84</f>
        <v>0</v>
      </c>
      <c r="AA84" s="1249"/>
      <c r="AB84" s="1223">
        <f>I84-(P84+T84+X84)</f>
        <v>0</v>
      </c>
      <c r="AC84" s="1263"/>
      <c r="AD84" s="227"/>
      <c r="AE84" s="1224"/>
      <c r="AF84" s="1229">
        <f>AE84*J84</f>
        <v>0</v>
      </c>
      <c r="AG84" s="1225">
        <f>AF84+AE84</f>
        <v>0</v>
      </c>
      <c r="AH84" s="227"/>
      <c r="AI84" s="1209">
        <f>I84-AC84</f>
        <v>0</v>
      </c>
      <c r="AJ84" s="1226">
        <f>I84-AE84</f>
        <v>0</v>
      </c>
      <c r="AK84" s="1189"/>
      <c r="AL84" s="974"/>
      <c r="AM84" s="974"/>
      <c r="AN84" s="974"/>
      <c r="AO84" s="974"/>
      <c r="AP84" s="974"/>
      <c r="AQ84" s="974"/>
      <c r="AR84" s="974"/>
      <c r="AS84" s="974"/>
      <c r="AT84" s="974"/>
      <c r="AU84" s="974"/>
      <c r="AV84" s="974"/>
      <c r="AW84" s="974"/>
      <c r="AX84" s="974"/>
      <c r="AY84" s="974"/>
      <c r="AZ84" s="974"/>
      <c r="BA84" s="974"/>
      <c r="BB84" s="974"/>
      <c r="BC84" s="974"/>
      <c r="BD84" s="974"/>
      <c r="BE84" s="974"/>
      <c r="BF84" s="974"/>
      <c r="BG84" s="974"/>
      <c r="BH84" s="974"/>
      <c r="BI84" s="974"/>
      <c r="BJ84" s="974"/>
      <c r="BK84" s="974"/>
    </row>
    <row r="85" spans="1:83" s="1190" customFormat="1" ht="15.95" customHeight="1" outlineLevel="3">
      <c r="A85" s="1200"/>
      <c r="B85" s="1201"/>
      <c r="C85" s="385" t="s">
        <v>213</v>
      </c>
      <c r="D85" s="1202"/>
      <c r="E85" s="412" t="s">
        <v>157</v>
      </c>
      <c r="F85" s="648" t="s">
        <v>351</v>
      </c>
      <c r="G85" s="1203"/>
      <c r="H85" s="1191"/>
      <c r="I85" s="1336">
        <v>0</v>
      </c>
      <c r="J85" s="1204">
        <f>TVAN</f>
        <v>8.5000000000000006E-2</v>
      </c>
      <c r="K85" s="1325">
        <f>I85*J85</f>
        <v>0</v>
      </c>
      <c r="L85" s="1205">
        <f>I85+K85</f>
        <v>0</v>
      </c>
      <c r="M85" s="1206">
        <f>I85/$G$5</f>
        <v>0</v>
      </c>
      <c r="N85" s="1207">
        <f>I85/$G$2</f>
        <v>0</v>
      </c>
      <c r="O85" s="1189"/>
      <c r="P85" s="1336">
        <f>M85*$Q$5</f>
        <v>0</v>
      </c>
      <c r="Q85" s="1516">
        <f>P85*J85</f>
        <v>0</v>
      </c>
      <c r="R85" s="1517">
        <f>P85+Q85</f>
        <v>0</v>
      </c>
      <c r="S85" s="1189"/>
      <c r="T85" s="1336">
        <f>M85*$U$5</f>
        <v>0</v>
      </c>
      <c r="U85" s="1656">
        <f>T85*J85</f>
        <v>0</v>
      </c>
      <c r="V85" s="1657">
        <f>T85+U85</f>
        <v>0</v>
      </c>
      <c r="W85" s="1651"/>
      <c r="X85" s="1655">
        <f>M85*$Y$5</f>
        <v>0</v>
      </c>
      <c r="Y85" s="1656">
        <f>X85*J85</f>
        <v>0</v>
      </c>
      <c r="Z85" s="1657">
        <f>X85+Y85</f>
        <v>0</v>
      </c>
      <c r="AA85" s="1249"/>
      <c r="AB85" s="1208">
        <f>I85-(P85+T85+X85)</f>
        <v>0</v>
      </c>
      <c r="AC85" s="1270"/>
      <c r="AD85" s="227"/>
      <c r="AE85" s="1227"/>
      <c r="AF85" s="317">
        <f>AE85*J85</f>
        <v>0</v>
      </c>
      <c r="AG85" s="1230">
        <f>AF85+AE85</f>
        <v>0</v>
      </c>
      <c r="AH85" s="227"/>
      <c r="AI85" s="1209">
        <f>I85-AC85</f>
        <v>0</v>
      </c>
      <c r="AJ85" s="1231">
        <f>I85-AE85</f>
        <v>0</v>
      </c>
      <c r="AK85" s="1189"/>
      <c r="AL85" s="974"/>
      <c r="AM85" s="974"/>
      <c r="AN85" s="974"/>
      <c r="AO85" s="974"/>
      <c r="AP85" s="974"/>
      <c r="AQ85" s="974"/>
      <c r="AR85" s="974"/>
      <c r="AS85" s="974"/>
      <c r="AT85" s="974"/>
      <c r="AU85" s="974"/>
      <c r="AV85" s="974"/>
      <c r="AW85" s="974"/>
      <c r="AX85" s="974"/>
      <c r="AY85" s="974"/>
      <c r="AZ85" s="974"/>
      <c r="BA85" s="974"/>
      <c r="BB85" s="974"/>
      <c r="BC85" s="974"/>
      <c r="BD85" s="974"/>
      <c r="BE85" s="974"/>
      <c r="BF85" s="974"/>
      <c r="BG85" s="974"/>
      <c r="BH85" s="974"/>
      <c r="BI85" s="974"/>
      <c r="BJ85" s="974"/>
      <c r="BK85" s="974"/>
    </row>
    <row r="86" spans="1:83" s="32" customFormat="1" ht="15.95" customHeight="1" outlineLevel="1">
      <c r="A86" s="410"/>
      <c r="B86" s="411"/>
      <c r="C86" s="296"/>
      <c r="D86" s="1354" t="s">
        <v>158</v>
      </c>
      <c r="E86" s="297"/>
      <c r="F86" s="1355" t="s">
        <v>159</v>
      </c>
      <c r="G86" s="1356"/>
      <c r="H86" s="1357"/>
      <c r="I86" s="659">
        <f>SUM(I87:I91)</f>
        <v>0</v>
      </c>
      <c r="J86" s="1358"/>
      <c r="K86" s="298">
        <f>SUM(K87:K91)</f>
        <v>0</v>
      </c>
      <c r="L86" s="431">
        <f>SUM(L87:L91)</f>
        <v>0</v>
      </c>
      <c r="M86" s="1359">
        <f>SUM(M87:M91)</f>
        <v>0</v>
      </c>
      <c r="N86" s="1360">
        <f>SUM(N87:N91)</f>
        <v>0</v>
      </c>
      <c r="O86" s="227"/>
      <c r="P86" s="1535">
        <f>SUM(P87:P91)</f>
        <v>0</v>
      </c>
      <c r="Q86" s="1532">
        <f>SUM(Q87:Q91)</f>
        <v>0</v>
      </c>
      <c r="R86" s="1533">
        <f>SUM(R87:R91)</f>
        <v>0</v>
      </c>
      <c r="S86" s="1216"/>
      <c r="T86" s="1670">
        <f>SUM(T87:T91)</f>
        <v>0</v>
      </c>
      <c r="U86" s="1668">
        <f>SUM(U87:U91)</f>
        <v>0</v>
      </c>
      <c r="V86" s="1669">
        <f>SUM(V87:V91)</f>
        <v>0</v>
      </c>
      <c r="W86" s="1646"/>
      <c r="X86" s="1670">
        <f>SUM(X87:X91)</f>
        <v>0</v>
      </c>
      <c r="Y86" s="1668">
        <f>SUM(Y87:Y91)</f>
        <v>0</v>
      </c>
      <c r="Z86" s="1669">
        <f>SUM(Z87:Z91)</f>
        <v>0</v>
      </c>
      <c r="AA86" s="1249"/>
      <c r="AB86" s="432">
        <f>SUM(AB81:AB82)</f>
        <v>0</v>
      </c>
      <c r="AC86" s="1351">
        <f>SUM(AC87:AC91)</f>
        <v>0</v>
      </c>
      <c r="AD86" s="227"/>
      <c r="AE86" s="1344">
        <f t="shared" ref="AE86:AG86" si="42">SUM(AE87:AE91)</f>
        <v>0</v>
      </c>
      <c r="AF86" s="1361">
        <f t="shared" si="42"/>
        <v>0</v>
      </c>
      <c r="AG86" s="1345">
        <f t="shared" si="42"/>
        <v>0</v>
      </c>
      <c r="AH86" s="227"/>
      <c r="AI86" s="391">
        <f t="shared" ref="AI86:AJ86" si="43">SUM(AI87:AI91)</f>
        <v>0</v>
      </c>
      <c r="AJ86" s="392">
        <f t="shared" si="43"/>
        <v>0</v>
      </c>
      <c r="AK86" s="227"/>
      <c r="AL86" s="1363"/>
      <c r="AM86" s="1363"/>
      <c r="AN86" s="1363"/>
      <c r="AO86" s="1363"/>
      <c r="AP86" s="1363"/>
      <c r="AQ86" s="1363"/>
      <c r="AR86" s="1363"/>
      <c r="AS86" s="1363"/>
      <c r="AT86" s="1363"/>
      <c r="AU86" s="1363"/>
      <c r="AV86" s="1363"/>
      <c r="AW86" s="649"/>
      <c r="AX86" s="649"/>
      <c r="AY86" s="649"/>
      <c r="AZ86" s="649"/>
      <c r="BA86" s="649"/>
      <c r="BB86" s="649"/>
      <c r="BC86" s="649"/>
      <c r="BD86" s="649"/>
      <c r="BE86" s="649"/>
      <c r="BF86" s="649"/>
      <c r="BG86" s="649"/>
      <c r="BH86" s="649"/>
      <c r="BI86" s="649"/>
      <c r="BJ86" s="649"/>
      <c r="BK86" s="649"/>
      <c r="BL86" s="418"/>
      <c r="BM86" s="418"/>
      <c r="BN86" s="418"/>
      <c r="BO86" s="418"/>
      <c r="BP86" s="418"/>
      <c r="BQ86" s="418"/>
      <c r="BR86" s="418"/>
      <c r="BS86" s="418"/>
      <c r="BT86" s="418"/>
      <c r="BU86" s="418"/>
      <c r="BV86" s="418"/>
      <c r="BW86" s="418"/>
      <c r="BX86" s="418"/>
      <c r="BY86" s="418"/>
      <c r="BZ86" s="418"/>
      <c r="CA86" s="418"/>
      <c r="CB86" s="418"/>
      <c r="CC86" s="418"/>
      <c r="CD86" s="418"/>
      <c r="CE86" s="418"/>
    </row>
    <row r="87" spans="1:83" s="1190" customFormat="1" ht="15" customHeight="1" outlineLevel="3">
      <c r="A87" s="1200"/>
      <c r="B87" s="1201"/>
      <c r="C87" s="385" t="s">
        <v>138</v>
      </c>
      <c r="D87" s="1202"/>
      <c r="E87" s="412" t="s">
        <v>160</v>
      </c>
      <c r="F87" s="648" t="s">
        <v>161</v>
      </c>
      <c r="G87" s="1203"/>
      <c r="H87" s="1191"/>
      <c r="I87" s="1332">
        <v>0</v>
      </c>
      <c r="J87" s="1214">
        <f>TVAN</f>
        <v>8.5000000000000006E-2</v>
      </c>
      <c r="K87" s="1338">
        <f>I87*J87</f>
        <v>0</v>
      </c>
      <c r="L87" s="1215">
        <f>I87+K87</f>
        <v>0</v>
      </c>
      <c r="M87" s="1194">
        <f>I87/$G$5</f>
        <v>0</v>
      </c>
      <c r="N87" s="1195">
        <f>I87/$G$2</f>
        <v>0</v>
      </c>
      <c r="O87" s="1189"/>
      <c r="P87" s="1332">
        <f>M87*$Q$5</f>
        <v>0</v>
      </c>
      <c r="Q87" s="1548">
        <f>P87*J87</f>
        <v>0</v>
      </c>
      <c r="R87" s="1511">
        <f>P87+Q87</f>
        <v>0</v>
      </c>
      <c r="S87" s="1189"/>
      <c r="T87" s="1332">
        <f>M87*$U$5</f>
        <v>0</v>
      </c>
      <c r="U87" s="1686">
        <f>T87*J87</f>
        <v>0</v>
      </c>
      <c r="V87" s="1650">
        <f>T87+U87</f>
        <v>0</v>
      </c>
      <c r="W87" s="1651"/>
      <c r="X87" s="1673">
        <f>M87*$Y$5</f>
        <v>0</v>
      </c>
      <c r="Y87" s="1686">
        <f>X87*J87</f>
        <v>0</v>
      </c>
      <c r="Z87" s="1650">
        <f>X87+Y87</f>
        <v>0</v>
      </c>
      <c r="AA87" s="1249"/>
      <c r="AB87" s="1217">
        <f>I87-(P87+T87+X87)</f>
        <v>0</v>
      </c>
      <c r="AC87" s="1263"/>
      <c r="AD87" s="227"/>
      <c r="AE87" s="1224"/>
      <c r="AF87" s="311">
        <f>AE87*J87</f>
        <v>0</v>
      </c>
      <c r="AG87" s="1225"/>
      <c r="AH87" s="227"/>
      <c r="AI87" s="1198">
        <f>I87-AC87</f>
        <v>0</v>
      </c>
      <c r="AJ87" s="1199">
        <f>I87-AE87</f>
        <v>0</v>
      </c>
      <c r="AK87" s="1189"/>
      <c r="AL87" s="974"/>
      <c r="AM87" s="974"/>
      <c r="AN87" s="974"/>
      <c r="AO87" s="974"/>
      <c r="AP87" s="974"/>
      <c r="AQ87" s="974"/>
      <c r="AR87" s="974"/>
      <c r="AS87" s="974"/>
      <c r="AT87" s="974"/>
      <c r="AU87" s="974"/>
      <c r="AV87" s="974"/>
      <c r="AW87" s="974"/>
      <c r="AX87" s="974"/>
      <c r="AY87" s="974"/>
      <c r="AZ87" s="974"/>
      <c r="BA87" s="974"/>
      <c r="BB87" s="974"/>
      <c r="BC87" s="974"/>
      <c r="BD87" s="974"/>
      <c r="BE87" s="974"/>
      <c r="BF87" s="974"/>
      <c r="BG87" s="974"/>
      <c r="BH87" s="974"/>
      <c r="BI87" s="974"/>
      <c r="BJ87" s="974"/>
      <c r="BK87" s="974"/>
    </row>
    <row r="88" spans="1:83" s="1190" customFormat="1" ht="15" customHeight="1" outlineLevel="3">
      <c r="A88" s="1200"/>
      <c r="B88" s="1201"/>
      <c r="C88" s="385" t="s">
        <v>138</v>
      </c>
      <c r="D88" s="1202"/>
      <c r="E88" s="412" t="s">
        <v>352</v>
      </c>
      <c r="F88" s="648" t="s">
        <v>353</v>
      </c>
      <c r="G88" s="1203"/>
      <c r="H88" s="1191"/>
      <c r="I88" s="1333"/>
      <c r="J88" s="1181">
        <f>TVAN</f>
        <v>8.5000000000000006E-2</v>
      </c>
      <c r="K88" s="1339">
        <f>I88*J88</f>
        <v>0</v>
      </c>
      <c r="L88" s="1220">
        <f>I88+K88</f>
        <v>0</v>
      </c>
      <c r="M88" s="1221">
        <f>I88/$G$5</f>
        <v>0</v>
      </c>
      <c r="N88" s="1222">
        <f>I88/$G$2</f>
        <v>0</v>
      </c>
      <c r="O88" s="1189"/>
      <c r="P88" s="1333">
        <f>M88*$Q$5</f>
        <v>0</v>
      </c>
      <c r="Q88" s="1549">
        <f>P88*J88</f>
        <v>0</v>
      </c>
      <c r="R88" s="1514">
        <f>P88+Q88</f>
        <v>0</v>
      </c>
      <c r="S88" s="1189"/>
      <c r="T88" s="1333">
        <f>M88*$U$5</f>
        <v>0</v>
      </c>
      <c r="U88" s="1687">
        <f>T88*J88</f>
        <v>0</v>
      </c>
      <c r="V88" s="1654">
        <f>T88+U88</f>
        <v>0</v>
      </c>
      <c r="W88" s="1651"/>
      <c r="X88" s="1674">
        <f>M88*$Y$5</f>
        <v>0</v>
      </c>
      <c r="Y88" s="1687">
        <f>X88*J88</f>
        <v>0</v>
      </c>
      <c r="Z88" s="1654">
        <f>X88+Y88</f>
        <v>0</v>
      </c>
      <c r="AA88" s="1249"/>
      <c r="AB88" s="1223">
        <f>I88-(P88+T88+X88)</f>
        <v>0</v>
      </c>
      <c r="AC88" s="1263"/>
      <c r="AD88" s="227"/>
      <c r="AE88" s="1224"/>
      <c r="AF88" s="311">
        <f>AE88*J88</f>
        <v>0</v>
      </c>
      <c r="AG88" s="1225">
        <f>AF88+AE88</f>
        <v>0</v>
      </c>
      <c r="AH88" s="227"/>
      <c r="AI88" s="1209">
        <f>I88-AC88</f>
        <v>0</v>
      </c>
      <c r="AJ88" s="1226">
        <f>I88-AE88</f>
        <v>0</v>
      </c>
      <c r="AK88" s="1189"/>
      <c r="AL88" s="974"/>
      <c r="AM88" s="974"/>
      <c r="AN88" s="974"/>
      <c r="AO88" s="974"/>
      <c r="AP88" s="974"/>
      <c r="AQ88" s="974"/>
      <c r="AR88" s="974"/>
      <c r="AS88" s="974"/>
      <c r="AT88" s="974"/>
      <c r="AU88" s="974"/>
      <c r="AV88" s="974"/>
      <c r="AW88" s="974"/>
      <c r="AX88" s="974"/>
      <c r="AY88" s="974"/>
      <c r="AZ88" s="974"/>
      <c r="BA88" s="974"/>
      <c r="BB88" s="974"/>
      <c r="BC88" s="974"/>
      <c r="BD88" s="974"/>
      <c r="BE88" s="974"/>
      <c r="BF88" s="974"/>
      <c r="BG88" s="974"/>
      <c r="BH88" s="974"/>
      <c r="BI88" s="974"/>
      <c r="BJ88" s="974"/>
      <c r="BK88" s="974"/>
    </row>
    <row r="89" spans="1:83" s="1190" customFormat="1" ht="15" customHeight="1" outlineLevel="3">
      <c r="A89" s="1200"/>
      <c r="B89" s="1201"/>
      <c r="C89" s="386"/>
      <c r="D89" s="1202"/>
      <c r="E89" s="412" t="s">
        <v>354</v>
      </c>
      <c r="F89" s="648" t="s">
        <v>355</v>
      </c>
      <c r="G89" s="1203" t="s">
        <v>221</v>
      </c>
      <c r="H89" s="627"/>
      <c r="I89" s="1333">
        <v>0</v>
      </c>
      <c r="J89" s="1181">
        <f>TVAN</f>
        <v>8.5000000000000006E-2</v>
      </c>
      <c r="K89" s="1339">
        <f>I89*J89</f>
        <v>0</v>
      </c>
      <c r="L89" s="1220">
        <f>I89+K89</f>
        <v>0</v>
      </c>
      <c r="M89" s="1221">
        <f>I89/$G$5</f>
        <v>0</v>
      </c>
      <c r="N89" s="1222">
        <f>I89/$G$2</f>
        <v>0</v>
      </c>
      <c r="O89" s="1189"/>
      <c r="P89" s="1333">
        <f>M89*$Q$5</f>
        <v>0</v>
      </c>
      <c r="Q89" s="1549">
        <f>P89*J89</f>
        <v>0</v>
      </c>
      <c r="R89" s="1514">
        <f>P89+Q89</f>
        <v>0</v>
      </c>
      <c r="S89" s="1189"/>
      <c r="T89" s="1333">
        <f>M89*$U$5</f>
        <v>0</v>
      </c>
      <c r="U89" s="1687">
        <f>T89*J89</f>
        <v>0</v>
      </c>
      <c r="V89" s="1654">
        <f>T89+U89</f>
        <v>0</v>
      </c>
      <c r="W89" s="1651"/>
      <c r="X89" s="1652">
        <f>M89*$Y$5</f>
        <v>0</v>
      </c>
      <c r="Y89" s="1687">
        <f>X89*J89</f>
        <v>0</v>
      </c>
      <c r="Z89" s="1654">
        <f>X89+Y89</f>
        <v>0</v>
      </c>
      <c r="AA89" s="1249"/>
      <c r="AB89" s="1223">
        <f>I89-(P89+T89+X89)</f>
        <v>0</v>
      </c>
      <c r="AC89" s="1263"/>
      <c r="AD89" s="227"/>
      <c r="AE89" s="1224"/>
      <c r="AF89" s="311">
        <f>AE89*J89</f>
        <v>0</v>
      </c>
      <c r="AG89" s="1225">
        <f>AF89+AE89</f>
        <v>0</v>
      </c>
      <c r="AH89" s="227"/>
      <c r="AI89" s="1209">
        <f>I89-AC89</f>
        <v>0</v>
      </c>
      <c r="AJ89" s="1226">
        <f>I89-AE89</f>
        <v>0</v>
      </c>
      <c r="AK89" s="1189"/>
      <c r="AL89" s="974"/>
      <c r="AM89" s="974"/>
      <c r="AN89" s="974"/>
      <c r="AO89" s="974"/>
      <c r="AP89" s="974"/>
      <c r="AQ89" s="974"/>
      <c r="AR89" s="974"/>
      <c r="AS89" s="974"/>
      <c r="AT89" s="974"/>
      <c r="AU89" s="974"/>
      <c r="AV89" s="974"/>
      <c r="AW89" s="974"/>
      <c r="AX89" s="974"/>
      <c r="AY89" s="974"/>
      <c r="AZ89" s="974"/>
      <c r="BA89" s="974"/>
      <c r="BB89" s="974"/>
      <c r="BC89" s="974"/>
      <c r="BD89" s="974"/>
      <c r="BE89" s="974"/>
      <c r="BF89" s="974"/>
      <c r="BG89" s="974"/>
      <c r="BH89" s="974"/>
      <c r="BI89" s="974"/>
      <c r="BJ89" s="974"/>
      <c r="BK89" s="974"/>
    </row>
    <row r="90" spans="1:83" s="1190" customFormat="1" ht="15" customHeight="1" outlineLevel="3">
      <c r="A90" s="1200"/>
      <c r="B90" s="1201"/>
      <c r="C90" s="2229"/>
      <c r="D90" s="1202"/>
      <c r="E90" s="2237" t="s">
        <v>162</v>
      </c>
      <c r="F90" s="648" t="s">
        <v>163</v>
      </c>
      <c r="G90" s="1203"/>
      <c r="H90" s="1191"/>
      <c r="I90" s="1333">
        <v>0</v>
      </c>
      <c r="J90" s="1181">
        <f>TVAN</f>
        <v>8.5000000000000006E-2</v>
      </c>
      <c r="K90" s="1339">
        <f>I90*J90</f>
        <v>0</v>
      </c>
      <c r="L90" s="1220">
        <f>I90+K90</f>
        <v>0</v>
      </c>
      <c r="M90" s="1221">
        <f>I90/$G$5</f>
        <v>0</v>
      </c>
      <c r="N90" s="1222">
        <f>I90/$G$2</f>
        <v>0</v>
      </c>
      <c r="O90" s="1189"/>
      <c r="P90" s="1333">
        <f>M90*$Q$5</f>
        <v>0</v>
      </c>
      <c r="Q90" s="1549">
        <f>P90*J90</f>
        <v>0</v>
      </c>
      <c r="R90" s="1514">
        <f>P90+Q90</f>
        <v>0</v>
      </c>
      <c r="S90" s="1189"/>
      <c r="T90" s="1333">
        <f t="shared" ref="T90:T91" si="44">M90*$U$5</f>
        <v>0</v>
      </c>
      <c r="U90" s="1687">
        <f>T90*J90</f>
        <v>0</v>
      </c>
      <c r="V90" s="1654">
        <f>T90+U90</f>
        <v>0</v>
      </c>
      <c r="W90" s="1651"/>
      <c r="X90" s="1652">
        <f t="shared" ref="X90:X91" si="45">M90*$Y$5</f>
        <v>0</v>
      </c>
      <c r="Y90" s="1687">
        <f>X90*J90</f>
        <v>0</v>
      </c>
      <c r="Z90" s="1654">
        <f>X90+Y90</f>
        <v>0</v>
      </c>
      <c r="AA90" s="1249"/>
      <c r="AB90" s="1223">
        <f>I90-(P90+T90+X90)</f>
        <v>0</v>
      </c>
      <c r="AC90" s="1263"/>
      <c r="AD90" s="1216"/>
      <c r="AE90" s="1224"/>
      <c r="AF90" s="311">
        <f>AE90*J90</f>
        <v>0</v>
      </c>
      <c r="AG90" s="1225"/>
      <c r="AH90" s="1216"/>
      <c r="AI90" s="1209">
        <f>I90-AC90</f>
        <v>0</v>
      </c>
      <c r="AJ90" s="1226">
        <f>I90-AE90</f>
        <v>0</v>
      </c>
      <c r="AK90" s="1189"/>
      <c r="AL90" s="974"/>
      <c r="AM90" s="974"/>
      <c r="AN90" s="974"/>
      <c r="AO90" s="974"/>
      <c r="AP90" s="974"/>
      <c r="AQ90" s="974"/>
      <c r="AR90" s="974"/>
      <c r="AS90" s="974"/>
      <c r="AT90" s="974"/>
      <c r="AU90" s="974"/>
      <c r="AV90" s="974"/>
      <c r="AW90" s="974"/>
      <c r="AX90" s="974"/>
      <c r="AY90" s="974"/>
      <c r="AZ90" s="974"/>
      <c r="BA90" s="974"/>
      <c r="BB90" s="974"/>
      <c r="BC90" s="974"/>
      <c r="BD90" s="974"/>
      <c r="BE90" s="974"/>
      <c r="BF90" s="974"/>
      <c r="BG90" s="974"/>
      <c r="BH90" s="974"/>
      <c r="BI90" s="974"/>
      <c r="BJ90" s="974"/>
      <c r="BK90" s="974"/>
    </row>
    <row r="91" spans="1:83" s="1190" customFormat="1" ht="15" customHeight="1" outlineLevel="3">
      <c r="A91" s="1200"/>
      <c r="B91" s="1201"/>
      <c r="C91" s="2229"/>
      <c r="D91" s="1202"/>
      <c r="E91" s="2237" t="s">
        <v>164</v>
      </c>
      <c r="F91" s="648" t="s">
        <v>165</v>
      </c>
      <c r="G91" s="1203"/>
      <c r="H91" s="1191"/>
      <c r="I91" s="1324">
        <v>0</v>
      </c>
      <c r="J91" s="1204">
        <f>TVAN</f>
        <v>8.5000000000000006E-2</v>
      </c>
      <c r="K91" s="2238">
        <f>I91*J91</f>
        <v>0</v>
      </c>
      <c r="L91" s="1205">
        <f>I91+K91</f>
        <v>0</v>
      </c>
      <c r="M91" s="1206">
        <f>I91/$G$5</f>
        <v>0</v>
      </c>
      <c r="N91" s="1207">
        <f>I91/$G$2</f>
        <v>0</v>
      </c>
      <c r="O91" s="1189"/>
      <c r="P91" s="1324">
        <f>M91*$Q$5</f>
        <v>0</v>
      </c>
      <c r="Q91" s="1516">
        <f>P91*J91</f>
        <v>0</v>
      </c>
      <c r="R91" s="1517">
        <f>P91+Q91</f>
        <v>0</v>
      </c>
      <c r="S91" s="1189"/>
      <c r="T91" s="1324">
        <f t="shared" si="44"/>
        <v>0</v>
      </c>
      <c r="U91" s="2239">
        <f>T91*J91</f>
        <v>0</v>
      </c>
      <c r="V91" s="1657">
        <f>T91+U91</f>
        <v>0</v>
      </c>
      <c r="W91" s="1651"/>
      <c r="X91" s="1652">
        <f t="shared" si="45"/>
        <v>0</v>
      </c>
      <c r="Y91" s="2239">
        <f>X91*J91</f>
        <v>0</v>
      </c>
      <c r="Z91" s="1657">
        <f>X91+Y91</f>
        <v>0</v>
      </c>
      <c r="AA91" s="1249"/>
      <c r="AB91" s="1208">
        <f>I91-(P91+T91+X91)</f>
        <v>0</v>
      </c>
      <c r="AC91" s="1264"/>
      <c r="AD91" s="1216"/>
      <c r="AE91" s="1227"/>
      <c r="AF91" s="317">
        <f>AE91*J91</f>
        <v>0</v>
      </c>
      <c r="AG91" s="1230">
        <f>AF91+AE91</f>
        <v>0</v>
      </c>
      <c r="AH91" s="1216"/>
      <c r="AI91" s="1228">
        <f>I91-AC91</f>
        <v>0</v>
      </c>
      <c r="AJ91" s="1210">
        <f>I91-AE91</f>
        <v>0</v>
      </c>
      <c r="AK91" s="1189"/>
      <c r="AL91" s="974"/>
      <c r="AM91" s="974"/>
      <c r="AN91" s="974"/>
      <c r="AO91" s="974"/>
      <c r="AP91" s="974"/>
      <c r="AQ91" s="974"/>
      <c r="AR91" s="974"/>
      <c r="AS91" s="974"/>
      <c r="AT91" s="974"/>
      <c r="AU91" s="974"/>
      <c r="AV91" s="974"/>
      <c r="AW91" s="974"/>
      <c r="AX91" s="974"/>
      <c r="AY91" s="974"/>
      <c r="AZ91" s="974"/>
      <c r="BA91" s="974"/>
      <c r="BB91" s="974"/>
      <c r="BC91" s="974"/>
      <c r="BD91" s="974"/>
      <c r="BE91" s="974"/>
      <c r="BF91" s="974"/>
      <c r="BG91" s="974"/>
      <c r="BH91" s="974"/>
      <c r="BI91" s="974"/>
      <c r="BJ91" s="974"/>
      <c r="BK91" s="974"/>
    </row>
    <row r="92" spans="1:83" s="32" customFormat="1" ht="15.95" customHeight="1" outlineLevel="1">
      <c r="A92" s="410"/>
      <c r="B92" s="411"/>
      <c r="C92" s="296"/>
      <c r="D92" s="1354" t="s">
        <v>166</v>
      </c>
      <c r="E92" s="297"/>
      <c r="F92" s="1355" t="s">
        <v>167</v>
      </c>
      <c r="G92" s="1356"/>
      <c r="H92" s="1418"/>
      <c r="I92" s="659">
        <f>SUM(I93:I96)</f>
        <v>0</v>
      </c>
      <c r="J92" s="1358"/>
      <c r="K92" s="298">
        <f>SUM(K93:K96)</f>
        <v>0</v>
      </c>
      <c r="L92" s="431">
        <f>SUM(L93:L96)</f>
        <v>0</v>
      </c>
      <c r="M92" s="1359">
        <f>SUM(M93:M96)</f>
        <v>0</v>
      </c>
      <c r="N92" s="1360">
        <f>SUM(N93:N96)</f>
        <v>0</v>
      </c>
      <c r="O92" s="227"/>
      <c r="P92" s="1547">
        <f>SUM(P93:P96)</f>
        <v>0</v>
      </c>
      <c r="Q92" s="1532">
        <f>SUM(Q93:Q96)</f>
        <v>0</v>
      </c>
      <c r="R92" s="1533">
        <f>SUM(R93:R96)</f>
        <v>0</v>
      </c>
      <c r="S92" s="1216"/>
      <c r="T92" s="1672">
        <f>SUM(T93:T96)</f>
        <v>0</v>
      </c>
      <c r="U92" s="1668">
        <f>SUM(U93:U96)</f>
        <v>0</v>
      </c>
      <c r="V92" s="1669">
        <f>SUM(V93:V96)</f>
        <v>0</v>
      </c>
      <c r="W92" s="1646"/>
      <c r="X92" s="1672">
        <f>SUM(X93:X96)</f>
        <v>0</v>
      </c>
      <c r="Y92" s="1668">
        <f>SUM(Y93:Y96)</f>
        <v>0</v>
      </c>
      <c r="Z92" s="1669">
        <f>SUM(Z93:Z96)</f>
        <v>0</v>
      </c>
      <c r="AA92" s="1249"/>
      <c r="AB92" s="432">
        <f>SUM(AB93:AB96)</f>
        <v>0</v>
      </c>
      <c r="AC92" s="1428">
        <f>SUM(AC93:AC96)</f>
        <v>0</v>
      </c>
      <c r="AD92" s="227"/>
      <c r="AE92" s="1429">
        <f t="shared" ref="AE92:AG92" si="46">SUM(AE93:AE96)</f>
        <v>0</v>
      </c>
      <c r="AF92" s="1430">
        <f t="shared" si="46"/>
        <v>0</v>
      </c>
      <c r="AG92" s="1431">
        <f t="shared" si="46"/>
        <v>0</v>
      </c>
      <c r="AH92" s="227"/>
      <c r="AI92" s="1429">
        <f t="shared" ref="AI92:AJ92" si="47">SUM(AI93:AI96)</f>
        <v>0</v>
      </c>
      <c r="AJ92" s="1432">
        <f t="shared" si="47"/>
        <v>0</v>
      </c>
      <c r="AK92" s="227"/>
      <c r="AL92" s="1363"/>
      <c r="AM92" s="1363"/>
      <c r="AN92" s="1363"/>
      <c r="AO92" s="1363"/>
      <c r="AP92" s="1363"/>
      <c r="AQ92" s="1363"/>
      <c r="AR92" s="1363"/>
      <c r="AS92" s="1363"/>
      <c r="AT92" s="1363"/>
      <c r="AU92" s="1363"/>
      <c r="AV92" s="1363"/>
      <c r="AW92" s="649"/>
      <c r="AX92" s="649"/>
      <c r="AY92" s="649"/>
      <c r="AZ92" s="649"/>
      <c r="BA92" s="649"/>
      <c r="BB92" s="649"/>
      <c r="BC92" s="649"/>
      <c r="BD92" s="649"/>
      <c r="BE92" s="649"/>
      <c r="BF92" s="649"/>
      <c r="BG92" s="649"/>
      <c r="BH92" s="649"/>
      <c r="BI92" s="649"/>
      <c r="BJ92" s="649"/>
      <c r="BK92" s="649"/>
      <c r="BL92" s="418"/>
      <c r="BM92" s="418"/>
      <c r="BN92" s="418"/>
      <c r="BO92" s="418"/>
      <c r="BP92" s="418"/>
      <c r="BQ92" s="418"/>
      <c r="BR92" s="418"/>
      <c r="BS92" s="418"/>
      <c r="BT92" s="418"/>
      <c r="BU92" s="418"/>
      <c r="BV92" s="418"/>
      <c r="BW92" s="418"/>
      <c r="BX92" s="418"/>
      <c r="BY92" s="418"/>
      <c r="BZ92" s="418"/>
      <c r="CA92" s="418"/>
      <c r="CB92" s="418"/>
      <c r="CC92" s="418"/>
      <c r="CD92" s="418"/>
      <c r="CE92" s="418"/>
    </row>
    <row r="93" spans="1:83" s="1190" customFormat="1" ht="15.95" customHeight="1" outlineLevel="3">
      <c r="A93" s="1200"/>
      <c r="B93" s="1201"/>
      <c r="C93" s="386"/>
      <c r="D93" s="1202"/>
      <c r="E93" s="412" t="s">
        <v>168</v>
      </c>
      <c r="F93" s="648" t="s">
        <v>169</v>
      </c>
      <c r="G93" s="1203"/>
      <c r="H93" s="1191"/>
      <c r="I93" s="1326">
        <v>0</v>
      </c>
      <c r="J93" s="1214">
        <f>TVAN</f>
        <v>8.5000000000000006E-2</v>
      </c>
      <c r="K93" s="1327">
        <f>I93*J93</f>
        <v>0</v>
      </c>
      <c r="L93" s="1215">
        <f>I93+K93</f>
        <v>0</v>
      </c>
      <c r="M93" s="1194">
        <f>I93/$G$5</f>
        <v>0</v>
      </c>
      <c r="N93" s="1195">
        <f>I93/$G$2</f>
        <v>0</v>
      </c>
      <c r="O93" s="1189"/>
      <c r="P93" s="1326">
        <f>M93*$Q$5</f>
        <v>0</v>
      </c>
      <c r="Q93" s="1510">
        <f>P93*J93</f>
        <v>0</v>
      </c>
      <c r="R93" s="1511">
        <f>P93+Q93</f>
        <v>0</v>
      </c>
      <c r="S93" s="1189"/>
      <c r="T93" s="1326">
        <f>M93*$U$5</f>
        <v>0</v>
      </c>
      <c r="U93" s="1649">
        <f>T93*J93</f>
        <v>0</v>
      </c>
      <c r="V93" s="1650">
        <f>T93+U93</f>
        <v>0</v>
      </c>
      <c r="W93" s="1651"/>
      <c r="X93" s="1652">
        <f>M93*$Y$5</f>
        <v>0</v>
      </c>
      <c r="Y93" s="1649">
        <f>X93*J93</f>
        <v>0</v>
      </c>
      <c r="Z93" s="1650">
        <f>X93+Y93</f>
        <v>0</v>
      </c>
      <c r="AA93" s="1249"/>
      <c r="AB93" s="1217">
        <f>I93-(P93+T93+X93)</f>
        <v>0</v>
      </c>
      <c r="AC93" s="1260"/>
      <c r="AD93" s="227"/>
      <c r="AE93" s="1232"/>
      <c r="AF93" s="311">
        <f>AE93*J93</f>
        <v>0</v>
      </c>
      <c r="AG93" s="1233">
        <f>AF93+AE93</f>
        <v>0</v>
      </c>
      <c r="AH93" s="227"/>
      <c r="AI93" s="1198">
        <f t="shared" ref="AI93:AI104" si="48">I93-AC93</f>
        <v>0</v>
      </c>
      <c r="AJ93" s="1199">
        <f>I93-AE93</f>
        <v>0</v>
      </c>
      <c r="AK93" s="1189"/>
      <c r="AL93" s="974"/>
      <c r="AM93" s="974"/>
      <c r="AN93" s="974"/>
      <c r="AO93" s="974"/>
      <c r="AP93" s="974"/>
      <c r="AQ93" s="974"/>
      <c r="AR93" s="974"/>
      <c r="AS93" s="974"/>
      <c r="AT93" s="974"/>
      <c r="AU93" s="974"/>
      <c r="AV93" s="974"/>
      <c r="AW93" s="974"/>
      <c r="AX93" s="974"/>
      <c r="AY93" s="974"/>
      <c r="AZ93" s="974"/>
      <c r="BA93" s="974"/>
      <c r="BB93" s="974"/>
      <c r="BC93" s="974"/>
      <c r="BD93" s="974"/>
      <c r="BE93" s="974"/>
      <c r="BF93" s="974"/>
      <c r="BG93" s="974"/>
      <c r="BH93" s="974"/>
      <c r="BI93" s="974"/>
      <c r="BJ93" s="974"/>
      <c r="BK93" s="974"/>
    </row>
    <row r="94" spans="1:83" s="1190" customFormat="1" ht="15.95" customHeight="1" outlineLevel="3">
      <c r="A94" s="1200"/>
      <c r="B94" s="1201"/>
      <c r="C94" s="386"/>
      <c r="D94" s="1202"/>
      <c r="E94" s="412" t="s">
        <v>170</v>
      </c>
      <c r="F94" s="648" t="s">
        <v>171</v>
      </c>
      <c r="G94" s="1203"/>
      <c r="H94" s="627"/>
      <c r="I94" s="1322">
        <v>0</v>
      </c>
      <c r="J94" s="1181">
        <f>TVAN</f>
        <v>8.5000000000000006E-2</v>
      </c>
      <c r="K94" s="1323">
        <f>I94*J94</f>
        <v>0</v>
      </c>
      <c r="L94" s="1220">
        <f>I94+K94</f>
        <v>0</v>
      </c>
      <c r="M94" s="1221">
        <f>I94/$G$5</f>
        <v>0</v>
      </c>
      <c r="N94" s="1222">
        <f>I94/$G$2</f>
        <v>0</v>
      </c>
      <c r="O94" s="1189"/>
      <c r="P94" s="1322">
        <f>M94*$Q$5</f>
        <v>0</v>
      </c>
      <c r="Q94" s="1518">
        <f>P94*J94</f>
        <v>0</v>
      </c>
      <c r="R94" s="1514">
        <f>P94+Q94</f>
        <v>0</v>
      </c>
      <c r="S94" s="1189"/>
      <c r="T94" s="1322">
        <f>M94*$U$5</f>
        <v>0</v>
      </c>
      <c r="U94" s="1653">
        <f>T94*J94</f>
        <v>0</v>
      </c>
      <c r="V94" s="1654">
        <f>T94+U94</f>
        <v>0</v>
      </c>
      <c r="W94" s="1651"/>
      <c r="X94" s="1652">
        <f>M94*$Y$5</f>
        <v>0</v>
      </c>
      <c r="Y94" s="1653">
        <f>X94*J94</f>
        <v>0</v>
      </c>
      <c r="Z94" s="1654">
        <f>X94+Y94</f>
        <v>0</v>
      </c>
      <c r="AA94" s="1249"/>
      <c r="AB94" s="1223">
        <f>I94-(P94+T94+X94)</f>
        <v>0</v>
      </c>
      <c r="AC94" s="1263"/>
      <c r="AD94" s="227"/>
      <c r="AE94" s="1234"/>
      <c r="AF94" s="311">
        <f>AE94*J94</f>
        <v>0</v>
      </c>
      <c r="AG94" s="1235">
        <f>AF94+AE94</f>
        <v>0</v>
      </c>
      <c r="AH94" s="227"/>
      <c r="AI94" s="1209">
        <f t="shared" si="48"/>
        <v>0</v>
      </c>
      <c r="AJ94" s="1226">
        <f>I94-AE94</f>
        <v>0</v>
      </c>
      <c r="AK94" s="1189"/>
      <c r="AL94" s="974"/>
      <c r="AM94" s="974"/>
      <c r="AN94" s="974"/>
      <c r="AO94" s="974"/>
      <c r="AP94" s="974"/>
      <c r="AQ94" s="974"/>
      <c r="AR94" s="974"/>
      <c r="AS94" s="974"/>
      <c r="AT94" s="974"/>
      <c r="AU94" s="974"/>
      <c r="AV94" s="974"/>
      <c r="AW94" s="974"/>
      <c r="AX94" s="974"/>
      <c r="AY94" s="974"/>
      <c r="AZ94" s="974"/>
      <c r="BA94" s="974"/>
      <c r="BB94" s="974"/>
      <c r="BC94" s="974"/>
      <c r="BD94" s="974"/>
      <c r="BE94" s="974"/>
      <c r="BF94" s="974"/>
      <c r="BG94" s="974"/>
      <c r="BH94" s="974"/>
      <c r="BI94" s="974"/>
      <c r="BJ94" s="974"/>
      <c r="BK94" s="974"/>
    </row>
    <row r="95" spans="1:83" s="1190" customFormat="1" ht="15.95" customHeight="1" outlineLevel="3">
      <c r="A95" s="1200"/>
      <c r="B95" s="1201"/>
      <c r="C95" s="386"/>
      <c r="D95" s="1202"/>
      <c r="E95" s="412" t="s">
        <v>172</v>
      </c>
      <c r="F95" s="648" t="s">
        <v>173</v>
      </c>
      <c r="G95" s="1203"/>
      <c r="H95" s="1191"/>
      <c r="I95" s="1322">
        <v>0</v>
      </c>
      <c r="J95" s="1181">
        <f>TVAN</f>
        <v>8.5000000000000006E-2</v>
      </c>
      <c r="K95" s="1323">
        <f>I95*J95</f>
        <v>0</v>
      </c>
      <c r="L95" s="1220">
        <f>I95+K95</f>
        <v>0</v>
      </c>
      <c r="M95" s="1221">
        <f>I95/$G$5</f>
        <v>0</v>
      </c>
      <c r="N95" s="1222">
        <f>I95/$G$2</f>
        <v>0</v>
      </c>
      <c r="O95" s="1335"/>
      <c r="P95" s="1322">
        <f>M95*$Q$5</f>
        <v>0</v>
      </c>
      <c r="Q95" s="1518">
        <f>P95*J95</f>
        <v>0</v>
      </c>
      <c r="R95" s="1514">
        <f>P95+Q95</f>
        <v>0</v>
      </c>
      <c r="S95" s="1189"/>
      <c r="T95" s="1322">
        <f>M95*$U$5</f>
        <v>0</v>
      </c>
      <c r="U95" s="1653">
        <f>T95*J95</f>
        <v>0</v>
      </c>
      <c r="V95" s="1654">
        <f>T95+U95</f>
        <v>0</v>
      </c>
      <c r="W95" s="1651"/>
      <c r="X95" s="1652">
        <f>M95*$Y$5</f>
        <v>0</v>
      </c>
      <c r="Y95" s="1653">
        <f>X95*J95</f>
        <v>0</v>
      </c>
      <c r="Z95" s="1654">
        <f>X95+Y95</f>
        <v>0</v>
      </c>
      <c r="AA95" s="1249"/>
      <c r="AB95" s="1223">
        <f>I95-(P95+T95+X95)</f>
        <v>0</v>
      </c>
      <c r="AC95" s="1271"/>
      <c r="AD95" s="300"/>
      <c r="AE95" s="423"/>
      <c r="AF95" s="311">
        <f>AE95*J95</f>
        <v>0</v>
      </c>
      <c r="AG95" s="424">
        <f>AF95+AE95</f>
        <v>0</v>
      </c>
      <c r="AH95" s="300"/>
      <c r="AI95" s="1209">
        <f t="shared" si="48"/>
        <v>0</v>
      </c>
      <c r="AJ95" s="1226">
        <f>I95-AE95</f>
        <v>0</v>
      </c>
      <c r="AK95" s="1189"/>
      <c r="AL95" s="974"/>
      <c r="AM95" s="974"/>
      <c r="AN95" s="974"/>
      <c r="AO95" s="974"/>
      <c r="AP95" s="974"/>
      <c r="AQ95" s="974"/>
      <c r="AR95" s="974"/>
      <c r="AS95" s="974"/>
      <c r="AT95" s="974"/>
      <c r="AU95" s="974"/>
      <c r="AV95" s="974"/>
      <c r="AW95" s="974"/>
      <c r="AX95" s="974"/>
      <c r="AY95" s="974"/>
      <c r="AZ95" s="974"/>
      <c r="BA95" s="974"/>
      <c r="BB95" s="974"/>
      <c r="BC95" s="974"/>
      <c r="BD95" s="974"/>
      <c r="BE95" s="974"/>
      <c r="BF95" s="974"/>
      <c r="BG95" s="974"/>
      <c r="BH95" s="974"/>
      <c r="BI95" s="974"/>
      <c r="BJ95" s="974"/>
      <c r="BK95" s="974"/>
    </row>
    <row r="96" spans="1:83" s="1190" customFormat="1" ht="15.95" customHeight="1" outlineLevel="3">
      <c r="A96" s="1200"/>
      <c r="B96" s="1201"/>
      <c r="C96" s="385" t="s">
        <v>266</v>
      </c>
      <c r="D96" s="1202"/>
      <c r="E96" s="412" t="s">
        <v>174</v>
      </c>
      <c r="F96" s="648" t="s">
        <v>413</v>
      </c>
      <c r="G96" s="1203"/>
      <c r="H96" s="1191"/>
      <c r="I96" s="1340">
        <v>0</v>
      </c>
      <c r="J96" s="1204">
        <f>TVAN</f>
        <v>8.5000000000000006E-2</v>
      </c>
      <c r="K96" s="1325">
        <f>I96*J96</f>
        <v>0</v>
      </c>
      <c r="L96" s="1205">
        <f>I96+K96</f>
        <v>0</v>
      </c>
      <c r="M96" s="1206">
        <f>I96/$G$5</f>
        <v>0</v>
      </c>
      <c r="N96" s="1207">
        <f>I96/$G$2</f>
        <v>0</v>
      </c>
      <c r="O96" s="1189"/>
      <c r="P96" s="1340">
        <f>M96*$Q$5</f>
        <v>0</v>
      </c>
      <c r="Q96" s="1518">
        <f>P96*J96</f>
        <v>0</v>
      </c>
      <c r="R96" s="1517">
        <f>P96+Q96</f>
        <v>0</v>
      </c>
      <c r="S96" s="1189"/>
      <c r="T96" s="1340">
        <f>M96*$U$5</f>
        <v>0</v>
      </c>
      <c r="U96" s="1656">
        <f>T96*J96</f>
        <v>0</v>
      </c>
      <c r="V96" s="1657">
        <f>T96+U96</f>
        <v>0</v>
      </c>
      <c r="W96" s="1651"/>
      <c r="X96" s="1688">
        <f>M96*$Y$5</f>
        <v>0</v>
      </c>
      <c r="Y96" s="1656">
        <f>X96*J96</f>
        <v>0</v>
      </c>
      <c r="Z96" s="1657">
        <f>X96+Y96</f>
        <v>0</v>
      </c>
      <c r="AA96" s="1249"/>
      <c r="AB96" s="1208">
        <f>I96-(P96+T96+X96)</f>
        <v>0</v>
      </c>
      <c r="AC96" s="1264"/>
      <c r="AD96" s="227"/>
      <c r="AE96" s="1196"/>
      <c r="AF96" s="317">
        <f>AE96*J96</f>
        <v>0</v>
      </c>
      <c r="AG96" s="1197">
        <v>0</v>
      </c>
      <c r="AH96" s="227"/>
      <c r="AI96" s="1209">
        <f t="shared" si="48"/>
        <v>0</v>
      </c>
      <c r="AJ96" s="1231">
        <f>I96-AE96</f>
        <v>0</v>
      </c>
      <c r="AK96" s="1189"/>
      <c r="AL96" s="974"/>
      <c r="AM96" s="974"/>
      <c r="AN96" s="974"/>
      <c r="AO96" s="974"/>
      <c r="AP96" s="974"/>
      <c r="AQ96" s="974"/>
      <c r="AR96" s="974"/>
      <c r="AS96" s="974"/>
      <c r="AT96" s="974"/>
      <c r="AU96" s="974"/>
      <c r="AV96" s="974"/>
      <c r="AW96" s="974"/>
      <c r="AX96" s="974"/>
      <c r="AY96" s="974"/>
      <c r="AZ96" s="974"/>
      <c r="BA96" s="974"/>
      <c r="BB96" s="974"/>
      <c r="BC96" s="974"/>
      <c r="BD96" s="974"/>
      <c r="BE96" s="974"/>
      <c r="BF96" s="974"/>
      <c r="BG96" s="974"/>
      <c r="BH96" s="974"/>
      <c r="BI96" s="974"/>
      <c r="BJ96" s="974"/>
      <c r="BK96" s="974"/>
    </row>
    <row r="97" spans="1:83" s="32" customFormat="1" ht="15.95" customHeight="1" outlineLevel="1">
      <c r="A97" s="410"/>
      <c r="B97" s="411"/>
      <c r="C97" s="296"/>
      <c r="D97" s="1354" t="s">
        <v>175</v>
      </c>
      <c r="E97" s="297"/>
      <c r="F97" s="1355" t="s">
        <v>176</v>
      </c>
      <c r="G97" s="1356"/>
      <c r="H97" s="1357"/>
      <c r="I97" s="659">
        <f>SUM(I98:I104)</f>
        <v>0</v>
      </c>
      <c r="J97" s="1358"/>
      <c r="K97" s="298">
        <f>SUM(K98:K104)</f>
        <v>0</v>
      </c>
      <c r="L97" s="431">
        <f>SUM(L98:L104)</f>
        <v>0</v>
      </c>
      <c r="M97" s="1359">
        <f>SUM(M98:M104)</f>
        <v>0</v>
      </c>
      <c r="N97" s="1360">
        <f>SUM(N98:N104)</f>
        <v>0</v>
      </c>
      <c r="O97" s="227"/>
      <c r="P97" s="1535">
        <f>SUM(P98:P104)</f>
        <v>0</v>
      </c>
      <c r="Q97" s="1545">
        <f>SUM(Q98:Q104)</f>
        <v>0</v>
      </c>
      <c r="R97" s="1533">
        <f>SUM(R98:R104)</f>
        <v>0</v>
      </c>
      <c r="S97" s="1216"/>
      <c r="T97" s="1670">
        <f>SUM(T98:T104)</f>
        <v>0</v>
      </c>
      <c r="U97" s="1668">
        <f>SUM(U98:U104)</f>
        <v>0</v>
      </c>
      <c r="V97" s="1669">
        <f>SUM(V98:V104)</f>
        <v>0</v>
      </c>
      <c r="W97" s="1646"/>
      <c r="X97" s="1670">
        <f>SUM(X98:X104)</f>
        <v>0</v>
      </c>
      <c r="Y97" s="1668">
        <f>SUM(Y98:Y104)</f>
        <v>0</v>
      </c>
      <c r="Z97" s="1669">
        <f>SUM(Z98:Z104)</f>
        <v>0</v>
      </c>
      <c r="AA97" s="1249"/>
      <c r="AB97" s="432">
        <f>SUM(AB98:AB104)</f>
        <v>0</v>
      </c>
      <c r="AC97" s="417">
        <f>SUM(AC98:AC104)</f>
        <v>0</v>
      </c>
      <c r="AD97" s="227"/>
      <c r="AE97" s="1397">
        <f t="shared" ref="AE97:AG97" si="49">SUM(AE98:AE104)</f>
        <v>0</v>
      </c>
      <c r="AF97" s="1398">
        <f t="shared" si="49"/>
        <v>0</v>
      </c>
      <c r="AG97" s="1399">
        <f t="shared" si="49"/>
        <v>0</v>
      </c>
      <c r="AH97" s="227"/>
      <c r="AI97" s="391">
        <f t="shared" ref="AI97:AJ97" si="50">SUM(AI98:AI104)</f>
        <v>0</v>
      </c>
      <c r="AJ97" s="392">
        <f t="shared" si="50"/>
        <v>0</v>
      </c>
      <c r="AK97" s="227"/>
      <c r="AL97" s="1363"/>
      <c r="AM97" s="1363"/>
      <c r="AN97" s="1363"/>
      <c r="AO97" s="1363"/>
      <c r="AP97" s="1363"/>
      <c r="AQ97" s="1363"/>
      <c r="AR97" s="1363"/>
      <c r="AS97" s="1363"/>
      <c r="AT97" s="1363"/>
      <c r="AU97" s="1363"/>
      <c r="AV97" s="1363"/>
      <c r="AW97" s="649"/>
      <c r="AX97" s="649"/>
      <c r="AY97" s="649"/>
      <c r="AZ97" s="649"/>
      <c r="BA97" s="649"/>
      <c r="BB97" s="649"/>
      <c r="BC97" s="649"/>
      <c r="BD97" s="649"/>
      <c r="BE97" s="649"/>
      <c r="BF97" s="649"/>
      <c r="BG97" s="649"/>
      <c r="BH97" s="649"/>
      <c r="BI97" s="649"/>
      <c r="BJ97" s="649"/>
      <c r="BK97" s="649"/>
      <c r="BL97" s="418"/>
      <c r="BM97" s="418"/>
      <c r="BN97" s="418"/>
      <c r="BO97" s="418"/>
      <c r="BP97" s="418"/>
      <c r="BQ97" s="418"/>
      <c r="BR97" s="418"/>
      <c r="BS97" s="418"/>
      <c r="BT97" s="418"/>
      <c r="BU97" s="418"/>
      <c r="BV97" s="418"/>
      <c r="BW97" s="418"/>
      <c r="BX97" s="418"/>
      <c r="BY97" s="418"/>
      <c r="BZ97" s="418"/>
      <c r="CA97" s="418"/>
      <c r="CB97" s="418"/>
      <c r="CC97" s="418"/>
      <c r="CD97" s="418"/>
      <c r="CE97" s="418"/>
    </row>
    <row r="98" spans="1:83" s="1190" customFormat="1" ht="15.95" customHeight="1" outlineLevel="3">
      <c r="A98" s="1200"/>
      <c r="B98" s="1201"/>
      <c r="C98" s="2240"/>
      <c r="D98" s="1202"/>
      <c r="E98" s="2237" t="s">
        <v>177</v>
      </c>
      <c r="F98" s="648" t="s">
        <v>422</v>
      </c>
      <c r="G98" s="2241"/>
      <c r="H98" s="1191"/>
      <c r="I98" s="1332">
        <v>0</v>
      </c>
      <c r="J98" s="1214">
        <f t="shared" ref="J98:J104" si="51">TVAN</f>
        <v>8.5000000000000006E-2</v>
      </c>
      <c r="K98" s="1327">
        <f t="shared" ref="K98:K104" si="52">I98*J98</f>
        <v>0</v>
      </c>
      <c r="L98" s="1215">
        <f t="shared" ref="L98:L104" si="53">I98+K98</f>
        <v>0</v>
      </c>
      <c r="M98" s="1194">
        <f t="shared" ref="M98:M104" si="54">I98/$G$5</f>
        <v>0</v>
      </c>
      <c r="N98" s="1195">
        <f t="shared" ref="N98:N104" si="55">I98/$G$2</f>
        <v>0</v>
      </c>
      <c r="O98" s="1189"/>
      <c r="P98" s="1332">
        <f t="shared" ref="P98:P99" si="56">M98*$Q$5</f>
        <v>0</v>
      </c>
      <c r="Q98" s="1513">
        <f t="shared" ref="Q98:Q104" si="57">P98*J98</f>
        <v>0</v>
      </c>
      <c r="R98" s="1511">
        <f t="shared" ref="R98:R104" si="58">P98+Q98</f>
        <v>0</v>
      </c>
      <c r="S98" s="1189"/>
      <c r="T98" s="1332">
        <f>M98*$U$5</f>
        <v>0</v>
      </c>
      <c r="U98" s="1649">
        <f t="shared" ref="U98:U104" si="59">T98*J98</f>
        <v>0</v>
      </c>
      <c r="V98" s="1650">
        <f t="shared" ref="V98:V104" si="60">T98+U98</f>
        <v>0</v>
      </c>
      <c r="W98" s="1651"/>
      <c r="X98" s="1673">
        <f t="shared" ref="X98:X104" si="61">M98*$Y$5</f>
        <v>0</v>
      </c>
      <c r="Y98" s="1649">
        <f t="shared" ref="Y98:Y104" si="62">X98*J98</f>
        <v>0</v>
      </c>
      <c r="Z98" s="1650">
        <f t="shared" ref="Z98:Z104" si="63">X98+Y98</f>
        <v>0</v>
      </c>
      <c r="AA98" s="1249"/>
      <c r="AB98" s="1217">
        <f t="shared" ref="AB98:AB104" si="64">I98-(P98+T98+X98)</f>
        <v>0</v>
      </c>
      <c r="AC98" s="2242"/>
      <c r="AD98" s="1216"/>
      <c r="AE98" s="2243"/>
      <c r="AF98" s="311">
        <f t="shared" ref="AF98:AF104" si="65">AE98*J98</f>
        <v>0</v>
      </c>
      <c r="AG98" s="2244">
        <f t="shared" ref="AG98:AG104" si="66">AF98+AE98</f>
        <v>0</v>
      </c>
      <c r="AH98" s="1216"/>
      <c r="AI98" s="1198">
        <f t="shared" si="48"/>
        <v>0</v>
      </c>
      <c r="AJ98" s="2245">
        <f t="shared" ref="AJ98:AJ104" si="67">I98-AE98</f>
        <v>0</v>
      </c>
      <c r="AK98" s="1189"/>
      <c r="AL98" s="974"/>
      <c r="AM98" s="974"/>
      <c r="AN98" s="974"/>
      <c r="AO98" s="974"/>
      <c r="AP98" s="974"/>
      <c r="AQ98" s="974"/>
      <c r="AR98" s="974"/>
      <c r="AS98" s="974"/>
      <c r="AT98" s="974"/>
      <c r="AU98" s="974"/>
      <c r="AV98" s="974"/>
      <c r="AW98" s="974"/>
      <c r="AX98" s="974"/>
      <c r="AY98" s="974"/>
      <c r="AZ98" s="974"/>
      <c r="BA98" s="974"/>
      <c r="BB98" s="974"/>
      <c r="BC98" s="974"/>
      <c r="BD98" s="974"/>
      <c r="BE98" s="974"/>
      <c r="BF98" s="974"/>
      <c r="BG98" s="974"/>
      <c r="BH98" s="974"/>
      <c r="BI98" s="974"/>
      <c r="BJ98" s="974"/>
      <c r="BK98" s="974"/>
    </row>
    <row r="99" spans="1:83" s="1190" customFormat="1" ht="15.95" customHeight="1" outlineLevel="3">
      <c r="A99" s="1200"/>
      <c r="B99" s="1201"/>
      <c r="C99" s="2229"/>
      <c r="D99" s="1202"/>
      <c r="E99" s="2237" t="s">
        <v>178</v>
      </c>
      <c r="F99" s="648" t="s">
        <v>179</v>
      </c>
      <c r="G99" s="1203"/>
      <c r="H99" s="1191"/>
      <c r="I99" s="1322">
        <v>0</v>
      </c>
      <c r="J99" s="1181">
        <f t="shared" si="51"/>
        <v>8.5000000000000006E-2</v>
      </c>
      <c r="K99" s="1323">
        <f t="shared" si="52"/>
        <v>0</v>
      </c>
      <c r="L99" s="1220">
        <f t="shared" si="53"/>
        <v>0</v>
      </c>
      <c r="M99" s="1221">
        <f t="shared" si="54"/>
        <v>0</v>
      </c>
      <c r="N99" s="1222">
        <f t="shared" si="55"/>
        <v>0</v>
      </c>
      <c r="O99" s="1335"/>
      <c r="P99" s="1322">
        <f t="shared" si="56"/>
        <v>0</v>
      </c>
      <c r="Q99" s="1513">
        <f t="shared" si="57"/>
        <v>0</v>
      </c>
      <c r="R99" s="1514">
        <f t="shared" si="58"/>
        <v>0</v>
      </c>
      <c r="S99" s="1189"/>
      <c r="T99" s="1322">
        <f>M99*$U$5</f>
        <v>0</v>
      </c>
      <c r="U99" s="1653">
        <f t="shared" si="59"/>
        <v>0</v>
      </c>
      <c r="V99" s="1654">
        <f t="shared" si="60"/>
        <v>0</v>
      </c>
      <c r="W99" s="1651"/>
      <c r="X99" s="1652">
        <f t="shared" si="61"/>
        <v>0</v>
      </c>
      <c r="Y99" s="1653">
        <f t="shared" si="62"/>
        <v>0</v>
      </c>
      <c r="Z99" s="1654">
        <f t="shared" si="63"/>
        <v>0</v>
      </c>
      <c r="AA99" s="1249"/>
      <c r="AB99" s="1223">
        <f t="shared" si="64"/>
        <v>0</v>
      </c>
      <c r="AC99" s="1271"/>
      <c r="AD99" s="1369"/>
      <c r="AE99" s="423"/>
      <c r="AF99" s="311">
        <f t="shared" si="65"/>
        <v>0</v>
      </c>
      <c r="AG99" s="424">
        <f t="shared" si="66"/>
        <v>0</v>
      </c>
      <c r="AH99" s="1369"/>
      <c r="AI99" s="1209">
        <f t="shared" si="48"/>
        <v>0</v>
      </c>
      <c r="AJ99" s="1231">
        <f t="shared" si="67"/>
        <v>0</v>
      </c>
      <c r="AK99" s="1189"/>
      <c r="AL99" s="974"/>
      <c r="AM99" s="974"/>
      <c r="AN99" s="974"/>
      <c r="AO99" s="974"/>
      <c r="AP99" s="974"/>
      <c r="AQ99" s="974"/>
      <c r="AR99" s="974"/>
      <c r="AS99" s="974"/>
      <c r="AT99" s="974"/>
      <c r="AU99" s="974"/>
      <c r="AV99" s="974"/>
      <c r="AW99" s="974"/>
      <c r="AX99" s="974"/>
      <c r="AY99" s="974"/>
      <c r="AZ99" s="974"/>
      <c r="BA99" s="974"/>
      <c r="BB99" s="974"/>
      <c r="BC99" s="974"/>
      <c r="BD99" s="974"/>
      <c r="BE99" s="974"/>
      <c r="BF99" s="974"/>
      <c r="BG99" s="974"/>
      <c r="BH99" s="974"/>
      <c r="BI99" s="974"/>
      <c r="BJ99" s="974"/>
      <c r="BK99" s="974"/>
    </row>
    <row r="100" spans="1:83" s="1190" customFormat="1" ht="15.95" customHeight="1" outlineLevel="3">
      <c r="A100" s="1200"/>
      <c r="B100" s="1201"/>
      <c r="C100" s="296"/>
      <c r="D100" s="1202"/>
      <c r="E100" s="412" t="s">
        <v>180</v>
      </c>
      <c r="F100" s="648" t="s">
        <v>356</v>
      </c>
      <c r="G100" s="1203"/>
      <c r="H100" s="1191"/>
      <c r="I100" s="1322">
        <v>0</v>
      </c>
      <c r="J100" s="1181">
        <f t="shared" si="51"/>
        <v>8.5000000000000006E-2</v>
      </c>
      <c r="K100" s="1323">
        <f t="shared" si="52"/>
        <v>0</v>
      </c>
      <c r="L100" s="1220">
        <f t="shared" si="53"/>
        <v>0</v>
      </c>
      <c r="M100" s="1221">
        <f t="shared" si="54"/>
        <v>0</v>
      </c>
      <c r="N100" s="1222">
        <f t="shared" si="55"/>
        <v>0</v>
      </c>
      <c r="O100" s="1335"/>
      <c r="P100" s="1322">
        <f>M100*$Q$5</f>
        <v>0</v>
      </c>
      <c r="Q100" s="1513">
        <f t="shared" si="57"/>
        <v>0</v>
      </c>
      <c r="R100" s="1514">
        <f t="shared" si="58"/>
        <v>0</v>
      </c>
      <c r="S100" s="1189"/>
      <c r="T100" s="1322">
        <f>M100*$U$5</f>
        <v>0</v>
      </c>
      <c r="U100" s="1653">
        <f t="shared" si="59"/>
        <v>0</v>
      </c>
      <c r="V100" s="1654">
        <f t="shared" si="60"/>
        <v>0</v>
      </c>
      <c r="W100" s="1651"/>
      <c r="X100" s="1652">
        <f t="shared" si="61"/>
        <v>0</v>
      </c>
      <c r="Y100" s="1653">
        <f t="shared" si="62"/>
        <v>0</v>
      </c>
      <c r="Z100" s="1654">
        <f t="shared" si="63"/>
        <v>0</v>
      </c>
      <c r="AA100" s="1249"/>
      <c r="AB100" s="1223">
        <f t="shared" si="64"/>
        <v>0</v>
      </c>
      <c r="AC100" s="1271"/>
      <c r="AD100" s="300"/>
      <c r="AE100" s="423"/>
      <c r="AF100" s="311">
        <f t="shared" si="65"/>
        <v>0</v>
      </c>
      <c r="AG100" s="424">
        <f t="shared" si="66"/>
        <v>0</v>
      </c>
      <c r="AH100" s="300"/>
      <c r="AI100" s="1209">
        <f t="shared" si="48"/>
        <v>0</v>
      </c>
      <c r="AJ100" s="1226">
        <f t="shared" si="67"/>
        <v>0</v>
      </c>
      <c r="AK100" s="1189"/>
      <c r="AL100" s="974"/>
      <c r="AM100" s="974"/>
      <c r="AN100" s="974"/>
      <c r="AO100" s="974"/>
      <c r="AP100" s="974"/>
      <c r="AQ100" s="974"/>
      <c r="AR100" s="974"/>
      <c r="AS100" s="974"/>
      <c r="AT100" s="974"/>
      <c r="AU100" s="974"/>
      <c r="AV100" s="974"/>
      <c r="AW100" s="974"/>
      <c r="AX100" s="974"/>
      <c r="AY100" s="974"/>
      <c r="AZ100" s="974"/>
      <c r="BA100" s="974"/>
      <c r="BB100" s="974"/>
      <c r="BC100" s="974"/>
      <c r="BD100" s="974"/>
      <c r="BE100" s="974"/>
      <c r="BF100" s="974"/>
      <c r="BG100" s="974"/>
      <c r="BH100" s="974"/>
      <c r="BI100" s="974"/>
      <c r="BJ100" s="974"/>
      <c r="BK100" s="974"/>
    </row>
    <row r="101" spans="1:83" s="1190" customFormat="1" ht="15.6" customHeight="1" outlineLevel="3">
      <c r="A101" s="1200"/>
      <c r="B101" s="1201"/>
      <c r="C101" s="296"/>
      <c r="D101" s="1202"/>
      <c r="E101" s="412" t="s">
        <v>357</v>
      </c>
      <c r="F101" s="648" t="s">
        <v>358</v>
      </c>
      <c r="G101" s="1203"/>
      <c r="H101" s="627"/>
      <c r="I101" s="1322"/>
      <c r="J101" s="1181">
        <f t="shared" si="51"/>
        <v>8.5000000000000006E-2</v>
      </c>
      <c r="K101" s="1323">
        <f t="shared" si="52"/>
        <v>0</v>
      </c>
      <c r="L101" s="1220">
        <f t="shared" si="53"/>
        <v>0</v>
      </c>
      <c r="M101" s="1221">
        <f t="shared" si="54"/>
        <v>0</v>
      </c>
      <c r="N101" s="1222">
        <f t="shared" si="55"/>
        <v>0</v>
      </c>
      <c r="O101" s="1335"/>
      <c r="P101" s="1322">
        <f t="shared" ref="P101:P104" si="68">M101*$Q$5</f>
        <v>0</v>
      </c>
      <c r="Q101" s="1513">
        <f t="shared" si="57"/>
        <v>0</v>
      </c>
      <c r="R101" s="1514">
        <f t="shared" si="58"/>
        <v>0</v>
      </c>
      <c r="S101" s="1189"/>
      <c r="T101" s="1322">
        <f t="shared" ref="T101:T106" si="69">M101*$U$5</f>
        <v>0</v>
      </c>
      <c r="U101" s="1653">
        <f t="shared" si="59"/>
        <v>0</v>
      </c>
      <c r="V101" s="1654">
        <f t="shared" si="60"/>
        <v>0</v>
      </c>
      <c r="W101" s="1651"/>
      <c r="X101" s="1652">
        <f t="shared" si="61"/>
        <v>0</v>
      </c>
      <c r="Y101" s="1653">
        <f t="shared" si="62"/>
        <v>0</v>
      </c>
      <c r="Z101" s="1654">
        <f t="shared" si="63"/>
        <v>0</v>
      </c>
      <c r="AA101" s="1249"/>
      <c r="AB101" s="1223">
        <f t="shared" si="64"/>
        <v>0</v>
      </c>
      <c r="AC101" s="1271"/>
      <c r="AD101" s="300"/>
      <c r="AE101" s="423"/>
      <c r="AF101" s="311">
        <f t="shared" si="65"/>
        <v>0</v>
      </c>
      <c r="AG101" s="424">
        <f t="shared" si="66"/>
        <v>0</v>
      </c>
      <c r="AH101" s="300"/>
      <c r="AI101" s="1209">
        <f t="shared" si="48"/>
        <v>0</v>
      </c>
      <c r="AJ101" s="1226">
        <f t="shared" si="67"/>
        <v>0</v>
      </c>
      <c r="AK101" s="1189"/>
      <c r="AL101" s="974"/>
      <c r="AM101" s="974"/>
      <c r="AN101" s="974"/>
      <c r="AO101" s="974"/>
      <c r="AP101" s="974"/>
      <c r="AQ101" s="974"/>
      <c r="AR101" s="974"/>
      <c r="AS101" s="974"/>
      <c r="AT101" s="974"/>
      <c r="AU101" s="974"/>
      <c r="AV101" s="974"/>
      <c r="AW101" s="974"/>
      <c r="AX101" s="974"/>
      <c r="AY101" s="974"/>
      <c r="AZ101" s="974"/>
      <c r="BA101" s="974"/>
      <c r="BB101" s="974"/>
      <c r="BC101" s="974"/>
      <c r="BD101" s="974"/>
      <c r="BE101" s="974"/>
      <c r="BF101" s="974"/>
      <c r="BG101" s="974"/>
      <c r="BH101" s="974"/>
      <c r="BI101" s="974"/>
      <c r="BJ101" s="974"/>
      <c r="BK101" s="974"/>
    </row>
    <row r="102" spans="1:83" s="1190" customFormat="1" ht="15.95" customHeight="1" outlineLevel="3">
      <c r="A102" s="1200"/>
      <c r="B102" s="1201"/>
      <c r="C102" s="385" t="s">
        <v>359</v>
      </c>
      <c r="D102" s="1202"/>
      <c r="E102" s="412" t="s">
        <v>360</v>
      </c>
      <c r="F102" s="648" t="s">
        <v>361</v>
      </c>
      <c r="G102" s="1203"/>
      <c r="H102" s="627"/>
      <c r="I102" s="1333"/>
      <c r="J102" s="1181">
        <f t="shared" si="51"/>
        <v>8.5000000000000006E-2</v>
      </c>
      <c r="K102" s="1323">
        <f t="shared" si="52"/>
        <v>0</v>
      </c>
      <c r="L102" s="1220">
        <f t="shared" si="53"/>
        <v>0</v>
      </c>
      <c r="M102" s="1221">
        <f t="shared" si="54"/>
        <v>0</v>
      </c>
      <c r="N102" s="1222">
        <f t="shared" si="55"/>
        <v>0</v>
      </c>
      <c r="O102" s="1335"/>
      <c r="P102" s="1333">
        <f t="shared" si="68"/>
        <v>0</v>
      </c>
      <c r="Q102" s="1513">
        <f t="shared" si="57"/>
        <v>0</v>
      </c>
      <c r="R102" s="1514">
        <f t="shared" si="58"/>
        <v>0</v>
      </c>
      <c r="S102" s="1189"/>
      <c r="T102" s="1333">
        <f t="shared" si="69"/>
        <v>0</v>
      </c>
      <c r="U102" s="1653">
        <f t="shared" si="59"/>
        <v>0</v>
      </c>
      <c r="V102" s="1654">
        <f t="shared" si="60"/>
        <v>0</v>
      </c>
      <c r="W102" s="1651"/>
      <c r="X102" s="1674">
        <f t="shared" si="61"/>
        <v>0</v>
      </c>
      <c r="Y102" s="1653">
        <f t="shared" si="62"/>
        <v>0</v>
      </c>
      <c r="Z102" s="1654">
        <f t="shared" si="63"/>
        <v>0</v>
      </c>
      <c r="AA102" s="1249"/>
      <c r="AB102" s="1223">
        <f t="shared" si="64"/>
        <v>0</v>
      </c>
      <c r="AC102" s="1271"/>
      <c r="AD102" s="300"/>
      <c r="AE102" s="423"/>
      <c r="AF102" s="311">
        <f t="shared" si="65"/>
        <v>0</v>
      </c>
      <c r="AG102" s="424">
        <f t="shared" si="66"/>
        <v>0</v>
      </c>
      <c r="AH102" s="300"/>
      <c r="AI102" s="1209">
        <f t="shared" si="48"/>
        <v>0</v>
      </c>
      <c r="AJ102" s="1226">
        <f t="shared" si="67"/>
        <v>0</v>
      </c>
      <c r="AK102" s="1189"/>
      <c r="AL102" s="974"/>
      <c r="AM102" s="974"/>
      <c r="AN102" s="974"/>
      <c r="AO102" s="974"/>
      <c r="AP102" s="974"/>
      <c r="AQ102" s="974"/>
      <c r="AR102" s="974"/>
      <c r="AS102" s="974"/>
      <c r="AT102" s="974"/>
      <c r="AU102" s="974"/>
      <c r="AV102" s="974"/>
      <c r="AW102" s="974"/>
      <c r="AX102" s="974"/>
      <c r="AY102" s="974"/>
      <c r="AZ102" s="974"/>
      <c r="BA102" s="974"/>
      <c r="BB102" s="974"/>
      <c r="BC102" s="974"/>
      <c r="BD102" s="974"/>
      <c r="BE102" s="974"/>
      <c r="BF102" s="974"/>
      <c r="BG102" s="974"/>
      <c r="BH102" s="974"/>
      <c r="BI102" s="974"/>
      <c r="BJ102" s="974"/>
      <c r="BK102" s="974"/>
    </row>
    <row r="103" spans="1:83" ht="15.95" customHeight="1" outlineLevel="3">
      <c r="A103" s="74"/>
      <c r="B103" s="70"/>
      <c r="C103" s="385" t="s">
        <v>362</v>
      </c>
      <c r="D103" s="116"/>
      <c r="E103" s="412" t="s">
        <v>363</v>
      </c>
      <c r="F103" s="63" t="s">
        <v>181</v>
      </c>
      <c r="G103" s="75"/>
      <c r="H103" s="65"/>
      <c r="I103" s="1333"/>
      <c r="J103" s="1181">
        <f t="shared" si="51"/>
        <v>8.5000000000000006E-2</v>
      </c>
      <c r="K103" s="1323">
        <f t="shared" si="52"/>
        <v>0</v>
      </c>
      <c r="L103" s="1220">
        <f t="shared" si="53"/>
        <v>0</v>
      </c>
      <c r="M103" s="1221">
        <f t="shared" si="54"/>
        <v>0</v>
      </c>
      <c r="N103" s="1222">
        <f t="shared" si="55"/>
        <v>0</v>
      </c>
      <c r="O103" s="1189"/>
      <c r="P103" s="1333">
        <f t="shared" si="68"/>
        <v>0</v>
      </c>
      <c r="Q103" s="1513">
        <f t="shared" si="57"/>
        <v>0</v>
      </c>
      <c r="R103" s="1514">
        <f t="shared" si="58"/>
        <v>0</v>
      </c>
      <c r="S103" s="1189"/>
      <c r="T103" s="1333">
        <f t="shared" si="69"/>
        <v>0</v>
      </c>
      <c r="U103" s="1653">
        <f t="shared" si="59"/>
        <v>0</v>
      </c>
      <c r="V103" s="1654">
        <f t="shared" si="60"/>
        <v>0</v>
      </c>
      <c r="W103" s="1651"/>
      <c r="X103" s="1674">
        <f t="shared" si="61"/>
        <v>0</v>
      </c>
      <c r="Y103" s="1653">
        <f t="shared" si="62"/>
        <v>0</v>
      </c>
      <c r="Z103" s="1654">
        <f t="shared" si="63"/>
        <v>0</v>
      </c>
      <c r="AA103" s="1243"/>
      <c r="AB103" s="309">
        <f t="shared" si="64"/>
        <v>0</v>
      </c>
      <c r="AC103" s="1261"/>
      <c r="AD103" s="227"/>
      <c r="AE103" s="68"/>
      <c r="AF103" s="311">
        <f t="shared" si="65"/>
        <v>0</v>
      </c>
      <c r="AG103" s="338">
        <f t="shared" si="66"/>
        <v>0</v>
      </c>
      <c r="AH103" s="227"/>
      <c r="AI103" s="313">
        <f t="shared" si="48"/>
        <v>0</v>
      </c>
      <c r="AJ103" s="314">
        <f t="shared" si="67"/>
        <v>0</v>
      </c>
      <c r="AK103" s="420"/>
    </row>
    <row r="104" spans="1:83" s="1190" customFormat="1" ht="15.95" customHeight="1" outlineLevel="3">
      <c r="A104" s="1200"/>
      <c r="B104" s="1201"/>
      <c r="C104" s="385" t="s">
        <v>362</v>
      </c>
      <c r="D104" s="1202"/>
      <c r="E104" s="412" t="s">
        <v>364</v>
      </c>
      <c r="F104" s="648" t="s">
        <v>365</v>
      </c>
      <c r="G104" s="1203"/>
      <c r="H104" s="627"/>
      <c r="I104" s="1340"/>
      <c r="J104" s="1204">
        <f t="shared" si="51"/>
        <v>8.5000000000000006E-2</v>
      </c>
      <c r="K104" s="1325">
        <f t="shared" si="52"/>
        <v>0</v>
      </c>
      <c r="L104" s="1205">
        <f t="shared" si="53"/>
        <v>0</v>
      </c>
      <c r="M104" s="1206">
        <f t="shared" si="54"/>
        <v>0</v>
      </c>
      <c r="N104" s="1207">
        <f t="shared" si="55"/>
        <v>0</v>
      </c>
      <c r="O104" s="1189"/>
      <c r="P104" s="1340">
        <f t="shared" si="68"/>
        <v>0</v>
      </c>
      <c r="Q104" s="1516">
        <f t="shared" si="57"/>
        <v>0</v>
      </c>
      <c r="R104" s="1517">
        <f t="shared" si="58"/>
        <v>0</v>
      </c>
      <c r="S104" s="1189"/>
      <c r="T104" s="1340">
        <f t="shared" si="69"/>
        <v>0</v>
      </c>
      <c r="U104" s="1656">
        <f t="shared" si="59"/>
        <v>0</v>
      </c>
      <c r="V104" s="1657">
        <f t="shared" si="60"/>
        <v>0</v>
      </c>
      <c r="W104" s="1651"/>
      <c r="X104" s="1688">
        <f t="shared" si="61"/>
        <v>0</v>
      </c>
      <c r="Y104" s="1656">
        <f t="shared" si="62"/>
        <v>0</v>
      </c>
      <c r="Z104" s="1657">
        <f t="shared" si="63"/>
        <v>0</v>
      </c>
      <c r="AA104" s="472"/>
      <c r="AB104" s="1208">
        <f t="shared" si="64"/>
        <v>0</v>
      </c>
      <c r="AC104" s="1264"/>
      <c r="AD104" s="227"/>
      <c r="AE104" s="1196"/>
      <c r="AF104" s="317">
        <f t="shared" si="65"/>
        <v>0</v>
      </c>
      <c r="AG104" s="1197">
        <f t="shared" si="66"/>
        <v>0</v>
      </c>
      <c r="AH104" s="227"/>
      <c r="AI104" s="1209">
        <f t="shared" si="48"/>
        <v>0</v>
      </c>
      <c r="AJ104" s="1210">
        <f t="shared" si="67"/>
        <v>0</v>
      </c>
      <c r="AK104" s="1189"/>
      <c r="AL104" s="974"/>
      <c r="AM104" s="974"/>
      <c r="AN104" s="974"/>
      <c r="AO104" s="974"/>
      <c r="AP104" s="974"/>
      <c r="AQ104" s="974"/>
      <c r="AR104" s="974"/>
      <c r="AS104" s="974"/>
      <c r="AT104" s="974"/>
      <c r="AU104" s="974"/>
      <c r="AV104" s="974"/>
      <c r="AW104" s="974"/>
      <c r="AX104" s="974"/>
      <c r="AY104" s="974"/>
      <c r="AZ104" s="974"/>
      <c r="BA104" s="974"/>
      <c r="BB104" s="974"/>
      <c r="BC104" s="974"/>
      <c r="BD104" s="974"/>
      <c r="BE104" s="974"/>
      <c r="BF104" s="974"/>
      <c r="BG104" s="974"/>
      <c r="BH104" s="974"/>
      <c r="BI104" s="974"/>
      <c r="BJ104" s="974"/>
      <c r="BK104" s="974"/>
    </row>
    <row r="105" spans="1:83" s="1190" customFormat="1" ht="15.95" customHeight="1" outlineLevel="3">
      <c r="A105" s="1176"/>
      <c r="B105" s="1177"/>
      <c r="C105" s="386"/>
      <c r="D105" s="1178"/>
      <c r="E105" s="341"/>
      <c r="F105" s="249"/>
      <c r="G105" s="1179"/>
      <c r="H105" s="1180"/>
      <c r="I105" s="659"/>
      <c r="J105" s="1181"/>
      <c r="K105" s="298"/>
      <c r="L105" s="1182"/>
      <c r="M105" s="1183"/>
      <c r="N105" s="1184"/>
      <c r="O105" s="227"/>
      <c r="P105" s="1524"/>
      <c r="Q105" s="1525"/>
      <c r="R105" s="1550"/>
      <c r="S105" s="227"/>
      <c r="T105" s="1659"/>
      <c r="U105" s="1660"/>
      <c r="V105" s="1689"/>
      <c r="W105" s="1690"/>
      <c r="X105" s="1659"/>
      <c r="Y105" s="1660"/>
      <c r="Z105" s="1689"/>
      <c r="AA105" s="472"/>
      <c r="AB105" s="73"/>
      <c r="AC105" s="1272"/>
      <c r="AD105" s="227"/>
      <c r="AE105" s="1185"/>
      <c r="AF105" s="317"/>
      <c r="AG105" s="1186"/>
      <c r="AH105" s="227"/>
      <c r="AI105" s="1187"/>
      <c r="AJ105" s="1188"/>
      <c r="AK105" s="1189"/>
      <c r="AL105" s="974"/>
      <c r="AM105" s="974"/>
      <c r="AN105" s="974"/>
      <c r="AO105" s="974"/>
      <c r="AP105" s="974"/>
      <c r="AQ105" s="974"/>
      <c r="AR105" s="974"/>
      <c r="AS105" s="974"/>
      <c r="AT105" s="974"/>
      <c r="AU105" s="974"/>
      <c r="AV105" s="974"/>
      <c r="AW105" s="974"/>
      <c r="AX105" s="974"/>
      <c r="AY105" s="974"/>
      <c r="AZ105" s="974"/>
      <c r="BA105" s="974"/>
      <c r="BB105" s="974"/>
      <c r="BC105" s="974"/>
      <c r="BD105" s="974"/>
      <c r="BE105" s="974"/>
      <c r="BF105" s="974"/>
      <c r="BG105" s="974"/>
      <c r="BH105" s="974"/>
      <c r="BI105" s="974"/>
      <c r="BJ105" s="974"/>
      <c r="BK105" s="974"/>
    </row>
    <row r="106" spans="1:83" s="32" customFormat="1" ht="15.75" customHeight="1" outlineLevel="2">
      <c r="A106" s="1420"/>
      <c r="B106" s="1377"/>
      <c r="C106" s="385" t="s">
        <v>263</v>
      </c>
      <c r="D106" s="1421" t="s">
        <v>182</v>
      </c>
      <c r="E106" s="412" t="s">
        <v>182</v>
      </c>
      <c r="F106" s="1422" t="s">
        <v>404</v>
      </c>
      <c r="G106" s="1423"/>
      <c r="H106" s="1433"/>
      <c r="I106" s="1192">
        <v>0</v>
      </c>
      <c r="J106" s="1424">
        <f>TVAN</f>
        <v>8.5000000000000006E-2</v>
      </c>
      <c r="K106" s="1193">
        <f>I106*J106</f>
        <v>0</v>
      </c>
      <c r="L106" s="1425">
        <f>I106+K106</f>
        <v>0</v>
      </c>
      <c r="M106" s="1434">
        <f>I106/$G$5</f>
        <v>0</v>
      </c>
      <c r="N106" s="1435">
        <f>I106/$G$2</f>
        <v>0</v>
      </c>
      <c r="O106" s="227"/>
      <c r="P106" s="1192">
        <f>M106*$Q$5</f>
        <v>0</v>
      </c>
      <c r="Q106" s="1551">
        <f>P106*J106</f>
        <v>0</v>
      </c>
      <c r="R106" s="1552">
        <f>P106+Q106</f>
        <v>0</v>
      </c>
      <c r="S106" s="227"/>
      <c r="T106" s="1192">
        <f t="shared" si="69"/>
        <v>0</v>
      </c>
      <c r="U106" s="1692">
        <f>T106*J106</f>
        <v>0</v>
      </c>
      <c r="V106" s="1693">
        <f>T106+U106</f>
        <v>0</v>
      </c>
      <c r="W106" s="1690"/>
      <c r="X106" s="1691">
        <f>M106*$Y$5</f>
        <v>0</v>
      </c>
      <c r="Y106" s="1692">
        <f>X106*J106</f>
        <v>0</v>
      </c>
      <c r="Z106" s="1693">
        <f>X106+Y106</f>
        <v>0</v>
      </c>
      <c r="AA106" s="472"/>
      <c r="AB106" s="1436">
        <f>I106-(P106+T106+X106)</f>
        <v>0</v>
      </c>
      <c r="AC106" s="1437"/>
      <c r="AD106" s="227"/>
      <c r="AE106" s="333"/>
      <c r="AF106" s="1398">
        <f>AE106*J106</f>
        <v>0</v>
      </c>
      <c r="AG106" s="334">
        <f>AE106+AF106</f>
        <v>0</v>
      </c>
      <c r="AH106" s="227"/>
      <c r="AI106" s="437">
        <f>I106-AC106</f>
        <v>0</v>
      </c>
      <c r="AJ106" s="1438">
        <f>I106-AE106</f>
        <v>0</v>
      </c>
      <c r="AK106" s="227"/>
      <c r="AL106" s="649"/>
      <c r="AM106" s="649"/>
      <c r="AN106" s="649"/>
      <c r="AO106" s="649"/>
      <c r="AP106" s="649"/>
      <c r="AQ106" s="649"/>
      <c r="AR106" s="649"/>
      <c r="AS106" s="649"/>
      <c r="AT106" s="649"/>
      <c r="AU106" s="649"/>
      <c r="AV106" s="649"/>
      <c r="AW106" s="649"/>
      <c r="AX106" s="649"/>
      <c r="AY106" s="649"/>
      <c r="AZ106" s="649"/>
      <c r="BA106" s="649"/>
      <c r="BB106" s="649"/>
      <c r="BC106" s="649"/>
      <c r="BD106" s="649"/>
      <c r="BE106" s="649"/>
      <c r="BF106" s="649"/>
      <c r="BG106" s="649"/>
      <c r="BH106" s="649"/>
      <c r="BI106" s="649"/>
      <c r="BJ106" s="649"/>
      <c r="BK106" s="649"/>
      <c r="BL106" s="1383"/>
      <c r="BM106" s="1383"/>
      <c r="BN106" s="1383"/>
      <c r="BO106" s="1383"/>
      <c r="BP106" s="1383"/>
      <c r="BQ106" s="1383"/>
      <c r="BR106" s="1383"/>
      <c r="BS106" s="1383"/>
      <c r="BT106" s="1383"/>
      <c r="BU106" s="1383"/>
      <c r="BV106" s="1383"/>
      <c r="BW106" s="1383"/>
      <c r="BX106" s="1383"/>
      <c r="BY106" s="1383"/>
      <c r="BZ106" s="1383"/>
      <c r="CA106" s="1383"/>
      <c r="CB106" s="1383"/>
      <c r="CC106" s="1383"/>
      <c r="CD106" s="1383"/>
      <c r="CE106" s="1383"/>
    </row>
    <row r="107" spans="1:83" ht="17.45" customHeight="1" outlineLevel="2">
      <c r="A107" s="74"/>
      <c r="B107" s="81"/>
      <c r="C107" s="296"/>
      <c r="D107" s="117"/>
      <c r="E107" s="412"/>
      <c r="F107" s="118"/>
      <c r="G107" s="119"/>
      <c r="H107" s="120"/>
      <c r="I107" s="664"/>
      <c r="J107" s="234"/>
      <c r="K107" s="301"/>
      <c r="L107" s="425"/>
      <c r="M107" s="321"/>
      <c r="N107" s="322"/>
      <c r="O107" s="422"/>
      <c r="P107" s="1553"/>
      <c r="Q107" s="1554"/>
      <c r="R107" s="1555"/>
      <c r="S107" s="278"/>
      <c r="T107" s="1694"/>
      <c r="U107" s="1695"/>
      <c r="V107" s="1696"/>
      <c r="W107" s="1637"/>
      <c r="X107" s="1694"/>
      <c r="Y107" s="1695"/>
      <c r="Z107" s="1696"/>
      <c r="AA107" s="1243"/>
      <c r="AB107" s="303"/>
      <c r="AC107" s="1268"/>
      <c r="AD107" s="227"/>
      <c r="AE107" s="426"/>
      <c r="AF107" s="427"/>
      <c r="AG107" s="428"/>
      <c r="AH107" s="227"/>
      <c r="AI107" s="429"/>
      <c r="AJ107" s="430"/>
      <c r="AK107" s="227"/>
    </row>
    <row r="108" spans="1:83" s="1469" customFormat="1" ht="15.75" customHeight="1" outlineLevel="1">
      <c r="A108" s="1450" t="s">
        <v>366</v>
      </c>
      <c r="B108" s="1451" t="s">
        <v>183</v>
      </c>
      <c r="C108" s="1452"/>
      <c r="D108" s="1470"/>
      <c r="E108" s="1471"/>
      <c r="F108" s="1455" t="s">
        <v>184</v>
      </c>
      <c r="G108" s="1456"/>
      <c r="H108" s="1472"/>
      <c r="I108" s="1473">
        <f>I109+I113</f>
        <v>112000</v>
      </c>
      <c r="J108" s="1474"/>
      <c r="K108" s="1475">
        <f>K109+K113</f>
        <v>9520</v>
      </c>
      <c r="L108" s="1476">
        <f>L109+L113</f>
        <v>121520</v>
      </c>
      <c r="M108" s="1477">
        <f>M109+M113</f>
        <v>21.345530779493043</v>
      </c>
      <c r="N108" s="1476">
        <f>N109+N113</f>
        <v>1600</v>
      </c>
      <c r="O108" s="1463"/>
      <c r="P108" s="1556">
        <f>P109+P113</f>
        <v>56000</v>
      </c>
      <c r="Q108" s="1557">
        <f>Q109+Q113</f>
        <v>4760</v>
      </c>
      <c r="R108" s="1558">
        <f>R109+R113</f>
        <v>60760</v>
      </c>
      <c r="S108" s="1463"/>
      <c r="T108" s="1697">
        <f>T109+T113</f>
        <v>56000</v>
      </c>
      <c r="U108" s="1698">
        <f>U109+U113</f>
        <v>4760</v>
      </c>
      <c r="V108" s="1699">
        <f>V109+V113</f>
        <v>60760</v>
      </c>
      <c r="W108" s="1683"/>
      <c r="X108" s="1697">
        <f>X109+X113</f>
        <v>0</v>
      </c>
      <c r="Y108" s="1698">
        <f>Y109+Y113</f>
        <v>0</v>
      </c>
      <c r="Z108" s="1699">
        <f>Z109+Z113</f>
        <v>0</v>
      </c>
      <c r="AA108" s="1464"/>
      <c r="AB108" s="1798">
        <f>AB109+AB113</f>
        <v>0</v>
      </c>
      <c r="AC108" s="1478">
        <f>AC109+AC113</f>
        <v>0</v>
      </c>
      <c r="AD108" s="1463"/>
      <c r="AE108" s="1479">
        <f>AE109+AE113</f>
        <v>0</v>
      </c>
      <c r="AF108" s="1480">
        <f>AF109+AF113</f>
        <v>0</v>
      </c>
      <c r="AG108" s="1481">
        <f>AG109+AG113</f>
        <v>0</v>
      </c>
      <c r="AH108" s="1463"/>
      <c r="AI108" s="1479">
        <f>AI109+AI113</f>
        <v>112000</v>
      </c>
      <c r="AJ108" s="1482">
        <f>AJ109+AJ113</f>
        <v>112000</v>
      </c>
      <c r="AK108" s="1463"/>
      <c r="AL108" s="1467"/>
      <c r="AM108" s="1467"/>
      <c r="AN108" s="1467"/>
      <c r="AO108" s="1467"/>
      <c r="AP108" s="1467"/>
      <c r="AQ108" s="1467"/>
      <c r="AR108" s="1467"/>
      <c r="AS108" s="1467"/>
      <c r="AT108" s="1467"/>
      <c r="AU108" s="1467"/>
      <c r="AV108" s="1467"/>
      <c r="AW108" s="1467"/>
      <c r="AX108" s="1467"/>
      <c r="AY108" s="1467"/>
      <c r="AZ108" s="1467"/>
      <c r="BA108" s="1467"/>
      <c r="BB108" s="1467"/>
      <c r="BC108" s="1467"/>
      <c r="BD108" s="1467"/>
      <c r="BE108" s="1467"/>
      <c r="BF108" s="1467"/>
      <c r="BG108" s="1467"/>
      <c r="BH108" s="1467"/>
      <c r="BI108" s="1467"/>
      <c r="BJ108" s="1467"/>
      <c r="BK108" s="1467"/>
      <c r="BL108" s="1468"/>
      <c r="BM108" s="1468"/>
      <c r="BN108" s="1468"/>
      <c r="BO108" s="1468"/>
      <c r="BP108" s="1468"/>
      <c r="BQ108" s="1468"/>
      <c r="BR108" s="1468"/>
      <c r="BS108" s="1468"/>
      <c r="BT108" s="1468"/>
      <c r="BU108" s="1468"/>
      <c r="BV108" s="1468"/>
      <c r="BW108" s="1468"/>
      <c r="BX108" s="1468"/>
      <c r="BY108" s="1468"/>
      <c r="BZ108" s="1468"/>
      <c r="CA108" s="1468"/>
      <c r="CB108" s="1468"/>
      <c r="CC108" s="1468"/>
      <c r="CD108" s="1468"/>
      <c r="CE108" s="1468"/>
    </row>
    <row r="109" spans="1:83" s="32" customFormat="1" ht="15.95" customHeight="1" outlineLevel="1">
      <c r="A109" s="410"/>
      <c r="B109" s="411"/>
      <c r="C109" s="296"/>
      <c r="D109" s="1440" t="s">
        <v>185</v>
      </c>
      <c r="E109" s="633"/>
      <c r="F109" s="1355" t="s">
        <v>186</v>
      </c>
      <c r="G109" s="1356"/>
      <c r="H109" s="1418"/>
      <c r="I109" s="659">
        <f>SUM(I110:I112)</f>
        <v>0</v>
      </c>
      <c r="J109" s="1358"/>
      <c r="K109" s="298">
        <f>SUM(K110:K112)</f>
        <v>0</v>
      </c>
      <c r="L109" s="431">
        <f>SUM(L110:L112)</f>
        <v>0</v>
      </c>
      <c r="M109" s="1359">
        <f>SUM(M110:M112)</f>
        <v>0</v>
      </c>
      <c r="N109" s="1360">
        <f>SUM(N110:N112)</f>
        <v>0</v>
      </c>
      <c r="O109" s="227"/>
      <c r="P109" s="1559">
        <f>SUM(P110:P112)</f>
        <v>0</v>
      </c>
      <c r="Q109" s="1532">
        <f>SUM(Q110:Q112)</f>
        <v>0</v>
      </c>
      <c r="R109" s="1533">
        <f>SUM(R110:R112)</f>
        <v>0</v>
      </c>
      <c r="S109" s="1216"/>
      <c r="T109" s="1700">
        <f>SUM(T110:T112)</f>
        <v>0</v>
      </c>
      <c r="U109" s="1668">
        <f>SUM(U110:U112)</f>
        <v>0</v>
      </c>
      <c r="V109" s="1669">
        <f>SUM(V110:V112)</f>
        <v>0</v>
      </c>
      <c r="W109" s="1646"/>
      <c r="X109" s="1701">
        <f>SUM(X110:X112)</f>
        <v>0</v>
      </c>
      <c r="Y109" s="1668">
        <f>SUM(Y110:Y112)</f>
        <v>0</v>
      </c>
      <c r="Z109" s="1669">
        <f>SUM(Z110:Z112)</f>
        <v>0</v>
      </c>
      <c r="AA109" s="1249"/>
      <c r="AB109" s="432">
        <f>SUM(AB110:AB112)</f>
        <v>0</v>
      </c>
      <c r="AC109" s="417">
        <f>SUM(AC110:AC112)</f>
        <v>0</v>
      </c>
      <c r="AD109" s="227"/>
      <c r="AE109" s="1397">
        <f t="shared" ref="AE109:AG109" si="70">SUM(AE110:AE112)</f>
        <v>0</v>
      </c>
      <c r="AF109" s="1398">
        <f t="shared" si="70"/>
        <v>0</v>
      </c>
      <c r="AG109" s="1399">
        <f t="shared" si="70"/>
        <v>0</v>
      </c>
      <c r="AH109" s="227"/>
      <c r="AI109" s="1397">
        <f t="shared" ref="AI109:AJ109" si="71">SUM(AI110:AI112)</f>
        <v>0</v>
      </c>
      <c r="AJ109" s="416">
        <f t="shared" si="71"/>
        <v>0</v>
      </c>
      <c r="AK109" s="227"/>
      <c r="AL109" s="1363"/>
      <c r="AM109" s="1363"/>
      <c r="AN109" s="1363"/>
      <c r="AO109" s="1363"/>
      <c r="AP109" s="1363"/>
      <c r="AQ109" s="1363"/>
      <c r="AR109" s="1363"/>
      <c r="AS109" s="1363"/>
      <c r="AT109" s="1363"/>
      <c r="AU109" s="1363"/>
      <c r="AV109" s="1363"/>
      <c r="AW109" s="649"/>
      <c r="AX109" s="649"/>
      <c r="AY109" s="649"/>
      <c r="AZ109" s="649"/>
      <c r="BA109" s="649"/>
      <c r="BB109" s="649"/>
      <c r="BC109" s="649"/>
      <c r="BD109" s="649"/>
      <c r="BE109" s="649"/>
      <c r="BF109" s="649"/>
      <c r="BG109" s="649"/>
      <c r="BH109" s="649"/>
      <c r="BI109" s="649"/>
      <c r="BJ109" s="649"/>
      <c r="BK109" s="649"/>
      <c r="BL109" s="418"/>
      <c r="BM109" s="418"/>
      <c r="BN109" s="418"/>
      <c r="BO109" s="418"/>
      <c r="BP109" s="418"/>
      <c r="BQ109" s="418"/>
      <c r="BR109" s="418"/>
      <c r="BS109" s="418"/>
      <c r="BT109" s="418"/>
      <c r="BU109" s="418"/>
      <c r="BV109" s="418"/>
      <c r="BW109" s="418"/>
      <c r="BX109" s="418"/>
      <c r="BY109" s="418"/>
      <c r="BZ109" s="418"/>
      <c r="CA109" s="418"/>
      <c r="CB109" s="418"/>
      <c r="CC109" s="418"/>
      <c r="CD109" s="418"/>
      <c r="CE109" s="418"/>
    </row>
    <row r="110" spans="1:83" ht="15.95" customHeight="1" outlineLevel="3">
      <c r="A110" s="74"/>
      <c r="B110" s="70"/>
      <c r="C110" s="296"/>
      <c r="D110" s="634"/>
      <c r="E110" s="632" t="s">
        <v>187</v>
      </c>
      <c r="F110" s="63" t="s">
        <v>367</v>
      </c>
      <c r="G110" s="3233" t="s">
        <v>1053</v>
      </c>
      <c r="H110" s="2028">
        <v>7.8E-2</v>
      </c>
      <c r="I110" s="1326">
        <f>H110*(I40+I77+I45)</f>
        <v>0</v>
      </c>
      <c r="J110" s="1214">
        <f>TVAN</f>
        <v>8.5000000000000006E-2</v>
      </c>
      <c r="K110" s="1327">
        <f>I110*J110</f>
        <v>0</v>
      </c>
      <c r="L110" s="1215">
        <f>I110+K110</f>
        <v>0</v>
      </c>
      <c r="M110" s="1866">
        <f>I110/$G$5</f>
        <v>0</v>
      </c>
      <c r="N110" s="1195">
        <f>I110/$G$2</f>
        <v>0</v>
      </c>
      <c r="O110" s="1189"/>
      <c r="P110" s="1512">
        <f>M110*$Q$5</f>
        <v>0</v>
      </c>
      <c r="Q110" s="1510">
        <f>P110*J110</f>
        <v>0</v>
      </c>
      <c r="R110" s="1511">
        <f>P110+Q110</f>
        <v>0</v>
      </c>
      <c r="S110" s="1189"/>
      <c r="T110" s="1652">
        <f>M110*$U$5</f>
        <v>0</v>
      </c>
      <c r="U110" s="1649">
        <f>T110*J110</f>
        <v>0</v>
      </c>
      <c r="V110" s="1650">
        <f>T110+U110</f>
        <v>0</v>
      </c>
      <c r="W110" s="1651"/>
      <c r="X110" s="1652">
        <f>M110*$Y$5</f>
        <v>0</v>
      </c>
      <c r="Y110" s="1649">
        <f>X110*J110</f>
        <v>0</v>
      </c>
      <c r="Z110" s="1650">
        <f>X110+Y110</f>
        <v>0</v>
      </c>
      <c r="AA110" s="1243"/>
      <c r="AB110" s="303">
        <f>I110-(P110+T110+X110)</f>
        <v>0</v>
      </c>
      <c r="AC110" s="1260"/>
      <c r="AD110" s="227"/>
      <c r="AE110" s="1315"/>
      <c r="AF110" s="305">
        <f>AE110*J110</f>
        <v>0</v>
      </c>
      <c r="AG110" s="1316">
        <f>AE110+AF110</f>
        <v>0</v>
      </c>
      <c r="AH110" s="227"/>
      <c r="AI110" s="1198">
        <f t="shared" ref="AI110:AI130" si="72">I110-AC110</f>
        <v>0</v>
      </c>
      <c r="AJ110" s="326">
        <f>I110-AE110</f>
        <v>0</v>
      </c>
      <c r="AK110" s="227"/>
    </row>
    <row r="111" spans="1:83" ht="15.95" customHeight="1" outlineLevel="3">
      <c r="A111" s="74"/>
      <c r="B111" s="70"/>
      <c r="C111" s="296"/>
      <c r="D111" s="634"/>
      <c r="E111" s="632" t="s">
        <v>188</v>
      </c>
      <c r="F111" s="63" t="s">
        <v>414</v>
      </c>
      <c r="G111" s="75"/>
      <c r="H111" s="1812"/>
      <c r="I111" s="1322"/>
      <c r="J111" s="1181">
        <f>TVAN</f>
        <v>8.5000000000000006E-2</v>
      </c>
      <c r="K111" s="1323">
        <f>I111*J111</f>
        <v>0</v>
      </c>
      <c r="L111" s="1220">
        <f>I111+K111</f>
        <v>0</v>
      </c>
      <c r="M111" s="1221">
        <f>I111/$G$5</f>
        <v>0</v>
      </c>
      <c r="N111" s="1222">
        <f>I111/$G$2</f>
        <v>0</v>
      </c>
      <c r="O111" s="1189"/>
      <c r="P111" s="1512">
        <f>M111*$Q$5</f>
        <v>0</v>
      </c>
      <c r="Q111" s="1513">
        <f>P111*J111</f>
        <v>0</v>
      </c>
      <c r="R111" s="1514">
        <f>P111+Q111</f>
        <v>0</v>
      </c>
      <c r="S111" s="1189"/>
      <c r="T111" s="1652">
        <f>M111*$U$5</f>
        <v>0</v>
      </c>
      <c r="U111" s="1653">
        <f>T111*J111</f>
        <v>0</v>
      </c>
      <c r="V111" s="1654">
        <f>T111+U111</f>
        <v>0</v>
      </c>
      <c r="W111" s="1651"/>
      <c r="X111" s="1652">
        <f>M111*$Y$5</f>
        <v>0</v>
      </c>
      <c r="Y111" s="1653">
        <f>X111*J111</f>
        <v>0</v>
      </c>
      <c r="Z111" s="1654">
        <f>X111+Y111</f>
        <v>0</v>
      </c>
      <c r="AA111" s="1243"/>
      <c r="AB111" s="309">
        <f>I111-(P111+T111+X111)</f>
        <v>0</v>
      </c>
      <c r="AC111" s="1263"/>
      <c r="AD111" s="227"/>
      <c r="AE111" s="1317"/>
      <c r="AF111" s="311">
        <f>AE111*J111</f>
        <v>0</v>
      </c>
      <c r="AG111" s="1318">
        <f>AE111+AF111</f>
        <v>0</v>
      </c>
      <c r="AH111" s="227"/>
      <c r="AI111" s="1209">
        <f>I111-AC111</f>
        <v>0</v>
      </c>
      <c r="AJ111" s="329">
        <f>I111-AE111</f>
        <v>0</v>
      </c>
      <c r="AK111" s="227"/>
    </row>
    <row r="112" spans="1:83" s="89" customFormat="1" ht="15.95" customHeight="1" outlineLevel="3">
      <c r="A112" s="74"/>
      <c r="B112" s="70"/>
      <c r="C112" s="296"/>
      <c r="D112" s="634"/>
      <c r="E112" s="632" t="s">
        <v>188</v>
      </c>
      <c r="F112" s="63" t="s">
        <v>414</v>
      </c>
      <c r="G112" s="75"/>
      <c r="H112" s="438"/>
      <c r="I112" s="1324"/>
      <c r="J112" s="1204">
        <f>TVAN</f>
        <v>8.5000000000000006E-2</v>
      </c>
      <c r="K112" s="1325">
        <f>I112*J112</f>
        <v>0</v>
      </c>
      <c r="L112" s="1205">
        <f>I112+K112</f>
        <v>0</v>
      </c>
      <c r="M112" s="1206">
        <f>I112/$G$5</f>
        <v>0</v>
      </c>
      <c r="N112" s="1207">
        <f>I112/$G$2</f>
        <v>0</v>
      </c>
      <c r="O112" s="1189"/>
      <c r="P112" s="1515">
        <f>M112*$Q$5</f>
        <v>0</v>
      </c>
      <c r="Q112" s="1516">
        <f>P112*J112</f>
        <v>0</v>
      </c>
      <c r="R112" s="1517">
        <f>P112+Q112</f>
        <v>0</v>
      </c>
      <c r="S112" s="1189"/>
      <c r="T112" s="1655">
        <f>M112*$U$5</f>
        <v>0</v>
      </c>
      <c r="U112" s="1656">
        <f>T112*J112</f>
        <v>0</v>
      </c>
      <c r="V112" s="1657">
        <f>T112+U112</f>
        <v>0</v>
      </c>
      <c r="W112" s="1651"/>
      <c r="X112" s="1655">
        <f>M112*$Y$5</f>
        <v>0</v>
      </c>
      <c r="Y112" s="1656">
        <f>X112*J112</f>
        <v>0</v>
      </c>
      <c r="Z112" s="1657">
        <f>X112+Y112</f>
        <v>0</v>
      </c>
      <c r="AA112" s="1243"/>
      <c r="AB112" s="315">
        <f>I112-(P112+T112+X112)</f>
        <v>0</v>
      </c>
      <c r="AC112" s="1262"/>
      <c r="AD112" s="227"/>
      <c r="AE112" s="1319"/>
      <c r="AF112" s="317">
        <f>AE112*J112</f>
        <v>0</v>
      </c>
      <c r="AG112" s="421">
        <f>AE112+AF112</f>
        <v>0</v>
      </c>
      <c r="AH112" s="227"/>
      <c r="AI112" s="1209">
        <f t="shared" si="72"/>
        <v>0</v>
      </c>
      <c r="AJ112" s="329">
        <f>I112-AE112</f>
        <v>0</v>
      </c>
      <c r="AK112" s="227"/>
      <c r="AL112" s="383"/>
      <c r="AM112" s="383"/>
      <c r="AN112" s="383"/>
      <c r="AO112" s="383"/>
      <c r="AP112" s="383"/>
      <c r="AQ112" s="383"/>
      <c r="AR112" s="383"/>
      <c r="AS112" s="383"/>
      <c r="AT112" s="383"/>
      <c r="AU112" s="383"/>
      <c r="AV112" s="383"/>
      <c r="AW112" s="383"/>
      <c r="AX112" s="383"/>
      <c r="AY112" s="383"/>
      <c r="AZ112" s="383"/>
      <c r="BA112" s="383"/>
      <c r="BB112" s="383"/>
      <c r="BC112" s="383"/>
      <c r="BD112" s="383"/>
      <c r="BE112" s="383"/>
      <c r="BF112" s="383"/>
      <c r="BG112" s="383"/>
      <c r="BH112" s="383"/>
      <c r="BI112" s="383"/>
      <c r="BJ112" s="383"/>
      <c r="BK112" s="383"/>
    </row>
    <row r="113" spans="1:83" s="32" customFormat="1" ht="15.95" customHeight="1" outlineLevel="1">
      <c r="A113" s="410"/>
      <c r="B113" s="411"/>
      <c r="C113" s="296"/>
      <c r="D113" s="1440" t="s">
        <v>189</v>
      </c>
      <c r="E113" s="633"/>
      <c r="F113" s="1355" t="s">
        <v>190</v>
      </c>
      <c r="G113" s="1356"/>
      <c r="H113" s="1357"/>
      <c r="I113" s="659">
        <f>SUM(I114:I119)</f>
        <v>112000</v>
      </c>
      <c r="J113" s="1358"/>
      <c r="K113" s="298">
        <f>SUM(K114:K119)</f>
        <v>9520</v>
      </c>
      <c r="L113" s="431">
        <f>SUM(L114:L119)</f>
        <v>121520</v>
      </c>
      <c r="M113" s="1359">
        <f>SUM(M114:M119)</f>
        <v>21.345530779493043</v>
      </c>
      <c r="N113" s="1360">
        <f>SUM(N114:N119)</f>
        <v>1600</v>
      </c>
      <c r="O113" s="227"/>
      <c r="P113" s="1547">
        <f>SUM(P114:P119)</f>
        <v>56000</v>
      </c>
      <c r="Q113" s="1532">
        <f>SUM(Q114:Q119)</f>
        <v>4760</v>
      </c>
      <c r="R113" s="1533">
        <f>SUM(R114:R119)</f>
        <v>60760</v>
      </c>
      <c r="S113" s="1216"/>
      <c r="T113" s="1672">
        <f>SUM(T114:T119)</f>
        <v>56000</v>
      </c>
      <c r="U113" s="1668">
        <f>SUM(U114:U119)</f>
        <v>4760</v>
      </c>
      <c r="V113" s="1669">
        <f>SUM(V114:V119)</f>
        <v>60760</v>
      </c>
      <c r="W113" s="1646"/>
      <c r="X113" s="1672">
        <f>SUM(X114:X119)</f>
        <v>0</v>
      </c>
      <c r="Y113" s="1668">
        <f>SUM(Y114:Y119)</f>
        <v>0</v>
      </c>
      <c r="Z113" s="1669">
        <f>SUM(Z114:Z119)</f>
        <v>0</v>
      </c>
      <c r="AA113" s="1249"/>
      <c r="AB113" s="432">
        <f>SUM(AB114:AB119)</f>
        <v>0</v>
      </c>
      <c r="AC113" s="1441">
        <f>SUM(AC114:AC119)</f>
        <v>0</v>
      </c>
      <c r="AD113" s="227"/>
      <c r="AE113" s="391">
        <f t="shared" ref="AE113:AG113" si="73">SUM(AE114:AE119)</f>
        <v>0</v>
      </c>
      <c r="AF113" s="1361">
        <f t="shared" si="73"/>
        <v>0</v>
      </c>
      <c r="AG113" s="1345">
        <f t="shared" si="73"/>
        <v>0</v>
      </c>
      <c r="AH113" s="227"/>
      <c r="AI113" s="1442">
        <f t="shared" ref="AI113:AJ113" si="74">SUM(AI114:AI119)</f>
        <v>112000</v>
      </c>
      <c r="AJ113" s="392">
        <f t="shared" si="74"/>
        <v>112000</v>
      </c>
      <c r="AK113" s="227"/>
      <c r="AL113" s="1363"/>
      <c r="AM113" s="1363"/>
      <c r="AN113" s="1363"/>
      <c r="AO113" s="1363"/>
      <c r="AP113" s="1363"/>
      <c r="AQ113" s="1363"/>
      <c r="AR113" s="1363"/>
      <c r="AS113" s="1363"/>
      <c r="AT113" s="1363"/>
      <c r="AU113" s="1363"/>
      <c r="AV113" s="1363"/>
      <c r="AW113" s="649"/>
      <c r="AX113" s="649"/>
      <c r="AY113" s="649"/>
      <c r="AZ113" s="649"/>
      <c r="BA113" s="649"/>
      <c r="BB113" s="649"/>
      <c r="BC113" s="649"/>
      <c r="BD113" s="649"/>
      <c r="BE113" s="649"/>
      <c r="BF113" s="649"/>
      <c r="BG113" s="649"/>
      <c r="BH113" s="649"/>
      <c r="BI113" s="649"/>
      <c r="BJ113" s="649"/>
      <c r="BK113" s="649"/>
      <c r="BL113" s="418"/>
      <c r="BM113" s="418"/>
      <c r="BN113" s="418"/>
      <c r="BO113" s="418"/>
      <c r="BP113" s="418"/>
      <c r="BQ113" s="418"/>
      <c r="BR113" s="418"/>
      <c r="BS113" s="418"/>
      <c r="BT113" s="418"/>
      <c r="BU113" s="418"/>
      <c r="BV113" s="418"/>
      <c r="BW113" s="418"/>
      <c r="BX113" s="418"/>
      <c r="BY113" s="418"/>
      <c r="BZ113" s="418"/>
      <c r="CA113" s="418"/>
      <c r="CB113" s="418"/>
      <c r="CC113" s="418"/>
      <c r="CD113" s="418"/>
      <c r="CE113" s="418"/>
    </row>
    <row r="114" spans="1:83" ht="15.95" customHeight="1" outlineLevel="3">
      <c r="A114" s="74"/>
      <c r="B114" s="70"/>
      <c r="C114" s="296"/>
      <c r="D114" s="634"/>
      <c r="E114" s="632" t="s">
        <v>191</v>
      </c>
      <c r="F114" s="63" t="s">
        <v>368</v>
      </c>
      <c r="G114" s="75"/>
      <c r="H114" s="2037" t="s">
        <v>1008</v>
      </c>
      <c r="I114" s="1326">
        <v>0</v>
      </c>
      <c r="J114" s="1214">
        <f t="shared" ref="J114:J119" si="75">TVAN</f>
        <v>8.5000000000000006E-2</v>
      </c>
      <c r="K114" s="1327">
        <f t="shared" ref="K114:K119" si="76">I114*J114</f>
        <v>0</v>
      </c>
      <c r="L114" s="1215">
        <f t="shared" ref="L114:L119" si="77">I114+K114</f>
        <v>0</v>
      </c>
      <c r="M114" s="1194">
        <f t="shared" ref="M114:M119" si="78">I114/$G$5</f>
        <v>0</v>
      </c>
      <c r="N114" s="1195">
        <f t="shared" ref="N114:N119" si="79">I114/$G$2</f>
        <v>0</v>
      </c>
      <c r="O114" s="1189"/>
      <c r="P114" s="1512">
        <f t="shared" ref="P114:P119" si="80">M114*$Q$5</f>
        <v>0</v>
      </c>
      <c r="Q114" s="1510">
        <f t="shared" ref="Q114:Q119" si="81">P114*J114</f>
        <v>0</v>
      </c>
      <c r="R114" s="1511">
        <f t="shared" ref="R114:R119" si="82">P114+Q114</f>
        <v>0</v>
      </c>
      <c r="S114" s="1189"/>
      <c r="T114" s="1652">
        <f t="shared" ref="T114:T119" si="83">M114*$U$5</f>
        <v>0</v>
      </c>
      <c r="U114" s="1649">
        <f t="shared" ref="U114:U119" si="84">T114*J114</f>
        <v>0</v>
      </c>
      <c r="V114" s="1650">
        <f t="shared" ref="V114:V119" si="85">T114+U114</f>
        <v>0</v>
      </c>
      <c r="W114" s="1651"/>
      <c r="X114" s="1652">
        <f t="shared" ref="X114:X119" si="86">M114*$Y$5</f>
        <v>0</v>
      </c>
      <c r="Y114" s="1649">
        <f t="shared" ref="Y114:Y119" si="87">X114*J114</f>
        <v>0</v>
      </c>
      <c r="Z114" s="1650">
        <f t="shared" ref="Z114:Z119" si="88">X114+Y114</f>
        <v>0</v>
      </c>
      <c r="AA114" s="1243"/>
      <c r="AB114" s="303">
        <f t="shared" ref="AB114:AB119" si="89">I114-(P114+T114+X114)</f>
        <v>0</v>
      </c>
      <c r="AC114" s="1260"/>
      <c r="AD114" s="227"/>
      <c r="AE114" s="1232"/>
      <c r="AF114" s="311">
        <f t="shared" ref="AF114:AF119" si="90">AE114*J114</f>
        <v>0</v>
      </c>
      <c r="AG114" s="1318">
        <f t="shared" ref="AG114:AG119" si="91">AE114+AF114</f>
        <v>0</v>
      </c>
      <c r="AH114" s="227"/>
      <c r="AI114" s="1198">
        <f t="shared" si="72"/>
        <v>0</v>
      </c>
      <c r="AJ114" s="308">
        <f t="shared" ref="AJ114:AJ119" si="92">I114-AE114</f>
        <v>0</v>
      </c>
      <c r="AK114" s="227"/>
    </row>
    <row r="115" spans="1:83" ht="15.95" customHeight="1" outlineLevel="3">
      <c r="A115" s="74"/>
      <c r="B115" s="70"/>
      <c r="C115" s="296"/>
      <c r="D115" s="634"/>
      <c r="E115" s="632" t="s">
        <v>192</v>
      </c>
      <c r="F115" s="63" t="s">
        <v>369</v>
      </c>
      <c r="G115" s="75"/>
      <c r="H115" s="646">
        <v>800</v>
      </c>
      <c r="I115" s="1322">
        <f>H115*G2</f>
        <v>56000</v>
      </c>
      <c r="J115" s="1181">
        <f t="shared" si="75"/>
        <v>8.5000000000000006E-2</v>
      </c>
      <c r="K115" s="1323">
        <f t="shared" si="76"/>
        <v>4760</v>
      </c>
      <c r="L115" s="1220">
        <f t="shared" si="77"/>
        <v>60760</v>
      </c>
      <c r="M115" s="1221">
        <f t="shared" si="78"/>
        <v>10.672765389746521</v>
      </c>
      <c r="N115" s="1222">
        <f t="shared" si="79"/>
        <v>800</v>
      </c>
      <c r="O115" s="1189"/>
      <c r="P115" s="1512">
        <f t="shared" si="80"/>
        <v>28000</v>
      </c>
      <c r="Q115" s="1513">
        <f t="shared" si="81"/>
        <v>2380</v>
      </c>
      <c r="R115" s="1514">
        <f t="shared" si="82"/>
        <v>30380</v>
      </c>
      <c r="S115" s="1189"/>
      <c r="T115" s="1652">
        <f t="shared" si="83"/>
        <v>28000</v>
      </c>
      <c r="U115" s="1653">
        <f t="shared" si="84"/>
        <v>2380</v>
      </c>
      <c r="V115" s="1654">
        <f t="shared" si="85"/>
        <v>30380</v>
      </c>
      <c r="W115" s="1651"/>
      <c r="X115" s="1652">
        <f t="shared" si="86"/>
        <v>0</v>
      </c>
      <c r="Y115" s="1653">
        <f t="shared" si="87"/>
        <v>0</v>
      </c>
      <c r="Z115" s="1654">
        <f t="shared" si="88"/>
        <v>0</v>
      </c>
      <c r="AA115" s="1243"/>
      <c r="AB115" s="309">
        <f t="shared" si="89"/>
        <v>0</v>
      </c>
      <c r="AC115" s="1263"/>
      <c r="AD115" s="227"/>
      <c r="AE115" s="1234"/>
      <c r="AF115" s="311">
        <f t="shared" si="90"/>
        <v>0</v>
      </c>
      <c r="AG115" s="424">
        <f t="shared" si="91"/>
        <v>0</v>
      </c>
      <c r="AH115" s="227"/>
      <c r="AI115" s="1209">
        <f t="shared" si="72"/>
        <v>56000</v>
      </c>
      <c r="AJ115" s="314">
        <f t="shared" si="92"/>
        <v>56000</v>
      </c>
      <c r="AK115" s="227"/>
    </row>
    <row r="116" spans="1:83" ht="15.95" customHeight="1" outlineLevel="3">
      <c r="A116" s="74"/>
      <c r="B116" s="70"/>
      <c r="C116" s="296"/>
      <c r="D116" s="634"/>
      <c r="E116" s="632" t="s">
        <v>193</v>
      </c>
      <c r="F116" s="63" t="s">
        <v>370</v>
      </c>
      <c r="G116" s="75"/>
      <c r="H116" s="627">
        <v>800</v>
      </c>
      <c r="I116" s="1322">
        <f>H116*G2</f>
        <v>56000</v>
      </c>
      <c r="J116" s="1181">
        <f t="shared" si="75"/>
        <v>8.5000000000000006E-2</v>
      </c>
      <c r="K116" s="1323">
        <f t="shared" si="76"/>
        <v>4760</v>
      </c>
      <c r="L116" s="1220">
        <f t="shared" si="77"/>
        <v>60760</v>
      </c>
      <c r="M116" s="1221">
        <f t="shared" si="78"/>
        <v>10.672765389746521</v>
      </c>
      <c r="N116" s="1222">
        <f t="shared" si="79"/>
        <v>800</v>
      </c>
      <c r="O116" s="1189"/>
      <c r="P116" s="1512">
        <f t="shared" si="80"/>
        <v>28000</v>
      </c>
      <c r="Q116" s="1513">
        <f t="shared" si="81"/>
        <v>2380</v>
      </c>
      <c r="R116" s="1514">
        <f t="shared" si="82"/>
        <v>30380</v>
      </c>
      <c r="S116" s="1189"/>
      <c r="T116" s="1652">
        <f t="shared" si="83"/>
        <v>28000</v>
      </c>
      <c r="U116" s="1653">
        <f t="shared" si="84"/>
        <v>2380</v>
      </c>
      <c r="V116" s="1654">
        <f t="shared" si="85"/>
        <v>30380</v>
      </c>
      <c r="W116" s="1651"/>
      <c r="X116" s="1652">
        <f t="shared" si="86"/>
        <v>0</v>
      </c>
      <c r="Y116" s="1653">
        <f t="shared" si="87"/>
        <v>0</v>
      </c>
      <c r="Z116" s="1654">
        <f t="shared" si="88"/>
        <v>0</v>
      </c>
      <c r="AA116" s="1243"/>
      <c r="AB116" s="309">
        <f t="shared" si="89"/>
        <v>0</v>
      </c>
      <c r="AC116" s="1263"/>
      <c r="AD116" s="227"/>
      <c r="AE116" s="1234"/>
      <c r="AF116" s="311">
        <f t="shared" si="90"/>
        <v>0</v>
      </c>
      <c r="AG116" s="424">
        <f t="shared" si="91"/>
        <v>0</v>
      </c>
      <c r="AH116" s="227"/>
      <c r="AI116" s="1209">
        <f t="shared" si="72"/>
        <v>56000</v>
      </c>
      <c r="AJ116" s="314">
        <f t="shared" si="92"/>
        <v>56000</v>
      </c>
      <c r="AK116" s="227"/>
    </row>
    <row r="117" spans="1:83" ht="15.95" customHeight="1" outlineLevel="3">
      <c r="A117" s="74"/>
      <c r="B117" s="70"/>
      <c r="C117" s="296"/>
      <c r="D117" s="634"/>
      <c r="E117" s="632"/>
      <c r="F117" s="3226" t="s">
        <v>1044</v>
      </c>
      <c r="G117" s="75"/>
      <c r="H117" s="627"/>
      <c r="I117" s="1322">
        <v>0</v>
      </c>
      <c r="J117" s="1181">
        <f t="shared" si="75"/>
        <v>8.5000000000000006E-2</v>
      </c>
      <c r="K117" s="1323">
        <f t="shared" si="76"/>
        <v>0</v>
      </c>
      <c r="L117" s="1220">
        <f t="shared" si="77"/>
        <v>0</v>
      </c>
      <c r="M117" s="1221">
        <f t="shared" si="78"/>
        <v>0</v>
      </c>
      <c r="N117" s="1222">
        <f t="shared" si="79"/>
        <v>0</v>
      </c>
      <c r="O117" s="1189"/>
      <c r="P117" s="1512">
        <f t="shared" si="80"/>
        <v>0</v>
      </c>
      <c r="Q117" s="1513">
        <f t="shared" si="81"/>
        <v>0</v>
      </c>
      <c r="R117" s="1514">
        <f t="shared" si="82"/>
        <v>0</v>
      </c>
      <c r="S117" s="1189"/>
      <c r="T117" s="1652">
        <f t="shared" si="83"/>
        <v>0</v>
      </c>
      <c r="U117" s="1653">
        <f t="shared" si="84"/>
        <v>0</v>
      </c>
      <c r="V117" s="1654">
        <f t="shared" si="85"/>
        <v>0</v>
      </c>
      <c r="W117" s="1651"/>
      <c r="X117" s="1652">
        <f t="shared" si="86"/>
        <v>0</v>
      </c>
      <c r="Y117" s="1653">
        <f t="shared" si="87"/>
        <v>0</v>
      </c>
      <c r="Z117" s="1654">
        <f t="shared" si="88"/>
        <v>0</v>
      </c>
      <c r="AA117" s="1243"/>
      <c r="AB117" s="309">
        <f t="shared" si="89"/>
        <v>0</v>
      </c>
      <c r="AC117" s="1263"/>
      <c r="AD117" s="227"/>
      <c r="AE117" s="1234"/>
      <c r="AF117" s="311">
        <f t="shared" si="90"/>
        <v>0</v>
      </c>
      <c r="AG117" s="424">
        <f t="shared" si="91"/>
        <v>0</v>
      </c>
      <c r="AH117" s="227"/>
      <c r="AI117" s="1209">
        <f t="shared" ref="AI117" si="93">I117-AC117</f>
        <v>0</v>
      </c>
      <c r="AJ117" s="314">
        <f t="shared" si="92"/>
        <v>0</v>
      </c>
      <c r="AK117" s="227"/>
    </row>
    <row r="118" spans="1:83" ht="15.95" customHeight="1" outlineLevel="3">
      <c r="A118" s="74"/>
      <c r="B118" s="70"/>
      <c r="C118" s="296"/>
      <c r="D118" s="634"/>
      <c r="E118" s="632" t="s">
        <v>194</v>
      </c>
      <c r="F118" s="63" t="s">
        <v>371</v>
      </c>
      <c r="G118" s="75"/>
      <c r="H118" s="3045">
        <v>0.01</v>
      </c>
      <c r="I118" s="1322">
        <f>H118*(I77+I40+I45+I129)</f>
        <v>0</v>
      </c>
      <c r="J118" s="1181">
        <f t="shared" si="75"/>
        <v>8.5000000000000006E-2</v>
      </c>
      <c r="K118" s="1323">
        <f t="shared" si="76"/>
        <v>0</v>
      </c>
      <c r="L118" s="1220">
        <f t="shared" si="77"/>
        <v>0</v>
      </c>
      <c r="M118" s="1221">
        <f t="shared" si="78"/>
        <v>0</v>
      </c>
      <c r="N118" s="1222">
        <f t="shared" si="79"/>
        <v>0</v>
      </c>
      <c r="O118" s="1189"/>
      <c r="P118" s="1512">
        <f t="shared" si="80"/>
        <v>0</v>
      </c>
      <c r="Q118" s="1513">
        <f t="shared" si="81"/>
        <v>0</v>
      </c>
      <c r="R118" s="1514">
        <f t="shared" si="82"/>
        <v>0</v>
      </c>
      <c r="S118" s="1189"/>
      <c r="T118" s="1652">
        <f t="shared" si="83"/>
        <v>0</v>
      </c>
      <c r="U118" s="1653">
        <f t="shared" si="84"/>
        <v>0</v>
      </c>
      <c r="V118" s="1654">
        <f t="shared" si="85"/>
        <v>0</v>
      </c>
      <c r="W118" s="1651"/>
      <c r="X118" s="1652">
        <f t="shared" si="86"/>
        <v>0</v>
      </c>
      <c r="Y118" s="1653">
        <f t="shared" si="87"/>
        <v>0</v>
      </c>
      <c r="Z118" s="1654">
        <f t="shared" si="88"/>
        <v>0</v>
      </c>
      <c r="AA118" s="1243"/>
      <c r="AB118" s="309">
        <f t="shared" si="89"/>
        <v>0</v>
      </c>
      <c r="AC118" s="1263"/>
      <c r="AD118" s="227"/>
      <c r="AE118" s="1234"/>
      <c r="AF118" s="311">
        <f t="shared" si="90"/>
        <v>0</v>
      </c>
      <c r="AG118" s="424">
        <f t="shared" si="91"/>
        <v>0</v>
      </c>
      <c r="AH118" s="227"/>
      <c r="AI118" s="1209">
        <f t="shared" si="72"/>
        <v>0</v>
      </c>
      <c r="AJ118" s="314">
        <f t="shared" si="92"/>
        <v>0</v>
      </c>
      <c r="AK118" s="227"/>
    </row>
    <row r="119" spans="1:83" ht="15.95" customHeight="1" outlineLevel="3">
      <c r="A119" s="74"/>
      <c r="B119" s="70"/>
      <c r="C119" s="296"/>
      <c r="D119" s="634"/>
      <c r="E119" s="632" t="s">
        <v>195</v>
      </c>
      <c r="F119" s="99" t="s">
        <v>372</v>
      </c>
      <c r="G119" s="80"/>
      <c r="H119" s="627"/>
      <c r="I119" s="1324">
        <v>0</v>
      </c>
      <c r="J119" s="1204">
        <f t="shared" si="75"/>
        <v>8.5000000000000006E-2</v>
      </c>
      <c r="K119" s="1325">
        <f t="shared" si="76"/>
        <v>0</v>
      </c>
      <c r="L119" s="1205">
        <f t="shared" si="77"/>
        <v>0</v>
      </c>
      <c r="M119" s="1221">
        <f t="shared" si="78"/>
        <v>0</v>
      </c>
      <c r="N119" s="1222">
        <f t="shared" si="79"/>
        <v>0</v>
      </c>
      <c r="O119" s="1189"/>
      <c r="P119" s="1512">
        <f t="shared" si="80"/>
        <v>0</v>
      </c>
      <c r="Q119" s="1518">
        <f t="shared" si="81"/>
        <v>0</v>
      </c>
      <c r="R119" s="1517">
        <f t="shared" si="82"/>
        <v>0</v>
      </c>
      <c r="S119" s="1189"/>
      <c r="T119" s="1652">
        <f t="shared" si="83"/>
        <v>0</v>
      </c>
      <c r="U119" s="1656">
        <f t="shared" si="84"/>
        <v>0</v>
      </c>
      <c r="V119" s="1657">
        <f t="shared" si="85"/>
        <v>0</v>
      </c>
      <c r="W119" s="1651"/>
      <c r="X119" s="1652">
        <f t="shared" si="86"/>
        <v>0</v>
      </c>
      <c r="Y119" s="1656">
        <f t="shared" si="87"/>
        <v>0</v>
      </c>
      <c r="Z119" s="1657">
        <f t="shared" si="88"/>
        <v>0</v>
      </c>
      <c r="AA119" s="1243"/>
      <c r="AB119" s="315">
        <f t="shared" si="89"/>
        <v>0</v>
      </c>
      <c r="AC119" s="1264"/>
      <c r="AD119" s="441"/>
      <c r="AE119" s="71"/>
      <c r="AF119" s="317">
        <f t="shared" si="90"/>
        <v>0</v>
      </c>
      <c r="AG119" s="439">
        <f t="shared" si="91"/>
        <v>0</v>
      </c>
      <c r="AH119" s="227"/>
      <c r="AI119" s="1209">
        <f t="shared" si="72"/>
        <v>0</v>
      </c>
      <c r="AJ119" s="320">
        <f t="shared" si="92"/>
        <v>0</v>
      </c>
      <c r="AK119" s="227"/>
    </row>
    <row r="120" spans="1:83" s="88" customFormat="1" ht="15.75" customHeight="1" outlineLevel="1">
      <c r="A120" s="236" t="s">
        <v>373</v>
      </c>
      <c r="B120" s="229" t="s">
        <v>196</v>
      </c>
      <c r="C120" s="419"/>
      <c r="D120" s="640" t="s">
        <v>197</v>
      </c>
      <c r="E120" s="1439"/>
      <c r="F120" s="230" t="s">
        <v>198</v>
      </c>
      <c r="G120" s="231"/>
      <c r="H120" s="1343"/>
      <c r="I120" s="1443">
        <f>SUM(I121:I122)</f>
        <v>2297.9431526071999</v>
      </c>
      <c r="J120" s="1446"/>
      <c r="K120" s="1412">
        <f>SUM(K121:K122)</f>
        <v>0</v>
      </c>
      <c r="L120" s="1413">
        <f>SUM(L121:L122)</f>
        <v>2297.9431526071999</v>
      </c>
      <c r="M120" s="1414">
        <f>SUM(M121:M122)</f>
        <v>0.43795371690627022</v>
      </c>
      <c r="N120" s="1413">
        <f>SUM(N121:N122)</f>
        <v>32.827759322959999</v>
      </c>
      <c r="O120" s="300"/>
      <c r="P120" s="1560">
        <f>SUM(P121:P122)</f>
        <v>1148.9715763035999</v>
      </c>
      <c r="Q120" s="1560">
        <f>SUM(Q121:Q122)</f>
        <v>0</v>
      </c>
      <c r="R120" s="1561">
        <f>SUM(R121:R122)</f>
        <v>1148.9715763035999</v>
      </c>
      <c r="S120" s="1369"/>
      <c r="T120" s="1702">
        <f>SUM(T121:T122)</f>
        <v>1148.9715763035999</v>
      </c>
      <c r="U120" s="1703">
        <f>SUM(U121:U122)</f>
        <v>0</v>
      </c>
      <c r="V120" s="1704">
        <f>SUM(V121:V122)</f>
        <v>1148.9715763035999</v>
      </c>
      <c r="W120" s="1705"/>
      <c r="X120" s="1706">
        <f>SUM(X121:X122)</f>
        <v>0</v>
      </c>
      <c r="Y120" s="1703">
        <f>SUM(Y121:Y122)</f>
        <v>0</v>
      </c>
      <c r="Z120" s="1704">
        <f>SUM(Z121:Z122)</f>
        <v>0</v>
      </c>
      <c r="AA120" s="1370"/>
      <c r="AB120" s="452">
        <f>SUM(AB124:AB127)</f>
        <v>0</v>
      </c>
      <c r="AC120" s="1375">
        <f>SUM(AC121:AC122)</f>
        <v>0</v>
      </c>
      <c r="AD120" s="300"/>
      <c r="AE120" s="434">
        <f t="shared" ref="AE120:AG120" si="94">SUM(AE121:AE122)</f>
        <v>0</v>
      </c>
      <c r="AF120" s="435">
        <f t="shared" si="94"/>
        <v>0</v>
      </c>
      <c r="AG120" s="436">
        <f t="shared" si="94"/>
        <v>0</v>
      </c>
      <c r="AH120" s="300"/>
      <c r="AI120" s="1447">
        <f t="shared" ref="AI120:AJ120" si="95">SUM(AI121:AI122)</f>
        <v>2297.9431526071999</v>
      </c>
      <c r="AJ120" s="435">
        <f t="shared" si="95"/>
        <v>2297.9431526071999</v>
      </c>
      <c r="AK120" s="300"/>
      <c r="AL120" s="1347"/>
      <c r="AM120" s="1347"/>
      <c r="AN120" s="1347"/>
      <c r="AO120" s="1347"/>
      <c r="AP120" s="1347"/>
      <c r="AQ120" s="1347"/>
      <c r="AR120" s="1347"/>
      <c r="AS120" s="1347"/>
      <c r="AT120" s="1347"/>
      <c r="AU120" s="1347"/>
      <c r="AV120" s="1347"/>
      <c r="AW120" s="1374"/>
      <c r="AX120" s="1374"/>
      <c r="AY120" s="1374"/>
      <c r="AZ120" s="1374"/>
      <c r="BA120" s="1374"/>
      <c r="BB120" s="1374"/>
      <c r="BC120" s="1374"/>
      <c r="BD120" s="1374"/>
      <c r="BE120" s="1374"/>
      <c r="BF120" s="1374"/>
      <c r="BG120" s="1374"/>
      <c r="BH120" s="1374"/>
      <c r="BI120" s="1374"/>
      <c r="BJ120" s="1374"/>
      <c r="BK120" s="1374"/>
      <c r="BL120" s="233"/>
      <c r="BM120" s="233"/>
      <c r="BN120" s="233"/>
      <c r="BO120" s="233"/>
      <c r="BP120" s="233"/>
      <c r="BQ120" s="233"/>
      <c r="BR120" s="233"/>
      <c r="BS120" s="233"/>
      <c r="BT120" s="233"/>
      <c r="BU120" s="233"/>
      <c r="BV120" s="233"/>
      <c r="BW120" s="233"/>
      <c r="BX120" s="233"/>
      <c r="BY120" s="233"/>
      <c r="BZ120" s="233"/>
      <c r="CA120" s="233"/>
      <c r="CB120" s="233"/>
      <c r="CC120" s="233"/>
      <c r="CD120" s="233"/>
      <c r="CE120" s="233"/>
    </row>
    <row r="121" spans="1:83" ht="15.95" customHeight="1" outlineLevel="2">
      <c r="A121" s="74"/>
      <c r="B121" s="70"/>
      <c r="C121" s="296"/>
      <c r="D121" s="635"/>
      <c r="E121" s="633" t="s">
        <v>199</v>
      </c>
      <c r="F121" s="63" t="s">
        <v>200</v>
      </c>
      <c r="G121" s="75"/>
      <c r="H121" s="1872">
        <v>1.8909999609999999E-2</v>
      </c>
      <c r="I121" s="1326">
        <f>H121*(L77+L45+L40+L109+L114+L115+L116+L118+L128+L117)</f>
        <v>2297.9431526071999</v>
      </c>
      <c r="J121" s="1214">
        <f>TVA0</f>
        <v>0</v>
      </c>
      <c r="K121" s="1327">
        <f>I121*J121</f>
        <v>0</v>
      </c>
      <c r="L121" s="1215">
        <f>I121+K121</f>
        <v>2297.9431526071999</v>
      </c>
      <c r="M121" s="1194">
        <f>I121/$G$5</f>
        <v>0.43795371690627022</v>
      </c>
      <c r="N121" s="1195">
        <f>I121/$G$2</f>
        <v>32.827759322959999</v>
      </c>
      <c r="O121" s="1189"/>
      <c r="P121" s="1509">
        <f>M121*$Q$5</f>
        <v>1148.9715763035999</v>
      </c>
      <c r="Q121" s="1562">
        <f>P121*J121</f>
        <v>0</v>
      </c>
      <c r="R121" s="1511">
        <f>P121+Q121</f>
        <v>1148.9715763035999</v>
      </c>
      <c r="S121" s="1189"/>
      <c r="T121" s="1652">
        <f>M121*$U$5</f>
        <v>1148.9715763035999</v>
      </c>
      <c r="U121" s="1649">
        <f>T121*J121</f>
        <v>0</v>
      </c>
      <c r="V121" s="1650">
        <f>T121+U121</f>
        <v>1148.9715763035999</v>
      </c>
      <c r="W121" s="1651"/>
      <c r="X121" s="1652">
        <f>M121*$Y$5</f>
        <v>0</v>
      </c>
      <c r="Y121" s="1649">
        <f>X121*J121</f>
        <v>0</v>
      </c>
      <c r="Z121" s="1650">
        <f>X121+Y121</f>
        <v>0</v>
      </c>
      <c r="AA121" s="1243"/>
      <c r="AB121" s="303">
        <f>I121-(P121+T121+X121)</f>
        <v>0</v>
      </c>
      <c r="AC121" s="1265"/>
      <c r="AD121" s="227"/>
      <c r="AE121" s="66"/>
      <c r="AF121" s="311">
        <f>AE121*J121</f>
        <v>0</v>
      </c>
      <c r="AG121" s="327">
        <f>AF121+AE121</f>
        <v>0</v>
      </c>
      <c r="AH121" s="227"/>
      <c r="AI121" s="1198">
        <f t="shared" si="72"/>
        <v>2297.9431526071999</v>
      </c>
      <c r="AJ121" s="308">
        <f>I121-AE121</f>
        <v>2297.9431526071999</v>
      </c>
      <c r="AK121" s="227"/>
    </row>
    <row r="122" spans="1:83" ht="15.95" customHeight="1" outlineLevel="2">
      <c r="A122" s="74"/>
      <c r="B122" s="70"/>
      <c r="C122" s="296"/>
      <c r="D122" s="635"/>
      <c r="E122" s="633" t="s">
        <v>201</v>
      </c>
      <c r="F122" s="63" t="s">
        <v>202</v>
      </c>
      <c r="G122" s="75"/>
      <c r="H122" s="324">
        <v>0.02</v>
      </c>
      <c r="I122" s="1324">
        <f>P122+T122+X122</f>
        <v>0</v>
      </c>
      <c r="J122" s="1204">
        <f>TVA0</f>
        <v>0</v>
      </c>
      <c r="K122" s="1325">
        <f>I122*J122</f>
        <v>0</v>
      </c>
      <c r="L122" s="1205">
        <f>I122+K122</f>
        <v>0</v>
      </c>
      <c r="M122" s="1221">
        <f>I122/$G$5</f>
        <v>0</v>
      </c>
      <c r="N122" s="1222">
        <f>I122/$G$2</f>
        <v>0</v>
      </c>
      <c r="O122" s="1189"/>
      <c r="P122" s="1515">
        <v>0</v>
      </c>
      <c r="Q122" s="1518">
        <f>P122*J122</f>
        <v>0</v>
      </c>
      <c r="R122" s="1517">
        <f>P122+Q122</f>
        <v>0</v>
      </c>
      <c r="S122" s="1189"/>
      <c r="T122" s="1655">
        <v>0</v>
      </c>
      <c r="U122" s="1656">
        <f>T122*J122</f>
        <v>0</v>
      </c>
      <c r="V122" s="1657">
        <f>T122+U122</f>
        <v>0</v>
      </c>
      <c r="W122" s="1651"/>
      <c r="X122" s="1655">
        <f>$H$122*(Z40+Z45+Z77+Z109+Z113+Z128)</f>
        <v>0</v>
      </c>
      <c r="Y122" s="1656">
        <f>X122*J122</f>
        <v>0</v>
      </c>
      <c r="Z122" s="1657">
        <f>X122+Y122</f>
        <v>0</v>
      </c>
      <c r="AA122" s="1243"/>
      <c r="AB122" s="315">
        <f>I122-(P122+T122+X122)</f>
        <v>0</v>
      </c>
      <c r="AC122" s="1262"/>
      <c r="AD122" s="227"/>
      <c r="AE122" s="316"/>
      <c r="AF122" s="317">
        <f>AE122*J122</f>
        <v>0</v>
      </c>
      <c r="AG122" s="318">
        <f>AF122+AE122</f>
        <v>0</v>
      </c>
      <c r="AH122" s="227"/>
      <c r="AI122" s="1228">
        <f t="shared" si="72"/>
        <v>0</v>
      </c>
      <c r="AJ122" s="320">
        <f>I122-AE122</f>
        <v>0</v>
      </c>
      <c r="AK122" s="227"/>
    </row>
    <row r="123" spans="1:83" s="88" customFormat="1" ht="15.75" customHeight="1" outlineLevel="1">
      <c r="A123" s="236" t="s">
        <v>236</v>
      </c>
      <c r="B123" s="229" t="s">
        <v>203</v>
      </c>
      <c r="C123" s="419"/>
      <c r="D123" s="640" t="s">
        <v>204</v>
      </c>
      <c r="E123" s="1439"/>
      <c r="F123" s="230" t="s">
        <v>205</v>
      </c>
      <c r="G123" s="231"/>
      <c r="H123" s="1343"/>
      <c r="I123" s="1443">
        <f>SUM(I124:I127)</f>
        <v>0</v>
      </c>
      <c r="J123" s="1446"/>
      <c r="K123" s="1412">
        <f>SUM(K124:K127)</f>
        <v>0</v>
      </c>
      <c r="L123" s="1413">
        <f>SUM(L124:L127)</f>
        <v>0</v>
      </c>
      <c r="M123" s="1414">
        <f>SUM(M124:M127)</f>
        <v>0</v>
      </c>
      <c r="N123" s="1413">
        <f>SUM(N124:N127)</f>
        <v>0</v>
      </c>
      <c r="O123" s="300"/>
      <c r="P123" s="1563">
        <f>SUM(P124:P127)</f>
        <v>0</v>
      </c>
      <c r="Q123" s="1560">
        <f>SUM(Q124:Q127)</f>
        <v>0</v>
      </c>
      <c r="R123" s="1561">
        <f>SUM(R124:R127)</f>
        <v>0</v>
      </c>
      <c r="S123" s="1369"/>
      <c r="T123" s="1702">
        <f>SUM(T124:T127)</f>
        <v>0</v>
      </c>
      <c r="U123" s="1703">
        <f>SUM(U124:U127)</f>
        <v>0</v>
      </c>
      <c r="V123" s="1704">
        <f>SUM(V124:V127)</f>
        <v>0</v>
      </c>
      <c r="W123" s="1705"/>
      <c r="X123" s="1706">
        <f>SUM(X124:X127)</f>
        <v>0</v>
      </c>
      <c r="Y123" s="1703">
        <f>SUM(Y124:Y127)</f>
        <v>0</v>
      </c>
      <c r="Z123" s="1704">
        <f>SUM(Z124:Z127)</f>
        <v>0</v>
      </c>
      <c r="AA123" s="1370"/>
      <c r="AB123" s="452">
        <f>SUM(AB124:AB127)</f>
        <v>0</v>
      </c>
      <c r="AC123" s="1371">
        <f>SUM(AC124:AC127)</f>
        <v>0</v>
      </c>
      <c r="AD123" s="300"/>
      <c r="AE123" s="1372">
        <f t="shared" ref="AE123:AG123" si="96">SUM(AE124:AE127)</f>
        <v>0</v>
      </c>
      <c r="AF123" s="382">
        <f t="shared" si="96"/>
        <v>0</v>
      </c>
      <c r="AG123" s="1373">
        <f t="shared" si="96"/>
        <v>0</v>
      </c>
      <c r="AH123" s="300"/>
      <c r="AI123" s="1376">
        <f t="shared" ref="AI123:AJ123" si="97">SUM(AI124:AI127)</f>
        <v>0</v>
      </c>
      <c r="AJ123" s="336">
        <f t="shared" si="97"/>
        <v>0</v>
      </c>
      <c r="AK123" s="300"/>
      <c r="AL123" s="1347"/>
      <c r="AM123" s="1347"/>
      <c r="AN123" s="1347"/>
      <c r="AO123" s="1347"/>
      <c r="AP123" s="1347"/>
      <c r="AQ123" s="1347"/>
      <c r="AR123" s="1347"/>
      <c r="AS123" s="1347"/>
      <c r="AT123" s="1347"/>
      <c r="AU123" s="1347"/>
      <c r="AV123" s="1347"/>
      <c r="AW123" s="1374"/>
      <c r="AX123" s="1374"/>
      <c r="AY123" s="1374"/>
      <c r="AZ123" s="1374"/>
      <c r="BA123" s="1374"/>
      <c r="BB123" s="1374"/>
      <c r="BC123" s="1374"/>
      <c r="BD123" s="1374"/>
      <c r="BE123" s="1374"/>
      <c r="BF123" s="1374"/>
      <c r="BG123" s="1374"/>
      <c r="BH123" s="1374"/>
      <c r="BI123" s="1374"/>
      <c r="BJ123" s="1374"/>
      <c r="BK123" s="1374"/>
      <c r="BL123" s="233"/>
      <c r="BM123" s="233"/>
      <c r="BN123" s="233"/>
      <c r="BO123" s="233"/>
      <c r="BP123" s="233"/>
      <c r="BQ123" s="233"/>
      <c r="BR123" s="233"/>
      <c r="BS123" s="233"/>
      <c r="BT123" s="233"/>
      <c r="BU123" s="233"/>
      <c r="BV123" s="233"/>
      <c r="BW123" s="233"/>
      <c r="BX123" s="233"/>
      <c r="BY123" s="233"/>
      <c r="BZ123" s="233"/>
      <c r="CA123" s="233"/>
      <c r="CB123" s="233"/>
      <c r="CC123" s="233"/>
      <c r="CD123" s="233"/>
      <c r="CE123" s="233"/>
    </row>
    <row r="124" spans="1:83" ht="15.95" customHeight="1" outlineLevel="2">
      <c r="A124" s="74"/>
      <c r="B124" s="109"/>
      <c r="C124" s="296"/>
      <c r="D124" s="636"/>
      <c r="E124" s="633" t="s">
        <v>206</v>
      </c>
      <c r="F124" s="76" t="s">
        <v>129</v>
      </c>
      <c r="G124" s="105"/>
      <c r="H124" s="65"/>
      <c r="I124" s="1326">
        <v>0</v>
      </c>
      <c r="J124" s="1214">
        <f>TVAN</f>
        <v>8.5000000000000006E-2</v>
      </c>
      <c r="K124" s="1327">
        <f>I124*J124</f>
        <v>0</v>
      </c>
      <c r="L124" s="1215">
        <f>I124+K124</f>
        <v>0</v>
      </c>
      <c r="M124" s="1194">
        <f>I124/$G$5</f>
        <v>0</v>
      </c>
      <c r="N124" s="1195">
        <f>I124/$G$2</f>
        <v>0</v>
      </c>
      <c r="O124" s="1189"/>
      <c r="P124" s="1512">
        <f>M124*$Q$5</f>
        <v>0</v>
      </c>
      <c r="Q124" s="1510">
        <f>P124*J124</f>
        <v>0</v>
      </c>
      <c r="R124" s="1511">
        <f>P124+Q124</f>
        <v>0</v>
      </c>
      <c r="S124" s="1189"/>
      <c r="T124" s="1652">
        <f>M124*$U$5</f>
        <v>0</v>
      </c>
      <c r="U124" s="1649">
        <f>T124*J124</f>
        <v>0</v>
      </c>
      <c r="V124" s="1650">
        <f>T124+U124</f>
        <v>0</v>
      </c>
      <c r="W124" s="1651"/>
      <c r="X124" s="1652">
        <f>M124*$Y$5</f>
        <v>0</v>
      </c>
      <c r="Y124" s="1649">
        <f>X124*J124</f>
        <v>0</v>
      </c>
      <c r="Z124" s="1650">
        <f>X124+Y124</f>
        <v>0</v>
      </c>
      <c r="AA124" s="1243"/>
      <c r="AB124" s="303">
        <f>I124-(P124+T124+X124)</f>
        <v>0</v>
      </c>
      <c r="AC124" s="1261"/>
      <c r="AD124" s="227"/>
      <c r="AE124" s="310"/>
      <c r="AF124" s="305">
        <f>AE124*J124</f>
        <v>0</v>
      </c>
      <c r="AG124" s="312">
        <f>AF124+AE124</f>
        <v>0</v>
      </c>
      <c r="AH124" s="227"/>
      <c r="AI124" s="1198">
        <f t="shared" si="72"/>
        <v>0</v>
      </c>
      <c r="AJ124" s="308">
        <f>I124-AE124</f>
        <v>0</v>
      </c>
      <c r="AK124" s="227"/>
    </row>
    <row r="125" spans="1:83" s="89" customFormat="1" ht="15.95" customHeight="1" outlineLevel="2">
      <c r="A125" s="74"/>
      <c r="B125" s="109"/>
      <c r="C125" s="296"/>
      <c r="D125" s="636"/>
      <c r="E125" s="633" t="s">
        <v>206</v>
      </c>
      <c r="F125" s="1814" t="s">
        <v>585</v>
      </c>
      <c r="G125" s="105"/>
      <c r="H125" s="65"/>
      <c r="I125" s="1322">
        <v>0</v>
      </c>
      <c r="J125" s="1181">
        <f>TVAN</f>
        <v>8.5000000000000006E-2</v>
      </c>
      <c r="K125" s="1323">
        <f>I125*J125</f>
        <v>0</v>
      </c>
      <c r="L125" s="1220">
        <f>I125+K125</f>
        <v>0</v>
      </c>
      <c r="M125" s="1221">
        <f>I125/$G$5</f>
        <v>0</v>
      </c>
      <c r="N125" s="1222">
        <f>I125/$G$2</f>
        <v>0</v>
      </c>
      <c r="O125" s="1189"/>
      <c r="P125" s="1512">
        <f>M125*$Q$5</f>
        <v>0</v>
      </c>
      <c r="Q125" s="1513">
        <f>P125*J125</f>
        <v>0</v>
      </c>
      <c r="R125" s="1514">
        <f>P125+Q125</f>
        <v>0</v>
      </c>
      <c r="S125" s="1189"/>
      <c r="T125" s="1652">
        <f>M125*$U$5</f>
        <v>0</v>
      </c>
      <c r="U125" s="1653">
        <f>T125*J125</f>
        <v>0</v>
      </c>
      <c r="V125" s="1654">
        <f>T125+U125</f>
        <v>0</v>
      </c>
      <c r="W125" s="1651"/>
      <c r="X125" s="1652">
        <f>M125*$Y$5</f>
        <v>0</v>
      </c>
      <c r="Y125" s="1653">
        <f>X125*J125</f>
        <v>0</v>
      </c>
      <c r="Z125" s="1654">
        <f>X125+Y125</f>
        <v>0</v>
      </c>
      <c r="AA125" s="1243"/>
      <c r="AB125" s="309">
        <f>I125-(P125+T125+X125)</f>
        <v>0</v>
      </c>
      <c r="AC125" s="1261"/>
      <c r="AD125" s="227"/>
      <c r="AE125" s="310"/>
      <c r="AF125" s="311">
        <f>AE125*J125</f>
        <v>0</v>
      </c>
      <c r="AG125" s="312">
        <f>AF125+AE125</f>
        <v>0</v>
      </c>
      <c r="AH125" s="227"/>
      <c r="AI125" s="1209">
        <f t="shared" ref="AI125" si="98">I125-AC125</f>
        <v>0</v>
      </c>
      <c r="AJ125" s="329">
        <f>I125-AE125</f>
        <v>0</v>
      </c>
      <c r="AK125" s="227"/>
      <c r="AL125" s="383"/>
      <c r="AM125" s="383"/>
      <c r="AN125" s="383"/>
      <c r="AO125" s="383"/>
      <c r="AP125" s="383"/>
      <c r="AQ125" s="383"/>
      <c r="AR125" s="383"/>
      <c r="AS125" s="383"/>
      <c r="AT125" s="383"/>
      <c r="AU125" s="383"/>
      <c r="AV125" s="383"/>
      <c r="AW125" s="383"/>
      <c r="AX125" s="383"/>
      <c r="AY125" s="383"/>
      <c r="AZ125" s="383"/>
      <c r="BA125" s="383"/>
      <c r="BB125" s="383"/>
      <c r="BC125" s="383"/>
      <c r="BD125" s="383"/>
      <c r="BE125" s="383"/>
      <c r="BF125" s="383"/>
      <c r="BG125" s="383"/>
      <c r="BH125" s="383"/>
      <c r="BI125" s="383"/>
      <c r="BJ125" s="383"/>
      <c r="BK125" s="383"/>
    </row>
    <row r="126" spans="1:83" ht="15.95" customHeight="1" outlineLevel="2">
      <c r="A126" s="74"/>
      <c r="B126" s="109"/>
      <c r="C126" s="296"/>
      <c r="D126" s="636"/>
      <c r="E126" s="633" t="s">
        <v>207</v>
      </c>
      <c r="F126" s="63" t="s">
        <v>131</v>
      </c>
      <c r="G126" s="106"/>
      <c r="H126" s="65"/>
      <c r="I126" s="1330">
        <v>0</v>
      </c>
      <c r="J126" s="1181">
        <f>TVAN</f>
        <v>8.5000000000000006E-2</v>
      </c>
      <c r="K126" s="1323">
        <f>I126*J126</f>
        <v>0</v>
      </c>
      <c r="L126" s="1220">
        <f>I126+K126</f>
        <v>0</v>
      </c>
      <c r="M126" s="1221">
        <f>I126/$G$5</f>
        <v>0</v>
      </c>
      <c r="N126" s="1222">
        <f>I126/$G$2</f>
        <v>0</v>
      </c>
      <c r="O126" s="1189"/>
      <c r="P126" s="1512">
        <f>M126*$Q$5</f>
        <v>0</v>
      </c>
      <c r="Q126" s="1513">
        <f>P126*J126</f>
        <v>0</v>
      </c>
      <c r="R126" s="1514">
        <f>P126+Q126</f>
        <v>0</v>
      </c>
      <c r="S126" s="1189"/>
      <c r="T126" s="1652">
        <f>M126*$U$5</f>
        <v>0</v>
      </c>
      <c r="U126" s="1653">
        <f>T126*J126</f>
        <v>0</v>
      </c>
      <c r="V126" s="1654">
        <f>T126+U126</f>
        <v>0</v>
      </c>
      <c r="W126" s="1651"/>
      <c r="X126" s="1652">
        <f>M126*$Y$5</f>
        <v>0</v>
      </c>
      <c r="Y126" s="1653">
        <f>X126*J126</f>
        <v>0</v>
      </c>
      <c r="Z126" s="1654">
        <f>X126+Y126</f>
        <v>0</v>
      </c>
      <c r="AA126" s="1243"/>
      <c r="AB126" s="309">
        <f>I126-(P126+T126+X126)</f>
        <v>0</v>
      </c>
      <c r="AC126" s="1261"/>
      <c r="AD126" s="227"/>
      <c r="AE126" s="310"/>
      <c r="AF126" s="311">
        <f>AE126*J126</f>
        <v>0</v>
      </c>
      <c r="AG126" s="312">
        <f>AF126+AE126</f>
        <v>0</v>
      </c>
      <c r="AH126" s="227"/>
      <c r="AI126" s="1209">
        <f t="shared" si="72"/>
        <v>0</v>
      </c>
      <c r="AJ126" s="314">
        <f>I126-AE126</f>
        <v>0</v>
      </c>
      <c r="AK126" s="227"/>
    </row>
    <row r="127" spans="1:83" s="1190" customFormat="1" ht="15.95" customHeight="1" outlineLevel="2">
      <c r="A127" s="1200"/>
      <c r="B127" s="2246"/>
      <c r="C127" s="2229"/>
      <c r="D127" s="2247"/>
      <c r="E127" s="2248" t="s">
        <v>208</v>
      </c>
      <c r="F127" s="1211" t="s">
        <v>133</v>
      </c>
      <c r="G127" s="2249"/>
      <c r="H127" s="627"/>
      <c r="I127" s="1324">
        <v>0</v>
      </c>
      <c r="J127" s="1204">
        <f>TVAN</f>
        <v>8.5000000000000006E-2</v>
      </c>
      <c r="K127" s="1325">
        <f>I127*J127</f>
        <v>0</v>
      </c>
      <c r="L127" s="1205">
        <f>I127+K127</f>
        <v>0</v>
      </c>
      <c r="M127" s="1221">
        <f>I127/$G$5</f>
        <v>0</v>
      </c>
      <c r="N127" s="1222">
        <f>I127/$G$2</f>
        <v>0</v>
      </c>
      <c r="O127" s="1189"/>
      <c r="P127" s="1512">
        <f>M127*$Q$5</f>
        <v>0</v>
      </c>
      <c r="Q127" s="1518">
        <f>P127*J127</f>
        <v>0</v>
      </c>
      <c r="R127" s="1517">
        <f>P127+Q127</f>
        <v>0</v>
      </c>
      <c r="S127" s="1189"/>
      <c r="T127" s="1652">
        <f>M127*$U$5</f>
        <v>0</v>
      </c>
      <c r="U127" s="1656">
        <f>T127*J127</f>
        <v>0</v>
      </c>
      <c r="V127" s="1657">
        <f>T127+U127</f>
        <v>0</v>
      </c>
      <c r="W127" s="1651"/>
      <c r="X127" s="1652">
        <f>M127*$Y$5</f>
        <v>0</v>
      </c>
      <c r="Y127" s="1656">
        <f>X127*J127</f>
        <v>0</v>
      </c>
      <c r="Z127" s="1657">
        <f>X127+Y127</f>
        <v>0</v>
      </c>
      <c r="AA127" s="1249"/>
      <c r="AB127" s="1208">
        <f>I127-(P127+T127+X127)</f>
        <v>0</v>
      </c>
      <c r="AC127" s="1264"/>
      <c r="AD127" s="1216"/>
      <c r="AE127" s="1227"/>
      <c r="AF127" s="317">
        <f>AE127*J127</f>
        <v>0</v>
      </c>
      <c r="AG127" s="1230">
        <f>AF127+AE127</f>
        <v>0</v>
      </c>
      <c r="AH127" s="1216"/>
      <c r="AI127" s="1209">
        <f t="shared" si="72"/>
        <v>0</v>
      </c>
      <c r="AJ127" s="1231">
        <f>I127-AE127</f>
        <v>0</v>
      </c>
      <c r="AK127" s="1216"/>
      <c r="AL127" s="974"/>
      <c r="AM127" s="974"/>
      <c r="AN127" s="974"/>
      <c r="AO127" s="974"/>
      <c r="AP127" s="974"/>
      <c r="AQ127" s="974"/>
      <c r="AR127" s="974"/>
      <c r="AS127" s="974"/>
      <c r="AT127" s="974"/>
      <c r="AU127" s="974"/>
      <c r="AV127" s="974"/>
      <c r="AW127" s="974"/>
      <c r="AX127" s="974"/>
      <c r="AY127" s="974"/>
      <c r="AZ127" s="974"/>
      <c r="BA127" s="974"/>
      <c r="BB127" s="974"/>
      <c r="BC127" s="974"/>
      <c r="BD127" s="974"/>
      <c r="BE127" s="974"/>
      <c r="BF127" s="974"/>
      <c r="BG127" s="974"/>
      <c r="BH127" s="974"/>
      <c r="BI127" s="974"/>
      <c r="BJ127" s="974"/>
      <c r="BK127" s="974"/>
    </row>
    <row r="128" spans="1:83" s="88" customFormat="1" ht="15.75" customHeight="1" outlineLevel="1">
      <c r="A128" s="236"/>
      <c r="B128" s="229" t="s">
        <v>209</v>
      </c>
      <c r="C128" s="419"/>
      <c r="D128" s="640" t="s">
        <v>210</v>
      </c>
      <c r="E128" s="1439"/>
      <c r="F128" s="230" t="s">
        <v>374</v>
      </c>
      <c r="G128" s="231"/>
      <c r="H128" s="1448"/>
      <c r="I128" s="1443">
        <f>SUM(I129:I130)</f>
        <v>0</v>
      </c>
      <c r="J128" s="1446"/>
      <c r="K128" s="1412">
        <f>SUM(K129:K130)</f>
        <v>0</v>
      </c>
      <c r="L128" s="1413">
        <f>SUM(L129:L130)</f>
        <v>0</v>
      </c>
      <c r="M128" s="1414">
        <f>SUM(M129:M130)</f>
        <v>0</v>
      </c>
      <c r="N128" s="1413">
        <f>SUM(N129:N130)</f>
        <v>0</v>
      </c>
      <c r="O128" s="300"/>
      <c r="P128" s="1564">
        <f>SUM(P129:P130)</f>
        <v>0</v>
      </c>
      <c r="Q128" s="1560">
        <f>SUM(Q129:Q130)</f>
        <v>0</v>
      </c>
      <c r="R128" s="1561">
        <f>SUM(R129:R130)</f>
        <v>0</v>
      </c>
      <c r="S128" s="1369"/>
      <c r="T128" s="1706">
        <f>SUM(T129:T130)</f>
        <v>0</v>
      </c>
      <c r="U128" s="1703">
        <f>SUM(U129:U130)</f>
        <v>0</v>
      </c>
      <c r="V128" s="1704">
        <f>SUM(V129:V130)</f>
        <v>0</v>
      </c>
      <c r="W128" s="1705"/>
      <c r="X128" s="1706">
        <f>SUM(X129:X130)</f>
        <v>0</v>
      </c>
      <c r="Y128" s="1703">
        <f>SUM(Y129:Y130)</f>
        <v>0</v>
      </c>
      <c r="Z128" s="1704">
        <f>SUM(Z129:Z130)</f>
        <v>0</v>
      </c>
      <c r="AA128" s="1370"/>
      <c r="AB128" s="452">
        <f>SUM(AB129:AB130)</f>
        <v>0</v>
      </c>
      <c r="AC128" s="1352">
        <f>SUM(AC129:AC130)</f>
        <v>0</v>
      </c>
      <c r="AD128" s="300"/>
      <c r="AE128" s="1346">
        <f t="shared" ref="AE128:AG128" si="99">SUM(AE129:AE130)</f>
        <v>0</v>
      </c>
      <c r="AF128" s="1449">
        <f t="shared" si="99"/>
        <v>0</v>
      </c>
      <c r="AG128" s="1352">
        <f t="shared" si="99"/>
        <v>0</v>
      </c>
      <c r="AH128" s="300"/>
      <c r="AI128" s="1447">
        <f t="shared" ref="AI128:AJ128" si="100">SUM(AI129:AI130)</f>
        <v>0</v>
      </c>
      <c r="AJ128" s="1353">
        <f t="shared" si="100"/>
        <v>0</v>
      </c>
      <c r="AK128" s="300"/>
      <c r="AL128" s="1347"/>
      <c r="AM128" s="1347"/>
      <c r="AN128" s="1347"/>
      <c r="AO128" s="1347"/>
      <c r="AP128" s="1347"/>
      <c r="AQ128" s="1347"/>
      <c r="AR128" s="1347"/>
      <c r="AS128" s="1347"/>
      <c r="AT128" s="1347"/>
      <c r="AU128" s="1347"/>
      <c r="AV128" s="1347"/>
      <c r="AW128" s="1374"/>
      <c r="AX128" s="1374"/>
      <c r="AY128" s="1374"/>
      <c r="AZ128" s="1374"/>
      <c r="BA128" s="1374"/>
      <c r="BB128" s="1374"/>
      <c r="BC128" s="1374"/>
      <c r="BD128" s="1374"/>
      <c r="BE128" s="1374"/>
      <c r="BF128" s="1374"/>
      <c r="BG128" s="1374"/>
      <c r="BH128" s="1374"/>
      <c r="BI128" s="1374"/>
      <c r="BJ128" s="1374"/>
      <c r="BK128" s="1374"/>
      <c r="BL128" s="233"/>
      <c r="BM128" s="233"/>
      <c r="BN128" s="233"/>
      <c r="BO128" s="233"/>
      <c r="BP128" s="233"/>
      <c r="BQ128" s="233"/>
      <c r="BR128" s="233"/>
      <c r="BS128" s="233"/>
      <c r="BT128" s="233"/>
      <c r="BU128" s="233"/>
      <c r="BV128" s="233"/>
      <c r="BW128" s="233"/>
      <c r="BX128" s="233"/>
      <c r="BY128" s="233"/>
      <c r="BZ128" s="233"/>
      <c r="CA128" s="233"/>
      <c r="CB128" s="233"/>
      <c r="CC128" s="233"/>
      <c r="CD128" s="233"/>
      <c r="CE128" s="233"/>
    </row>
    <row r="129" spans="1:83" ht="15.95" customHeight="1" outlineLevel="2">
      <c r="A129" s="109"/>
      <c r="B129" s="109"/>
      <c r="C129" s="296"/>
      <c r="D129" s="636"/>
      <c r="E129" s="633"/>
      <c r="F129" s="2250" t="s">
        <v>134</v>
      </c>
      <c r="G129" s="2251"/>
      <c r="H129" s="2252">
        <f>2.5%</f>
        <v>2.5000000000000001E-2</v>
      </c>
      <c r="I129" s="1321">
        <f>(I40+I77)*H129</f>
        <v>0</v>
      </c>
      <c r="J129" s="1214">
        <f>TVAN</f>
        <v>8.5000000000000006E-2</v>
      </c>
      <c r="K129" s="1327">
        <f>I129*J129</f>
        <v>0</v>
      </c>
      <c r="L129" s="1215">
        <f>I129+K129</f>
        <v>0</v>
      </c>
      <c r="M129" s="1194">
        <f>I129/$G$5</f>
        <v>0</v>
      </c>
      <c r="N129" s="1195">
        <f>I129/$G$2</f>
        <v>0</v>
      </c>
      <c r="O129" s="1189"/>
      <c r="P129" s="1512">
        <f t="shared" ref="P129:P130" si="101">M129*$Q$5</f>
        <v>0</v>
      </c>
      <c r="Q129" s="1510">
        <f>P129*J129</f>
        <v>0</v>
      </c>
      <c r="R129" s="1511">
        <f>P129+Q129</f>
        <v>0</v>
      </c>
      <c r="S129" s="1189"/>
      <c r="T129" s="1652">
        <f>M129*$U$5</f>
        <v>0</v>
      </c>
      <c r="U129" s="1649">
        <f>T129*J129</f>
        <v>0</v>
      </c>
      <c r="V129" s="1650">
        <f>T129+U129</f>
        <v>0</v>
      </c>
      <c r="W129" s="1651"/>
      <c r="X129" s="1652">
        <f>M129*$Y$5</f>
        <v>0</v>
      </c>
      <c r="Y129" s="1649">
        <f>X129*J129</f>
        <v>0</v>
      </c>
      <c r="Z129" s="1650">
        <f>X129+Y129</f>
        <v>0</v>
      </c>
      <c r="AA129" s="1243"/>
      <c r="AB129" s="303">
        <f>I129-(P129+T129+X129)</f>
        <v>0</v>
      </c>
      <c r="AC129" s="1265"/>
      <c r="AD129" s="227"/>
      <c r="AE129" s="304"/>
      <c r="AF129" s="305">
        <f>AE129*J129</f>
        <v>0</v>
      </c>
      <c r="AG129" s="306">
        <f>AF129+AE129</f>
        <v>0</v>
      </c>
      <c r="AH129" s="227"/>
      <c r="AI129" s="1198">
        <f t="shared" si="72"/>
        <v>0</v>
      </c>
      <c r="AJ129" s="326">
        <f>I129-AE129</f>
        <v>0</v>
      </c>
      <c r="AK129" s="227"/>
    </row>
    <row r="130" spans="1:83" ht="15.95" customHeight="1" outlineLevel="2">
      <c r="A130" s="109"/>
      <c r="B130" s="109"/>
      <c r="C130" s="296"/>
      <c r="D130" s="636"/>
      <c r="E130" s="633"/>
      <c r="F130" s="2250" t="s">
        <v>1043</v>
      </c>
      <c r="G130" s="2251"/>
      <c r="H130" s="2252"/>
      <c r="I130" s="1336"/>
      <c r="J130" s="1204">
        <f>TVAN</f>
        <v>8.5000000000000006E-2</v>
      </c>
      <c r="K130" s="1325">
        <f>I130*J130</f>
        <v>0</v>
      </c>
      <c r="L130" s="1205">
        <f>I130+K130</f>
        <v>0</v>
      </c>
      <c r="M130" s="1206">
        <f>I130/$G$5</f>
        <v>0</v>
      </c>
      <c r="N130" s="1207">
        <f>I130/$G$2</f>
        <v>0</v>
      </c>
      <c r="O130" s="1189"/>
      <c r="P130" s="1515">
        <f t="shared" si="101"/>
        <v>0</v>
      </c>
      <c r="Q130" s="1565">
        <f>P130*J130</f>
        <v>0</v>
      </c>
      <c r="R130" s="1517">
        <f>P130+Q130</f>
        <v>0</v>
      </c>
      <c r="S130" s="1189"/>
      <c r="T130" s="1655">
        <f>M130*$U$5</f>
        <v>0</v>
      </c>
      <c r="U130" s="1656">
        <f>T130*J130</f>
        <v>0</v>
      </c>
      <c r="V130" s="1657">
        <f>T130+U130</f>
        <v>0</v>
      </c>
      <c r="W130" s="1651"/>
      <c r="X130" s="1655">
        <f>M130*$Y$5</f>
        <v>0</v>
      </c>
      <c r="Y130" s="1656">
        <f>X130*J130</f>
        <v>0</v>
      </c>
      <c r="Z130" s="1657">
        <f>X130+Y130</f>
        <v>0</v>
      </c>
      <c r="AA130" s="1243"/>
      <c r="AB130" s="315">
        <f>I130-(P130+T130+X130)</f>
        <v>0</v>
      </c>
      <c r="AC130" s="1262"/>
      <c r="AD130" s="227"/>
      <c r="AE130" s="316"/>
      <c r="AF130" s="317">
        <f>AE130*J130</f>
        <v>0</v>
      </c>
      <c r="AG130" s="318">
        <f>AF130+AE130</f>
        <v>0</v>
      </c>
      <c r="AH130" s="227"/>
      <c r="AI130" s="1209">
        <f t="shared" si="72"/>
        <v>0</v>
      </c>
      <c r="AJ130" s="329">
        <f>I130-AE130</f>
        <v>0</v>
      </c>
      <c r="AK130" s="227"/>
    </row>
    <row r="131" spans="1:83" ht="15.95" customHeight="1" outlineLevel="1">
      <c r="A131" s="109"/>
      <c r="B131" s="111"/>
      <c r="C131" s="339"/>
      <c r="D131" s="637"/>
      <c r="E131" s="633"/>
      <c r="F131" s="107"/>
      <c r="G131" s="108"/>
      <c r="H131" s="120"/>
      <c r="I131" s="659"/>
      <c r="J131" s="235"/>
      <c r="K131" s="298"/>
      <c r="L131" s="83"/>
      <c r="M131" s="90"/>
      <c r="N131" s="344"/>
      <c r="O131" s="227"/>
      <c r="P131" s="1524"/>
      <c r="Q131" s="1525"/>
      <c r="R131" s="1526"/>
      <c r="S131" s="278"/>
      <c r="T131" s="1659"/>
      <c r="U131" s="1660"/>
      <c r="V131" s="1661"/>
      <c r="W131" s="1637"/>
      <c r="X131" s="1659"/>
      <c r="Y131" s="1660"/>
      <c r="Z131" s="1661"/>
      <c r="AA131" s="1243"/>
      <c r="AB131" s="73"/>
      <c r="AC131" s="443"/>
      <c r="AD131" s="227"/>
      <c r="AE131" s="442"/>
      <c r="AF131" s="384"/>
      <c r="AG131" s="443"/>
      <c r="AH131" s="227"/>
      <c r="AI131" s="440">
        <f>SUM(AI132:AI134)</f>
        <v>26305.844315260721</v>
      </c>
      <c r="AJ131" s="444">
        <f>G131-AE131</f>
        <v>0</v>
      </c>
      <c r="AK131" s="227"/>
    </row>
    <row r="132" spans="1:83" s="32" customFormat="1" ht="15.95" customHeight="1" outlineLevel="1">
      <c r="A132" s="94" t="s">
        <v>211</v>
      </c>
      <c r="B132" s="111" t="s">
        <v>212</v>
      </c>
      <c r="C132" s="445"/>
      <c r="D132" s="638"/>
      <c r="E132" s="639"/>
      <c r="F132" s="3467" t="s">
        <v>350</v>
      </c>
      <c r="G132" s="3468"/>
      <c r="H132" s="446" t="s">
        <v>137</v>
      </c>
      <c r="I132" s="661"/>
      <c r="J132" s="239">
        <f>TVAN</f>
        <v>8.5000000000000006E-2</v>
      </c>
      <c r="K132" s="353">
        <f>I132*J132</f>
        <v>0</v>
      </c>
      <c r="L132" s="447">
        <f>I132+K132</f>
        <v>0</v>
      </c>
      <c r="M132" s="67">
        <f>I132/$G$5</f>
        <v>0</v>
      </c>
      <c r="N132" s="302">
        <f>I132/$G$2</f>
        <v>0</v>
      </c>
      <c r="O132" s="227"/>
      <c r="P132" s="1527">
        <f>M132*$Q$5</f>
        <v>0</v>
      </c>
      <c r="Q132" s="1528">
        <f>P132*J132</f>
        <v>0</v>
      </c>
      <c r="R132" s="1566">
        <f>P132+Q132</f>
        <v>0</v>
      </c>
      <c r="S132" s="278"/>
      <c r="T132" s="1662">
        <f>M132*$U$5</f>
        <v>0</v>
      </c>
      <c r="U132" s="1663">
        <f>T132*J132</f>
        <v>0</v>
      </c>
      <c r="V132" s="1707">
        <f>T132+U132</f>
        <v>0</v>
      </c>
      <c r="W132" s="1637"/>
      <c r="X132" s="1662">
        <f>M132*$Y$5</f>
        <v>0</v>
      </c>
      <c r="Y132" s="1663">
        <f>X132*J132</f>
        <v>0</v>
      </c>
      <c r="Z132" s="1707">
        <f>X132+Y132</f>
        <v>0</v>
      </c>
      <c r="AA132" s="1243"/>
      <c r="AB132" s="303">
        <f>I132-(P132+T132+X132)</f>
        <v>0</v>
      </c>
      <c r="AC132" s="1266"/>
      <c r="AD132" s="227"/>
      <c r="AE132" s="87"/>
      <c r="AF132" s="317">
        <f>AE132*J132</f>
        <v>0</v>
      </c>
      <c r="AG132" s="448">
        <f>AF132+AE132</f>
        <v>0</v>
      </c>
      <c r="AH132" s="227"/>
      <c r="AI132" s="1314">
        <f>I132-AC132</f>
        <v>0</v>
      </c>
      <c r="AJ132" s="358">
        <f>I132-AE132</f>
        <v>0</v>
      </c>
      <c r="AK132" s="240"/>
      <c r="AL132" s="255"/>
      <c r="AM132" s="255"/>
      <c r="AN132" s="255"/>
      <c r="AO132" s="255"/>
      <c r="AP132" s="255"/>
      <c r="AQ132" s="255"/>
      <c r="AR132" s="255"/>
      <c r="AS132" s="255"/>
      <c r="AT132" s="255"/>
      <c r="AU132" s="255"/>
      <c r="AV132" s="255"/>
      <c r="AW132" s="255"/>
      <c r="AX132" s="255"/>
      <c r="AY132" s="255"/>
      <c r="AZ132" s="255"/>
      <c r="BA132" s="255"/>
      <c r="BB132" s="255"/>
      <c r="BC132" s="255"/>
      <c r="BD132" s="255"/>
      <c r="BE132" s="255"/>
      <c r="BF132" s="255"/>
      <c r="BG132" s="255"/>
      <c r="BH132" s="255"/>
      <c r="BI132" s="255"/>
      <c r="BJ132" s="255"/>
      <c r="BK132" s="255"/>
    </row>
    <row r="133" spans="1:83" s="52" customFormat="1" ht="15.95" customHeight="1">
      <c r="A133" s="92"/>
      <c r="B133" s="43" t="s">
        <v>213</v>
      </c>
      <c r="C133" s="369"/>
      <c r="D133" s="3461">
        <v>490</v>
      </c>
      <c r="E133" s="3462"/>
      <c r="F133" s="44" t="s">
        <v>214</v>
      </c>
      <c r="G133" s="45"/>
      <c r="H133" s="46"/>
      <c r="I133" s="283">
        <f>I134+I137+I141+I148</f>
        <v>153152.92215763035</v>
      </c>
      <c r="J133" s="284"/>
      <c r="K133" s="285">
        <f>K134+K137+K141+K148</f>
        <v>0</v>
      </c>
      <c r="L133" s="286">
        <f>L134+L137+L141+L148</f>
        <v>153152.92215763035</v>
      </c>
      <c r="M133" s="47">
        <f>M134+M137+M141+M148</f>
        <v>29.188664409687508</v>
      </c>
      <c r="N133" s="50">
        <f>N134+N137+N141+N148</f>
        <v>2187.8988879661479</v>
      </c>
      <c r="O133" s="227"/>
      <c r="P133" s="1236">
        <f>P134+P137+P141+P148</f>
        <v>76576.461078815177</v>
      </c>
      <c r="Q133" s="288">
        <f>Q134+Q137+Q141+Q148</f>
        <v>0</v>
      </c>
      <c r="R133" s="289">
        <f>R134+R137+R141+R148</f>
        <v>76576.461078815177</v>
      </c>
      <c r="S133" s="371"/>
      <c r="T133" s="1638">
        <f>T134+T137+T141+T148</f>
        <v>76576.461078815177</v>
      </c>
      <c r="U133" s="1639">
        <f>U134+U137+U141+U148</f>
        <v>0</v>
      </c>
      <c r="V133" s="1640">
        <f>V134+V137+V141+V148</f>
        <v>76576.461078815177</v>
      </c>
      <c r="W133" s="1666"/>
      <c r="X133" s="1642">
        <f>X134+X137+X141+X148</f>
        <v>0</v>
      </c>
      <c r="Y133" s="1639">
        <f>Y134+Y137+Y141+Y148</f>
        <v>0</v>
      </c>
      <c r="Z133" s="1640">
        <f>Z134+Z137+Z141+Z148</f>
        <v>0</v>
      </c>
      <c r="AA133" s="1246"/>
      <c r="AB133" s="47">
        <f>AB134+AB137+AB141+AB147</f>
        <v>0</v>
      </c>
      <c r="AC133" s="1273">
        <f>AC134+AC137+AC141+AC148</f>
        <v>0</v>
      </c>
      <c r="AD133" s="227"/>
      <c r="AE133" s="372">
        <f>AE134+AE137+AE141+AE148</f>
        <v>0</v>
      </c>
      <c r="AF133" s="449">
        <f>AF134+AF137+AF141+AF148</f>
        <v>0</v>
      </c>
      <c r="AG133" s="450">
        <f>AG134+AG137+AG141+AG148</f>
        <v>0</v>
      </c>
      <c r="AH133" s="227"/>
      <c r="AI133" s="451">
        <f>AI134+AI137+AI141+AI148</f>
        <v>13152.922157630361</v>
      </c>
      <c r="AJ133" s="376">
        <f>AJ134+AJ137+AJ141+AJ148</f>
        <v>13152.922157630361</v>
      </c>
      <c r="AK133" s="48"/>
      <c r="AL133" s="295"/>
      <c r="AM133" s="295"/>
      <c r="AN133" s="295"/>
      <c r="AO133" s="295"/>
      <c r="AP133" s="295"/>
      <c r="AQ133" s="295"/>
      <c r="AR133" s="295"/>
      <c r="AS133" s="295"/>
      <c r="AT133" s="295"/>
      <c r="AU133" s="295"/>
      <c r="AV133" s="295"/>
      <c r="AW133" s="255"/>
      <c r="AX133" s="255"/>
      <c r="AY133" s="255"/>
      <c r="AZ133" s="255"/>
      <c r="BA133" s="255"/>
      <c r="BB133" s="255"/>
      <c r="BC133" s="255"/>
      <c r="BD133" s="255"/>
      <c r="BE133" s="255"/>
      <c r="BF133" s="255"/>
      <c r="BG133" s="255"/>
      <c r="BH133" s="255"/>
      <c r="BI133" s="255"/>
      <c r="BJ133" s="255"/>
      <c r="BK133" s="255"/>
      <c r="BL133" s="51"/>
      <c r="BM133" s="51"/>
      <c r="BN133" s="51"/>
      <c r="BO133" s="51"/>
      <c r="BP133" s="51"/>
      <c r="BQ133" s="51"/>
      <c r="BR133" s="51"/>
      <c r="BS133" s="51"/>
      <c r="BT133" s="51"/>
      <c r="BU133" s="51"/>
      <c r="BV133" s="51"/>
      <c r="BW133" s="51"/>
      <c r="BX133" s="51"/>
      <c r="BY133" s="51"/>
      <c r="BZ133" s="51"/>
      <c r="CA133" s="51"/>
      <c r="CB133" s="51"/>
      <c r="CC133" s="51"/>
      <c r="CD133" s="51"/>
      <c r="CE133" s="51"/>
    </row>
    <row r="134" spans="1:83" s="32" customFormat="1" ht="15.75" customHeight="1" outlineLevel="1">
      <c r="A134" s="410" t="s">
        <v>215</v>
      </c>
      <c r="B134" s="411" t="s">
        <v>216</v>
      </c>
      <c r="C134" s="296"/>
      <c r="D134" s="631" t="s">
        <v>217</v>
      </c>
      <c r="E134" s="632"/>
      <c r="F134" s="413" t="s">
        <v>218</v>
      </c>
      <c r="G134" s="414"/>
      <c r="H134" s="1357"/>
      <c r="I134" s="659">
        <f>SUM(I135:I136)</f>
        <v>13152.922157630361</v>
      </c>
      <c r="J134" s="1358"/>
      <c r="K134" s="298">
        <f>SUM(K135:K136)</f>
        <v>0</v>
      </c>
      <c r="L134" s="431">
        <f>SUM(L135:L136)</f>
        <v>13152.922157630361</v>
      </c>
      <c r="M134" s="432">
        <f>SUM(M135:M136)</f>
        <v>2.5067509353212047</v>
      </c>
      <c r="N134" s="1394">
        <f>SUM(N135:N136)</f>
        <v>187.89888796614801</v>
      </c>
      <c r="O134" s="227"/>
      <c r="P134" s="1534">
        <f>SUM(P135:P136)</f>
        <v>6576.4610788151804</v>
      </c>
      <c r="Q134" s="1532">
        <f>SUM(Q135:Q136)</f>
        <v>0</v>
      </c>
      <c r="R134" s="1533">
        <f>SUM(R135:R136)</f>
        <v>6576.4610788151804</v>
      </c>
      <c r="S134" s="1216"/>
      <c r="T134" s="1671">
        <f>SUM(T135:T136)</f>
        <v>6576.4610788151804</v>
      </c>
      <c r="U134" s="1668">
        <f>SUM(U135:U136)</f>
        <v>0</v>
      </c>
      <c r="V134" s="1669">
        <f>SUM(V135:V136)</f>
        <v>6576.4610788151804</v>
      </c>
      <c r="W134" s="1646"/>
      <c r="X134" s="1672">
        <f>SUM(X135:X136)</f>
        <v>0</v>
      </c>
      <c r="Y134" s="1668">
        <f>SUM(Y135:Y136)</f>
        <v>0</v>
      </c>
      <c r="Z134" s="1669">
        <f>SUM(Z135:Z136)</f>
        <v>0</v>
      </c>
      <c r="AA134" s="1249"/>
      <c r="AB134" s="432">
        <f>SUM(AB135:AB136)</f>
        <v>0</v>
      </c>
      <c r="AC134" s="417">
        <f>SUM(AC135:AC136)</f>
        <v>0</v>
      </c>
      <c r="AD134" s="227"/>
      <c r="AE134" s="1350">
        <f t="shared" ref="AE134:AG134" si="102">SUM(AE135:AE136)</f>
        <v>0</v>
      </c>
      <c r="AF134" s="1398">
        <f t="shared" si="102"/>
        <v>0</v>
      </c>
      <c r="AG134" s="1483">
        <f t="shared" si="102"/>
        <v>0</v>
      </c>
      <c r="AH134" s="227"/>
      <c r="AI134" s="1350">
        <f t="shared" ref="AI134:AJ134" si="103">SUM(AI135:AI136)</f>
        <v>13152.922157630361</v>
      </c>
      <c r="AJ134" s="1403">
        <f t="shared" si="103"/>
        <v>13152.922157630361</v>
      </c>
      <c r="AK134" s="227"/>
      <c r="AL134" s="1363"/>
      <c r="AM134" s="1363"/>
      <c r="AN134" s="1363"/>
      <c r="AO134" s="1363"/>
      <c r="AP134" s="1363"/>
      <c r="AQ134" s="1363"/>
      <c r="AR134" s="1363"/>
      <c r="AS134" s="1363"/>
      <c r="AT134" s="1363"/>
      <c r="AU134" s="1363"/>
      <c r="AV134" s="1363"/>
      <c r="AW134" s="649"/>
      <c r="AX134" s="649"/>
      <c r="AY134" s="649"/>
      <c r="AZ134" s="649"/>
      <c r="BA134" s="649"/>
      <c r="BB134" s="649"/>
      <c r="BC134" s="649"/>
      <c r="BD134" s="649"/>
      <c r="BE134" s="649"/>
      <c r="BF134" s="649"/>
      <c r="BG134" s="649"/>
      <c r="BH134" s="649"/>
      <c r="BI134" s="649"/>
      <c r="BJ134" s="649"/>
      <c r="BK134" s="649"/>
      <c r="BL134" s="418"/>
      <c r="BM134" s="418"/>
      <c r="BN134" s="418"/>
      <c r="BO134" s="418"/>
      <c r="BP134" s="418"/>
      <c r="BQ134" s="418"/>
      <c r="BR134" s="418"/>
      <c r="BS134" s="418"/>
      <c r="BT134" s="418"/>
      <c r="BU134" s="418"/>
      <c r="BV134" s="418"/>
      <c r="BW134" s="418"/>
      <c r="BX134" s="418"/>
      <c r="BY134" s="418"/>
      <c r="BZ134" s="418"/>
      <c r="CA134" s="418"/>
      <c r="CB134" s="418"/>
      <c r="CC134" s="418"/>
      <c r="CD134" s="418"/>
      <c r="CE134" s="418"/>
    </row>
    <row r="135" spans="1:83" ht="15.95" customHeight="1" outlineLevel="2">
      <c r="A135" s="74"/>
      <c r="B135" s="70"/>
      <c r="C135" s="296"/>
      <c r="D135" s="635"/>
      <c r="E135" s="633" t="s">
        <v>219</v>
      </c>
      <c r="F135" s="99" t="s">
        <v>220</v>
      </c>
      <c r="G135" s="80"/>
      <c r="H135" s="324">
        <v>0.05</v>
      </c>
      <c r="I135" s="1321">
        <f>P135+T135+X135</f>
        <v>13152.922157630361</v>
      </c>
      <c r="J135" s="1214">
        <f>TVA0</f>
        <v>0</v>
      </c>
      <c r="K135" s="1327">
        <f>I135*J135</f>
        <v>0</v>
      </c>
      <c r="L135" s="1215">
        <f>I135+K135</f>
        <v>13152.922157630361</v>
      </c>
      <c r="M135" s="1194">
        <f>I135/$G$5</f>
        <v>2.5067509353212047</v>
      </c>
      <c r="N135" s="1195">
        <f>I135/$G$2</f>
        <v>187.89888796614801</v>
      </c>
      <c r="O135" s="1189"/>
      <c r="P135" s="1512">
        <f>$H$135*(R8+R39+R76)</f>
        <v>6576.4610788151804</v>
      </c>
      <c r="Q135" s="1510">
        <f>P135*J135</f>
        <v>0</v>
      </c>
      <c r="R135" s="1511">
        <f>P135+Q135</f>
        <v>6576.4610788151804</v>
      </c>
      <c r="S135" s="1189"/>
      <c r="T135" s="1652">
        <f>$H$135*(V8+V39+V76)</f>
        <v>6576.4610788151804</v>
      </c>
      <c r="U135" s="1649">
        <f>T135*J135</f>
        <v>0</v>
      </c>
      <c r="V135" s="1650">
        <f>T135+U135</f>
        <v>6576.4610788151804</v>
      </c>
      <c r="W135" s="1651"/>
      <c r="X135" s="1652">
        <f>$H$135*(Z8+Z39+Z76)</f>
        <v>0</v>
      </c>
      <c r="Y135" s="1649">
        <f>X135*J135</f>
        <v>0</v>
      </c>
      <c r="Z135" s="1650">
        <f>X135+Y135</f>
        <v>0</v>
      </c>
      <c r="AA135" s="1243"/>
      <c r="AB135" s="303">
        <f>I135-(P135+T135+X135)</f>
        <v>0</v>
      </c>
      <c r="AC135" s="1260"/>
      <c r="AD135" s="227"/>
      <c r="AE135" s="304"/>
      <c r="AF135" s="305">
        <f>AE135*J135</f>
        <v>0</v>
      </c>
      <c r="AG135" s="380">
        <f>AF135+AE135</f>
        <v>0</v>
      </c>
      <c r="AH135" s="227"/>
      <c r="AI135" s="1198">
        <f>I135-AC135</f>
        <v>13152.922157630361</v>
      </c>
      <c r="AJ135" s="326">
        <f t="shared" ref="AJ135:AJ146" si="104">I135-AE135</f>
        <v>13152.922157630361</v>
      </c>
      <c r="AK135" s="227"/>
    </row>
    <row r="136" spans="1:83" ht="15.95" customHeight="1" outlineLevel="2">
      <c r="A136" s="74"/>
      <c r="B136" s="70" t="s">
        <v>221</v>
      </c>
      <c r="C136" s="296"/>
      <c r="D136" s="635"/>
      <c r="E136" s="633" t="s">
        <v>222</v>
      </c>
      <c r="F136" s="63" t="s">
        <v>223</v>
      </c>
      <c r="G136" s="80"/>
      <c r="H136" s="647">
        <v>0.02</v>
      </c>
      <c r="I136" s="1324">
        <f>P136+T136+X136</f>
        <v>0</v>
      </c>
      <c r="J136" s="1204">
        <f>TVA0</f>
        <v>0</v>
      </c>
      <c r="K136" s="1325">
        <f>I136*J136</f>
        <v>0</v>
      </c>
      <c r="L136" s="1205">
        <f>I136+K136</f>
        <v>0</v>
      </c>
      <c r="M136" s="1206">
        <f>I136/$G$5</f>
        <v>0</v>
      </c>
      <c r="N136" s="1207">
        <f>I136/$G$2</f>
        <v>0</v>
      </c>
      <c r="O136" s="1189"/>
      <c r="P136" s="1515">
        <v>0</v>
      </c>
      <c r="Q136" s="1565">
        <f>P136*J136</f>
        <v>0</v>
      </c>
      <c r="R136" s="1517">
        <f>P136+Q136</f>
        <v>0</v>
      </c>
      <c r="S136" s="1189"/>
      <c r="T136" s="1655">
        <v>0</v>
      </c>
      <c r="U136" s="1656">
        <f>T136*J136</f>
        <v>0</v>
      </c>
      <c r="V136" s="1657">
        <f>T136+U136</f>
        <v>0</v>
      </c>
      <c r="W136" s="1651"/>
      <c r="X136" s="1655">
        <f>H136*(Z8+Z39+Z76)</f>
        <v>0</v>
      </c>
      <c r="Y136" s="1656">
        <f>X136*J136</f>
        <v>0</v>
      </c>
      <c r="Z136" s="1657">
        <f>X136+Y136</f>
        <v>0</v>
      </c>
      <c r="AA136" s="1243"/>
      <c r="AB136" s="315">
        <f>I136-(P136+T136+X136)</f>
        <v>0</v>
      </c>
      <c r="AC136" s="1262"/>
      <c r="AD136" s="227"/>
      <c r="AE136" s="316"/>
      <c r="AF136" s="317">
        <f>AE136*J136</f>
        <v>0</v>
      </c>
      <c r="AG136" s="318">
        <f>AF136+AE136</f>
        <v>0</v>
      </c>
      <c r="AH136" s="227"/>
      <c r="AI136" s="1228">
        <f>I136-AC136</f>
        <v>0</v>
      </c>
      <c r="AJ136" s="320">
        <f t="shared" si="104"/>
        <v>0</v>
      </c>
      <c r="AK136" s="227"/>
    </row>
    <row r="137" spans="1:83" s="32" customFormat="1" ht="15.75" customHeight="1" outlineLevel="1">
      <c r="A137" s="410" t="s">
        <v>224</v>
      </c>
      <c r="B137" s="411" t="s">
        <v>225</v>
      </c>
      <c r="C137" s="296"/>
      <c r="D137" s="631" t="s">
        <v>226</v>
      </c>
      <c r="E137" s="632"/>
      <c r="F137" s="413" t="s">
        <v>227</v>
      </c>
      <c r="G137" s="414"/>
      <c r="H137" s="1357"/>
      <c r="I137" s="659">
        <f>SUM(I138:I140)</f>
        <v>140000</v>
      </c>
      <c r="J137" s="1358"/>
      <c r="K137" s="298">
        <f>SUM(K138:K140)</f>
        <v>0</v>
      </c>
      <c r="L137" s="431">
        <f>SUM(L138:L140)</f>
        <v>140000</v>
      </c>
      <c r="M137" s="432">
        <f>SUM(M138:M140)</f>
        <v>26.681913474366304</v>
      </c>
      <c r="N137" s="1394">
        <f>SUM(N138:N140)</f>
        <v>2000</v>
      </c>
      <c r="O137" s="227"/>
      <c r="P137" s="1531">
        <f>SUM(P138:P140)</f>
        <v>70000</v>
      </c>
      <c r="Q137" s="1532">
        <f>SUM(Q138:Q140)</f>
        <v>0</v>
      </c>
      <c r="R137" s="1533">
        <f>SUM(R138:R140)</f>
        <v>70000</v>
      </c>
      <c r="S137" s="1216"/>
      <c r="T137" s="1667">
        <f>SUM(T138:T140)</f>
        <v>70000</v>
      </c>
      <c r="U137" s="1668">
        <f>SUM(U138:U140)</f>
        <v>0</v>
      </c>
      <c r="V137" s="1669">
        <f>SUM(V138:V140)</f>
        <v>70000</v>
      </c>
      <c r="W137" s="1646"/>
      <c r="X137" s="1670">
        <f>SUM(X138:X140)</f>
        <v>0</v>
      </c>
      <c r="Y137" s="1668">
        <f>SUM(Y138:Y140)</f>
        <v>0</v>
      </c>
      <c r="Z137" s="1669">
        <f>SUM(Z138:Z140)</f>
        <v>0</v>
      </c>
      <c r="AA137" s="1249"/>
      <c r="AB137" s="432">
        <f>SUM(AB138:AB140)</f>
        <v>0</v>
      </c>
      <c r="AC137" s="417">
        <f>SUM(AC139:AC140)</f>
        <v>0</v>
      </c>
      <c r="AD137" s="227"/>
      <c r="AE137" s="1350">
        <f t="shared" ref="AE137:AG137" si="105">SUM(AE139:AE140)</f>
        <v>0</v>
      </c>
      <c r="AF137" s="1398">
        <f t="shared" si="105"/>
        <v>0</v>
      </c>
      <c r="AG137" s="1483">
        <f t="shared" si="105"/>
        <v>0</v>
      </c>
      <c r="AH137" s="227"/>
      <c r="AI137" s="1350">
        <f t="shared" ref="AI137:AJ137" si="106">SUM(AI139:AI140)</f>
        <v>0</v>
      </c>
      <c r="AJ137" s="1403">
        <f t="shared" si="106"/>
        <v>0</v>
      </c>
      <c r="AK137" s="227"/>
      <c r="AL137" s="1363"/>
      <c r="AM137" s="1363"/>
      <c r="AN137" s="1363"/>
      <c r="AO137" s="1363"/>
      <c r="AP137" s="1363"/>
      <c r="AQ137" s="1363"/>
      <c r="AR137" s="1363"/>
      <c r="AS137" s="1363"/>
      <c r="AT137" s="1363"/>
      <c r="AU137" s="1363"/>
      <c r="AV137" s="1363"/>
      <c r="AW137" s="649"/>
      <c r="AX137" s="649"/>
      <c r="AY137" s="649"/>
      <c r="AZ137" s="649"/>
      <c r="BA137" s="649"/>
      <c r="BB137" s="649"/>
      <c r="BC137" s="649"/>
      <c r="BD137" s="649"/>
      <c r="BE137" s="649"/>
      <c r="BF137" s="649"/>
      <c r="BG137" s="649"/>
      <c r="BH137" s="649"/>
      <c r="BI137" s="649"/>
      <c r="BJ137" s="649"/>
      <c r="BK137" s="649"/>
      <c r="BL137" s="418"/>
      <c r="BM137" s="418"/>
      <c r="BN137" s="418"/>
      <c r="BO137" s="418"/>
      <c r="BP137" s="418"/>
      <c r="BQ137" s="418"/>
      <c r="BR137" s="418"/>
      <c r="BS137" s="418"/>
      <c r="BT137" s="418"/>
      <c r="BU137" s="418"/>
      <c r="BV137" s="418"/>
      <c r="BW137" s="418"/>
      <c r="BX137" s="418"/>
      <c r="BY137" s="418"/>
      <c r="BZ137" s="418"/>
      <c r="CA137" s="418"/>
      <c r="CB137" s="418"/>
      <c r="CC137" s="418"/>
      <c r="CD137" s="418"/>
      <c r="CE137" s="418"/>
    </row>
    <row r="138" spans="1:83" ht="15.95" customHeight="1" outlineLevel="2">
      <c r="A138" s="74"/>
      <c r="B138" s="70"/>
      <c r="C138" s="296"/>
      <c r="D138" s="635"/>
      <c r="E138" s="633" t="s">
        <v>228</v>
      </c>
      <c r="F138" s="99" t="s">
        <v>229</v>
      </c>
      <c r="G138" s="80" t="s">
        <v>230</v>
      </c>
      <c r="H138" s="438">
        <v>2000</v>
      </c>
      <c r="I138" s="1321">
        <f>P138+T138</f>
        <v>140000</v>
      </c>
      <c r="J138" s="1214">
        <f>TVA0</f>
        <v>0</v>
      </c>
      <c r="K138" s="1327">
        <f>I138*J138</f>
        <v>0</v>
      </c>
      <c r="L138" s="1215">
        <f>I138+K138</f>
        <v>140000</v>
      </c>
      <c r="M138" s="1194">
        <f>I138/$G$5</f>
        <v>26.681913474366304</v>
      </c>
      <c r="N138" s="1195">
        <f>I138/$G$2</f>
        <v>2000</v>
      </c>
      <c r="O138" s="1189"/>
      <c r="P138" s="1509">
        <f>H138*Q2</f>
        <v>70000</v>
      </c>
      <c r="Q138" s="1510">
        <f>P138*J138</f>
        <v>0</v>
      </c>
      <c r="R138" s="1511">
        <f>P138+Q138</f>
        <v>70000</v>
      </c>
      <c r="S138" s="1189"/>
      <c r="T138" s="1648">
        <f>H138*U2</f>
        <v>70000</v>
      </c>
      <c r="U138" s="1649">
        <f>T138*J138</f>
        <v>0</v>
      </c>
      <c r="V138" s="1650">
        <f>T138+U138</f>
        <v>70000</v>
      </c>
      <c r="W138" s="1651"/>
      <c r="X138" s="1648">
        <v>0</v>
      </c>
      <c r="Y138" s="1649">
        <f>X138*J138</f>
        <v>0</v>
      </c>
      <c r="Z138" s="1650">
        <f>X138+Y138</f>
        <v>0</v>
      </c>
      <c r="AA138" s="1243"/>
      <c r="AB138" s="303">
        <f>I138-(P138+T138+X138)</f>
        <v>0</v>
      </c>
      <c r="AC138" s="1260"/>
      <c r="AD138" s="227"/>
      <c r="AE138" s="1218"/>
      <c r="AF138" s="311">
        <f>AE138*J138</f>
        <v>0</v>
      </c>
      <c r="AG138" s="1313">
        <f>AF138+AE137</f>
        <v>0</v>
      </c>
      <c r="AH138" s="227"/>
      <c r="AI138" s="1198">
        <f>I138-AC138</f>
        <v>140000</v>
      </c>
      <c r="AJ138" s="308">
        <f t="shared" si="104"/>
        <v>140000</v>
      </c>
      <c r="AK138" s="227"/>
    </row>
    <row r="139" spans="1:83" ht="15.95" customHeight="1" outlineLevel="2">
      <c r="A139" s="74"/>
      <c r="B139" s="70"/>
      <c r="C139" s="296"/>
      <c r="D139" s="635"/>
      <c r="E139" s="633" t="s">
        <v>231</v>
      </c>
      <c r="F139" s="63" t="s">
        <v>232</v>
      </c>
      <c r="G139" s="75"/>
      <c r="H139" s="65"/>
      <c r="I139" s="1322"/>
      <c r="J139" s="1181">
        <f>TVA0</f>
        <v>0</v>
      </c>
      <c r="K139" s="1323">
        <f>I139*J139</f>
        <v>0</v>
      </c>
      <c r="L139" s="1220">
        <f>I139+K139</f>
        <v>0</v>
      </c>
      <c r="M139" s="1221">
        <f>I139/$G$5</f>
        <v>0</v>
      </c>
      <c r="N139" s="1222">
        <f>I139/$G$2</f>
        <v>0</v>
      </c>
      <c r="O139" s="1341"/>
      <c r="P139" s="1512">
        <f>M139*$Q$5</f>
        <v>0</v>
      </c>
      <c r="Q139" s="1518">
        <f>P139*J139</f>
        <v>0</v>
      </c>
      <c r="R139" s="1514">
        <f>P139+Q139</f>
        <v>0</v>
      </c>
      <c r="S139" s="1341"/>
      <c r="T139" s="1652">
        <f>M139*$U$5</f>
        <v>0</v>
      </c>
      <c r="U139" s="1653">
        <f>T139*J139</f>
        <v>0</v>
      </c>
      <c r="V139" s="1654">
        <f>T139+U139</f>
        <v>0</v>
      </c>
      <c r="W139" s="1708"/>
      <c r="X139" s="1652">
        <f>M139*$Y$5</f>
        <v>0</v>
      </c>
      <c r="Y139" s="1653">
        <f>X139*J139</f>
        <v>0</v>
      </c>
      <c r="Z139" s="1654">
        <f>X139+Y139</f>
        <v>0</v>
      </c>
      <c r="AA139" s="1248"/>
      <c r="AB139" s="309">
        <f>I139-(P139+T139+X139)</f>
        <v>0</v>
      </c>
      <c r="AC139" s="1261"/>
      <c r="AD139" s="227"/>
      <c r="AE139" s="1224"/>
      <c r="AF139" s="311">
        <f>AE139*J139</f>
        <v>0</v>
      </c>
      <c r="AG139" s="1225">
        <f>AF139+AE138</f>
        <v>0</v>
      </c>
      <c r="AH139" s="227"/>
      <c r="AI139" s="1209">
        <f>I139-AC139</f>
        <v>0</v>
      </c>
      <c r="AJ139" s="314">
        <f t="shared" si="104"/>
        <v>0</v>
      </c>
      <c r="AK139" s="227"/>
    </row>
    <row r="140" spans="1:83" s="1190" customFormat="1" ht="15.95" customHeight="1" outlineLevel="2">
      <c r="A140" s="1200"/>
      <c r="B140" s="1201"/>
      <c r="C140" s="2229"/>
      <c r="D140" s="2253"/>
      <c r="E140" s="2248" t="s">
        <v>233</v>
      </c>
      <c r="F140" s="648" t="s">
        <v>234</v>
      </c>
      <c r="G140" s="2254" t="s">
        <v>235</v>
      </c>
      <c r="H140" s="2252">
        <v>0</v>
      </c>
      <c r="I140" s="1324">
        <f>(I40+I77+I109+I113+I120+I129+I45)*H140</f>
        <v>0</v>
      </c>
      <c r="J140" s="1204">
        <f>TVA0</f>
        <v>0</v>
      </c>
      <c r="K140" s="1325">
        <f>I140*J140</f>
        <v>0</v>
      </c>
      <c r="L140" s="1205">
        <f>I140+K140</f>
        <v>0</v>
      </c>
      <c r="M140" s="1206">
        <f>I140/$G$5</f>
        <v>0</v>
      </c>
      <c r="N140" s="1207">
        <f>I140/$G$2</f>
        <v>0</v>
      </c>
      <c r="O140" s="1328"/>
      <c r="P140" s="1515">
        <f>M140*$Q$5</f>
        <v>0</v>
      </c>
      <c r="Q140" s="1565">
        <f>P140*J140</f>
        <v>0</v>
      </c>
      <c r="R140" s="1517">
        <f>P140+Q140</f>
        <v>0</v>
      </c>
      <c r="S140" s="1329"/>
      <c r="T140" s="1655">
        <f>M140*$U$5</f>
        <v>0</v>
      </c>
      <c r="U140" s="1656">
        <f>T140*J140</f>
        <v>0</v>
      </c>
      <c r="V140" s="1657">
        <f>T140+U140</f>
        <v>0</v>
      </c>
      <c r="W140" s="1658"/>
      <c r="X140" s="1655">
        <f>M140*$Y$5</f>
        <v>0</v>
      </c>
      <c r="Y140" s="1656">
        <f>X140*J140</f>
        <v>0</v>
      </c>
      <c r="Z140" s="1657">
        <f>X140+Y140</f>
        <v>0</v>
      </c>
      <c r="AA140" s="2255"/>
      <c r="AB140" s="1208">
        <f>I140-(P140+T140+X140)</f>
        <v>0</v>
      </c>
      <c r="AC140" s="1263"/>
      <c r="AD140" s="2256"/>
      <c r="AE140" s="1224"/>
      <c r="AF140" s="317">
        <f>AE140*J140</f>
        <v>0</v>
      </c>
      <c r="AG140" s="2236">
        <f>AF140+AE139</f>
        <v>0</v>
      </c>
      <c r="AH140" s="2256"/>
      <c r="AI140" s="1209">
        <f>I140-AC140</f>
        <v>0</v>
      </c>
      <c r="AJ140" s="1231">
        <f t="shared" si="104"/>
        <v>0</v>
      </c>
      <c r="AK140" s="1216"/>
      <c r="AL140" s="974"/>
      <c r="AM140" s="974"/>
      <c r="AN140" s="974"/>
      <c r="AO140" s="974"/>
      <c r="AP140" s="974"/>
      <c r="AQ140" s="974"/>
      <c r="AR140" s="974"/>
      <c r="AS140" s="974"/>
      <c r="AT140" s="974"/>
      <c r="AU140" s="974"/>
      <c r="AV140" s="974"/>
      <c r="AW140" s="974"/>
      <c r="AX140" s="974"/>
      <c r="AY140" s="974"/>
      <c r="AZ140" s="974"/>
      <c r="BA140" s="974"/>
      <c r="BB140" s="974"/>
      <c r="BC140" s="974"/>
      <c r="BD140" s="974"/>
      <c r="BE140" s="974"/>
      <c r="BF140" s="974"/>
      <c r="BG140" s="974"/>
      <c r="BH140" s="974"/>
      <c r="BI140" s="974"/>
      <c r="BJ140" s="974"/>
      <c r="BK140" s="974"/>
    </row>
    <row r="141" spans="1:83" s="32" customFormat="1" ht="15.75" customHeight="1" outlineLevel="1">
      <c r="A141" s="410" t="s">
        <v>375</v>
      </c>
      <c r="B141" s="411" t="s">
        <v>237</v>
      </c>
      <c r="C141" s="296"/>
      <c r="D141" s="631" t="s">
        <v>238</v>
      </c>
      <c r="E141" s="632"/>
      <c r="F141" s="413" t="s">
        <v>239</v>
      </c>
      <c r="G141" s="414"/>
      <c r="H141" s="1357"/>
      <c r="I141" s="659">
        <f>SUM(I142:I146)</f>
        <v>0</v>
      </c>
      <c r="J141" s="1358"/>
      <c r="K141" s="298">
        <f>SUM(K142:K146)</f>
        <v>0</v>
      </c>
      <c r="L141" s="431">
        <f>SUM(L142:L146)</f>
        <v>0</v>
      </c>
      <c r="M141" s="432">
        <f>SUM(M142:M146)</f>
        <v>0</v>
      </c>
      <c r="N141" s="1394">
        <f>SUM(N142:N146)</f>
        <v>0</v>
      </c>
      <c r="O141" s="227"/>
      <c r="P141" s="1534">
        <f>SUM(P142:P146)</f>
        <v>0</v>
      </c>
      <c r="Q141" s="1532">
        <f>SUM(Q142:Q146)</f>
        <v>0</v>
      </c>
      <c r="R141" s="1533">
        <f>SUM(R142:R146)</f>
        <v>0</v>
      </c>
      <c r="S141" s="1216"/>
      <c r="T141" s="1671">
        <f>SUM(T142:T146)</f>
        <v>0</v>
      </c>
      <c r="U141" s="1668">
        <f>SUM(U142:U146)</f>
        <v>0</v>
      </c>
      <c r="V141" s="1669">
        <f>SUM(V142:V146)</f>
        <v>0</v>
      </c>
      <c r="W141" s="1646"/>
      <c r="X141" s="1672">
        <f>SUM(X142:X146)</f>
        <v>0</v>
      </c>
      <c r="Y141" s="1668">
        <f>SUM(Y142:Y146)</f>
        <v>0</v>
      </c>
      <c r="Z141" s="1669">
        <f>SUM(Z142:Z146)</f>
        <v>0</v>
      </c>
      <c r="AA141" s="1249"/>
      <c r="AB141" s="432">
        <f>SUM(AB142:AB146)</f>
        <v>0</v>
      </c>
      <c r="AC141" s="1364">
        <f>SUM(AC142:AC146)</f>
        <v>0</v>
      </c>
      <c r="AD141" s="227"/>
      <c r="AE141" s="1444">
        <f t="shared" ref="AE141:AG141" si="107">SUM(AE142:AE146)</f>
        <v>0</v>
      </c>
      <c r="AF141" s="1445">
        <f t="shared" si="107"/>
        <v>0</v>
      </c>
      <c r="AG141" s="1364">
        <f t="shared" si="107"/>
        <v>0</v>
      </c>
      <c r="AH141" s="227"/>
      <c r="AI141" s="1444">
        <f t="shared" ref="AI141:AJ141" si="108">SUM(AI142:AI146)</f>
        <v>0</v>
      </c>
      <c r="AJ141" s="1366">
        <f t="shared" si="108"/>
        <v>0</v>
      </c>
      <c r="AK141" s="227"/>
      <c r="AL141" s="1363"/>
      <c r="AM141" s="1363"/>
      <c r="AN141" s="1363"/>
      <c r="AO141" s="1363"/>
      <c r="AP141" s="1363"/>
      <c r="AQ141" s="1363"/>
      <c r="AR141" s="1363"/>
      <c r="AS141" s="1363"/>
      <c r="AT141" s="1363"/>
      <c r="AU141" s="1363"/>
      <c r="AV141" s="1363"/>
      <c r="AW141" s="649"/>
      <c r="AX141" s="649"/>
      <c r="AY141" s="649"/>
      <c r="AZ141" s="649"/>
      <c r="BA141" s="649"/>
      <c r="BB141" s="649"/>
      <c r="BC141" s="649"/>
      <c r="BD141" s="649"/>
      <c r="BE141" s="649"/>
      <c r="BF141" s="649"/>
      <c r="BG141" s="649"/>
      <c r="BH141" s="649"/>
      <c r="BI141" s="649"/>
      <c r="BJ141" s="649"/>
      <c r="BK141" s="649"/>
      <c r="BL141" s="418"/>
      <c r="BM141" s="418"/>
      <c r="BN141" s="418"/>
      <c r="BO141" s="418"/>
      <c r="BP141" s="418"/>
      <c r="BQ141" s="418"/>
      <c r="BR141" s="418"/>
      <c r="BS141" s="418"/>
      <c r="BT141" s="418"/>
      <c r="BU141" s="418"/>
      <c r="BV141" s="418"/>
      <c r="BW141" s="418"/>
      <c r="BX141" s="418"/>
      <c r="BY141" s="418"/>
      <c r="BZ141" s="418"/>
      <c r="CA141" s="418"/>
      <c r="CB141" s="418"/>
      <c r="CC141" s="418"/>
      <c r="CD141" s="418"/>
      <c r="CE141" s="418"/>
    </row>
    <row r="142" spans="1:83" ht="15.95" customHeight="1" outlineLevel="2">
      <c r="A142" s="453"/>
      <c r="B142" s="70"/>
      <c r="C142" s="296"/>
      <c r="D142" s="635"/>
      <c r="E142" s="633" t="s">
        <v>240</v>
      </c>
      <c r="F142" s="63" t="s">
        <v>241</v>
      </c>
      <c r="G142" s="75"/>
      <c r="H142" s="65"/>
      <c r="I142" s="1326"/>
      <c r="J142" s="1214">
        <f>TVAN</f>
        <v>8.5000000000000006E-2</v>
      </c>
      <c r="K142" s="1327">
        <f>I142*J142</f>
        <v>0</v>
      </c>
      <c r="L142" s="1215">
        <f>I142+K142</f>
        <v>0</v>
      </c>
      <c r="M142" s="1194">
        <f>I142/$G$5</f>
        <v>0</v>
      </c>
      <c r="N142" s="1195">
        <f>I142/$G$2</f>
        <v>0</v>
      </c>
      <c r="O142" s="1189"/>
      <c r="P142" s="1512">
        <f>M142*$Q$5</f>
        <v>0</v>
      </c>
      <c r="Q142" s="1510">
        <f>P142*J142</f>
        <v>0</v>
      </c>
      <c r="R142" s="1511">
        <f>P142+Q142</f>
        <v>0</v>
      </c>
      <c r="S142" s="1189"/>
      <c r="T142" s="1652">
        <f>M142*$U$5</f>
        <v>0</v>
      </c>
      <c r="U142" s="1649">
        <f>T142*J142</f>
        <v>0</v>
      </c>
      <c r="V142" s="1650">
        <f>T142+U142</f>
        <v>0</v>
      </c>
      <c r="W142" s="1651"/>
      <c r="X142" s="1652">
        <f>M142*$Y$5</f>
        <v>0</v>
      </c>
      <c r="Y142" s="1649">
        <f>X142*J142</f>
        <v>0</v>
      </c>
      <c r="Z142" s="1650">
        <f>X142+Y142</f>
        <v>0</v>
      </c>
      <c r="AA142" s="1243"/>
      <c r="AB142" s="303">
        <f>I142-(P142+T142+X142)</f>
        <v>0</v>
      </c>
      <c r="AC142" s="1265"/>
      <c r="AD142" s="227"/>
      <c r="AE142" s="304"/>
      <c r="AF142" s="311">
        <f>AE142*J142</f>
        <v>0</v>
      </c>
      <c r="AG142" s="306">
        <f>AF142+AE142</f>
        <v>0</v>
      </c>
      <c r="AH142" s="227"/>
      <c r="AI142" s="1198">
        <f>I142-AC142</f>
        <v>0</v>
      </c>
      <c r="AJ142" s="308">
        <f t="shared" si="104"/>
        <v>0</v>
      </c>
      <c r="AK142" s="227"/>
    </row>
    <row r="143" spans="1:83" ht="15.95" customHeight="1" outlineLevel="2">
      <c r="A143" s="74"/>
      <c r="B143" s="70"/>
      <c r="C143" s="296"/>
      <c r="D143" s="635"/>
      <c r="E143" s="633" t="s">
        <v>242</v>
      </c>
      <c r="F143" s="63" t="s">
        <v>243</v>
      </c>
      <c r="G143" s="75"/>
      <c r="H143" s="65"/>
      <c r="I143" s="1322"/>
      <c r="J143" s="1181">
        <f>TVAN</f>
        <v>8.5000000000000006E-2</v>
      </c>
      <c r="K143" s="1342">
        <f>I143*J143</f>
        <v>0</v>
      </c>
      <c r="L143" s="1220">
        <f>I143+K143</f>
        <v>0</v>
      </c>
      <c r="M143" s="1221">
        <f>I143/$G$5</f>
        <v>0</v>
      </c>
      <c r="N143" s="1222">
        <f>I143/$G$2</f>
        <v>0</v>
      </c>
      <c r="O143" s="1189"/>
      <c r="P143" s="1512">
        <f>M143*$Q$5</f>
        <v>0</v>
      </c>
      <c r="Q143" s="1567">
        <f>P143*J143</f>
        <v>0</v>
      </c>
      <c r="R143" s="1514">
        <f>P143+Q143</f>
        <v>0</v>
      </c>
      <c r="S143" s="1189"/>
      <c r="T143" s="1652">
        <f>M143*$U$5</f>
        <v>0</v>
      </c>
      <c r="U143" s="1709">
        <f>T143*J143</f>
        <v>0</v>
      </c>
      <c r="V143" s="1654">
        <f>T143+U143</f>
        <v>0</v>
      </c>
      <c r="W143" s="1651"/>
      <c r="X143" s="1652">
        <f>M143*$Y$5</f>
        <v>0</v>
      </c>
      <c r="Y143" s="1709">
        <f>X143*J143</f>
        <v>0</v>
      </c>
      <c r="Z143" s="1654">
        <f>X143+Y143</f>
        <v>0</v>
      </c>
      <c r="AA143" s="1243"/>
      <c r="AB143" s="309">
        <f>I143-(P143+T143+X143)</f>
        <v>0</v>
      </c>
      <c r="AC143" s="1261"/>
      <c r="AD143" s="227"/>
      <c r="AE143" s="310"/>
      <c r="AF143" s="311">
        <f>AE143*J143</f>
        <v>0</v>
      </c>
      <c r="AG143" s="381">
        <f>AF143+AE143</f>
        <v>0</v>
      </c>
      <c r="AH143" s="227"/>
      <c r="AI143" s="1209">
        <f>I143-AC143</f>
        <v>0</v>
      </c>
      <c r="AJ143" s="314">
        <f t="shared" si="104"/>
        <v>0</v>
      </c>
      <c r="AK143" s="227"/>
    </row>
    <row r="144" spans="1:83" ht="15.95" customHeight="1" outlineLevel="2">
      <c r="A144" s="74"/>
      <c r="B144" s="70"/>
      <c r="C144" s="296"/>
      <c r="D144" s="635"/>
      <c r="E144" s="633" t="s">
        <v>244</v>
      </c>
      <c r="F144" s="63" t="s">
        <v>245</v>
      </c>
      <c r="G144" s="75"/>
      <c r="H144" s="65"/>
      <c r="I144" s="1322"/>
      <c r="J144" s="1181">
        <f>TVAN</f>
        <v>8.5000000000000006E-2</v>
      </c>
      <c r="K144" s="1323">
        <f>I144*J144</f>
        <v>0</v>
      </c>
      <c r="L144" s="1220">
        <f>I144+K144</f>
        <v>0</v>
      </c>
      <c r="M144" s="1221">
        <f>I144/$G$5</f>
        <v>0</v>
      </c>
      <c r="N144" s="1222">
        <f>I144/$G$2</f>
        <v>0</v>
      </c>
      <c r="O144" s="1189"/>
      <c r="P144" s="1512">
        <f>M144*$Q$5</f>
        <v>0</v>
      </c>
      <c r="Q144" s="1518">
        <f>P144*J144</f>
        <v>0</v>
      </c>
      <c r="R144" s="1514">
        <f>P144+Q144</f>
        <v>0</v>
      </c>
      <c r="S144" s="1189"/>
      <c r="T144" s="1652">
        <f>M144*$U$5</f>
        <v>0</v>
      </c>
      <c r="U144" s="1653">
        <f>T144*J144</f>
        <v>0</v>
      </c>
      <c r="V144" s="1654">
        <f>T144+U144</f>
        <v>0</v>
      </c>
      <c r="W144" s="1651"/>
      <c r="X144" s="1652">
        <f>M144*$Y$5</f>
        <v>0</v>
      </c>
      <c r="Y144" s="1653">
        <f>X144*J144</f>
        <v>0</v>
      </c>
      <c r="Z144" s="1654">
        <f>X144+Y144</f>
        <v>0</v>
      </c>
      <c r="AA144" s="1243"/>
      <c r="AB144" s="309">
        <f>I144-(P144+T144+X144)</f>
        <v>0</v>
      </c>
      <c r="AC144" s="1261"/>
      <c r="AD144" s="227"/>
      <c r="AE144" s="310"/>
      <c r="AF144" s="311">
        <f>AE144*J144</f>
        <v>0</v>
      </c>
      <c r="AG144" s="381">
        <f>AF144+AE144</f>
        <v>0</v>
      </c>
      <c r="AH144" s="227"/>
      <c r="AI144" s="1209">
        <f>I144-AC144</f>
        <v>0</v>
      </c>
      <c r="AJ144" s="314">
        <f t="shared" si="104"/>
        <v>0</v>
      </c>
      <c r="AK144" s="227"/>
    </row>
    <row r="145" spans="1:83" ht="15.95" customHeight="1" outlineLevel="2">
      <c r="A145" s="74"/>
      <c r="B145" s="70"/>
      <c r="C145" s="296"/>
      <c r="D145" s="635"/>
      <c r="E145" s="633" t="s">
        <v>293</v>
      </c>
      <c r="F145" s="63" t="s">
        <v>294</v>
      </c>
      <c r="G145" s="75"/>
      <c r="H145" s="65"/>
      <c r="I145" s="1322"/>
      <c r="J145" s="1181">
        <f>TVAN</f>
        <v>8.5000000000000006E-2</v>
      </c>
      <c r="K145" s="1323">
        <f>I145*J145</f>
        <v>0</v>
      </c>
      <c r="L145" s="1220">
        <f>I145+K145</f>
        <v>0</v>
      </c>
      <c r="M145" s="1221">
        <f>I145/$G$5</f>
        <v>0</v>
      </c>
      <c r="N145" s="1222">
        <f>I145/$G$2</f>
        <v>0</v>
      </c>
      <c r="O145" s="1189"/>
      <c r="P145" s="1512">
        <f>M145*$Q$5</f>
        <v>0</v>
      </c>
      <c r="Q145" s="1518">
        <f>P145*J145</f>
        <v>0</v>
      </c>
      <c r="R145" s="1514">
        <f>P145+Q145</f>
        <v>0</v>
      </c>
      <c r="S145" s="1189"/>
      <c r="T145" s="1652">
        <f>M145*$U$5</f>
        <v>0</v>
      </c>
      <c r="U145" s="1653">
        <f>T145*J145</f>
        <v>0</v>
      </c>
      <c r="V145" s="1654">
        <f>T145+U145</f>
        <v>0</v>
      </c>
      <c r="W145" s="1651"/>
      <c r="X145" s="1652">
        <f>M145*$Y$5</f>
        <v>0</v>
      </c>
      <c r="Y145" s="1653">
        <f>X145*J145</f>
        <v>0</v>
      </c>
      <c r="Z145" s="1654">
        <f>X145+Y145</f>
        <v>0</v>
      </c>
      <c r="AA145" s="1243"/>
      <c r="AB145" s="309">
        <f>I145-(P145+T145+X145)</f>
        <v>0</v>
      </c>
      <c r="AC145" s="1261"/>
      <c r="AD145" s="227"/>
      <c r="AE145" s="310"/>
      <c r="AF145" s="311">
        <f>AE145*J145</f>
        <v>0</v>
      </c>
      <c r="AG145" s="312">
        <f>AF145+AE145</f>
        <v>0</v>
      </c>
      <c r="AH145" s="227"/>
      <c r="AI145" s="1209">
        <f>I145-AC145</f>
        <v>0</v>
      </c>
      <c r="AJ145" s="314">
        <f t="shared" si="104"/>
        <v>0</v>
      </c>
      <c r="AK145" s="227"/>
    </row>
    <row r="146" spans="1:83" ht="15.95" customHeight="1" outlineLevel="2">
      <c r="A146" s="74"/>
      <c r="B146" s="70"/>
      <c r="C146" s="296"/>
      <c r="D146" s="635"/>
      <c r="E146" s="633" t="s">
        <v>246</v>
      </c>
      <c r="F146" s="99" t="s">
        <v>247</v>
      </c>
      <c r="G146" s="75"/>
      <c r="H146" s="65"/>
      <c r="I146" s="1324"/>
      <c r="J146" s="1204">
        <f>TVAN</f>
        <v>8.5000000000000006E-2</v>
      </c>
      <c r="K146" s="1325">
        <f>I146*J146</f>
        <v>0</v>
      </c>
      <c r="L146" s="1205">
        <f>I146+K146</f>
        <v>0</v>
      </c>
      <c r="M146" s="1206">
        <f>I146/$G$5</f>
        <v>0</v>
      </c>
      <c r="N146" s="1207">
        <f>I146/$G$2</f>
        <v>0</v>
      </c>
      <c r="O146" s="1189"/>
      <c r="P146" s="1515">
        <f>M146*$Q$5</f>
        <v>0</v>
      </c>
      <c r="Q146" s="1565">
        <f>P146*J146</f>
        <v>0</v>
      </c>
      <c r="R146" s="1517">
        <f>P146+Q146</f>
        <v>0</v>
      </c>
      <c r="S146" s="1189"/>
      <c r="T146" s="1655">
        <f>M146*$U$5</f>
        <v>0</v>
      </c>
      <c r="U146" s="1656">
        <f>T146*J146</f>
        <v>0</v>
      </c>
      <c r="V146" s="1657">
        <f>T146+U146</f>
        <v>0</v>
      </c>
      <c r="W146" s="1651"/>
      <c r="X146" s="1655">
        <f>M146*$Y$5</f>
        <v>0</v>
      </c>
      <c r="Y146" s="1656">
        <f>X146*J146</f>
        <v>0</v>
      </c>
      <c r="Z146" s="1657">
        <f>X146+Y146</f>
        <v>0</v>
      </c>
      <c r="AA146" s="1243"/>
      <c r="AB146" s="315">
        <f>I146-(P146+T146+X146)</f>
        <v>0</v>
      </c>
      <c r="AC146" s="1262"/>
      <c r="AD146" s="227"/>
      <c r="AE146" s="316"/>
      <c r="AF146" s="317">
        <f>AE146*J146</f>
        <v>0</v>
      </c>
      <c r="AG146" s="318">
        <f>AF146+AE146</f>
        <v>0</v>
      </c>
      <c r="AH146" s="227"/>
      <c r="AI146" s="1228">
        <f>I146-AC146</f>
        <v>0</v>
      </c>
      <c r="AJ146" s="320">
        <f t="shared" si="104"/>
        <v>0</v>
      </c>
      <c r="AK146" s="227"/>
    </row>
    <row r="147" spans="1:83" s="88" customFormat="1" ht="15.75" customHeight="1" outlineLevel="1">
      <c r="A147" s="236"/>
      <c r="B147" s="229"/>
      <c r="C147" s="296"/>
      <c r="D147" s="640"/>
      <c r="E147" s="632"/>
      <c r="F147" s="230"/>
      <c r="G147" s="231"/>
      <c r="H147" s="86"/>
      <c r="I147" s="659"/>
      <c r="J147" s="455"/>
      <c r="K147" s="298"/>
      <c r="L147" s="377"/>
      <c r="M147" s="452"/>
      <c r="N147" s="232"/>
      <c r="O147" s="227"/>
      <c r="P147" s="1568"/>
      <c r="Q147" s="1525"/>
      <c r="R147" s="1569"/>
      <c r="S147" s="278"/>
      <c r="T147" s="1710"/>
      <c r="U147" s="1660"/>
      <c r="V147" s="1711"/>
      <c r="W147" s="1637"/>
      <c r="X147" s="1710"/>
      <c r="Y147" s="1660"/>
      <c r="Z147" s="1711"/>
      <c r="AA147" s="1243"/>
      <c r="AB147" s="73"/>
      <c r="AC147" s="323"/>
      <c r="AD147" s="227"/>
      <c r="AE147" s="58"/>
      <c r="AF147" s="388"/>
      <c r="AG147" s="323"/>
      <c r="AH147" s="227"/>
      <c r="AI147" s="58"/>
      <c r="AJ147" s="299"/>
      <c r="AK147" s="300"/>
      <c r="AL147" s="255"/>
      <c r="AM147" s="255"/>
      <c r="AN147" s="255"/>
      <c r="AO147" s="255"/>
      <c r="AP147" s="255"/>
      <c r="AQ147" s="255"/>
      <c r="AR147" s="255"/>
      <c r="AS147" s="255"/>
      <c r="AT147" s="255"/>
      <c r="AU147" s="255"/>
      <c r="AV147" s="255"/>
      <c r="AW147" s="255"/>
      <c r="AX147" s="255"/>
      <c r="AY147" s="255"/>
      <c r="AZ147" s="255"/>
      <c r="BA147" s="255"/>
      <c r="BB147" s="255"/>
      <c r="BC147" s="255"/>
      <c r="BD147" s="255"/>
      <c r="BE147" s="255"/>
      <c r="BF147" s="255"/>
      <c r="BG147" s="255"/>
      <c r="BH147" s="255"/>
      <c r="BI147" s="255"/>
      <c r="BJ147" s="255"/>
      <c r="BK147" s="255"/>
      <c r="BL147" s="233"/>
      <c r="BM147" s="233"/>
      <c r="BN147" s="233"/>
      <c r="BO147" s="233"/>
      <c r="BP147" s="233"/>
      <c r="BQ147" s="233"/>
      <c r="BR147" s="233"/>
      <c r="BS147" s="233"/>
      <c r="BT147" s="233"/>
      <c r="BU147" s="233"/>
      <c r="BV147" s="233"/>
      <c r="BW147" s="233"/>
      <c r="BX147" s="233"/>
      <c r="BY147" s="233"/>
      <c r="BZ147" s="233"/>
      <c r="CA147" s="233"/>
      <c r="CB147" s="233"/>
      <c r="CC147" s="233"/>
      <c r="CD147" s="233"/>
      <c r="CE147" s="233"/>
    </row>
    <row r="148" spans="1:83" s="126" customFormat="1" ht="15.95" customHeight="1" outlineLevel="1">
      <c r="A148" s="124" t="s">
        <v>248</v>
      </c>
      <c r="B148" s="125" t="s">
        <v>249</v>
      </c>
      <c r="C148" s="1484"/>
      <c r="D148" s="641"/>
      <c r="E148" s="1485"/>
      <c r="F148" s="456" t="s">
        <v>250</v>
      </c>
      <c r="G148" s="241" t="s">
        <v>295</v>
      </c>
      <c r="H148" s="457" t="s">
        <v>137</v>
      </c>
      <c r="I148" s="1486">
        <v>0</v>
      </c>
      <c r="J148" s="352">
        <f>TVAN</f>
        <v>8.5000000000000006E-2</v>
      </c>
      <c r="K148" s="1487">
        <f>I148*J148</f>
        <v>0</v>
      </c>
      <c r="L148" s="354">
        <f>I148+K148</f>
        <v>0</v>
      </c>
      <c r="M148" s="1426">
        <f>I148/$G$5</f>
        <v>0</v>
      </c>
      <c r="N148" s="1427">
        <f>I148/$G$2</f>
        <v>0</v>
      </c>
      <c r="O148" s="300"/>
      <c r="P148" s="1570">
        <f>M148*$Q$5</f>
        <v>0</v>
      </c>
      <c r="Q148" s="1571">
        <f>P148*J148</f>
        <v>0</v>
      </c>
      <c r="R148" s="1529">
        <f>P148+Q148</f>
        <v>0</v>
      </c>
      <c r="S148" s="300"/>
      <c r="T148" s="1712">
        <f>M148*$U$5</f>
        <v>0</v>
      </c>
      <c r="U148" s="1713">
        <f>T148*J148</f>
        <v>0</v>
      </c>
      <c r="V148" s="1664">
        <f>T148+U148</f>
        <v>0</v>
      </c>
      <c r="W148" s="1714"/>
      <c r="X148" s="1712">
        <f>M148*$Y$5</f>
        <v>0</v>
      </c>
      <c r="Y148" s="1713">
        <f>X148*J44</f>
        <v>0</v>
      </c>
      <c r="Z148" s="1664">
        <f>X148+Y148</f>
        <v>0</v>
      </c>
      <c r="AA148" s="1415"/>
      <c r="AB148" s="1416">
        <f>I148-(P148+T148+X148)</f>
        <v>0</v>
      </c>
      <c r="AC148" s="1488"/>
      <c r="AD148" s="300"/>
      <c r="AE148" s="1489"/>
      <c r="AF148" s="317">
        <f>AE148*J148</f>
        <v>0</v>
      </c>
      <c r="AG148" s="1490">
        <f>AF148+AE148</f>
        <v>0</v>
      </c>
      <c r="AH148" s="300"/>
      <c r="AI148" s="1491">
        <f>I148-AC148</f>
        <v>0</v>
      </c>
      <c r="AJ148" s="1492">
        <f>I148-AE148</f>
        <v>0</v>
      </c>
      <c r="AK148" s="1493"/>
      <c r="AL148" s="1384"/>
      <c r="AM148" s="1384"/>
      <c r="AN148" s="1384"/>
      <c r="AO148" s="1384"/>
      <c r="AP148" s="1384"/>
      <c r="AQ148" s="1384"/>
      <c r="AR148" s="1384"/>
      <c r="AS148" s="1384"/>
      <c r="AT148" s="1384"/>
      <c r="AU148" s="1384"/>
      <c r="AV148" s="1384"/>
      <c r="AW148" s="1384"/>
      <c r="AX148" s="1384"/>
      <c r="AY148" s="1384"/>
      <c r="AZ148" s="1384"/>
      <c r="BA148" s="1384"/>
      <c r="BB148" s="1384"/>
      <c r="BC148" s="1384"/>
      <c r="BD148" s="1384"/>
      <c r="BE148" s="1384"/>
      <c r="BF148" s="1384"/>
      <c r="BG148" s="1384"/>
      <c r="BH148" s="1384"/>
      <c r="BI148" s="1384"/>
      <c r="BJ148" s="1384"/>
      <c r="BK148" s="1384"/>
    </row>
    <row r="149" spans="1:83" s="51" customFormat="1" ht="15.95" customHeight="1">
      <c r="A149" s="458"/>
      <c r="B149" s="459"/>
      <c r="C149" s="459"/>
      <c r="D149" s="460"/>
      <c r="E149" s="461"/>
      <c r="F149" s="3463" t="s">
        <v>251</v>
      </c>
      <c r="G149" s="3464"/>
      <c r="H149" s="46"/>
      <c r="I149" s="665">
        <f>I8+I39+I76+I133</f>
        <v>400800.86531023751</v>
      </c>
      <c r="J149" s="462"/>
      <c r="K149" s="463">
        <f>Q149+U149+Y149</f>
        <v>15410.5</v>
      </c>
      <c r="L149" s="464">
        <f>L8+L39+L76+L133</f>
        <v>416211.36531023751</v>
      </c>
      <c r="M149" s="139">
        <f>I149/$G$5</f>
        <v>76.386671490420724</v>
      </c>
      <c r="N149" s="395">
        <f>I149/$G$2</f>
        <v>5725.7266472891069</v>
      </c>
      <c r="O149" s="227"/>
      <c r="P149" s="1572">
        <f>P8+P39+P76+P133</f>
        <v>200400.43265511876</v>
      </c>
      <c r="Q149" s="1573">
        <f>Q8+Q39+Q76+Q133</f>
        <v>7705.25</v>
      </c>
      <c r="R149" s="1574">
        <f>R8+R39+R76+R133</f>
        <v>208105.68265511876</v>
      </c>
      <c r="S149" s="371"/>
      <c r="T149" s="1715">
        <f>T8+T39+T76+T133</f>
        <v>200400.43265511876</v>
      </c>
      <c r="U149" s="1716">
        <f>U8+U39+U76+U133</f>
        <v>7705.25</v>
      </c>
      <c r="V149" s="1717">
        <f>V8+V39+V76+V133</f>
        <v>208105.68265511876</v>
      </c>
      <c r="W149" s="1666"/>
      <c r="X149" s="1718">
        <f>X8+X39+X76+X133</f>
        <v>0</v>
      </c>
      <c r="Y149" s="1716">
        <f>Y8+Y39+Y76+Y133</f>
        <v>0</v>
      </c>
      <c r="Z149" s="1717">
        <f>Z8+Z39+Z76+Z133</f>
        <v>0</v>
      </c>
      <c r="AA149" s="1246"/>
      <c r="AB149" s="303">
        <f>L149-(R149+V149+Z149)</f>
        <v>0</v>
      </c>
      <c r="AC149" s="3052">
        <f>AC8+AC39+AC76+AC133</f>
        <v>0</v>
      </c>
      <c r="AD149" s="300"/>
      <c r="AE149" s="3051">
        <f>AE8+AE39+AE76+AE133</f>
        <v>0</v>
      </c>
      <c r="AF149" s="3054">
        <f>AF8+AF39+AF76+AF133</f>
        <v>0</v>
      </c>
      <c r="AG149" s="3051">
        <f>AG8+AG39+AG76+AG133</f>
        <v>0</v>
      </c>
      <c r="AH149" s="300"/>
      <c r="AI149" s="3055">
        <f>AI8+AI39+AI76+AI133</f>
        <v>260800.86531023754</v>
      </c>
      <c r="AJ149" s="3053">
        <f>AJ8+AJ39+AJ76+AJ133</f>
        <v>260800.86531023754</v>
      </c>
      <c r="AK149" s="123"/>
      <c r="AL149" s="295"/>
      <c r="AM149" s="295"/>
      <c r="AN149" s="295"/>
      <c r="AO149" s="295"/>
      <c r="AP149" s="295"/>
      <c r="AQ149" s="295"/>
      <c r="AR149" s="295"/>
      <c r="AS149" s="295"/>
      <c r="AT149" s="295"/>
      <c r="AU149" s="295"/>
      <c r="AV149" s="295"/>
      <c r="AW149" s="255"/>
      <c r="AX149" s="255"/>
      <c r="AY149" s="255"/>
      <c r="AZ149" s="255"/>
      <c r="BA149" s="255"/>
      <c r="BB149" s="255"/>
      <c r="BC149" s="255"/>
      <c r="BD149" s="255"/>
      <c r="BE149" s="255"/>
      <c r="BF149" s="255"/>
      <c r="BG149" s="255"/>
      <c r="BH149" s="255"/>
      <c r="BI149" s="255"/>
      <c r="BJ149" s="255"/>
      <c r="BK149" s="255"/>
    </row>
    <row r="150" spans="1:83" s="32" customFormat="1" ht="18" customHeight="1" outlineLevel="1">
      <c r="A150" s="94"/>
      <c r="B150" s="127" t="s">
        <v>252</v>
      </c>
      <c r="C150" s="296">
        <v>500</v>
      </c>
      <c r="D150" s="128" t="s">
        <v>253</v>
      </c>
      <c r="E150" s="465"/>
      <c r="F150" s="95" t="s">
        <v>254</v>
      </c>
      <c r="G150" s="129"/>
      <c r="H150" s="130"/>
      <c r="I150" s="659"/>
      <c r="J150" s="235"/>
      <c r="K150" s="298"/>
      <c r="L150" s="132"/>
      <c r="M150" s="133"/>
      <c r="N150" s="466"/>
      <c r="O150" s="227"/>
      <c r="P150" s="1524"/>
      <c r="Q150" s="1525"/>
      <c r="R150" s="1575"/>
      <c r="S150" s="278"/>
      <c r="T150" s="1659"/>
      <c r="U150" s="1660"/>
      <c r="V150" s="563"/>
      <c r="W150" s="1637"/>
      <c r="X150" s="1659"/>
      <c r="Y150" s="1660"/>
      <c r="Z150" s="563"/>
      <c r="AA150" s="1243"/>
      <c r="AB150" s="303">
        <f>L150-(R150+Z150)</f>
        <v>0</v>
      </c>
      <c r="AC150" s="335"/>
      <c r="AD150" s="1285"/>
      <c r="AE150" s="173"/>
      <c r="AF150" s="387"/>
      <c r="AG150" s="433"/>
      <c r="AH150" s="227"/>
      <c r="AI150" s="69"/>
      <c r="AJ150" s="1241"/>
      <c r="AK150" s="227"/>
      <c r="AL150" s="255"/>
      <c r="AM150" s="255"/>
      <c r="AN150" s="255"/>
      <c r="AO150" s="255"/>
      <c r="AP150" s="255"/>
      <c r="AQ150" s="255"/>
      <c r="AR150" s="255"/>
      <c r="AS150" s="255"/>
      <c r="AT150" s="255"/>
      <c r="AU150" s="255"/>
      <c r="AV150" s="255"/>
      <c r="AW150" s="255"/>
      <c r="AX150" s="255"/>
      <c r="AY150" s="255"/>
      <c r="AZ150" s="255"/>
      <c r="BA150" s="255"/>
      <c r="BB150" s="255"/>
      <c r="BC150" s="255"/>
      <c r="BD150" s="255"/>
      <c r="BE150" s="255"/>
      <c r="BF150" s="255"/>
      <c r="BG150" s="255"/>
      <c r="BH150" s="255"/>
      <c r="BI150" s="255"/>
      <c r="BJ150" s="255"/>
      <c r="BK150" s="255"/>
    </row>
    <row r="151" spans="1:83" ht="18" customHeight="1" outlineLevel="1">
      <c r="A151" s="134" t="s">
        <v>255</v>
      </c>
      <c r="B151" s="135"/>
      <c r="C151" s="467"/>
      <c r="D151" s="136"/>
      <c r="E151" s="412" t="s">
        <v>256</v>
      </c>
      <c r="F151" s="76" t="s">
        <v>257</v>
      </c>
      <c r="G151" s="137" t="s">
        <v>258</v>
      </c>
      <c r="H151" s="138" t="s">
        <v>259</v>
      </c>
      <c r="I151" s="660">
        <f>P151+T151+X151</f>
        <v>8416.8181715149876</v>
      </c>
      <c r="J151" s="91"/>
      <c r="K151" s="468"/>
      <c r="L151" s="83"/>
      <c r="M151" s="139">
        <f>I151/$G$5</f>
        <v>1.6041201012988351</v>
      </c>
      <c r="N151" s="395">
        <f>I151/$G$2</f>
        <v>120.24025959307126</v>
      </c>
      <c r="O151" s="227"/>
      <c r="P151" s="1568">
        <f>P149*TVAS</f>
        <v>4208.4090857574938</v>
      </c>
      <c r="Q151" s="1576"/>
      <c r="R151" s="1526"/>
      <c r="S151" s="278"/>
      <c r="T151" s="1710">
        <f>T149*TVAS</f>
        <v>4208.4090857574938</v>
      </c>
      <c r="U151" s="1719"/>
      <c r="V151" s="1661"/>
      <c r="W151" s="1637"/>
      <c r="X151" s="1710">
        <f>X149*TVAN</f>
        <v>0</v>
      </c>
      <c r="Y151" s="1719"/>
      <c r="Z151" s="1661"/>
      <c r="AA151" s="1243"/>
      <c r="AB151" s="303">
        <f>L151-(R151+Z151)</f>
        <v>0</v>
      </c>
      <c r="AC151" s="335"/>
      <c r="AD151" s="1285"/>
      <c r="AE151" s="173"/>
      <c r="AF151" s="387"/>
      <c r="AG151" s="433"/>
      <c r="AH151" s="227"/>
      <c r="AI151" s="69"/>
      <c r="AJ151" s="1241"/>
      <c r="AK151" s="227"/>
    </row>
    <row r="152" spans="1:83" ht="15.95" customHeight="1" outlineLevel="1">
      <c r="A152" s="134">
        <v>445620</v>
      </c>
      <c r="B152" s="61"/>
      <c r="C152" s="467"/>
      <c r="D152" s="116"/>
      <c r="E152" s="412" t="s">
        <v>260</v>
      </c>
      <c r="F152" s="63" t="s">
        <v>261</v>
      </c>
      <c r="G152" s="75"/>
      <c r="H152" s="65"/>
      <c r="I152" s="666"/>
      <c r="J152" s="91"/>
      <c r="K152" s="469">
        <f>K149</f>
        <v>15410.5</v>
      </c>
      <c r="L152" s="83"/>
      <c r="M152" s="90"/>
      <c r="N152" s="344"/>
      <c r="O152" s="227"/>
      <c r="P152" s="1577"/>
      <c r="Q152" s="1578">
        <f>Q149</f>
        <v>7705.25</v>
      </c>
      <c r="R152" s="1526"/>
      <c r="S152" s="278"/>
      <c r="T152" s="1720"/>
      <c r="U152" s="1721">
        <f>U149</f>
        <v>7705.25</v>
      </c>
      <c r="V152" s="1661"/>
      <c r="W152" s="1637"/>
      <c r="X152" s="1659"/>
      <c r="Y152" s="1722">
        <f>Y149</f>
        <v>0</v>
      </c>
      <c r="Z152" s="1661"/>
      <c r="AA152" s="1243"/>
      <c r="AB152" s="303">
        <f>L152-(R152+Z152)</f>
        <v>0</v>
      </c>
      <c r="AC152" s="335"/>
      <c r="AD152" s="1285"/>
      <c r="AE152" s="173"/>
      <c r="AF152" s="387"/>
      <c r="AG152" s="433"/>
      <c r="AH152" s="227"/>
      <c r="AI152" s="69"/>
      <c r="AJ152" s="1241"/>
      <c r="AK152" s="227"/>
    </row>
    <row r="153" spans="1:83" ht="15.95" customHeight="1" outlineLevel="1">
      <c r="A153" s="140">
        <v>445670</v>
      </c>
      <c r="B153" s="61"/>
      <c r="C153" s="467"/>
      <c r="D153" s="116"/>
      <c r="E153" s="412"/>
      <c r="F153" s="63" t="s">
        <v>262</v>
      </c>
      <c r="G153" s="105"/>
      <c r="H153" s="65"/>
      <c r="I153" s="659"/>
      <c r="J153" s="235"/>
      <c r="K153" s="298"/>
      <c r="L153" s="141">
        <f>I151-K152</f>
        <v>-6993.6818284850124</v>
      </c>
      <c r="M153" s="90"/>
      <c r="N153" s="344"/>
      <c r="O153" s="227"/>
      <c r="P153" s="1524"/>
      <c r="Q153" s="1525"/>
      <c r="R153" s="1579">
        <f>P151-Q152</f>
        <v>-3496.8409142425062</v>
      </c>
      <c r="S153" s="278"/>
      <c r="T153" s="1659"/>
      <c r="U153" s="1660"/>
      <c r="V153" s="1723">
        <f>T151-U152</f>
        <v>-3496.8409142425062</v>
      </c>
      <c r="W153" s="1637"/>
      <c r="X153" s="1659"/>
      <c r="Y153" s="1660"/>
      <c r="Z153" s="1724">
        <f>X151-Y152</f>
        <v>0</v>
      </c>
      <c r="AA153" s="1243"/>
      <c r="AB153" s="303">
        <f>L153-(R153+V153+Z153)</f>
        <v>0</v>
      </c>
      <c r="AC153" s="197"/>
      <c r="AD153" s="1285"/>
      <c r="AE153" s="1286"/>
      <c r="AF153" s="89"/>
      <c r="AG153" s="1240"/>
      <c r="AH153" s="227"/>
      <c r="AI153" s="69"/>
      <c r="AJ153" s="1241"/>
      <c r="AK153" s="227"/>
    </row>
    <row r="154" spans="1:83" ht="15.95" customHeight="1" outlineLevel="1" thickBot="1">
      <c r="A154" s="74"/>
      <c r="B154" s="61"/>
      <c r="C154" s="470"/>
      <c r="D154" s="142"/>
      <c r="E154" s="471"/>
      <c r="F154" s="63"/>
      <c r="G154" s="96"/>
      <c r="H154" s="65"/>
      <c r="I154" s="659"/>
      <c r="J154" s="235"/>
      <c r="K154" s="298"/>
      <c r="L154" s="83"/>
      <c r="M154" s="90"/>
      <c r="N154" s="344"/>
      <c r="O154" s="227"/>
      <c r="P154" s="1524"/>
      <c r="Q154" s="1525"/>
      <c r="R154" s="1526"/>
      <c r="S154" s="278"/>
      <c r="T154" s="1659"/>
      <c r="U154" s="1660"/>
      <c r="V154" s="1661"/>
      <c r="W154" s="1637"/>
      <c r="X154" s="1659"/>
      <c r="Y154" s="1660"/>
      <c r="Z154" s="1661"/>
      <c r="AA154" s="1243"/>
      <c r="AB154" s="303">
        <f>L154-(R154+Z154)</f>
        <v>0</v>
      </c>
      <c r="AC154" s="1241"/>
      <c r="AD154" s="472"/>
      <c r="AE154" s="173"/>
      <c r="AF154" s="1287"/>
      <c r="AG154" s="433"/>
      <c r="AH154" s="227"/>
      <c r="AI154" s="69"/>
      <c r="AJ154" s="1241"/>
      <c r="AK154" s="473"/>
    </row>
    <row r="155" spans="1:83" s="93" customFormat="1" ht="15.95" customHeight="1" thickBot="1">
      <c r="A155" s="143"/>
      <c r="B155" s="144" t="s">
        <v>263</v>
      </c>
      <c r="C155" s="474">
        <v>690</v>
      </c>
      <c r="D155" s="145"/>
      <c r="E155" s="475"/>
      <c r="F155" s="3465" t="s">
        <v>264</v>
      </c>
      <c r="G155" s="3466"/>
      <c r="H155" s="146"/>
      <c r="I155" s="476">
        <f>I149+I151</f>
        <v>409217.68348175252</v>
      </c>
      <c r="J155" s="243"/>
      <c r="K155" s="477">
        <f>K152</f>
        <v>15410.5</v>
      </c>
      <c r="L155" s="478">
        <f>L149+L153</f>
        <v>409217.68348175252</v>
      </c>
      <c r="M155" s="147">
        <f>M149+M151</f>
        <v>77.990791591719557</v>
      </c>
      <c r="N155" s="479">
        <f>N149+N151</f>
        <v>5845.9669068821786</v>
      </c>
      <c r="O155" s="242"/>
      <c r="P155" s="480">
        <f>P149+P151</f>
        <v>204608.84174087626</v>
      </c>
      <c r="Q155" s="1580">
        <f>Q152</f>
        <v>7705.25</v>
      </c>
      <c r="R155" s="478">
        <f>R149+R153</f>
        <v>204608.84174087626</v>
      </c>
      <c r="S155" s="481"/>
      <c r="T155" s="1725">
        <f>T149+T151</f>
        <v>204608.84174087626</v>
      </c>
      <c r="U155" s="1726">
        <f>U152</f>
        <v>7705.25</v>
      </c>
      <c r="V155" s="1727">
        <f>V149+V153</f>
        <v>204608.84174087626</v>
      </c>
      <c r="W155" s="1728"/>
      <c r="X155" s="1725">
        <f>X149+X151</f>
        <v>0</v>
      </c>
      <c r="Y155" s="1726">
        <f>Y152</f>
        <v>0</v>
      </c>
      <c r="Z155" s="1727">
        <f>Z149+Z153</f>
        <v>0</v>
      </c>
      <c r="AA155" s="1250"/>
      <c r="AB155" s="482">
        <f>L155-(R155+V155+Z155)</f>
        <v>0</v>
      </c>
      <c r="AC155" s="1274">
        <f>AC181</f>
        <v>0</v>
      </c>
      <c r="AD155" s="472"/>
      <c r="AE155" s="1293"/>
      <c r="AF155" s="1288"/>
      <c r="AG155" s="1289"/>
      <c r="AH155" s="1290"/>
      <c r="AI155" s="1291"/>
      <c r="AJ155" s="1292"/>
      <c r="AK155" s="473"/>
      <c r="AL155" s="255"/>
      <c r="AM155" s="255"/>
      <c r="AN155" s="255"/>
      <c r="AO155" s="255"/>
      <c r="AP155" s="255"/>
      <c r="AQ155" s="255"/>
      <c r="AR155" s="255"/>
      <c r="AS155" s="255"/>
      <c r="AT155" s="255"/>
      <c r="AU155" s="255"/>
      <c r="AV155" s="255"/>
      <c r="AW155" s="255"/>
      <c r="AX155" s="255"/>
      <c r="AY155" s="255"/>
      <c r="AZ155" s="255"/>
      <c r="BA155" s="255"/>
      <c r="BB155" s="255"/>
      <c r="BC155" s="255"/>
      <c r="BD155" s="255"/>
      <c r="BE155" s="255"/>
      <c r="BF155" s="255"/>
      <c r="BG155" s="255"/>
      <c r="BH155" s="255"/>
      <c r="BI155" s="255"/>
      <c r="BJ155" s="255"/>
      <c r="BK155" s="255"/>
    </row>
    <row r="156" spans="1:83" s="93" customFormat="1" ht="15.95" customHeight="1" thickBot="1">
      <c r="A156" s="606"/>
      <c r="B156" s="607"/>
      <c r="C156" s="608"/>
      <c r="D156" s="609"/>
      <c r="E156" s="610"/>
      <c r="F156" s="3469" t="s">
        <v>415</v>
      </c>
      <c r="G156" s="3466"/>
      <c r="H156" s="624">
        <v>0</v>
      </c>
      <c r="I156" s="620"/>
      <c r="J156" s="611"/>
      <c r="K156" s="612"/>
      <c r="L156" s="613">
        <f>R156+V156</f>
        <v>0</v>
      </c>
      <c r="M156" s="614"/>
      <c r="N156" s="615"/>
      <c r="O156" s="242"/>
      <c r="P156" s="1581"/>
      <c r="Q156" s="1582"/>
      <c r="R156" s="613">
        <f>P149*H156</f>
        <v>0</v>
      </c>
      <c r="S156" s="481"/>
      <c r="T156" s="1729"/>
      <c r="U156" s="1730"/>
      <c r="V156" s="1731">
        <f>T149*H156</f>
        <v>0</v>
      </c>
      <c r="W156" s="1728"/>
      <c r="X156" s="1732"/>
      <c r="Y156" s="1732"/>
      <c r="Z156" s="1732"/>
      <c r="AA156" s="1250"/>
      <c r="AB156" s="309"/>
      <c r="AC156" s="1275"/>
      <c r="AD156" s="472"/>
      <c r="AE156" s="1294"/>
      <c r="AF156" s="387"/>
      <c r="AG156" s="483"/>
      <c r="AH156" s="165"/>
      <c r="AI156" s="483"/>
      <c r="AJ156" s="483"/>
      <c r="AK156" s="473"/>
      <c r="AL156" s="255"/>
      <c r="AM156" s="255"/>
      <c r="AN156" s="255"/>
      <c r="AO156" s="255"/>
      <c r="AP156" s="255"/>
      <c r="AQ156" s="255"/>
      <c r="AR156" s="255"/>
      <c r="AS156" s="255"/>
      <c r="AT156" s="255"/>
      <c r="AU156" s="255"/>
      <c r="AV156" s="255"/>
      <c r="AW156" s="255"/>
      <c r="AX156" s="255"/>
      <c r="AY156" s="255"/>
      <c r="AZ156" s="255"/>
      <c r="BA156" s="255"/>
      <c r="BB156" s="255"/>
      <c r="BC156" s="255"/>
      <c r="BD156" s="255"/>
      <c r="BE156" s="255"/>
      <c r="BF156" s="255"/>
      <c r="BG156" s="255"/>
      <c r="BH156" s="255"/>
      <c r="BI156" s="255"/>
      <c r="BJ156" s="255"/>
      <c r="BK156" s="255"/>
    </row>
    <row r="157" spans="1:83" s="93" customFormat="1" ht="15.95" customHeight="1" thickBot="1">
      <c r="A157" s="606"/>
      <c r="B157" s="607"/>
      <c r="C157" s="608"/>
      <c r="D157" s="609"/>
      <c r="E157" s="610"/>
      <c r="F157" s="3457" t="s">
        <v>416</v>
      </c>
      <c r="G157" s="3458"/>
      <c r="H157" s="616"/>
      <c r="I157" s="621"/>
      <c r="J157" s="617"/>
      <c r="K157" s="477"/>
      <c r="L157" s="618">
        <f>L155+L156</f>
        <v>409217.68348175252</v>
      </c>
      <c r="M157" s="614">
        <f>L157/G5</f>
        <v>77.990791591719557</v>
      </c>
      <c r="N157" s="615">
        <f>L157/G2</f>
        <v>5845.9669068821786</v>
      </c>
      <c r="O157" s="242"/>
      <c r="P157" s="1583" t="s">
        <v>580</v>
      </c>
      <c r="Q157" s="1582">
        <f>R157/Q5</f>
        <v>77.990791591719557</v>
      </c>
      <c r="R157" s="613">
        <f>R156+R155</f>
        <v>204608.84174087626</v>
      </c>
      <c r="S157" s="481"/>
      <c r="T157" s="1733" t="s">
        <v>580</v>
      </c>
      <c r="U157" s="1730">
        <f>V157/U5</f>
        <v>77.990791591719557</v>
      </c>
      <c r="V157" s="1734">
        <f>V156+V155</f>
        <v>204608.84174087626</v>
      </c>
      <c r="W157" s="1728"/>
      <c r="X157" s="1732"/>
      <c r="Y157" s="1732"/>
      <c r="Z157" s="1732"/>
      <c r="AA157" s="1250"/>
      <c r="AB157" s="309"/>
      <c r="AC157" s="1275"/>
      <c r="AD157" s="472"/>
      <c r="AE157" s="1295"/>
      <c r="AF157" s="387"/>
      <c r="AG157" s="483"/>
      <c r="AH157" s="165"/>
      <c r="AI157" s="483"/>
      <c r="AJ157" s="483"/>
      <c r="AK157" s="473"/>
      <c r="AL157" s="255"/>
      <c r="AM157" s="255"/>
      <c r="AN157" s="255"/>
      <c r="AO157" s="255"/>
      <c r="AP157" s="255"/>
      <c r="AQ157" s="255"/>
      <c r="AR157" s="255"/>
      <c r="AS157" s="255"/>
      <c r="AT157" s="255"/>
      <c r="AU157" s="255"/>
      <c r="AV157" s="255"/>
      <c r="AW157" s="255"/>
      <c r="AX157" s="255"/>
      <c r="AY157" s="255"/>
      <c r="AZ157" s="255"/>
      <c r="BA157" s="255"/>
      <c r="BB157" s="255"/>
      <c r="BC157" s="255"/>
      <c r="BD157" s="255"/>
      <c r="BE157" s="255"/>
      <c r="BF157" s="255"/>
      <c r="BG157" s="255"/>
      <c r="BH157" s="255"/>
      <c r="BI157" s="255"/>
      <c r="BJ157" s="255"/>
      <c r="BK157" s="255"/>
    </row>
    <row r="158" spans="1:83" ht="18" customHeight="1" thickBot="1">
      <c r="A158" s="74"/>
      <c r="B158" s="148"/>
      <c r="C158" s="484"/>
      <c r="D158" s="149"/>
      <c r="E158" s="485"/>
      <c r="F158" s="150" t="s">
        <v>265</v>
      </c>
      <c r="G158" s="151"/>
      <c r="H158" s="65"/>
      <c r="I158" s="667"/>
      <c r="J158" s="63"/>
      <c r="K158" s="599"/>
      <c r="L158" s="629">
        <f>L159-L157</f>
        <v>-273067.33348175255</v>
      </c>
      <c r="M158" s="153"/>
      <c r="N158" s="152"/>
      <c r="O158" s="123"/>
      <c r="P158" s="1525">
        <f>(P9+P13+P24+P30+P54+P114)*1.021</f>
        <v>68075.174999999988</v>
      </c>
      <c r="Q158" s="1525">
        <f>R157/Q2</f>
        <v>5845.9669068821786</v>
      </c>
      <c r="R158" s="1584">
        <f>R159-R157</f>
        <v>-136533.66674087627</v>
      </c>
      <c r="S158" s="278"/>
      <c r="T158" s="1660">
        <f>(T9+T13+T24+T30+T54+T114)*1.021</f>
        <v>68075.174999999988</v>
      </c>
      <c r="U158" s="1660">
        <f>V157/U2</f>
        <v>5845.9669068821786</v>
      </c>
      <c r="V158" s="2182">
        <f>V159-V157</f>
        <v>-136533.66674087627</v>
      </c>
      <c r="W158" s="1637"/>
      <c r="X158" s="1660"/>
      <c r="Y158" s="1660"/>
      <c r="Z158" s="1735">
        <f>Z159-Z155</f>
        <v>0</v>
      </c>
      <c r="AA158" s="1243"/>
      <c r="AB158" s="309">
        <f>L158-(R158+V158+Z158)</f>
        <v>0</v>
      </c>
      <c r="AC158" s="1276">
        <f>AC159-AC155</f>
        <v>0</v>
      </c>
      <c r="AD158" s="472"/>
      <c r="AE158" s="173"/>
      <c r="AF158" s="69"/>
      <c r="AG158" s="69"/>
      <c r="AH158" s="165"/>
      <c r="AI158" s="69"/>
      <c r="AJ158" s="69"/>
      <c r="AK158" s="473"/>
    </row>
    <row r="159" spans="1:83" s="164" customFormat="1" ht="15.95" customHeight="1" thickBot="1">
      <c r="A159" s="155"/>
      <c r="B159" s="156" t="s">
        <v>266</v>
      </c>
      <c r="C159" s="157">
        <v>790</v>
      </c>
      <c r="D159" s="158"/>
      <c r="E159" s="159"/>
      <c r="F159" s="160" t="s">
        <v>267</v>
      </c>
      <c r="G159" s="161"/>
      <c r="H159" s="162"/>
      <c r="I159" s="668"/>
      <c r="J159" s="244"/>
      <c r="K159" s="487"/>
      <c r="L159" s="628">
        <f>L160+L164+L167+L176</f>
        <v>136150.34999999998</v>
      </c>
      <c r="M159" s="163"/>
      <c r="N159" s="488"/>
      <c r="O159" s="227"/>
      <c r="P159" s="1585"/>
      <c r="Q159" s="1586"/>
      <c r="R159" s="6">
        <f>R160+R164+R167+R176</f>
        <v>68075.174999999988</v>
      </c>
      <c r="S159" s="371"/>
      <c r="T159" s="1736"/>
      <c r="U159" s="1737"/>
      <c r="V159" s="1738">
        <f>V160+V164+V167+V176</f>
        <v>68075.174999999988</v>
      </c>
      <c r="W159" s="1666"/>
      <c r="X159" s="1739"/>
      <c r="Y159" s="1737"/>
      <c r="Z159" s="1738">
        <f>Z160+Z164+Z167+Z176</f>
        <v>0</v>
      </c>
      <c r="AA159" s="1246"/>
      <c r="AB159" s="482">
        <f>L159-(R159+V159+Z159)</f>
        <v>0</v>
      </c>
      <c r="AC159" s="1277"/>
      <c r="AD159" s="489"/>
      <c r="AE159" s="1297"/>
      <c r="AF159" s="1302"/>
      <c r="AG159" s="1305"/>
      <c r="AH159" s="1309"/>
      <c r="AI159" s="1297"/>
      <c r="AJ159" s="1277"/>
      <c r="AK159" s="491"/>
      <c r="AL159" s="295"/>
      <c r="AM159" s="295"/>
      <c r="AN159" s="295"/>
      <c r="AO159" s="295"/>
      <c r="AP159" s="295"/>
      <c r="AQ159" s="295"/>
      <c r="AR159" s="295"/>
      <c r="AS159" s="295"/>
      <c r="AT159" s="295"/>
      <c r="AU159" s="295"/>
      <c r="AV159" s="295"/>
      <c r="AW159" s="255"/>
      <c r="AX159" s="255"/>
      <c r="AY159" s="255"/>
      <c r="AZ159" s="255"/>
      <c r="BA159" s="255"/>
      <c r="BB159" s="255"/>
      <c r="BC159" s="255"/>
      <c r="BD159" s="255"/>
      <c r="BE159" s="255"/>
      <c r="BF159" s="255"/>
      <c r="BG159" s="255"/>
      <c r="BH159" s="255"/>
      <c r="BI159" s="255"/>
      <c r="BJ159" s="255"/>
      <c r="BK159" s="255"/>
      <c r="BL159" s="51"/>
      <c r="BM159" s="51"/>
      <c r="BN159" s="51"/>
      <c r="BO159" s="51"/>
      <c r="BP159" s="51"/>
      <c r="BQ159" s="51"/>
      <c r="BR159" s="51"/>
      <c r="BS159" s="51"/>
      <c r="BT159" s="51"/>
      <c r="BU159" s="51"/>
      <c r="BV159" s="51"/>
      <c r="BW159" s="51"/>
      <c r="BX159" s="51"/>
      <c r="BY159" s="51"/>
      <c r="BZ159" s="51"/>
      <c r="CA159" s="51"/>
      <c r="CB159" s="51"/>
      <c r="CC159" s="51"/>
      <c r="CD159" s="51"/>
      <c r="CE159" s="51"/>
    </row>
    <row r="160" spans="1:83" s="32" customFormat="1" ht="15.95" customHeight="1" outlineLevel="1">
      <c r="A160" s="72">
        <v>164111</v>
      </c>
      <c r="B160" s="53"/>
      <c r="C160" s="296">
        <v>709</v>
      </c>
      <c r="D160" s="54" t="s">
        <v>268</v>
      </c>
      <c r="E160" s="492"/>
      <c r="F160" s="55" t="s">
        <v>269</v>
      </c>
      <c r="G160" s="56"/>
      <c r="H160" s="57"/>
      <c r="I160" s="669"/>
      <c r="J160" s="493"/>
      <c r="K160" s="454"/>
      <c r="L160" s="166">
        <f>SUM(L161:L163)</f>
        <v>136150.34999999998</v>
      </c>
      <c r="M160" s="167"/>
      <c r="N160" s="494"/>
      <c r="O160" s="227"/>
      <c r="P160" s="1587" t="s">
        <v>1042</v>
      </c>
      <c r="Q160" s="1588">
        <f>R157-R138*1.021</f>
        <v>133138.84174087626</v>
      </c>
      <c r="R160" s="655">
        <f>SUM(R161:R163)</f>
        <v>68075.174999999988</v>
      </c>
      <c r="S160" s="278"/>
      <c r="T160" s="1587" t="s">
        <v>1042</v>
      </c>
      <c r="U160" s="1741">
        <f>V157-V138*1.021</f>
        <v>133138.84174087626</v>
      </c>
      <c r="V160" s="1742">
        <f>SUM(V161:V163)</f>
        <v>68075.174999999988</v>
      </c>
      <c r="W160" s="1637"/>
      <c r="X160" s="1743"/>
      <c r="Y160" s="1741"/>
      <c r="Z160" s="1742">
        <f>SUM(Z161:Z163)</f>
        <v>0</v>
      </c>
      <c r="AA160" s="1243"/>
      <c r="AB160" s="169">
        <f>SUM(AB161:AB163)</f>
        <v>0</v>
      </c>
      <c r="AC160" s="1278"/>
      <c r="AD160" s="472"/>
      <c r="AE160" s="1298"/>
      <c r="AF160" s="168"/>
      <c r="AG160" s="166"/>
      <c r="AH160" s="1310"/>
      <c r="AI160" s="1298"/>
      <c r="AJ160" s="1278"/>
      <c r="AK160" s="473"/>
      <c r="AL160" s="379"/>
      <c r="AM160" s="379"/>
      <c r="AN160" s="379"/>
      <c r="AO160" s="379"/>
      <c r="AP160" s="379"/>
      <c r="AQ160" s="379"/>
      <c r="AR160" s="379"/>
      <c r="AS160" s="379"/>
      <c r="AT160" s="379"/>
      <c r="AU160" s="379"/>
      <c r="AV160" s="379"/>
      <c r="AW160" s="255"/>
      <c r="AX160" s="255"/>
      <c r="AY160" s="255"/>
      <c r="AZ160" s="255"/>
      <c r="BA160" s="255"/>
      <c r="BB160" s="255"/>
      <c r="BC160" s="255"/>
      <c r="BD160" s="255"/>
      <c r="BE160" s="255"/>
      <c r="BF160" s="255"/>
      <c r="BG160" s="255"/>
      <c r="BH160" s="255"/>
      <c r="BI160" s="255"/>
      <c r="BJ160" s="255"/>
      <c r="BK160" s="255"/>
      <c r="BL160" s="59"/>
      <c r="BM160" s="59"/>
      <c r="BN160" s="59"/>
      <c r="BO160" s="59"/>
      <c r="BP160" s="59"/>
      <c r="BQ160" s="59"/>
      <c r="BR160" s="59"/>
      <c r="BS160" s="59"/>
      <c r="BT160" s="59"/>
      <c r="BU160" s="59"/>
      <c r="BV160" s="59"/>
      <c r="BW160" s="59"/>
      <c r="BX160" s="59"/>
      <c r="BY160" s="59"/>
      <c r="BZ160" s="59"/>
      <c r="CA160" s="59"/>
      <c r="CB160" s="59"/>
      <c r="CC160" s="59"/>
      <c r="CD160" s="59"/>
      <c r="CE160" s="59"/>
    </row>
    <row r="161" spans="1:83" ht="15.95" customHeight="1" outlineLevel="2">
      <c r="A161" s="74"/>
      <c r="B161" s="61"/>
      <c r="C161" s="296">
        <v>709</v>
      </c>
      <c r="D161" s="170"/>
      <c r="E161" s="492"/>
      <c r="F161" s="99" t="s">
        <v>424</v>
      </c>
      <c r="G161" s="80"/>
      <c r="H161" s="650" t="s">
        <v>425</v>
      </c>
      <c r="I161" s="669"/>
      <c r="J161" s="131">
        <f>(100%-(L167+L176)/L157)*L187</f>
        <v>136150.34999999998</v>
      </c>
      <c r="K161" s="625">
        <f>L160/L159</f>
        <v>1</v>
      </c>
      <c r="L161" s="651">
        <f>R161+V161+Z161</f>
        <v>0</v>
      </c>
      <c r="M161" s="630" t="s">
        <v>420</v>
      </c>
      <c r="N161" s="643"/>
      <c r="O161" s="227"/>
      <c r="P161" s="1744">
        <f>(R157-R167-R177)/R157*R187</f>
        <v>68075.174999999988</v>
      </c>
      <c r="Q161" s="1589"/>
      <c r="R161" s="654"/>
      <c r="S161" s="278"/>
      <c r="T161" s="1744">
        <f>(V157-V167-V177)/V157*V187</f>
        <v>68075.174999999988</v>
      </c>
      <c r="U161" s="1745"/>
      <c r="V161" s="1746"/>
      <c r="W161" s="1637"/>
      <c r="X161" s="1744"/>
      <c r="Y161" s="1719"/>
      <c r="Z161" s="1747"/>
      <c r="AA161" s="1243"/>
      <c r="AB161" s="309">
        <f>L161-(R161+V161+Z161)</f>
        <v>0</v>
      </c>
      <c r="AC161" s="1238"/>
      <c r="AD161" s="472"/>
      <c r="AE161" s="1307"/>
      <c r="AF161" s="1303"/>
      <c r="AG161" s="171"/>
      <c r="AH161" s="1311"/>
      <c r="AI161" s="1299"/>
      <c r="AJ161" s="1238"/>
      <c r="AK161" s="473"/>
    </row>
    <row r="162" spans="1:83" ht="15.95" customHeight="1" outlineLevel="2">
      <c r="A162" s="74"/>
      <c r="B162" s="61"/>
      <c r="C162" s="296">
        <v>709</v>
      </c>
      <c r="D162" s="170"/>
      <c r="E162" s="492"/>
      <c r="F162" s="63" t="s">
        <v>423</v>
      </c>
      <c r="G162" s="80"/>
      <c r="H162" s="650" t="s">
        <v>426</v>
      </c>
      <c r="I162" s="669"/>
      <c r="J162" s="131"/>
      <c r="L162" s="651">
        <f>R162+V162+Z162</f>
        <v>136150.34999999998</v>
      </c>
      <c r="N162" s="644"/>
      <c r="O162" s="227"/>
      <c r="P162" s="645">
        <f>R160/R159</f>
        <v>1</v>
      </c>
      <c r="Q162" s="1576"/>
      <c r="R162" s="652">
        <f>IFERROR(P161,0)</f>
        <v>68075.174999999988</v>
      </c>
      <c r="S162" s="278"/>
      <c r="T162" s="1748">
        <f>V160/V157</f>
        <v>0.33270886253396981</v>
      </c>
      <c r="U162" s="1719"/>
      <c r="V162" s="1747">
        <f>IFERROR(T161,0)</f>
        <v>68075.174999999988</v>
      </c>
      <c r="W162" s="1637"/>
      <c r="X162" s="1744"/>
      <c r="Y162" s="1719"/>
      <c r="Z162" s="1747"/>
      <c r="AA162" s="1243"/>
      <c r="AB162" s="309">
        <f>L162-(R162+V162+Z162)</f>
        <v>0</v>
      </c>
      <c r="AC162" s="1238"/>
      <c r="AD162" s="472"/>
      <c r="AE162" s="1307"/>
      <c r="AF162" s="1303"/>
      <c r="AG162" s="171"/>
      <c r="AH162" s="1311"/>
      <c r="AI162" s="1299"/>
      <c r="AJ162" s="1238"/>
      <c r="AK162" s="473"/>
    </row>
    <row r="163" spans="1:83" ht="15.95" customHeight="1" outlineLevel="2">
      <c r="A163" s="74"/>
      <c r="B163" s="61"/>
      <c r="C163" s="296">
        <v>709</v>
      </c>
      <c r="D163" s="170"/>
      <c r="E163" s="492"/>
      <c r="F163" s="99" t="s">
        <v>270</v>
      </c>
      <c r="G163" s="80"/>
      <c r="H163" s="65"/>
      <c r="I163" s="669"/>
      <c r="J163" s="249"/>
      <c r="K163" s="454"/>
      <c r="L163" s="651">
        <f>R163+V163+Z163</f>
        <v>0</v>
      </c>
      <c r="M163" s="172"/>
      <c r="N163" s="344"/>
      <c r="O163" s="227"/>
      <c r="P163" s="1590"/>
      <c r="Q163" s="1576"/>
      <c r="R163" s="652"/>
      <c r="S163" s="278"/>
      <c r="T163" s="1744"/>
      <c r="U163" s="1719"/>
      <c r="V163" s="1747"/>
      <c r="W163" s="1637"/>
      <c r="X163" s="1744"/>
      <c r="Y163" s="1719"/>
      <c r="Z163" s="1747"/>
      <c r="AA163" s="1243"/>
      <c r="AB163" s="309">
        <f>L163-(R163+V163+Z163)</f>
        <v>0</v>
      </c>
      <c r="AC163" s="1238"/>
      <c r="AD163" s="472"/>
      <c r="AE163" s="1307"/>
      <c r="AF163" s="1303"/>
      <c r="AG163" s="171"/>
      <c r="AH163" s="1311"/>
      <c r="AI163" s="1299"/>
      <c r="AJ163" s="1238"/>
      <c r="AK163" s="473"/>
    </row>
    <row r="164" spans="1:83" s="32" customFormat="1" ht="15.95" customHeight="1" outlineLevel="1">
      <c r="A164" s="72"/>
      <c r="B164" s="53"/>
      <c r="C164" s="296">
        <v>709</v>
      </c>
      <c r="D164" s="54"/>
      <c r="E164" s="492"/>
      <c r="F164" s="55" t="s">
        <v>271</v>
      </c>
      <c r="G164" s="56"/>
      <c r="H164" s="57"/>
      <c r="I164" s="669"/>
      <c r="J164" s="642"/>
      <c r="K164" s="454"/>
      <c r="L164" s="653">
        <f>SUM(L165:L166)</f>
        <v>0</v>
      </c>
      <c r="M164" s="167"/>
      <c r="N164" s="494"/>
      <c r="O164" s="227"/>
      <c r="P164" s="1587"/>
      <c r="Q164" s="1588"/>
      <c r="R164" s="655">
        <f>SUM(R165:R166)</f>
        <v>0</v>
      </c>
      <c r="S164" s="278"/>
      <c r="T164" s="3231" t="s">
        <v>1050</v>
      </c>
      <c r="U164" s="1741"/>
      <c r="V164" s="1742">
        <f>SUM(V165:V166)</f>
        <v>0</v>
      </c>
      <c r="W164" s="1637"/>
      <c r="X164" s="1743"/>
      <c r="Y164" s="1741"/>
      <c r="Z164" s="1742">
        <f>SUM(Z165:Z166)</f>
        <v>0</v>
      </c>
      <c r="AA164" s="1243"/>
      <c r="AB164" s="169">
        <f>SUM(AB165:AB166)</f>
        <v>0</v>
      </c>
      <c r="AC164" s="1278"/>
      <c r="AD164" s="472"/>
      <c r="AE164" s="1298"/>
      <c r="AF164" s="1304"/>
      <c r="AG164" s="166"/>
      <c r="AH164" s="1310"/>
      <c r="AI164" s="1300"/>
      <c r="AJ164" s="1278"/>
      <c r="AK164" s="473"/>
      <c r="AL164" s="379"/>
      <c r="AM164" s="379"/>
      <c r="AN164" s="379"/>
      <c r="AO164" s="379"/>
      <c r="AP164" s="379"/>
      <c r="AQ164" s="379"/>
      <c r="AR164" s="379"/>
      <c r="AS164" s="379"/>
      <c r="AT164" s="379"/>
      <c r="AU164" s="379"/>
      <c r="AV164" s="379"/>
      <c r="AW164" s="255"/>
      <c r="AX164" s="255"/>
      <c r="AY164" s="255"/>
      <c r="AZ164" s="255"/>
      <c r="BA164" s="255"/>
      <c r="BB164" s="255"/>
      <c r="BC164" s="255"/>
      <c r="BD164" s="255"/>
      <c r="BE164" s="255"/>
      <c r="BF164" s="255"/>
      <c r="BG164" s="255"/>
      <c r="BH164" s="255"/>
      <c r="BI164" s="255"/>
      <c r="BJ164" s="255"/>
      <c r="BK164" s="255"/>
      <c r="BL164" s="59"/>
      <c r="BM164" s="59"/>
      <c r="BN164" s="59"/>
      <c r="BO164" s="59"/>
      <c r="BP164" s="59"/>
      <c r="BQ164" s="59"/>
      <c r="BR164" s="59"/>
      <c r="BS164" s="59"/>
      <c r="BT164" s="59"/>
      <c r="BU164" s="59"/>
      <c r="BV164" s="59"/>
      <c r="BW164" s="59"/>
      <c r="BX164" s="59"/>
      <c r="BY164" s="59"/>
      <c r="BZ164" s="59"/>
      <c r="CA164" s="59"/>
      <c r="CB164" s="59"/>
      <c r="CC164" s="59"/>
      <c r="CD164" s="59"/>
      <c r="CE164" s="59"/>
    </row>
    <row r="165" spans="1:83" ht="15.95" customHeight="1" outlineLevel="2">
      <c r="A165" s="74">
        <v>168120</v>
      </c>
      <c r="B165" s="61"/>
      <c r="C165" s="296">
        <v>709</v>
      </c>
      <c r="D165" s="62" t="s">
        <v>272</v>
      </c>
      <c r="E165" s="495"/>
      <c r="F165" s="99" t="s">
        <v>376</v>
      </c>
      <c r="G165" s="80"/>
      <c r="H165" s="65"/>
      <c r="I165" s="669"/>
      <c r="J165" s="249"/>
      <c r="K165" s="454"/>
      <c r="L165" s="652">
        <f>R165+V165+Z165</f>
        <v>0</v>
      </c>
      <c r="M165" s="172"/>
      <c r="N165" s="344"/>
      <c r="O165" s="227"/>
      <c r="P165" s="1590"/>
      <c r="Q165" s="1576"/>
      <c r="R165" s="652"/>
      <c r="S165" s="278"/>
      <c r="T165" s="1744"/>
      <c r="U165" s="1719"/>
      <c r="V165" s="1747"/>
      <c r="W165" s="1637"/>
      <c r="X165" s="1744"/>
      <c r="Y165" s="1719"/>
      <c r="Z165" s="1747"/>
      <c r="AA165" s="1243"/>
      <c r="AB165" s="1223">
        <f>L165-(R165+Z165)</f>
        <v>0</v>
      </c>
      <c r="AC165" s="1238"/>
      <c r="AD165" s="472"/>
      <c r="AE165" s="1307"/>
      <c r="AF165" s="1303"/>
      <c r="AG165" s="171"/>
      <c r="AH165" s="1311"/>
      <c r="AI165" s="1299"/>
      <c r="AJ165" s="1238"/>
      <c r="AK165" s="473"/>
    </row>
    <row r="166" spans="1:83" ht="15.95" customHeight="1" outlineLevel="2">
      <c r="A166" s="74" t="s">
        <v>221</v>
      </c>
      <c r="B166" s="60"/>
      <c r="C166" s="296">
        <v>709</v>
      </c>
      <c r="D166" s="174" t="s">
        <v>273</v>
      </c>
      <c r="E166" s="495"/>
      <c r="F166" s="63" t="s">
        <v>274</v>
      </c>
      <c r="G166" s="175"/>
      <c r="H166" s="120"/>
      <c r="I166" s="669"/>
      <c r="J166" s="249"/>
      <c r="K166" s="454"/>
      <c r="L166" s="652">
        <f>R166+V166+Z166</f>
        <v>0</v>
      </c>
      <c r="M166" s="172"/>
      <c r="N166" s="344"/>
      <c r="O166" s="123"/>
      <c r="P166" s="1590"/>
      <c r="Q166" s="1576"/>
      <c r="R166" s="1591"/>
      <c r="S166" s="278"/>
      <c r="T166" s="1744"/>
      <c r="U166" s="1719"/>
      <c r="V166" s="1747"/>
      <c r="W166" s="1637"/>
      <c r="X166" s="1744"/>
      <c r="Y166" s="1719"/>
      <c r="Z166" s="1747"/>
      <c r="AA166" s="1243"/>
      <c r="AB166" s="1223">
        <f>L166-(R166+Z166)</f>
        <v>0</v>
      </c>
      <c r="AC166" s="1238"/>
      <c r="AD166" s="472"/>
      <c r="AE166" s="1307"/>
      <c r="AF166" s="1303"/>
      <c r="AG166" s="171"/>
      <c r="AH166" s="1311"/>
      <c r="AI166" s="1299"/>
      <c r="AJ166" s="1238"/>
      <c r="AK166" s="473"/>
    </row>
    <row r="167" spans="1:83" s="32" customFormat="1" ht="15.95" customHeight="1" outlineLevel="1">
      <c r="A167" s="72"/>
      <c r="B167" s="53"/>
      <c r="C167" s="296">
        <v>719</v>
      </c>
      <c r="D167" s="54"/>
      <c r="E167" s="492"/>
      <c r="F167" s="55" t="s">
        <v>275</v>
      </c>
      <c r="G167" s="56"/>
      <c r="H167" s="57"/>
      <c r="I167" s="669"/>
      <c r="J167" s="493"/>
      <c r="K167" s="454"/>
      <c r="L167" s="653">
        <f>SUM(L168:L175)</f>
        <v>0</v>
      </c>
      <c r="M167" s="167"/>
      <c r="N167" s="494"/>
      <c r="O167" s="227"/>
      <c r="P167" s="1587"/>
      <c r="Q167" s="1588"/>
      <c r="R167" s="655">
        <f>SUM(R168:R175)</f>
        <v>0</v>
      </c>
      <c r="S167" s="278"/>
      <c r="T167" s="1740"/>
      <c r="U167" s="1741"/>
      <c r="V167" s="1742">
        <f>SUM(V168:V175)</f>
        <v>0</v>
      </c>
      <c r="W167" s="1637"/>
      <c r="X167" s="1743"/>
      <c r="Y167" s="1741"/>
      <c r="Z167" s="1742">
        <f>SUM(Z168:Z175)</f>
        <v>0</v>
      </c>
      <c r="AA167" s="1243"/>
      <c r="AB167" s="169">
        <f>SUM(AB168:AB175)</f>
        <v>0</v>
      </c>
      <c r="AC167" s="1278"/>
      <c r="AD167" s="472"/>
      <c r="AE167" s="1298"/>
      <c r="AF167" s="1304"/>
      <c r="AG167" s="166"/>
      <c r="AH167" s="1310"/>
      <c r="AI167" s="1300"/>
      <c r="AJ167" s="1278"/>
      <c r="AK167" s="473"/>
      <c r="AL167" s="379"/>
      <c r="AM167" s="379"/>
      <c r="AN167" s="379"/>
      <c r="AO167" s="379"/>
      <c r="AP167" s="379"/>
      <c r="AQ167" s="379"/>
      <c r="AR167" s="379"/>
      <c r="AS167" s="379"/>
      <c r="AT167" s="379"/>
      <c r="AU167" s="379"/>
      <c r="AV167" s="379"/>
      <c r="AW167" s="255"/>
      <c r="AX167" s="255"/>
      <c r="AY167" s="255"/>
      <c r="AZ167" s="255"/>
      <c r="BA167" s="255"/>
      <c r="BB167" s="255"/>
      <c r="BC167" s="255"/>
      <c r="BD167" s="255"/>
      <c r="BE167" s="255"/>
      <c r="BF167" s="255"/>
      <c r="BG167" s="255"/>
      <c r="BH167" s="255"/>
      <c r="BI167" s="255"/>
      <c r="BJ167" s="255"/>
      <c r="BK167" s="255"/>
      <c r="BL167" s="59"/>
      <c r="BM167" s="59"/>
      <c r="BN167" s="59"/>
      <c r="BO167" s="59"/>
      <c r="BP167" s="59"/>
      <c r="BQ167" s="59"/>
      <c r="BR167" s="59"/>
      <c r="BS167" s="59"/>
      <c r="BT167" s="59"/>
      <c r="BU167" s="59"/>
      <c r="BV167" s="59"/>
      <c r="BW167" s="59"/>
      <c r="BX167" s="59"/>
      <c r="BY167" s="59"/>
      <c r="BZ167" s="59"/>
      <c r="CA167" s="59"/>
      <c r="CB167" s="59"/>
      <c r="CC167" s="59"/>
      <c r="CD167" s="59"/>
      <c r="CE167" s="59"/>
    </row>
    <row r="168" spans="1:83" ht="15.95" customHeight="1" outlineLevel="2">
      <c r="A168" s="94">
        <v>131100</v>
      </c>
      <c r="B168" s="61"/>
      <c r="C168" s="296">
        <v>719</v>
      </c>
      <c r="D168" s="170">
        <v>710</v>
      </c>
      <c r="E168" s="492"/>
      <c r="F168" s="63" t="s">
        <v>291</v>
      </c>
      <c r="G168" s="75"/>
      <c r="H168" s="65"/>
      <c r="I168" s="669"/>
      <c r="J168" s="493"/>
      <c r="K168" s="626">
        <f>L168/L159</f>
        <v>0</v>
      </c>
      <c r="L168" s="652">
        <f>R168+V168</f>
        <v>0</v>
      </c>
      <c r="M168" s="630"/>
      <c r="N168" s="344"/>
      <c r="O168" s="227"/>
      <c r="P168" s="645">
        <f>R168/R159</f>
        <v>0</v>
      </c>
      <c r="Q168" s="1576">
        <f>R168/Q2</f>
        <v>0</v>
      </c>
      <c r="R168" s="2257"/>
      <c r="S168" s="278"/>
      <c r="T168" s="2039">
        <f>V167/V159</f>
        <v>0</v>
      </c>
      <c r="U168" s="1719">
        <f>V168/U2</f>
        <v>0</v>
      </c>
      <c r="V168" s="1747"/>
      <c r="W168" s="1637"/>
      <c r="X168" s="1744"/>
      <c r="Y168" s="1719"/>
      <c r="Z168" s="1747"/>
      <c r="AA168" s="1243"/>
      <c r="AB168" s="309">
        <f>L168-(R168+V168+Z168)</f>
        <v>0</v>
      </c>
      <c r="AC168" s="1238"/>
      <c r="AD168" s="472"/>
      <c r="AE168" s="1307"/>
      <c r="AF168" s="1303"/>
      <c r="AG168" s="171"/>
      <c r="AH168" s="1311"/>
      <c r="AI168" s="1299"/>
      <c r="AJ168" s="1238"/>
      <c r="AK168" s="473"/>
    </row>
    <row r="169" spans="1:83" ht="15.95" customHeight="1" outlineLevel="2">
      <c r="A169" s="74">
        <v>131100</v>
      </c>
      <c r="B169" s="61"/>
      <c r="C169" s="296">
        <v>719</v>
      </c>
      <c r="D169" s="170">
        <v>711</v>
      </c>
      <c r="E169" s="492"/>
      <c r="F169" s="63" t="s">
        <v>292</v>
      </c>
      <c r="G169" s="75"/>
      <c r="H169" s="65"/>
      <c r="I169" s="669"/>
      <c r="J169" s="249"/>
      <c r="K169" s="454">
        <f>L168/G2</f>
        <v>0</v>
      </c>
      <c r="L169" s="652">
        <f t="shared" ref="L169:L175" si="109">R169+V169</f>
        <v>0</v>
      </c>
      <c r="M169" s="172"/>
      <c r="N169" s="344"/>
      <c r="O169" s="227"/>
      <c r="P169" s="1237" t="s">
        <v>581</v>
      </c>
      <c r="Q169" s="675">
        <f>'Prgr. 2018'!X45</f>
        <v>1089572.31</v>
      </c>
      <c r="R169" s="652"/>
      <c r="S169" s="278"/>
      <c r="T169" s="1749" t="s">
        <v>581</v>
      </c>
      <c r="U169" s="1750">
        <f>'Prgr. 2018'!Y45+'Prgr. 2018'!U44*'Prgr. 2018'!NbreLLTS</f>
        <v>1656125.2250000001</v>
      </c>
      <c r="V169" s="1747"/>
      <c r="W169" s="1637"/>
      <c r="X169" s="1744"/>
      <c r="Y169" s="1719"/>
      <c r="Z169" s="1747"/>
      <c r="AA169" s="1243"/>
      <c r="AB169" s="309">
        <f>L169-(R169+V169+Z169)</f>
        <v>0</v>
      </c>
      <c r="AC169" s="1238"/>
      <c r="AD169" s="472"/>
      <c r="AE169" s="1307"/>
      <c r="AF169" s="1303"/>
      <c r="AG169" s="171"/>
      <c r="AH169" s="1311"/>
      <c r="AI169" s="1299"/>
      <c r="AJ169" s="1238"/>
      <c r="AK169" s="473"/>
    </row>
    <row r="170" spans="1:83" ht="15.95" customHeight="1" outlineLevel="2">
      <c r="A170" s="74">
        <v>131400</v>
      </c>
      <c r="B170" s="61"/>
      <c r="C170" s="296">
        <v>719</v>
      </c>
      <c r="D170" s="170">
        <v>713</v>
      </c>
      <c r="E170" s="492"/>
      <c r="F170" s="63" t="s">
        <v>276</v>
      </c>
      <c r="G170" s="75"/>
      <c r="H170" s="65"/>
      <c r="I170" s="669"/>
      <c r="J170" s="249"/>
      <c r="K170" s="454"/>
      <c r="L170" s="652">
        <f t="shared" si="109"/>
        <v>0</v>
      </c>
      <c r="M170" s="172"/>
      <c r="N170" s="344"/>
      <c r="O170" s="227"/>
      <c r="P170" s="1590"/>
      <c r="Q170" s="1576">
        <f>R168/Q169</f>
        <v>0</v>
      </c>
      <c r="R170" s="652"/>
      <c r="S170" s="278"/>
      <c r="T170" s="2034" t="e">
        <f>#REF!</f>
        <v>#REF!</v>
      </c>
      <c r="U170" s="1751">
        <f>V168/U169</f>
        <v>0</v>
      </c>
      <c r="V170" s="1747"/>
      <c r="W170" s="1637"/>
      <c r="X170" s="1744"/>
      <c r="Y170" s="1719"/>
      <c r="Z170" s="1747"/>
      <c r="AA170" s="1243"/>
      <c r="AB170" s="309">
        <f>L170-(R170+Z170)</f>
        <v>0</v>
      </c>
      <c r="AC170" s="1238"/>
      <c r="AD170" s="472"/>
      <c r="AE170" s="1307"/>
      <c r="AF170" s="1303"/>
      <c r="AG170" s="171"/>
      <c r="AH170" s="1311"/>
      <c r="AI170" s="1299"/>
      <c r="AJ170" s="1238"/>
      <c r="AK170" s="473"/>
    </row>
    <row r="171" spans="1:83" ht="15.95" customHeight="1" outlineLevel="2">
      <c r="A171" s="74">
        <v>131610</v>
      </c>
      <c r="B171" s="60"/>
      <c r="C171" s="296">
        <v>719</v>
      </c>
      <c r="D171" s="176">
        <v>714</v>
      </c>
      <c r="E171" s="492"/>
      <c r="F171" s="63" t="s">
        <v>277</v>
      </c>
      <c r="G171" s="175"/>
      <c r="H171" s="120"/>
      <c r="I171" s="669"/>
      <c r="J171" s="249"/>
      <c r="K171" s="454"/>
      <c r="L171" s="652">
        <f t="shared" si="109"/>
        <v>0</v>
      </c>
      <c r="M171" s="172"/>
      <c r="N171" s="344"/>
      <c r="O171" s="227"/>
      <c r="P171" s="2265" t="s">
        <v>919</v>
      </c>
      <c r="Q171" s="2266" t="e">
        <f>R168/#REF!</f>
        <v>#REF!</v>
      </c>
      <c r="R171" s="652"/>
      <c r="S171" s="278"/>
      <c r="T171" s="2265" t="s">
        <v>1037</v>
      </c>
      <c r="U171" s="2267" t="e">
        <f>V168/#REF!</f>
        <v>#REF!</v>
      </c>
      <c r="V171" s="1747"/>
      <c r="W171" s="1637"/>
      <c r="X171" s="1744"/>
      <c r="Y171" s="1719"/>
      <c r="Z171" s="1747"/>
      <c r="AA171" s="1243"/>
      <c r="AB171" s="309">
        <f>L171-(R171+V171+Z171)</f>
        <v>0</v>
      </c>
      <c r="AC171" s="1238"/>
      <c r="AD171" s="472"/>
      <c r="AE171" s="1307"/>
      <c r="AF171" s="1303"/>
      <c r="AG171" s="171"/>
      <c r="AH171" s="1311"/>
      <c r="AI171" s="1299"/>
      <c r="AJ171" s="1238"/>
      <c r="AK171" s="473"/>
    </row>
    <row r="172" spans="1:83" ht="15.95" customHeight="1" outlineLevel="2">
      <c r="A172" s="74">
        <v>131620</v>
      </c>
      <c r="B172" s="61"/>
      <c r="C172" s="296">
        <v>719</v>
      </c>
      <c r="D172" s="170">
        <v>715</v>
      </c>
      <c r="E172" s="492"/>
      <c r="F172" s="63" t="s">
        <v>278</v>
      </c>
      <c r="G172" s="75"/>
      <c r="H172" s="65"/>
      <c r="I172" s="669"/>
      <c r="J172" s="249"/>
      <c r="K172" s="454"/>
      <c r="L172" s="652">
        <f t="shared" si="109"/>
        <v>0</v>
      </c>
      <c r="M172" s="172"/>
      <c r="N172" s="344"/>
      <c r="O172" s="227"/>
      <c r="P172" s="1590"/>
      <c r="Q172" s="1576"/>
      <c r="R172" s="652"/>
      <c r="S172" s="278"/>
      <c r="T172" s="1744"/>
      <c r="U172" s="1719"/>
      <c r="V172" s="1747"/>
      <c r="W172" s="1637"/>
      <c r="X172" s="1744"/>
      <c r="Y172" s="1719"/>
      <c r="Z172" s="1747"/>
      <c r="AA172" s="1243"/>
      <c r="AB172" s="309">
        <f>L172-(R172+Z172)</f>
        <v>0</v>
      </c>
      <c r="AC172" s="1238"/>
      <c r="AD172" s="472"/>
      <c r="AE172" s="1307"/>
      <c r="AF172" s="1303"/>
      <c r="AG172" s="171"/>
      <c r="AH172" s="1311"/>
      <c r="AI172" s="1299"/>
      <c r="AJ172" s="1238"/>
      <c r="AK172" s="473"/>
    </row>
    <row r="173" spans="1:83" ht="15.95" customHeight="1" outlineLevel="2">
      <c r="A173" s="74">
        <v>131750</v>
      </c>
      <c r="B173" s="61"/>
      <c r="C173" s="296">
        <v>719</v>
      </c>
      <c r="D173" s="170">
        <v>716</v>
      </c>
      <c r="E173" s="492"/>
      <c r="F173" s="63" t="s">
        <v>279</v>
      </c>
      <c r="G173" s="122"/>
      <c r="H173" s="65"/>
      <c r="I173" s="669"/>
      <c r="J173" s="249"/>
      <c r="K173" s="454"/>
      <c r="L173" s="652">
        <f t="shared" si="109"/>
        <v>0</v>
      </c>
      <c r="M173" s="172"/>
      <c r="N173" s="344"/>
      <c r="O173" s="227"/>
      <c r="P173" s="1590"/>
      <c r="Q173" s="1576"/>
      <c r="R173" s="652"/>
      <c r="S173" s="278"/>
      <c r="T173" s="1744"/>
      <c r="U173" s="1719"/>
      <c r="V173" s="1747"/>
      <c r="W173" s="1637"/>
      <c r="X173" s="1744"/>
      <c r="Y173" s="1719"/>
      <c r="Z173" s="1747"/>
      <c r="AA173" s="1243"/>
      <c r="AB173" s="309">
        <f>L173-(R173+Z173)</f>
        <v>0</v>
      </c>
      <c r="AC173" s="1238"/>
      <c r="AD173" s="472"/>
      <c r="AE173" s="1307"/>
      <c r="AF173" s="1303"/>
      <c r="AG173" s="171"/>
      <c r="AH173" s="1311"/>
      <c r="AI173" s="1299"/>
      <c r="AJ173" s="1238"/>
      <c r="AK173" s="473"/>
    </row>
    <row r="174" spans="1:83" ht="15.95" customHeight="1" outlineLevel="2">
      <c r="A174" s="74">
        <v>131760</v>
      </c>
      <c r="B174" s="61"/>
      <c r="C174" s="296">
        <v>719</v>
      </c>
      <c r="D174" s="170">
        <v>717</v>
      </c>
      <c r="E174" s="492"/>
      <c r="F174" s="63" t="s">
        <v>377</v>
      </c>
      <c r="G174" s="122" t="s">
        <v>378</v>
      </c>
      <c r="H174" s="120"/>
      <c r="I174" s="669"/>
      <c r="J174" s="249"/>
      <c r="K174" s="454"/>
      <c r="L174" s="652">
        <f t="shared" si="109"/>
        <v>0</v>
      </c>
      <c r="M174" s="172"/>
      <c r="N174" s="344"/>
      <c r="O174" s="227"/>
      <c r="P174" s="1590"/>
      <c r="Q174" s="1576"/>
      <c r="R174" s="652"/>
      <c r="S174" s="278"/>
      <c r="T174" s="1744"/>
      <c r="U174" s="1719"/>
      <c r="V174" s="1747"/>
      <c r="W174" s="1637"/>
      <c r="X174" s="1744"/>
      <c r="Y174" s="1719"/>
      <c r="Z174" s="1747"/>
      <c r="AA174" s="1243"/>
      <c r="AB174" s="309">
        <f>L174-(R174+V174+Z174)</f>
        <v>0</v>
      </c>
      <c r="AC174" s="1238"/>
      <c r="AD174" s="472"/>
      <c r="AE174" s="1307"/>
      <c r="AF174" s="1303"/>
      <c r="AG174" s="171"/>
      <c r="AH174" s="1311"/>
      <c r="AI174" s="1299"/>
      <c r="AJ174" s="1238"/>
      <c r="AK174" s="473"/>
    </row>
    <row r="175" spans="1:83" ht="15.95" customHeight="1" outlineLevel="2">
      <c r="A175" s="74">
        <v>131800</v>
      </c>
      <c r="B175" s="61"/>
      <c r="C175" s="296">
        <v>719</v>
      </c>
      <c r="D175" s="170">
        <v>718</v>
      </c>
      <c r="E175" s="492"/>
      <c r="F175" s="63" t="s">
        <v>377</v>
      </c>
      <c r="G175" s="122" t="s">
        <v>72</v>
      </c>
      <c r="H175" s="177"/>
      <c r="I175" s="669"/>
      <c r="J175" s="249"/>
      <c r="K175" s="454"/>
      <c r="L175" s="652">
        <f t="shared" si="109"/>
        <v>0</v>
      </c>
      <c r="M175" s="172"/>
      <c r="N175" s="344"/>
      <c r="O175" s="227"/>
      <c r="P175" s="1590"/>
      <c r="Q175" s="1576"/>
      <c r="R175" s="652"/>
      <c r="S175" s="496"/>
      <c r="T175" s="1744"/>
      <c r="U175" s="1719"/>
      <c r="V175" s="1747"/>
      <c r="W175" s="1752"/>
      <c r="X175" s="1744"/>
      <c r="Y175" s="1719"/>
      <c r="Z175" s="1747">
        <v>0</v>
      </c>
      <c r="AA175" s="1243"/>
      <c r="AB175" s="309">
        <f>L175-(R175+V175+Z175)</f>
        <v>0</v>
      </c>
      <c r="AC175" s="1238"/>
      <c r="AD175" s="472"/>
      <c r="AE175" s="1307"/>
      <c r="AF175" s="1303"/>
      <c r="AG175" s="171"/>
      <c r="AH175" s="1311"/>
      <c r="AI175" s="1299"/>
      <c r="AJ175" s="1238"/>
      <c r="AK175" s="473"/>
    </row>
    <row r="176" spans="1:83" s="32" customFormat="1" ht="15.95" customHeight="1" outlineLevel="1">
      <c r="A176" s="94"/>
      <c r="B176" s="178"/>
      <c r="C176" s="296">
        <v>729</v>
      </c>
      <c r="D176" s="128" t="s">
        <v>280</v>
      </c>
      <c r="E176" s="492"/>
      <c r="F176" s="95" t="s">
        <v>281</v>
      </c>
      <c r="G176" s="179"/>
      <c r="H176" s="97"/>
      <c r="I176" s="669"/>
      <c r="J176" s="249"/>
      <c r="K176" s="454"/>
      <c r="L176" s="653">
        <f>SUM(L177:L178)</f>
        <v>0</v>
      </c>
      <c r="M176" s="180"/>
      <c r="N176" s="466"/>
      <c r="O176" s="227"/>
      <c r="P176" s="1590"/>
      <c r="Q176" s="1576"/>
      <c r="R176" s="656">
        <f>SUM(R177:R178)</f>
        <v>0</v>
      </c>
      <c r="S176" s="278"/>
      <c r="T176" s="1744"/>
      <c r="U176" s="1753"/>
      <c r="V176" s="1754">
        <f>SUM(V177:V178)</f>
        <v>0</v>
      </c>
      <c r="W176" s="1637"/>
      <c r="X176" s="1755"/>
      <c r="Y176" s="1753"/>
      <c r="Z176" s="1754">
        <f>SUM(Z178:Z178)</f>
        <v>0</v>
      </c>
      <c r="AA176" s="1243"/>
      <c r="AB176" s="169">
        <f>SUM(AB177)</f>
        <v>0</v>
      </c>
      <c r="AC176" s="1239"/>
      <c r="AD176" s="472"/>
      <c r="AE176" s="1308"/>
      <c r="AF176" s="1303"/>
      <c r="AG176" s="1306"/>
      <c r="AH176" s="1311"/>
      <c r="AI176" s="1300"/>
      <c r="AJ176" s="1239"/>
      <c r="AK176" s="473"/>
      <c r="AL176" s="255"/>
      <c r="AM176" s="255"/>
      <c r="AN176" s="255"/>
      <c r="AO176" s="255"/>
      <c r="AP176" s="255"/>
      <c r="AQ176" s="255"/>
      <c r="AR176" s="255"/>
      <c r="AS176" s="255"/>
      <c r="AT176" s="255"/>
      <c r="AU176" s="255"/>
      <c r="AV176" s="255"/>
      <c r="AW176" s="255"/>
      <c r="AX176" s="255"/>
      <c r="AY176" s="255"/>
      <c r="AZ176" s="255"/>
      <c r="BA176" s="255"/>
      <c r="BB176" s="255"/>
      <c r="BC176" s="255"/>
      <c r="BD176" s="255"/>
      <c r="BE176" s="255"/>
      <c r="BF176" s="255"/>
      <c r="BG176" s="255"/>
      <c r="BH176" s="255"/>
      <c r="BI176" s="255"/>
      <c r="BJ176" s="255"/>
      <c r="BK176" s="255"/>
    </row>
    <row r="177" spans="1:63" ht="15.95" customHeight="1" outlineLevel="1">
      <c r="A177" s="74"/>
      <c r="B177" s="61"/>
      <c r="C177" s="296"/>
      <c r="D177" s="62"/>
      <c r="E177" s="492"/>
      <c r="F177" s="63" t="s">
        <v>914</v>
      </c>
      <c r="G177" s="75"/>
      <c r="H177" s="65"/>
      <c r="I177" s="669"/>
      <c r="J177" s="249"/>
      <c r="K177" s="625">
        <f>L177/L159</f>
        <v>0</v>
      </c>
      <c r="L177" s="651">
        <f>R177+V177+Z177</f>
        <v>0</v>
      </c>
      <c r="M177" s="630"/>
      <c r="N177" s="344"/>
      <c r="O177" s="227"/>
      <c r="P177" s="645">
        <f>R177/R159</f>
        <v>0</v>
      </c>
      <c r="Q177" s="1576"/>
      <c r="R177" s="651">
        <f>IFERROR(#REF!,0)</f>
        <v>0</v>
      </c>
      <c r="S177" s="278"/>
      <c r="T177" s="1748">
        <f>V177/V159</f>
        <v>0</v>
      </c>
      <c r="U177" s="1756"/>
      <c r="V177" s="1757">
        <f>IFERROR(#REF!,0)</f>
        <v>0</v>
      </c>
      <c r="W177" s="1637"/>
      <c r="X177" s="1744"/>
      <c r="Y177" s="1756" t="e">
        <f>Z176/Y5</f>
        <v>#DIV/0!</v>
      </c>
      <c r="Z177" s="1747"/>
      <c r="AA177" s="1243"/>
      <c r="AB177" s="309">
        <f>L177-(R177+V177+Z177)</f>
        <v>0</v>
      </c>
      <c r="AC177" s="1238"/>
      <c r="AD177" s="472"/>
      <c r="AE177" s="1307"/>
      <c r="AF177" s="1303"/>
      <c r="AG177" s="171"/>
      <c r="AH177" s="1311"/>
      <c r="AI177" s="1299"/>
      <c r="AJ177" s="1238"/>
      <c r="AK177" s="473"/>
    </row>
    <row r="178" spans="1:63" ht="15.95" customHeight="1" outlineLevel="1">
      <c r="A178" s="74"/>
      <c r="B178" s="61"/>
      <c r="C178" s="296"/>
      <c r="D178" s="62"/>
      <c r="E178" s="492"/>
      <c r="F178" s="89" t="s">
        <v>281</v>
      </c>
      <c r="G178" s="75"/>
      <c r="H178" s="65"/>
      <c r="I178" s="669"/>
      <c r="J178" s="249"/>
      <c r="K178" s="454"/>
      <c r="L178" s="652">
        <f>R178+V178+Z178</f>
        <v>0</v>
      </c>
      <c r="M178" s="172"/>
      <c r="N178" s="344"/>
      <c r="O178" s="227"/>
      <c r="P178" s="1590"/>
      <c r="Q178" s="1576"/>
      <c r="R178" s="652"/>
      <c r="S178" s="278"/>
      <c r="T178" s="1744"/>
      <c r="U178" s="1751"/>
      <c r="V178" s="1747"/>
      <c r="W178" s="1637"/>
      <c r="X178" s="1744" t="s">
        <v>379</v>
      </c>
      <c r="Y178" s="1751" t="e">
        <f>Z158/Z155</f>
        <v>#DIV/0!</v>
      </c>
      <c r="Z178" s="1747">
        <f>Z155</f>
        <v>0</v>
      </c>
      <c r="AA178" s="1243"/>
      <c r="AB178" s="309">
        <f>L178-(R178+V178+Z178)</f>
        <v>0</v>
      </c>
      <c r="AC178" s="605"/>
      <c r="AD178" s="472"/>
      <c r="AE178" s="1307"/>
      <c r="AF178" s="1303"/>
      <c r="AG178" s="171"/>
      <c r="AH178" s="1311"/>
      <c r="AI178" s="1299"/>
      <c r="AJ178" s="1238"/>
      <c r="AK178" s="473"/>
    </row>
    <row r="179" spans="1:63" s="32" customFormat="1" ht="15.95" customHeight="1" thickBot="1">
      <c r="A179" s="181"/>
      <c r="B179" s="182"/>
      <c r="C179" s="497"/>
      <c r="D179" s="183"/>
      <c r="E179" s="498"/>
      <c r="F179" s="184"/>
      <c r="G179" s="185"/>
      <c r="H179" s="186"/>
      <c r="I179" s="499">
        <f>+K187*L161</f>
        <v>0</v>
      </c>
      <c r="J179" s="500"/>
      <c r="K179" s="501"/>
      <c r="L179" s="187"/>
      <c r="M179" s="188"/>
      <c r="N179" s="502"/>
      <c r="O179" s="227"/>
      <c r="P179" s="503"/>
      <c r="Q179" s="504"/>
      <c r="R179" s="187"/>
      <c r="S179" s="278"/>
      <c r="T179" s="1758"/>
      <c r="U179" s="1759"/>
      <c r="V179" s="1760"/>
      <c r="W179" s="1637"/>
      <c r="X179" s="1758"/>
      <c r="Y179" s="1759"/>
      <c r="Z179" s="1760"/>
      <c r="AA179" s="1243"/>
      <c r="AB179" s="1242">
        <f>L179-(R179+Z179)</f>
        <v>0</v>
      </c>
      <c r="AC179" s="189"/>
      <c r="AD179" s="505"/>
      <c r="AE179" s="1301"/>
      <c r="AF179" s="189"/>
      <c r="AG179" s="187"/>
      <c r="AH179" s="1312"/>
      <c r="AI179" s="1301"/>
      <c r="AJ179" s="1296"/>
      <c r="AK179" s="506"/>
      <c r="AL179" s="255"/>
      <c r="AM179" s="255"/>
      <c r="AN179" s="255"/>
      <c r="AO179" s="255"/>
      <c r="AP179" s="255"/>
      <c r="AQ179" s="255"/>
      <c r="AR179" s="255"/>
      <c r="AS179" s="255"/>
      <c r="AT179" s="255"/>
      <c r="AU179" s="255"/>
      <c r="AV179" s="255"/>
      <c r="AW179" s="255"/>
      <c r="AX179" s="255"/>
      <c r="AY179" s="255"/>
      <c r="AZ179" s="255"/>
      <c r="BA179" s="255"/>
      <c r="BB179" s="255"/>
      <c r="BC179" s="255"/>
      <c r="BD179" s="255"/>
      <c r="BE179" s="255"/>
      <c r="BF179" s="255"/>
      <c r="BG179" s="255"/>
      <c r="BH179" s="255"/>
      <c r="BI179" s="255"/>
      <c r="BJ179" s="255"/>
      <c r="BK179" s="255"/>
    </row>
    <row r="180" spans="1:63" ht="15.95" customHeight="1">
      <c r="A180" s="22"/>
      <c r="B180" s="190"/>
      <c r="C180" s="507"/>
      <c r="D180" s="192"/>
      <c r="E180" s="508"/>
      <c r="F180" s="89"/>
      <c r="G180" s="193"/>
      <c r="H180" s="120"/>
      <c r="I180" s="670"/>
      <c r="J180" s="249"/>
      <c r="K180" s="298"/>
      <c r="L180" s="194"/>
      <c r="M180" s="195"/>
      <c r="N180" s="196"/>
      <c r="O180" s="227"/>
      <c r="P180" s="1592"/>
      <c r="Q180" s="1525"/>
      <c r="R180" s="1303"/>
      <c r="S180" s="278"/>
      <c r="T180" s="1761"/>
      <c r="U180" s="1660"/>
      <c r="V180" s="1762"/>
      <c r="W180" s="1637"/>
      <c r="X180" s="1761"/>
      <c r="Y180" s="1660"/>
      <c r="Z180" s="1762"/>
      <c r="AA180" s="1243"/>
      <c r="AB180" s="1280"/>
      <c r="AC180" s="1280"/>
      <c r="AD180" s="1280"/>
      <c r="AE180" s="1280"/>
      <c r="AF180" s="509"/>
      <c r="AG180" s="237"/>
      <c r="AH180" s="165"/>
      <c r="AI180" s="131"/>
      <c r="AJ180" s="131"/>
    </row>
    <row r="181" spans="1:63" s="519" customFormat="1" ht="15.95" customHeight="1">
      <c r="A181" s="510"/>
      <c r="B181" s="510"/>
      <c r="C181" s="511"/>
      <c r="D181" s="512"/>
      <c r="E181" s="513"/>
      <c r="F181" s="490"/>
      <c r="G181" s="514"/>
      <c r="H181" s="514"/>
      <c r="I181" s="671"/>
      <c r="J181" s="490">
        <f>2932417*K187</f>
        <v>975641.12454527617</v>
      </c>
      <c r="K181" s="515"/>
      <c r="L181" s="516"/>
      <c r="M181" s="517"/>
      <c r="N181" s="517"/>
      <c r="O181" s="227"/>
      <c r="P181" s="1593"/>
      <c r="Q181" s="1594"/>
      <c r="R181" s="1595"/>
      <c r="S181" s="371"/>
      <c r="T181" s="1763"/>
      <c r="U181" s="1764"/>
      <c r="V181" s="1765"/>
      <c r="W181" s="1666"/>
      <c r="X181" s="1766"/>
      <c r="Y181" s="1764"/>
      <c r="Z181" s="1765"/>
      <c r="AA181" s="1246"/>
      <c r="AB181" s="1279"/>
      <c r="AC181" s="1279"/>
      <c r="AD181" s="1279"/>
      <c r="AE181" s="1279"/>
      <c r="AF181" s="518"/>
      <c r="AG181" s="518"/>
      <c r="AH181" s="490"/>
      <c r="AI181" s="518"/>
      <c r="AJ181" s="518"/>
      <c r="AK181" s="490"/>
      <c r="AL181" s="295"/>
      <c r="AM181" s="295"/>
      <c r="AN181" s="295"/>
      <c r="AO181" s="295"/>
      <c r="AP181" s="295"/>
      <c r="AQ181" s="295"/>
      <c r="AR181" s="295"/>
      <c r="AS181" s="295"/>
      <c r="AT181" s="295"/>
      <c r="AU181" s="295"/>
      <c r="AV181" s="295"/>
      <c r="AW181" s="255"/>
      <c r="AX181" s="255"/>
      <c r="AY181" s="255"/>
      <c r="AZ181" s="255"/>
      <c r="BA181" s="255"/>
      <c r="BB181" s="255"/>
      <c r="BC181" s="255"/>
      <c r="BD181" s="255"/>
      <c r="BE181" s="255"/>
      <c r="BF181" s="255"/>
      <c r="BG181" s="255"/>
      <c r="BH181" s="255"/>
      <c r="BI181" s="255"/>
      <c r="BJ181" s="255"/>
      <c r="BK181" s="255"/>
    </row>
    <row r="182" spans="1:63" ht="18" customHeight="1" outlineLevel="1" thickBot="1">
      <c r="B182" s="199"/>
      <c r="D182" s="154"/>
      <c r="F182" s="200" t="s">
        <v>282</v>
      </c>
      <c r="G182" s="201"/>
      <c r="H182" s="202"/>
      <c r="I182" s="657"/>
      <c r="J182" s="209"/>
      <c r="K182" s="520"/>
      <c r="L182" s="154"/>
      <c r="M182" s="204"/>
      <c r="N182" s="205"/>
      <c r="O182" s="227"/>
      <c r="P182" s="1596" t="s">
        <v>2</v>
      </c>
      <c r="R182" s="1598"/>
      <c r="S182" s="278"/>
      <c r="T182" s="1767" t="s">
        <v>3</v>
      </c>
      <c r="V182" s="1769"/>
      <c r="W182" s="1637"/>
      <c r="X182" s="1767" t="s">
        <v>380</v>
      </c>
      <c r="Z182" s="1769"/>
      <c r="AA182" s="1243"/>
      <c r="AB182" s="1281"/>
      <c r="AC182" s="1281"/>
      <c r="AD182" s="1281"/>
      <c r="AE182" s="131"/>
      <c r="AF182" s="509"/>
      <c r="AG182" s="237"/>
      <c r="AH182" s="165"/>
      <c r="AI182" s="249"/>
      <c r="AJ182" s="249"/>
      <c r="AK182" s="249"/>
      <c r="AL182" s="249"/>
      <c r="AM182" s="249"/>
      <c r="AN182" s="249"/>
    </row>
    <row r="183" spans="1:63" s="32" customFormat="1" ht="18" customHeight="1" outlineLevel="1" thickBot="1">
      <c r="A183" s="207"/>
      <c r="B183" s="208"/>
      <c r="C183" s="203"/>
      <c r="D183" s="209"/>
      <c r="E183" s="203"/>
      <c r="F183" s="522" t="s">
        <v>283</v>
      </c>
      <c r="G183" s="523"/>
      <c r="H183" s="32" t="s">
        <v>381</v>
      </c>
      <c r="I183" s="524" t="s">
        <v>28</v>
      </c>
      <c r="J183" s="525"/>
      <c r="K183" s="526" t="s">
        <v>7</v>
      </c>
      <c r="L183" s="527" t="s">
        <v>284</v>
      </c>
      <c r="M183" s="528" t="s">
        <v>308</v>
      </c>
      <c r="N183" s="529" t="s">
        <v>26</v>
      </c>
      <c r="O183" s="227"/>
      <c r="P183" s="530" t="s">
        <v>28</v>
      </c>
      <c r="Q183" s="1599" t="s">
        <v>7</v>
      </c>
      <c r="R183" s="527" t="s">
        <v>284</v>
      </c>
      <c r="S183" s="278"/>
      <c r="T183" s="1770" t="s">
        <v>28</v>
      </c>
      <c r="U183" s="1771" t="s">
        <v>7</v>
      </c>
      <c r="V183" s="1772" t="s">
        <v>284</v>
      </c>
      <c r="W183" s="1637"/>
      <c r="X183" s="1770" t="s">
        <v>28</v>
      </c>
      <c r="Y183" s="1771" t="s">
        <v>17</v>
      </c>
      <c r="Z183" s="1772" t="s">
        <v>284</v>
      </c>
      <c r="AA183" s="1243"/>
      <c r="AB183" s="1281"/>
      <c r="AC183" s="1281"/>
      <c r="AD183" s="1281"/>
      <c r="AE183" s="531"/>
      <c r="AF183" s="531"/>
      <c r="AG183" s="531"/>
      <c r="AH183" s="165"/>
      <c r="AI183" s="89"/>
      <c r="AJ183" s="89"/>
      <c r="AK183" s="89"/>
      <c r="AL183" s="89"/>
      <c r="AM183" s="89"/>
      <c r="AN183" s="89"/>
      <c r="AO183" s="255"/>
      <c r="AP183" s="255"/>
      <c r="AQ183" s="255"/>
      <c r="AR183" s="255"/>
      <c r="AS183" s="255"/>
      <c r="AT183" s="255"/>
      <c r="AU183" s="255"/>
      <c r="AV183" s="255"/>
      <c r="AW183" s="255"/>
      <c r="AX183" s="255"/>
      <c r="AY183" s="255"/>
      <c r="AZ183" s="255"/>
      <c r="BA183" s="255"/>
      <c r="BB183" s="255"/>
      <c r="BC183" s="255"/>
      <c r="BD183" s="255"/>
      <c r="BE183" s="255"/>
      <c r="BF183" s="255"/>
      <c r="BG183" s="255"/>
      <c r="BH183" s="255"/>
      <c r="BI183" s="255"/>
      <c r="BJ183" s="255"/>
      <c r="BK183" s="255"/>
    </row>
    <row r="184" spans="1:63" ht="18" customHeight="1" outlineLevel="1">
      <c r="B184" s="199"/>
      <c r="D184" s="154"/>
      <c r="F184" s="152"/>
      <c r="G184" s="211"/>
      <c r="I184" s="672"/>
      <c r="J184" s="532"/>
      <c r="K184" s="533">
        <f>1+TVAS</f>
        <v>1.0209999999999999</v>
      </c>
      <c r="L184" s="534"/>
      <c r="M184" s="535"/>
      <c r="N184" s="536"/>
      <c r="O184" s="227"/>
      <c r="P184" s="1600"/>
      <c r="Q184" s="537">
        <f>1+TVAS</f>
        <v>1.0209999999999999</v>
      </c>
      <c r="R184" s="1601"/>
      <c r="S184" s="278"/>
      <c r="T184" s="1773"/>
      <c r="U184" s="1774">
        <f>1+TVAS</f>
        <v>1.0209999999999999</v>
      </c>
      <c r="V184" s="1775"/>
      <c r="W184" s="1637"/>
      <c r="X184" s="1773"/>
      <c r="Y184" s="1774">
        <f>1+TVAN</f>
        <v>1.085</v>
      </c>
      <c r="Z184" s="1775"/>
      <c r="AA184" s="1243"/>
      <c r="AB184" s="1281"/>
      <c r="AC184" s="1281"/>
      <c r="AD184" s="1281"/>
      <c r="AE184" s="531"/>
      <c r="AF184" s="531"/>
      <c r="AG184" s="531"/>
      <c r="AH184" s="165"/>
      <c r="AI184" s="89"/>
      <c r="AJ184" s="89"/>
      <c r="AK184" s="89"/>
      <c r="AL184" s="89"/>
      <c r="AM184" s="89"/>
      <c r="AN184" s="89"/>
    </row>
    <row r="185" spans="1:63" ht="18" customHeight="1" outlineLevel="1">
      <c r="B185" s="199"/>
      <c r="D185" s="154"/>
      <c r="F185" s="152" t="s">
        <v>285</v>
      </c>
      <c r="G185" s="212"/>
      <c r="H185" s="538">
        <f t="shared" ref="H185:H186" si="110">+P185+T185-I185</f>
        <v>0</v>
      </c>
      <c r="I185" s="666">
        <f>P185+T185+X185</f>
        <v>64050.000000000007</v>
      </c>
      <c r="J185" s="532"/>
      <c r="K185" s="454"/>
      <c r="L185" s="539">
        <f>I185*$K$184</f>
        <v>65395.05</v>
      </c>
      <c r="M185" s="540">
        <f>L185/$G$5</f>
        <v>12.463321898227559</v>
      </c>
      <c r="N185" s="541">
        <f>L185/$G$2</f>
        <v>934.21500000000003</v>
      </c>
      <c r="O185" s="227"/>
      <c r="P185" s="564">
        <f>$P$8</f>
        <v>32025.000000000004</v>
      </c>
      <c r="Q185" s="1576"/>
      <c r="R185" s="1575">
        <f>P185*$Q$184</f>
        <v>32697.525000000001</v>
      </c>
      <c r="S185" s="278"/>
      <c r="T185" s="564">
        <f>$T$8</f>
        <v>32025.000000000004</v>
      </c>
      <c r="U185" s="1719"/>
      <c r="V185" s="563">
        <f>T185*$U$184</f>
        <v>32697.525000000001</v>
      </c>
      <c r="W185" s="1637"/>
      <c r="X185" s="564">
        <f>$X$8</f>
        <v>0</v>
      </c>
      <c r="Y185" s="1719"/>
      <c r="Z185" s="563">
        <f>X185*$Y$184</f>
        <v>0</v>
      </c>
      <c r="AA185" s="1243"/>
      <c r="AB185" s="604">
        <f>I185-(P185+T185+X185)</f>
        <v>0</v>
      </c>
      <c r="AC185" s="531"/>
      <c r="AD185" s="531"/>
      <c r="AE185" s="531"/>
      <c r="AF185" s="531"/>
      <c r="AG185" s="531"/>
      <c r="AH185" s="165"/>
      <c r="AI185" s="89"/>
      <c r="AJ185" s="89"/>
      <c r="AK185" s="89"/>
      <c r="AL185" s="89"/>
      <c r="AM185" s="89"/>
      <c r="AN185" s="89"/>
    </row>
    <row r="186" spans="1:63" ht="18" customHeight="1" outlineLevel="1">
      <c r="B186" s="199"/>
      <c r="D186" s="154"/>
      <c r="F186" s="152" t="s">
        <v>286</v>
      </c>
      <c r="G186" s="212"/>
      <c r="H186" s="538">
        <f t="shared" si="110"/>
        <v>0</v>
      </c>
      <c r="I186" s="666">
        <f>P186+T186+X186</f>
        <v>69300</v>
      </c>
      <c r="J186" s="532"/>
      <c r="K186" s="454"/>
      <c r="L186" s="539">
        <f>I186*$K$184</f>
        <v>70755.299999999988</v>
      </c>
      <c r="M186" s="540">
        <f>L186/$G$5</f>
        <v>13.484905660377356</v>
      </c>
      <c r="N186" s="541">
        <f>L186/$G$2</f>
        <v>1010.7899999999998</v>
      </c>
      <c r="O186" s="245"/>
      <c r="P186" s="564">
        <f>$P$39+P114-P43</f>
        <v>34650</v>
      </c>
      <c r="Q186" s="1576"/>
      <c r="R186" s="1575">
        <f>P186*$Q$184</f>
        <v>35377.649999999994</v>
      </c>
      <c r="S186" s="542"/>
      <c r="T186" s="564">
        <f>$T$39+$T$114-T43</f>
        <v>34650</v>
      </c>
      <c r="U186" s="1719"/>
      <c r="V186" s="563">
        <f>T186*$U$184</f>
        <v>35377.649999999994</v>
      </c>
      <c r="W186" s="1776"/>
      <c r="X186" s="564">
        <f>X39</f>
        <v>0</v>
      </c>
      <c r="Y186" s="1719"/>
      <c r="Z186" s="563">
        <f>X186*$Y$184</f>
        <v>0</v>
      </c>
      <c r="AA186" s="1251"/>
      <c r="AB186" s="604">
        <f>I186-(P186+T186+X186)</f>
        <v>0</v>
      </c>
      <c r="AC186" s="191"/>
      <c r="AD186" s="191"/>
      <c r="AE186" s="191"/>
      <c r="AF186" s="191"/>
      <c r="AG186" s="543"/>
      <c r="AH186" s="165"/>
      <c r="AI186" s="543"/>
      <c r="AJ186" s="543"/>
      <c r="AK186" s="543"/>
      <c r="AL186" s="543"/>
      <c r="AM186" s="543"/>
      <c r="AN186" s="543"/>
    </row>
    <row r="187" spans="1:63" s="32" customFormat="1" ht="18" customHeight="1" outlineLevel="1">
      <c r="A187" s="207"/>
      <c r="B187" s="208"/>
      <c r="C187" s="203"/>
      <c r="D187" s="209"/>
      <c r="E187" s="203"/>
      <c r="F187" s="213" t="s">
        <v>287</v>
      </c>
      <c r="G187" s="544">
        <f>R187/R197</f>
        <v>0.33270886253396986</v>
      </c>
      <c r="H187" s="545">
        <f>+H185+H186</f>
        <v>0</v>
      </c>
      <c r="I187" s="660">
        <f>SUM(I185:I186)</f>
        <v>133350</v>
      </c>
      <c r="J187" s="546"/>
      <c r="K187" s="622">
        <f>L187/L157</f>
        <v>0.33270886253396981</v>
      </c>
      <c r="L187" s="548">
        <f>SUM(L185:L186)</f>
        <v>136150.34999999998</v>
      </c>
      <c r="M187" s="549">
        <f>SUM(M185:M186)</f>
        <v>25.948227558604913</v>
      </c>
      <c r="N187" s="550">
        <f>SUM(N185:N186)</f>
        <v>1945.0049999999999</v>
      </c>
      <c r="O187" s="165"/>
      <c r="P187" s="1603">
        <f>SUM(P185:P186)</f>
        <v>66675</v>
      </c>
      <c r="Q187" s="1604">
        <f>R187/R197</f>
        <v>0.33270886253396986</v>
      </c>
      <c r="R187" s="1605">
        <f>SUM(R185:R186)</f>
        <v>68075.174999999988</v>
      </c>
      <c r="S187" s="551"/>
      <c r="T187" s="1777">
        <f>SUM(T185:T186)</f>
        <v>66675</v>
      </c>
      <c r="U187" s="1722">
        <f>V187/V197</f>
        <v>0.33270886253396986</v>
      </c>
      <c r="V187" s="1778">
        <f>SUM(V185:V186)</f>
        <v>68075.174999999988</v>
      </c>
      <c r="W187" s="1779"/>
      <c r="X187" s="1777">
        <f>SUM(X185:X186)</f>
        <v>0</v>
      </c>
      <c r="Y187" s="1722"/>
      <c r="Z187" s="1778">
        <f>SUM(Z185:Z186)</f>
        <v>0</v>
      </c>
      <c r="AA187" s="1251"/>
      <c r="AB187" s="415">
        <f>I187-(P187+T187+X187)</f>
        <v>0</v>
      </c>
      <c r="AC187" s="11"/>
      <c r="AD187" s="206"/>
      <c r="AE187" s="249"/>
      <c r="AF187" s="249"/>
      <c r="AG187" s="249"/>
      <c r="AH187" s="165"/>
      <c r="AI187" s="249"/>
      <c r="AJ187" s="249"/>
      <c r="AK187" s="249"/>
      <c r="AL187" s="249"/>
      <c r="AM187" s="249"/>
      <c r="AN187" s="249"/>
      <c r="AO187" s="255"/>
      <c r="AP187" s="255"/>
      <c r="AQ187" s="255"/>
      <c r="AR187" s="255"/>
      <c r="AS187" s="255"/>
      <c r="AT187" s="255"/>
      <c r="AU187" s="255"/>
      <c r="AV187" s="255"/>
      <c r="AW187" s="255"/>
      <c r="AX187" s="255"/>
      <c r="AY187" s="255"/>
      <c r="AZ187" s="255"/>
      <c r="BA187" s="255"/>
      <c r="BB187" s="255"/>
      <c r="BC187" s="255"/>
      <c r="BD187" s="255"/>
      <c r="BE187" s="255"/>
      <c r="BF187" s="255"/>
      <c r="BG187" s="255"/>
      <c r="BH187" s="255"/>
      <c r="BI187" s="255"/>
      <c r="BJ187" s="255"/>
      <c r="BK187" s="255"/>
    </row>
    <row r="188" spans="1:63" s="32" customFormat="1" ht="12.2" customHeight="1" outlineLevel="1">
      <c r="A188" s="207"/>
      <c r="B188" s="208"/>
      <c r="C188" s="203"/>
      <c r="D188" s="209"/>
      <c r="E188" s="203"/>
      <c r="F188" s="213"/>
      <c r="G188" s="214"/>
      <c r="H188" s="99"/>
      <c r="I188" s="666"/>
      <c r="J188" s="532"/>
      <c r="K188" s="552"/>
      <c r="L188" s="553"/>
      <c r="M188" s="554"/>
      <c r="N188" s="555"/>
      <c r="O188" s="490"/>
      <c r="P188" s="1602"/>
      <c r="Q188" s="1576"/>
      <c r="R188" s="1575"/>
      <c r="S188" s="551"/>
      <c r="T188" s="564"/>
      <c r="U188" s="1719"/>
      <c r="V188" s="563"/>
      <c r="W188" s="1779"/>
      <c r="X188" s="564"/>
      <c r="Y188" s="1719"/>
      <c r="Z188" s="563"/>
      <c r="AA188" s="1251"/>
      <c r="AB188" s="604"/>
      <c r="AC188" s="519"/>
      <c r="AD188" s="519"/>
      <c r="AE188" s="490"/>
      <c r="AF188" s="490"/>
      <c r="AG188" s="490"/>
      <c r="AH188" s="490"/>
      <c r="AI188" s="490"/>
      <c r="AJ188" s="490"/>
      <c r="AK188" s="490"/>
      <c r="AL188" s="490"/>
      <c r="AM188" s="490"/>
      <c r="AN188" s="490"/>
      <c r="AO188" s="255"/>
      <c r="AP188" s="255"/>
      <c r="AQ188" s="255"/>
      <c r="AR188" s="255"/>
      <c r="AS188" s="255"/>
      <c r="AT188" s="255"/>
      <c r="AU188" s="255"/>
      <c r="AV188" s="255"/>
      <c r="AW188" s="255"/>
      <c r="AX188" s="255"/>
      <c r="AY188" s="255"/>
      <c r="AZ188" s="255"/>
      <c r="BA188" s="255"/>
      <c r="BB188" s="255"/>
      <c r="BC188" s="255"/>
      <c r="BD188" s="255"/>
      <c r="BE188" s="255"/>
      <c r="BF188" s="255"/>
      <c r="BG188" s="255"/>
      <c r="BH188" s="255"/>
      <c r="BI188" s="255"/>
      <c r="BJ188" s="255"/>
      <c r="BK188" s="255"/>
    </row>
    <row r="189" spans="1:63" ht="18" customHeight="1" outlineLevel="1">
      <c r="B189" s="199"/>
      <c r="D189" s="154"/>
      <c r="F189" s="152" t="s">
        <v>288</v>
      </c>
      <c r="G189" s="212"/>
      <c r="H189" s="556">
        <f>+P189+T189-I189</f>
        <v>0</v>
      </c>
      <c r="I189" s="666">
        <f>P189+T189+X189</f>
        <v>0</v>
      </c>
      <c r="J189" s="532"/>
      <c r="K189" s="552"/>
      <c r="L189" s="539">
        <f>I189*$K$184</f>
        <v>0</v>
      </c>
      <c r="M189" s="540">
        <f>L189/$G$5</f>
        <v>0</v>
      </c>
      <c r="N189" s="541">
        <f>L189/$G$2</f>
        <v>0</v>
      </c>
      <c r="O189" s="246"/>
      <c r="P189" s="1602">
        <f>($P$77+$P$128+$P$132)+$P$144</f>
        <v>0</v>
      </c>
      <c r="Q189" s="1576"/>
      <c r="R189" s="1575">
        <f t="shared" ref="R189:R192" si="111">P189*$Q$184</f>
        <v>0</v>
      </c>
      <c r="S189" s="557"/>
      <c r="T189" s="564">
        <f>$T$77+$T$128+$T$132+$T$43</f>
        <v>0</v>
      </c>
      <c r="U189" s="1719"/>
      <c r="V189" s="563">
        <f>T189*$U$184</f>
        <v>0</v>
      </c>
      <c r="X189" s="564">
        <f>X77+X128+X132</f>
        <v>0</v>
      </c>
      <c r="Y189" s="1719"/>
      <c r="Z189" s="563">
        <f>X189*$Y$184</f>
        <v>0</v>
      </c>
      <c r="AA189" s="1251"/>
      <c r="AB189" s="604">
        <f>I189-(P189+T189+X189)</f>
        <v>0</v>
      </c>
      <c r="AE189" s="32"/>
      <c r="AF189" s="32"/>
      <c r="AG189" s="32"/>
      <c r="AI189" s="32"/>
      <c r="AJ189" s="32"/>
      <c r="AK189" s="32"/>
      <c r="AL189" s="32"/>
      <c r="AM189" s="32"/>
      <c r="AN189" s="32"/>
    </row>
    <row r="190" spans="1:63" ht="18" customHeight="1" outlineLevel="1">
      <c r="B190" s="199"/>
      <c r="D190" s="154"/>
      <c r="F190" s="152" t="s">
        <v>289</v>
      </c>
      <c r="G190" s="212"/>
      <c r="H190" s="556">
        <f t="shared" ref="H190:H192" si="112">+P190+T190-I190</f>
        <v>0</v>
      </c>
      <c r="I190" s="666">
        <f>P190+T190+X190</f>
        <v>112000</v>
      </c>
      <c r="J190" s="224"/>
      <c r="K190" s="552"/>
      <c r="L190" s="539">
        <f>I190*$K$184</f>
        <v>114351.99999999999</v>
      </c>
      <c r="M190" s="540">
        <f>L190/$G$5</f>
        <v>21.793786925862396</v>
      </c>
      <c r="N190" s="541">
        <f>L190/$G$2</f>
        <v>1633.5999999999997</v>
      </c>
      <c r="O190" s="247"/>
      <c r="P190" s="1602">
        <f>$P$108-$P$114</f>
        <v>56000</v>
      </c>
      <c r="Q190" s="1576"/>
      <c r="R190" s="1575">
        <f t="shared" si="111"/>
        <v>57175.999999999993</v>
      </c>
      <c r="S190" s="558"/>
      <c r="T190" s="564">
        <f>$T$108-$T$114</f>
        <v>56000</v>
      </c>
      <c r="U190" s="1719"/>
      <c r="V190" s="563">
        <f>T190*$U$184</f>
        <v>57175.999999999993</v>
      </c>
      <c r="W190" s="1780"/>
      <c r="X190" s="564">
        <f>X108-X114</f>
        <v>0</v>
      </c>
      <c r="Y190" s="1719"/>
      <c r="Z190" s="563">
        <f>X190*$Y$184</f>
        <v>0</v>
      </c>
      <c r="AA190" s="1252"/>
      <c r="AB190" s="604">
        <f>I190-(P190+T190+X190)</f>
        <v>0</v>
      </c>
      <c r="AK190" s="11"/>
      <c r="AL190" s="11"/>
      <c r="AM190" s="11"/>
      <c r="AN190" s="11"/>
    </row>
    <row r="191" spans="1:63" ht="18" customHeight="1" outlineLevel="1">
      <c r="B191" s="199"/>
      <c r="D191" s="154"/>
      <c r="F191" s="152" t="s">
        <v>296</v>
      </c>
      <c r="G191" s="212"/>
      <c r="H191" s="556">
        <f t="shared" si="112"/>
        <v>0</v>
      </c>
      <c r="I191" s="666">
        <f>P191+T191+X191</f>
        <v>2297.9431526071999</v>
      </c>
      <c r="J191" s="224"/>
      <c r="K191" s="552"/>
      <c r="L191" s="539">
        <f>I191*$K$184</f>
        <v>2346.1999588119506</v>
      </c>
      <c r="M191" s="540">
        <f>L191/$G$5</f>
        <v>0.4471507449613018</v>
      </c>
      <c r="N191" s="541">
        <f>L191/$G$2</f>
        <v>33.517142268742155</v>
      </c>
      <c r="O191" s="247"/>
      <c r="P191" s="1602">
        <f>$P$120</f>
        <v>1148.9715763035999</v>
      </c>
      <c r="Q191" s="1576"/>
      <c r="R191" s="1575">
        <f t="shared" si="111"/>
        <v>1173.0999794059753</v>
      </c>
      <c r="S191" s="558"/>
      <c r="T191" s="564">
        <f>$T$120</f>
        <v>1148.9715763035999</v>
      </c>
      <c r="U191" s="1719"/>
      <c r="V191" s="563">
        <f>T191*$U$184</f>
        <v>1173.0999794059753</v>
      </c>
      <c r="W191" s="1780"/>
      <c r="X191" s="564">
        <f>X120</f>
        <v>0</v>
      </c>
      <c r="Y191" s="1719"/>
      <c r="Z191" s="563">
        <f>X191*$Y$184</f>
        <v>0</v>
      </c>
      <c r="AA191" s="1252"/>
      <c r="AB191" s="604">
        <f>I191-(P191+T191+X191)</f>
        <v>0</v>
      </c>
      <c r="AK191" s="11"/>
      <c r="AL191" s="11"/>
      <c r="AM191" s="11"/>
      <c r="AN191" s="11"/>
    </row>
    <row r="192" spans="1:63" ht="18" customHeight="1" outlineLevel="1">
      <c r="B192" s="199"/>
      <c r="D192" s="154"/>
      <c r="F192" s="152" t="s">
        <v>297</v>
      </c>
      <c r="G192" s="212"/>
      <c r="H192" s="556">
        <f t="shared" si="112"/>
        <v>0</v>
      </c>
      <c r="I192" s="666">
        <f>P192+T192+X192</f>
        <v>0</v>
      </c>
      <c r="J192" s="224"/>
      <c r="K192" s="552"/>
      <c r="L192" s="539">
        <f>I192*$K$184</f>
        <v>0</v>
      </c>
      <c r="M192" s="540">
        <f>L192/$G$5</f>
        <v>0</v>
      </c>
      <c r="N192" s="541">
        <f>L192/$G$2</f>
        <v>0</v>
      </c>
      <c r="O192" s="247"/>
      <c r="P192" s="1602">
        <f>$P$123</f>
        <v>0</v>
      </c>
      <c r="Q192" s="1576"/>
      <c r="R192" s="1575">
        <f t="shared" si="111"/>
        <v>0</v>
      </c>
      <c r="S192" s="558"/>
      <c r="T192" s="564">
        <f>$T$123</f>
        <v>0</v>
      </c>
      <c r="U192" s="1719"/>
      <c r="V192" s="563">
        <f>T192*$U$184</f>
        <v>0</v>
      </c>
      <c r="W192" s="1780"/>
      <c r="X192" s="564">
        <f>X123</f>
        <v>0</v>
      </c>
      <c r="Y192" s="1719"/>
      <c r="Z192" s="563">
        <f>X192*$Y$184</f>
        <v>0</v>
      </c>
      <c r="AA192" s="1252"/>
      <c r="AB192" s="604">
        <f>I192-(P192+T192+X192)</f>
        <v>0</v>
      </c>
      <c r="AK192" s="11"/>
      <c r="AL192" s="11"/>
      <c r="AM192" s="11"/>
      <c r="AN192" s="11"/>
    </row>
    <row r="193" spans="1:84" s="32" customFormat="1" ht="18" customHeight="1" outlineLevel="1">
      <c r="A193" s="207"/>
      <c r="B193" s="208"/>
      <c r="C193" s="203"/>
      <c r="D193" s="209"/>
      <c r="E193" s="203"/>
      <c r="F193" s="213" t="s">
        <v>290</v>
      </c>
      <c r="G193" s="215"/>
      <c r="H193" s="559">
        <f>SUM(H189:H192)</f>
        <v>0</v>
      </c>
      <c r="I193" s="660">
        <f>SUM(I189:I192)</f>
        <v>114297.9431526072</v>
      </c>
      <c r="J193" s="546"/>
      <c r="K193" s="547"/>
      <c r="L193" s="548">
        <f>SUM(L189:L192)</f>
        <v>116698.19995881194</v>
      </c>
      <c r="M193" s="549">
        <f>SUM(M189:M192)</f>
        <v>22.240937670823698</v>
      </c>
      <c r="N193" s="550">
        <f>SUM(N189:N192)</f>
        <v>1667.1171422687419</v>
      </c>
      <c r="O193" s="247"/>
      <c r="P193" s="1603">
        <f>SUM(P189:P192)</f>
        <v>57148.9715763036</v>
      </c>
      <c r="Q193" s="1604"/>
      <c r="R193" s="1605">
        <f>SUM(R189:R192)</f>
        <v>58349.099979405968</v>
      </c>
      <c r="S193" s="558"/>
      <c r="T193" s="1777">
        <f>SUM(T189:T192)</f>
        <v>57148.9715763036</v>
      </c>
      <c r="U193" s="1722"/>
      <c r="V193" s="1778">
        <f>SUM(V189:V192)</f>
        <v>58349.099979405968</v>
      </c>
      <c r="W193" s="1780"/>
      <c r="X193" s="1777">
        <f>SUM(X189:X192)</f>
        <v>0</v>
      </c>
      <c r="Y193" s="1722"/>
      <c r="Z193" s="1778">
        <f>SUM(Z189:Z192)</f>
        <v>0</v>
      </c>
      <c r="AA193" s="1252"/>
      <c r="AB193" s="415">
        <f>I193-(P193+T193+X193)</f>
        <v>0</v>
      </c>
      <c r="AC193" s="11"/>
      <c r="AD193" s="206"/>
      <c r="AH193" s="206"/>
      <c r="AO193" s="255"/>
      <c r="AP193" s="255"/>
      <c r="AQ193" s="255"/>
      <c r="AR193" s="255"/>
      <c r="AS193" s="255"/>
      <c r="AT193" s="255"/>
      <c r="AU193" s="255"/>
      <c r="AV193" s="255"/>
      <c r="AW193" s="255"/>
      <c r="AX193" s="255"/>
      <c r="AY193" s="255"/>
      <c r="AZ193" s="255"/>
      <c r="BA193" s="255"/>
      <c r="BB193" s="255"/>
      <c r="BC193" s="255"/>
      <c r="BD193" s="255"/>
      <c r="BE193" s="255"/>
      <c r="BF193" s="255"/>
      <c r="BG193" s="255"/>
      <c r="BH193" s="255"/>
      <c r="BI193" s="255"/>
      <c r="BJ193" s="255"/>
      <c r="BK193" s="255"/>
    </row>
    <row r="194" spans="1:84" s="32" customFormat="1" ht="9" customHeight="1" outlineLevel="1">
      <c r="A194" s="207"/>
      <c r="B194" s="208"/>
      <c r="C194" s="203"/>
      <c r="D194" s="209"/>
      <c r="E194" s="203"/>
      <c r="F194" s="213"/>
      <c r="G194" s="215"/>
      <c r="H194" s="99"/>
      <c r="I194" s="666"/>
      <c r="J194" s="224"/>
      <c r="K194" s="552"/>
      <c r="L194" s="553"/>
      <c r="M194" s="554"/>
      <c r="N194" s="555"/>
      <c r="O194" s="247"/>
      <c r="P194" s="1602"/>
      <c r="Q194" s="1576"/>
      <c r="R194" s="1575"/>
      <c r="S194" s="558"/>
      <c r="T194" s="564"/>
      <c r="U194" s="1719"/>
      <c r="V194" s="563"/>
      <c r="W194" s="1780"/>
      <c r="X194" s="564"/>
      <c r="Y194" s="1719"/>
      <c r="Z194" s="563"/>
      <c r="AA194" s="1252"/>
      <c r="AB194" s="604"/>
      <c r="AC194" s="11"/>
      <c r="AD194" s="206"/>
      <c r="AH194" s="206"/>
      <c r="AO194" s="255"/>
      <c r="AP194" s="255"/>
      <c r="AQ194" s="255"/>
      <c r="AR194" s="255"/>
      <c r="AS194" s="255"/>
      <c r="AT194" s="255"/>
      <c r="AU194" s="255"/>
      <c r="AV194" s="255"/>
      <c r="AW194" s="255"/>
      <c r="AX194" s="255"/>
      <c r="AY194" s="255"/>
      <c r="AZ194" s="255"/>
      <c r="BA194" s="255"/>
      <c r="BB194" s="255"/>
      <c r="BC194" s="255"/>
      <c r="BD194" s="255"/>
      <c r="BE194" s="255"/>
      <c r="BF194" s="255"/>
      <c r="BG194" s="255"/>
      <c r="BH194" s="255"/>
      <c r="BI194" s="255"/>
      <c r="BJ194" s="255"/>
      <c r="BK194" s="255"/>
    </row>
    <row r="195" spans="1:84" s="32" customFormat="1" ht="18" customHeight="1" outlineLevel="1">
      <c r="A195" s="207"/>
      <c r="B195" s="208"/>
      <c r="C195" s="203"/>
      <c r="D195" s="209"/>
      <c r="E195" s="203"/>
      <c r="F195" s="210" t="s">
        <v>382</v>
      </c>
      <c r="G195" s="216"/>
      <c r="H195" s="559">
        <f t="shared" ref="H195" si="113">+P195+T195-I195</f>
        <v>0</v>
      </c>
      <c r="I195" s="660">
        <f>P195+T195+X195</f>
        <v>153152.92215763035</v>
      </c>
      <c r="J195" s="546"/>
      <c r="K195" s="547"/>
      <c r="L195" s="560">
        <f>I195*$K$184</f>
        <v>156369.13352294057</v>
      </c>
      <c r="M195" s="561">
        <f>L195/$G$5</f>
        <v>29.801626362290939</v>
      </c>
      <c r="N195" s="562">
        <f>L195/$G$2</f>
        <v>2233.8447646134368</v>
      </c>
      <c r="O195" s="247"/>
      <c r="P195" s="1603">
        <f>$P$133</f>
        <v>76576.461078815177</v>
      </c>
      <c r="Q195" s="1604"/>
      <c r="R195" s="1605">
        <f>P195*$Q$184</f>
        <v>78184.566761470283</v>
      </c>
      <c r="S195" s="558"/>
      <c r="T195" s="1777">
        <f>$T$133</f>
        <v>76576.461078815177</v>
      </c>
      <c r="U195" s="1722"/>
      <c r="V195" s="1778">
        <f>T195*$U$184</f>
        <v>78184.566761470283</v>
      </c>
      <c r="W195" s="1780"/>
      <c r="X195" s="1777">
        <f>X133</f>
        <v>0</v>
      </c>
      <c r="Y195" s="1722"/>
      <c r="Z195" s="1778">
        <f>X195*$Y$184</f>
        <v>0</v>
      </c>
      <c r="AA195" s="1252"/>
      <c r="AB195" s="415">
        <f>I195-(P195+T195+X195)</f>
        <v>0</v>
      </c>
      <c r="AC195" s="11"/>
      <c r="AD195" s="206"/>
      <c r="AE195" s="11"/>
      <c r="AF195" s="11"/>
      <c r="AG195" s="11"/>
      <c r="AH195" s="206"/>
      <c r="AI195" s="11"/>
      <c r="AJ195" s="11"/>
      <c r="AK195" s="11"/>
      <c r="AL195" s="11"/>
      <c r="AM195" s="11"/>
      <c r="AN195" s="11"/>
      <c r="AO195" s="255"/>
      <c r="AP195" s="255"/>
      <c r="AQ195" s="255"/>
      <c r="AR195" s="255"/>
      <c r="AS195" s="255"/>
      <c r="AT195" s="255"/>
      <c r="AU195" s="255"/>
      <c r="AV195" s="255"/>
      <c r="AW195" s="255"/>
      <c r="AX195" s="255"/>
      <c r="AY195" s="255"/>
      <c r="AZ195" s="255"/>
      <c r="BA195" s="255"/>
      <c r="BB195" s="255"/>
      <c r="BC195" s="255"/>
      <c r="BD195" s="255"/>
      <c r="BE195" s="255"/>
      <c r="BF195" s="255"/>
      <c r="BG195" s="255"/>
      <c r="BH195" s="255"/>
      <c r="BI195" s="255"/>
      <c r="BJ195" s="255"/>
      <c r="BK195" s="255"/>
    </row>
    <row r="196" spans="1:84" s="32" customFormat="1" ht="18" customHeight="1" outlineLevel="1">
      <c r="A196" s="207"/>
      <c r="B196" s="208"/>
      <c r="C196" s="203"/>
      <c r="D196" s="209"/>
      <c r="E196" s="203"/>
      <c r="F196" s="210" t="s">
        <v>537</v>
      </c>
      <c r="G196" s="216"/>
      <c r="H196" s="559">
        <f>+P196+T196</f>
        <v>0</v>
      </c>
      <c r="I196" s="660">
        <f>P196+T196+X196</f>
        <v>0</v>
      </c>
      <c r="J196" s="546"/>
      <c r="K196" s="547"/>
      <c r="L196" s="560">
        <f>L156</f>
        <v>0</v>
      </c>
      <c r="M196" s="561"/>
      <c r="N196" s="562"/>
      <c r="O196" s="247"/>
      <c r="P196" s="1603"/>
      <c r="Q196" s="1604"/>
      <c r="R196" s="1605">
        <f>R156</f>
        <v>0</v>
      </c>
      <c r="S196" s="558"/>
      <c r="T196" s="1777"/>
      <c r="U196" s="1722"/>
      <c r="V196" s="1778">
        <f>V156</f>
        <v>0</v>
      </c>
      <c r="W196" s="1780"/>
      <c r="X196" s="1777"/>
      <c r="Y196" s="1722"/>
      <c r="Z196" s="1778"/>
      <c r="AA196" s="1252"/>
      <c r="AB196" s="415"/>
      <c r="AC196" s="11"/>
      <c r="AD196" s="206"/>
      <c r="AE196" s="11"/>
      <c r="AF196" s="11"/>
      <c r="AG196" s="11"/>
      <c r="AH196" s="206"/>
      <c r="AI196" s="11"/>
      <c r="AJ196" s="11"/>
      <c r="AK196" s="11"/>
      <c r="AL196" s="11"/>
      <c r="AM196" s="11"/>
      <c r="AN196" s="11"/>
      <c r="AO196" s="255"/>
      <c r="AP196" s="255"/>
      <c r="AQ196" s="255"/>
      <c r="AR196" s="255"/>
      <c r="AS196" s="255"/>
      <c r="AT196" s="255"/>
      <c r="AU196" s="255"/>
      <c r="AV196" s="255"/>
      <c r="AW196" s="255"/>
      <c r="AX196" s="255"/>
      <c r="AY196" s="255"/>
      <c r="AZ196" s="255"/>
      <c r="BA196" s="255"/>
      <c r="BB196" s="255"/>
      <c r="BC196" s="255"/>
      <c r="BD196" s="255"/>
      <c r="BE196" s="255"/>
      <c r="BF196" s="255"/>
      <c r="BG196" s="255"/>
      <c r="BH196" s="255"/>
      <c r="BI196" s="255"/>
      <c r="BJ196" s="255"/>
      <c r="BK196" s="255"/>
    </row>
    <row r="197" spans="1:84" s="32" customFormat="1" ht="18" customHeight="1" outlineLevel="1">
      <c r="A197" s="207"/>
      <c r="B197" s="208"/>
      <c r="C197" s="203"/>
      <c r="D197" s="209"/>
      <c r="E197" s="203"/>
      <c r="F197" s="213" t="s">
        <v>383</v>
      </c>
      <c r="G197" s="215"/>
      <c r="H197" s="556">
        <f>+H195+H193+H187</f>
        <v>0</v>
      </c>
      <c r="I197" s="660">
        <f>$I$187+$I$193+$I$195+$I$196</f>
        <v>400800.86531023751</v>
      </c>
      <c r="J197" s="565"/>
      <c r="K197" s="566"/>
      <c r="L197" s="567">
        <f>L187+L193+L195+L196</f>
        <v>409217.68348175247</v>
      </c>
      <c r="M197" s="549">
        <f>M187+M193+M195</f>
        <v>77.990791591719557</v>
      </c>
      <c r="N197" s="550">
        <f>N187+N193+N195</f>
        <v>5845.9669068821786</v>
      </c>
      <c r="O197" s="247"/>
      <c r="P197" s="1603">
        <f>$P$187+$P$193+$P$195+$P$196</f>
        <v>200400.43265511876</v>
      </c>
      <c r="Q197" s="1606"/>
      <c r="R197" s="1607">
        <f>R187+R193+R1+R195+R196</f>
        <v>204608.84174087623</v>
      </c>
      <c r="S197" s="558"/>
      <c r="T197" s="1777">
        <f>$T$187+$T$193+$T$195+$T$196</f>
        <v>200400.43265511876</v>
      </c>
      <c r="U197" s="1781"/>
      <c r="V197" s="1782">
        <f>V187+V193+V195+V196</f>
        <v>204608.84174087623</v>
      </c>
      <c r="W197" s="1780"/>
      <c r="X197" s="1777">
        <f>X187+X193+X195</f>
        <v>0</v>
      </c>
      <c r="Y197" s="1781"/>
      <c r="Z197" s="1782">
        <f>Z187+Z193+Z195</f>
        <v>0</v>
      </c>
      <c r="AA197" s="1252"/>
      <c r="AB197" s="1279"/>
      <c r="AC197" s="11"/>
      <c r="AD197" s="206"/>
      <c r="AE197" s="11"/>
      <c r="AF197" s="11"/>
      <c r="AG197" s="11"/>
      <c r="AH197" s="206"/>
      <c r="AI197" s="11"/>
      <c r="AJ197" s="11"/>
      <c r="AK197" s="11"/>
      <c r="AL197" s="11"/>
      <c r="AM197" s="11"/>
      <c r="AN197" s="11"/>
      <c r="AO197" s="255"/>
      <c r="AP197" s="255"/>
      <c r="AQ197" s="255"/>
      <c r="AR197" s="255"/>
      <c r="AS197" s="255"/>
      <c r="AT197" s="255"/>
      <c r="AU197" s="255"/>
      <c r="AV197" s="255"/>
      <c r="AW197" s="255"/>
      <c r="AX197" s="255"/>
      <c r="AY197" s="255"/>
      <c r="AZ197" s="255"/>
      <c r="BA197" s="255"/>
      <c r="BB197" s="255"/>
      <c r="BC197" s="255"/>
      <c r="BD197" s="255"/>
      <c r="BE197" s="255"/>
      <c r="BF197" s="255"/>
      <c r="BG197" s="255"/>
      <c r="BH197" s="255"/>
      <c r="BI197" s="255"/>
      <c r="BJ197" s="255"/>
      <c r="BK197" s="255"/>
    </row>
    <row r="198" spans="1:84" ht="18" customHeight="1" outlineLevel="1" thickBot="1">
      <c r="B198" s="199"/>
      <c r="D198" s="154"/>
      <c r="F198" s="154"/>
      <c r="G198" s="217"/>
      <c r="H198" s="199"/>
      <c r="I198" s="673">
        <f>I149-I197</f>
        <v>0</v>
      </c>
      <c r="J198" s="209"/>
      <c r="K198" s="298"/>
      <c r="L198" s="568">
        <f>L197-L157</f>
        <v>0</v>
      </c>
      <c r="M198" s="218"/>
      <c r="N198" s="218"/>
      <c r="O198" s="247"/>
      <c r="P198" s="1597">
        <f>P149-P197</f>
        <v>0</v>
      </c>
      <c r="Q198" s="1525"/>
      <c r="R198" s="1608">
        <f>R197-R157</f>
        <v>0</v>
      </c>
      <c r="S198" s="558"/>
      <c r="T198" s="1768">
        <f>T149-T197</f>
        <v>0</v>
      </c>
      <c r="U198" s="1660"/>
      <c r="V198" s="1783">
        <f>V157-V197</f>
        <v>0</v>
      </c>
      <c r="W198" s="1780"/>
      <c r="X198" s="1768">
        <f>X149-X197</f>
        <v>0</v>
      </c>
      <c r="Y198" s="1660"/>
      <c r="Z198" s="1783">
        <f>Z155-Z197</f>
        <v>0</v>
      </c>
      <c r="AA198" s="1252"/>
      <c r="AB198" s="1279"/>
      <c r="AK198" s="11"/>
      <c r="AL198" s="11"/>
      <c r="AM198" s="11"/>
      <c r="AN198" s="11"/>
    </row>
    <row r="199" spans="1:84" ht="18" customHeight="1" thickBot="1">
      <c r="B199" s="199"/>
      <c r="D199" s="154"/>
      <c r="F199" s="569" t="s">
        <v>384</v>
      </c>
      <c r="G199" s="570" t="s">
        <v>385</v>
      </c>
      <c r="H199" s="571"/>
      <c r="I199" s="524" t="s">
        <v>28</v>
      </c>
      <c r="J199" s="572"/>
      <c r="K199" s="573" t="s">
        <v>7</v>
      </c>
      <c r="L199" s="527" t="s">
        <v>284</v>
      </c>
      <c r="M199" s="574" t="s">
        <v>386</v>
      </c>
      <c r="N199" s="575"/>
      <c r="O199" s="247"/>
      <c r="P199" s="530" t="s">
        <v>28</v>
      </c>
      <c r="Q199" s="1609" t="s">
        <v>7</v>
      </c>
      <c r="R199" s="527" t="s">
        <v>284</v>
      </c>
      <c r="S199" s="558"/>
      <c r="T199" s="1770" t="s">
        <v>28</v>
      </c>
      <c r="U199" s="1784" t="s">
        <v>7</v>
      </c>
      <c r="V199" s="1772" t="s">
        <v>284</v>
      </c>
      <c r="W199" s="1780"/>
      <c r="X199" s="1770" t="s">
        <v>28</v>
      </c>
      <c r="Y199" s="1784" t="s">
        <v>7</v>
      </c>
      <c r="Z199" s="1772" t="s">
        <v>284</v>
      </c>
      <c r="AA199" s="1252"/>
      <c r="AB199" s="1279"/>
      <c r="AE199" s="32"/>
      <c r="AF199" s="32"/>
      <c r="AG199" s="32"/>
      <c r="AI199" s="32"/>
      <c r="AJ199" s="32"/>
      <c r="AK199" s="32"/>
      <c r="AL199" s="32"/>
      <c r="AM199" s="32"/>
      <c r="AN199" s="32"/>
    </row>
    <row r="200" spans="1:84" ht="18" customHeight="1">
      <c r="B200" s="199"/>
      <c r="D200" s="154"/>
      <c r="F200" s="154"/>
      <c r="G200" s="576" t="s">
        <v>387</v>
      </c>
      <c r="H200" s="577"/>
      <c r="I200" s="672"/>
      <c r="J200" s="209"/>
      <c r="K200" s="578">
        <f>1+TVAS</f>
        <v>1.0209999999999999</v>
      </c>
      <c r="L200" s="534"/>
      <c r="M200" s="154"/>
      <c r="N200" s="154"/>
      <c r="O200" s="247"/>
      <c r="P200" s="1600"/>
      <c r="Q200" s="579">
        <f>1+TVAS</f>
        <v>1.0209999999999999</v>
      </c>
      <c r="R200" s="1601"/>
      <c r="S200" s="558"/>
      <c r="T200" s="1773"/>
      <c r="U200" s="1785">
        <f>1+TVAS</f>
        <v>1.0209999999999999</v>
      </c>
      <c r="V200" s="1775"/>
      <c r="W200" s="1780"/>
      <c r="X200" s="1773"/>
      <c r="Y200" s="1785">
        <f>1+TVAS</f>
        <v>1.0209999999999999</v>
      </c>
      <c r="Z200" s="1775"/>
      <c r="AA200" s="1252"/>
      <c r="AB200" s="1279"/>
      <c r="AE200" s="32"/>
      <c r="AF200" s="32"/>
      <c r="AG200" s="32"/>
      <c r="AI200" s="32"/>
      <c r="AJ200" s="32"/>
      <c r="AK200" s="32"/>
      <c r="AL200" s="32"/>
      <c r="AM200" s="32"/>
      <c r="AN200" s="32"/>
    </row>
    <row r="201" spans="1:84" ht="18" customHeight="1">
      <c r="B201" s="199"/>
      <c r="D201" s="154"/>
      <c r="F201" s="209" t="s">
        <v>285</v>
      </c>
      <c r="G201" s="217"/>
      <c r="I201" s="666"/>
      <c r="J201" s="209"/>
      <c r="K201" s="580"/>
      <c r="L201" s="581">
        <f>L185</f>
        <v>65395.05</v>
      </c>
      <c r="M201" s="154"/>
      <c r="N201" s="154"/>
      <c r="O201" s="247"/>
      <c r="P201" s="1602"/>
      <c r="Q201" s="1610"/>
      <c r="R201" s="1611">
        <f>R185</f>
        <v>32697.525000000001</v>
      </c>
      <c r="S201" s="558"/>
      <c r="T201" s="564"/>
      <c r="U201" s="1786"/>
      <c r="V201" s="1787">
        <f>V185</f>
        <v>32697.525000000001</v>
      </c>
      <c r="W201" s="1780"/>
      <c r="X201" s="564"/>
      <c r="Y201" s="1786"/>
      <c r="Z201" s="1787">
        <f>Z185</f>
        <v>0</v>
      </c>
      <c r="AA201" s="1252"/>
      <c r="AB201" s="1279"/>
      <c r="AE201" s="32"/>
      <c r="AF201" s="32"/>
      <c r="AG201" s="32"/>
      <c r="AI201" s="32"/>
      <c r="AJ201" s="32"/>
      <c r="AK201" s="32"/>
      <c r="AL201" s="32"/>
      <c r="AM201" s="32"/>
      <c r="AN201" s="32"/>
    </row>
    <row r="202" spans="1:84" ht="18" customHeight="1">
      <c r="B202" s="199"/>
      <c r="D202" s="154"/>
      <c r="F202" s="209" t="s">
        <v>388</v>
      </c>
      <c r="G202" s="217"/>
      <c r="I202" s="666">
        <f>I197-I185</f>
        <v>336750.86531023751</v>
      </c>
      <c r="J202" s="209"/>
      <c r="K202" s="580"/>
      <c r="L202" s="581">
        <f>L197-L185</f>
        <v>343822.63348175248</v>
      </c>
      <c r="M202" s="154"/>
      <c r="N202" s="154"/>
      <c r="O202" s="247"/>
      <c r="P202" s="1602">
        <f>P197-P185</f>
        <v>168375.43265511876</v>
      </c>
      <c r="Q202" s="1610"/>
      <c r="R202" s="1611">
        <f>R197-R185</f>
        <v>171911.31674087624</v>
      </c>
      <c r="S202" s="558"/>
      <c r="T202" s="564">
        <f>T197-T185</f>
        <v>168375.43265511876</v>
      </c>
      <c r="U202" s="1786"/>
      <c r="V202" s="1787">
        <f>V197-V185</f>
        <v>171911.31674087624</v>
      </c>
      <c r="W202" s="1780"/>
      <c r="X202" s="564">
        <f>X197-X185</f>
        <v>0</v>
      </c>
      <c r="Y202" s="1786"/>
      <c r="Z202" s="1787">
        <f>Z197-Z185</f>
        <v>0</v>
      </c>
      <c r="AA202" s="1252"/>
      <c r="AB202" s="1279"/>
      <c r="AK202" s="11"/>
      <c r="AL202" s="11"/>
      <c r="AM202" s="11"/>
      <c r="AN202" s="11"/>
    </row>
    <row r="203" spans="1:84" ht="18" customHeight="1">
      <c r="B203" s="199"/>
      <c r="D203" s="154"/>
      <c r="F203" s="582" t="s">
        <v>389</v>
      </c>
      <c r="G203" s="217"/>
      <c r="I203" s="666">
        <f>I186+I189</f>
        <v>69300</v>
      </c>
      <c r="J203" s="209"/>
      <c r="K203" s="583" t="s">
        <v>390</v>
      </c>
      <c r="L203" s="581"/>
      <c r="M203" s="154"/>
      <c r="N203" s="154"/>
      <c r="O203" s="247"/>
      <c r="P203" s="1602">
        <f>P186+P189</f>
        <v>34650</v>
      </c>
      <c r="Q203" s="1612" t="s">
        <v>390</v>
      </c>
      <c r="R203" s="1611"/>
      <c r="S203" s="558"/>
      <c r="T203" s="564">
        <f>T186+T189</f>
        <v>34650</v>
      </c>
      <c r="U203" s="1788" t="s">
        <v>390</v>
      </c>
      <c r="V203" s="1787"/>
      <c r="W203" s="1780"/>
      <c r="X203" s="564">
        <f>X186+X189</f>
        <v>0</v>
      </c>
      <c r="Y203" s="1788" t="s">
        <v>390</v>
      </c>
      <c r="Z203" s="1787"/>
      <c r="AA203" s="1252"/>
      <c r="AB203" s="1279"/>
      <c r="AE203" s="32"/>
      <c r="AF203" s="32"/>
      <c r="AG203" s="32"/>
      <c r="AI203" s="32"/>
      <c r="AJ203" s="32"/>
      <c r="AK203" s="32"/>
      <c r="AL203" s="32"/>
      <c r="AM203" s="32"/>
      <c r="AN203" s="32"/>
    </row>
    <row r="204" spans="1:84" ht="18" customHeight="1">
      <c r="A204" s="208" t="s">
        <v>391</v>
      </c>
      <c r="B204" s="199"/>
      <c r="C204" s="584">
        <v>2</v>
      </c>
      <c r="D204" s="154"/>
      <c r="F204" s="582" t="s">
        <v>392</v>
      </c>
      <c r="G204" s="217"/>
      <c r="H204" s="538">
        <f>I202-I203-I204</f>
        <v>0</v>
      </c>
      <c r="I204" s="666">
        <f>I190+I191+I192+I195</f>
        <v>267450.86531023757</v>
      </c>
      <c r="J204" s="209"/>
      <c r="K204" s="578">
        <f>1+(I204/I203)</f>
        <v>4.8593198457465743</v>
      </c>
      <c r="L204" s="585"/>
      <c r="M204" s="154"/>
      <c r="N204" s="154"/>
      <c r="O204" s="247"/>
      <c r="P204" s="1602">
        <f>P190+P191+P192+P195</f>
        <v>133725.43265511878</v>
      </c>
      <c r="Q204" s="579">
        <f>1+(P204/P203)</f>
        <v>4.8593198457465743</v>
      </c>
      <c r="R204" s="1613"/>
      <c r="S204" s="558"/>
      <c r="T204" s="564">
        <f>T190+T191+T192+T195</f>
        <v>133725.43265511878</v>
      </c>
      <c r="U204" s="1785">
        <f>1+(T204/T203)</f>
        <v>4.8593198457465743</v>
      </c>
      <c r="V204" s="1789"/>
      <c r="W204" s="1780"/>
      <c r="X204" s="564">
        <f>X190+X191+X192+X195</f>
        <v>0</v>
      </c>
      <c r="Y204" s="1785" t="e">
        <f>1+(X204/X203)</f>
        <v>#DIV/0!</v>
      </c>
      <c r="Z204" s="1789"/>
      <c r="AA204" s="1252"/>
      <c r="AB204" s="1279"/>
      <c r="AK204" s="11"/>
      <c r="AL204" s="11"/>
      <c r="AM204" s="11"/>
      <c r="AN204" s="11"/>
      <c r="BL204" s="11">
        <v>30</v>
      </c>
      <c r="BM204" s="11">
        <v>31</v>
      </c>
      <c r="BN204" s="11">
        <v>32</v>
      </c>
      <c r="BO204" s="11">
        <v>33</v>
      </c>
      <c r="BP204" s="11">
        <v>34</v>
      </c>
      <c r="BQ204" s="11">
        <v>35</v>
      </c>
      <c r="BR204" s="11">
        <v>36</v>
      </c>
      <c r="BS204" s="11">
        <v>37</v>
      </c>
      <c r="BT204" s="11">
        <v>38</v>
      </c>
      <c r="BU204" s="11">
        <v>39</v>
      </c>
      <c r="BV204" s="11">
        <v>40</v>
      </c>
      <c r="BW204" s="11">
        <v>41</v>
      </c>
      <c r="BX204" s="11">
        <v>42</v>
      </c>
      <c r="BY204" s="11">
        <v>43</v>
      </c>
      <c r="BZ204" s="11">
        <v>44</v>
      </c>
      <c r="CA204" s="11">
        <v>45</v>
      </c>
      <c r="CB204" s="11">
        <v>46</v>
      </c>
      <c r="CC204" s="11">
        <v>47</v>
      </c>
      <c r="CD204" s="11">
        <v>48</v>
      </c>
      <c r="CE204" s="11">
        <v>49</v>
      </c>
      <c r="CF204" s="11">
        <v>50</v>
      </c>
    </row>
    <row r="205" spans="1:84" ht="18" customHeight="1">
      <c r="A205" s="586" t="s">
        <v>393</v>
      </c>
      <c r="B205" s="199"/>
      <c r="C205" s="587">
        <v>50</v>
      </c>
      <c r="D205" s="588"/>
      <c r="E205" s="587" t="s">
        <v>394</v>
      </c>
      <c r="F205" s="589" t="s">
        <v>395</v>
      </c>
      <c r="G205" s="255"/>
      <c r="H205" s="255"/>
      <c r="I205" s="660"/>
      <c r="J205" s="255"/>
      <c r="K205" s="590">
        <f t="shared" ref="K205:K212" si="114">L205/$L$202</f>
        <v>1</v>
      </c>
      <c r="L205" s="591">
        <f>L202-SUM(L206:L212)</f>
        <v>343822.63348175248</v>
      </c>
      <c r="M205" s="592" t="e">
        <f>#REF!/O205</f>
        <v>#REF!</v>
      </c>
      <c r="N205" s="255"/>
      <c r="O205" s="263" t="s">
        <v>396</v>
      </c>
      <c r="P205" s="1603"/>
      <c r="Q205" s="1614">
        <f t="shared" ref="Q205:Q212" si="115">R205/$L$202</f>
        <v>0.5</v>
      </c>
      <c r="R205" s="1607">
        <f>R202-SUM(R206:R212)</f>
        <v>171911.31674087624</v>
      </c>
      <c r="S205" s="593" t="s">
        <v>396</v>
      </c>
      <c r="T205" s="1777"/>
      <c r="U205" s="1790">
        <f t="shared" ref="U205:U212" si="116">V205/$L$202</f>
        <v>0.5</v>
      </c>
      <c r="V205" s="1782">
        <f>V202-SUM(V206:V212)</f>
        <v>171911.31674087624</v>
      </c>
      <c r="W205" s="1791" t="s">
        <v>396</v>
      </c>
      <c r="X205" s="1777"/>
      <c r="Y205" s="1790">
        <f t="shared" ref="Y205:Y212" si="117">Z205/$L$202</f>
        <v>0</v>
      </c>
      <c r="Z205" s="1782">
        <f>Z202-SUM(Z206:Z212)</f>
        <v>0</v>
      </c>
      <c r="AA205" s="593" t="s">
        <v>396</v>
      </c>
      <c r="AB205" s="1279"/>
      <c r="AK205" s="11"/>
      <c r="AL205" s="11"/>
      <c r="AM205" s="11"/>
      <c r="AN205" s="11"/>
      <c r="BL205" s="594">
        <f t="shared" ref="BL205:CF205" si="118">$L$205/$C$205</f>
        <v>6876.4526696350495</v>
      </c>
      <c r="BM205" s="594">
        <f t="shared" si="118"/>
        <v>6876.4526696350495</v>
      </c>
      <c r="BN205" s="594">
        <f t="shared" si="118"/>
        <v>6876.4526696350495</v>
      </c>
      <c r="BO205" s="594">
        <f t="shared" si="118"/>
        <v>6876.4526696350495</v>
      </c>
      <c r="BP205" s="594">
        <f t="shared" si="118"/>
        <v>6876.4526696350495</v>
      </c>
      <c r="BQ205" s="594">
        <f t="shared" si="118"/>
        <v>6876.4526696350495</v>
      </c>
      <c r="BR205" s="594">
        <f t="shared" si="118"/>
        <v>6876.4526696350495</v>
      </c>
      <c r="BS205" s="594">
        <f t="shared" si="118"/>
        <v>6876.4526696350495</v>
      </c>
      <c r="BT205" s="594">
        <f t="shared" si="118"/>
        <v>6876.4526696350495</v>
      </c>
      <c r="BU205" s="594">
        <f t="shared" si="118"/>
        <v>6876.4526696350495</v>
      </c>
      <c r="BV205" s="594">
        <f t="shared" si="118"/>
        <v>6876.4526696350495</v>
      </c>
      <c r="BW205" s="594">
        <f t="shared" si="118"/>
        <v>6876.4526696350495</v>
      </c>
      <c r="BX205" s="594">
        <f t="shared" si="118"/>
        <v>6876.4526696350495</v>
      </c>
      <c r="BY205" s="594">
        <f t="shared" si="118"/>
        <v>6876.4526696350495</v>
      </c>
      <c r="BZ205" s="594">
        <f t="shared" si="118"/>
        <v>6876.4526696350495</v>
      </c>
      <c r="CA205" s="594">
        <f t="shared" si="118"/>
        <v>6876.4526696350495</v>
      </c>
      <c r="CB205" s="594">
        <f t="shared" si="118"/>
        <v>6876.4526696350495</v>
      </c>
      <c r="CC205" s="594">
        <f t="shared" si="118"/>
        <v>6876.4526696350495</v>
      </c>
      <c r="CD205" s="594">
        <f t="shared" si="118"/>
        <v>6876.4526696350495</v>
      </c>
      <c r="CE205" s="594">
        <f t="shared" si="118"/>
        <v>6876.4526696350495</v>
      </c>
      <c r="CF205" s="594">
        <f t="shared" si="118"/>
        <v>6876.4526696350495</v>
      </c>
    </row>
    <row r="206" spans="1:84" ht="18" customHeight="1">
      <c r="A206" s="586" t="s">
        <v>397</v>
      </c>
      <c r="B206" s="199"/>
      <c r="C206" s="587">
        <v>20</v>
      </c>
      <c r="D206" s="588"/>
      <c r="E206" s="587" t="s">
        <v>138</v>
      </c>
      <c r="F206" s="589" t="s">
        <v>398</v>
      </c>
      <c r="G206" s="255"/>
      <c r="H206" s="255"/>
      <c r="I206" s="660">
        <f>($I$87+$I$88)</f>
        <v>0</v>
      </c>
      <c r="J206" s="255"/>
      <c r="K206" s="590">
        <f t="shared" si="114"/>
        <v>0</v>
      </c>
      <c r="L206" s="591">
        <f t="shared" ref="L206:L212" si="119">I206*$K$204*$K$200</f>
        <v>0</v>
      </c>
      <c r="M206" s="592" t="e">
        <f>#REF!/O206</f>
        <v>#REF!</v>
      </c>
      <c r="N206" s="255"/>
      <c r="O206" s="246"/>
      <c r="P206" s="1603">
        <f>($I$87+$I$88)</f>
        <v>0</v>
      </c>
      <c r="Q206" s="1614">
        <f t="shared" si="115"/>
        <v>0</v>
      </c>
      <c r="R206" s="1607">
        <f t="shared" ref="R206:R212" si="120">P206*$K$204*$K$200</f>
        <v>0</v>
      </c>
      <c r="S206" s="557"/>
      <c r="T206" s="1777">
        <f>($I$87+$I$88)</f>
        <v>0</v>
      </c>
      <c r="U206" s="1790">
        <f t="shared" si="116"/>
        <v>0</v>
      </c>
      <c r="V206" s="1782">
        <f t="shared" ref="V206:V212" si="121">T206*$K$204*$K$200</f>
        <v>0</v>
      </c>
      <c r="X206" s="1777">
        <f>($I$87+$I$88)</f>
        <v>0</v>
      </c>
      <c r="Y206" s="1790">
        <f t="shared" si="117"/>
        <v>0</v>
      </c>
      <c r="Z206" s="1782">
        <f t="shared" ref="Z206:Z212" si="122">X206*$K$204*$K$200</f>
        <v>0</v>
      </c>
      <c r="AA206" s="557"/>
      <c r="AB206" s="1279"/>
      <c r="AK206" s="11"/>
      <c r="AL206" s="11"/>
      <c r="AM206" s="11"/>
      <c r="AN206" s="11"/>
    </row>
    <row r="207" spans="1:84" ht="18" customHeight="1">
      <c r="A207" s="586" t="s">
        <v>399</v>
      </c>
      <c r="B207" s="199"/>
      <c r="C207" s="587">
        <v>18</v>
      </c>
      <c r="D207" s="588"/>
      <c r="E207" s="587" t="s">
        <v>213</v>
      </c>
      <c r="F207" s="589" t="s">
        <v>400</v>
      </c>
      <c r="G207" s="255"/>
      <c r="H207" s="255"/>
      <c r="I207" s="660">
        <f>$I$84+$I$85</f>
        <v>0</v>
      </c>
      <c r="J207" s="255"/>
      <c r="K207" s="590">
        <f t="shared" si="114"/>
        <v>0</v>
      </c>
      <c r="L207" s="591">
        <f t="shared" si="119"/>
        <v>0</v>
      </c>
      <c r="M207" s="592" t="e">
        <f>#REF!/O207</f>
        <v>#REF!</v>
      </c>
      <c r="N207" s="255"/>
      <c r="O207" s="246"/>
      <c r="P207" s="1603">
        <f>$I$84+$I$85</f>
        <v>0</v>
      </c>
      <c r="Q207" s="1614">
        <f t="shared" si="115"/>
        <v>0</v>
      </c>
      <c r="R207" s="1607">
        <f t="shared" si="120"/>
        <v>0</v>
      </c>
      <c r="S207" s="557"/>
      <c r="T207" s="1777">
        <f>$I$84+$I$85</f>
        <v>0</v>
      </c>
      <c r="U207" s="1790">
        <f t="shared" si="116"/>
        <v>0</v>
      </c>
      <c r="V207" s="1782">
        <f t="shared" si="121"/>
        <v>0</v>
      </c>
      <c r="X207" s="1777">
        <f>$I$84+$I$85</f>
        <v>0</v>
      </c>
      <c r="Y207" s="1790">
        <f t="shared" si="117"/>
        <v>0</v>
      </c>
      <c r="Z207" s="1782">
        <f t="shared" si="122"/>
        <v>0</v>
      </c>
      <c r="AA207" s="557"/>
      <c r="AB207" s="1279"/>
      <c r="AK207" s="11"/>
      <c r="AL207" s="11"/>
      <c r="AM207" s="11"/>
      <c r="AN207" s="11"/>
      <c r="BL207" s="594">
        <v>0</v>
      </c>
    </row>
    <row r="208" spans="1:84" ht="18" customHeight="1">
      <c r="A208" s="586" t="s">
        <v>401</v>
      </c>
      <c r="B208" s="199"/>
      <c r="C208" s="587">
        <v>15</v>
      </c>
      <c r="D208" s="588"/>
      <c r="E208" s="587" t="s">
        <v>359</v>
      </c>
      <c r="F208" s="589" t="s">
        <v>402</v>
      </c>
      <c r="G208" s="255"/>
      <c r="H208" s="255"/>
      <c r="I208" s="660">
        <f>$I$102</f>
        <v>0</v>
      </c>
      <c r="J208" s="255"/>
      <c r="K208" s="590">
        <f t="shared" si="114"/>
        <v>0</v>
      </c>
      <c r="L208" s="591">
        <f t="shared" si="119"/>
        <v>0</v>
      </c>
      <c r="M208" s="592" t="e">
        <f>#REF!/O208</f>
        <v>#REF!</v>
      </c>
      <c r="N208" s="255"/>
      <c r="O208" s="246"/>
      <c r="P208" s="1603">
        <f>$I$102</f>
        <v>0</v>
      </c>
      <c r="Q208" s="1614">
        <f t="shared" si="115"/>
        <v>0</v>
      </c>
      <c r="R208" s="1607">
        <f t="shared" si="120"/>
        <v>0</v>
      </c>
      <c r="S208" s="557"/>
      <c r="T208" s="1777">
        <f>$I$102</f>
        <v>0</v>
      </c>
      <c r="U208" s="1790">
        <f t="shared" si="116"/>
        <v>0</v>
      </c>
      <c r="V208" s="1782">
        <f t="shared" si="121"/>
        <v>0</v>
      </c>
      <c r="X208" s="1777">
        <f>$I$102</f>
        <v>0</v>
      </c>
      <c r="Y208" s="1790">
        <f t="shared" si="117"/>
        <v>0</v>
      </c>
      <c r="Z208" s="1782">
        <f t="shared" si="122"/>
        <v>0</v>
      </c>
      <c r="AA208" s="557"/>
      <c r="AB208" s="1279"/>
      <c r="AK208" s="11"/>
      <c r="AL208" s="11"/>
      <c r="AM208" s="11"/>
      <c r="AN208" s="11"/>
    </row>
    <row r="209" spans="1:84" ht="18" customHeight="1">
      <c r="A209" s="586" t="s">
        <v>403</v>
      </c>
      <c r="B209" s="199"/>
      <c r="C209" s="587">
        <v>20</v>
      </c>
      <c r="D209" s="588"/>
      <c r="E209" s="587" t="s">
        <v>263</v>
      </c>
      <c r="F209" s="589" t="s">
        <v>404</v>
      </c>
      <c r="G209" s="255"/>
      <c r="H209" s="255"/>
      <c r="I209" s="660">
        <f>$I$106</f>
        <v>0</v>
      </c>
      <c r="J209" s="255"/>
      <c r="K209" s="590">
        <f t="shared" si="114"/>
        <v>0</v>
      </c>
      <c r="L209" s="591">
        <f t="shared" si="119"/>
        <v>0</v>
      </c>
      <c r="M209" s="592" t="e">
        <f>#REF!/O209</f>
        <v>#REF!</v>
      </c>
      <c r="N209" s="255"/>
      <c r="O209" s="246"/>
      <c r="P209" s="1603">
        <f>$I$106</f>
        <v>0</v>
      </c>
      <c r="Q209" s="1614">
        <f t="shared" si="115"/>
        <v>0</v>
      </c>
      <c r="R209" s="1607">
        <f t="shared" si="120"/>
        <v>0</v>
      </c>
      <c r="S209" s="557"/>
      <c r="T209" s="1777">
        <f>$I$106</f>
        <v>0</v>
      </c>
      <c r="U209" s="1790">
        <f t="shared" si="116"/>
        <v>0</v>
      </c>
      <c r="V209" s="1782">
        <f t="shared" si="121"/>
        <v>0</v>
      </c>
      <c r="X209" s="1777">
        <f>$I$106</f>
        <v>0</v>
      </c>
      <c r="Y209" s="1790">
        <f t="shared" si="117"/>
        <v>0</v>
      </c>
      <c r="Z209" s="1782">
        <f t="shared" si="122"/>
        <v>0</v>
      </c>
      <c r="AA209" s="557"/>
      <c r="AB209" s="1279"/>
      <c r="AK209" s="11"/>
      <c r="AL209" s="11"/>
      <c r="AM209" s="11"/>
      <c r="AN209" s="11"/>
      <c r="BL209" s="594"/>
    </row>
    <row r="210" spans="1:84" ht="18" customHeight="1">
      <c r="A210" s="586" t="s">
        <v>405</v>
      </c>
      <c r="B210" s="199"/>
      <c r="C210" s="587">
        <v>15</v>
      </c>
      <c r="D210" s="588"/>
      <c r="E210" s="587" t="s">
        <v>266</v>
      </c>
      <c r="F210" s="589" t="s">
        <v>406</v>
      </c>
      <c r="G210" s="255"/>
      <c r="H210" s="255"/>
      <c r="I210" s="660">
        <f>$I$96</f>
        <v>0</v>
      </c>
      <c r="J210" s="255"/>
      <c r="K210" s="590">
        <f t="shared" si="114"/>
        <v>0</v>
      </c>
      <c r="L210" s="591">
        <f t="shared" si="119"/>
        <v>0</v>
      </c>
      <c r="M210" s="592" t="e">
        <f>#REF!/O210</f>
        <v>#REF!</v>
      </c>
      <c r="N210" s="255"/>
      <c r="O210" s="246"/>
      <c r="P210" s="1603">
        <f>$I$96</f>
        <v>0</v>
      </c>
      <c r="Q210" s="1614">
        <f t="shared" si="115"/>
        <v>0</v>
      </c>
      <c r="R210" s="1607">
        <f t="shared" si="120"/>
        <v>0</v>
      </c>
      <c r="S210" s="557"/>
      <c r="T210" s="1777">
        <f>$I$96</f>
        <v>0</v>
      </c>
      <c r="U210" s="1790">
        <f t="shared" si="116"/>
        <v>0</v>
      </c>
      <c r="V210" s="1782">
        <f t="shared" si="121"/>
        <v>0</v>
      </c>
      <c r="X210" s="1777">
        <f>$I$96</f>
        <v>0</v>
      </c>
      <c r="Y210" s="1790">
        <f t="shared" si="117"/>
        <v>0</v>
      </c>
      <c r="Z210" s="1782">
        <f t="shared" si="122"/>
        <v>0</v>
      </c>
      <c r="AA210" s="557"/>
      <c r="AB210" s="1279"/>
      <c r="AK210" s="11"/>
      <c r="AL210" s="11"/>
      <c r="AM210" s="11"/>
      <c r="AN210" s="11"/>
      <c r="BL210" s="594">
        <v>0</v>
      </c>
    </row>
    <row r="211" spans="1:84" ht="18" customHeight="1">
      <c r="A211" s="586" t="s">
        <v>407</v>
      </c>
      <c r="B211" s="199"/>
      <c r="C211" s="587">
        <v>15</v>
      </c>
      <c r="D211" s="588"/>
      <c r="E211" s="587" t="s">
        <v>345</v>
      </c>
      <c r="F211" s="589" t="s">
        <v>408</v>
      </c>
      <c r="G211" s="255"/>
      <c r="H211" s="255"/>
      <c r="I211" s="660">
        <f>$I$59+$I$61</f>
        <v>0</v>
      </c>
      <c r="J211" s="255"/>
      <c r="K211" s="590">
        <f t="shared" si="114"/>
        <v>0</v>
      </c>
      <c r="L211" s="591">
        <f t="shared" si="119"/>
        <v>0</v>
      </c>
      <c r="M211" s="592" t="e">
        <f>#REF!/O211</f>
        <v>#REF!</v>
      </c>
      <c r="N211" s="255"/>
      <c r="O211" s="246"/>
      <c r="P211" s="1603">
        <f>$I$59+$I$61</f>
        <v>0</v>
      </c>
      <c r="Q211" s="1614">
        <f t="shared" si="115"/>
        <v>0</v>
      </c>
      <c r="R211" s="1607">
        <f t="shared" si="120"/>
        <v>0</v>
      </c>
      <c r="S211" s="557"/>
      <c r="T211" s="1777">
        <f>$I$59+$I$61</f>
        <v>0</v>
      </c>
      <c r="U211" s="1790">
        <f t="shared" si="116"/>
        <v>0</v>
      </c>
      <c r="V211" s="1782">
        <f t="shared" si="121"/>
        <v>0</v>
      </c>
      <c r="X211" s="1777">
        <f>$I$59+$I$61</f>
        <v>0</v>
      </c>
      <c r="Y211" s="1790">
        <f t="shared" si="117"/>
        <v>0</v>
      </c>
      <c r="Z211" s="1782">
        <f t="shared" si="122"/>
        <v>0</v>
      </c>
      <c r="AA211" s="557"/>
      <c r="AB211" s="1279"/>
      <c r="AC211" s="594"/>
      <c r="AD211" s="595"/>
      <c r="AE211" s="594"/>
      <c r="AF211" s="594"/>
      <c r="AG211" s="594"/>
      <c r="AH211" s="595"/>
      <c r="AI211" s="594"/>
      <c r="AJ211" s="594"/>
      <c r="AK211" s="594"/>
      <c r="AL211" s="594"/>
      <c r="AM211" s="594"/>
      <c r="AN211" s="594"/>
      <c r="BL211" s="594">
        <v>0</v>
      </c>
    </row>
    <row r="212" spans="1:84" ht="18" customHeight="1">
      <c r="A212" s="586" t="s">
        <v>409</v>
      </c>
      <c r="B212" s="199"/>
      <c r="C212" s="587">
        <v>15</v>
      </c>
      <c r="D212" s="588"/>
      <c r="E212" s="587" t="s">
        <v>362</v>
      </c>
      <c r="F212" s="589" t="s">
        <v>410</v>
      </c>
      <c r="G212" s="255"/>
      <c r="H212" s="255"/>
      <c r="I212" s="660">
        <f>$I$104+$I$103</f>
        <v>0</v>
      </c>
      <c r="J212" s="255"/>
      <c r="K212" s="590">
        <f t="shared" si="114"/>
        <v>0</v>
      </c>
      <c r="L212" s="591">
        <f t="shared" si="119"/>
        <v>0</v>
      </c>
      <c r="M212" s="592" t="e">
        <f>#REF!/O212</f>
        <v>#REF!</v>
      </c>
      <c r="N212" s="255"/>
      <c r="O212" s="521"/>
      <c r="P212" s="1603">
        <f>$I$104+$I$103</f>
        <v>0</v>
      </c>
      <c r="Q212" s="1614">
        <f t="shared" si="115"/>
        <v>0</v>
      </c>
      <c r="R212" s="1607">
        <f t="shared" si="120"/>
        <v>0</v>
      </c>
      <c r="S212" s="596"/>
      <c r="T212" s="1777">
        <f>$I$104+$I$103</f>
        <v>0</v>
      </c>
      <c r="U212" s="1790">
        <f t="shared" si="116"/>
        <v>0</v>
      </c>
      <c r="V212" s="1782">
        <f t="shared" si="121"/>
        <v>0</v>
      </c>
      <c r="W212" s="1792"/>
      <c r="X212" s="1777">
        <f>$I$104+$I$103</f>
        <v>0</v>
      </c>
      <c r="Y212" s="1790">
        <f t="shared" si="117"/>
        <v>0</v>
      </c>
      <c r="Z212" s="1782">
        <f t="shared" si="122"/>
        <v>0</v>
      </c>
      <c r="AA212" s="596"/>
      <c r="AB212" s="1279"/>
      <c r="AC212" s="594"/>
      <c r="AD212" s="595"/>
      <c r="AE212" s="594"/>
      <c r="AF212" s="594"/>
      <c r="AG212" s="594"/>
      <c r="AH212" s="595"/>
      <c r="AI212" s="594"/>
      <c r="AJ212" s="594"/>
      <c r="AK212" s="594"/>
      <c r="AL212" s="594"/>
      <c r="AM212" s="594"/>
      <c r="AN212" s="594"/>
      <c r="BL212" s="594"/>
    </row>
    <row r="213" spans="1:84" ht="18" customHeight="1">
      <c r="B213" s="199"/>
      <c r="D213" s="154"/>
      <c r="F213" s="154"/>
      <c r="G213" s="217"/>
      <c r="I213" s="673"/>
      <c r="J213" s="209"/>
      <c r="K213" s="486">
        <f>SUM(K205:K212)</f>
        <v>1</v>
      </c>
      <c r="L213" s="597">
        <f>L201+SUM(L205:L212)-L197</f>
        <v>0</v>
      </c>
      <c r="M213" s="568" t="e">
        <f>SUM(M205:M212)</f>
        <v>#REF!</v>
      </c>
      <c r="N213" s="154" t="e">
        <f>M213/#REF!</f>
        <v>#REF!</v>
      </c>
      <c r="O213" s="521"/>
      <c r="P213" s="1597"/>
      <c r="Q213" s="1525">
        <f>SUM(Q205:Q212)</f>
        <v>0.5</v>
      </c>
      <c r="R213" s="1615">
        <f>R201+SUM(R205:R212)-R197</f>
        <v>0</v>
      </c>
      <c r="S213" s="596"/>
      <c r="T213" s="1768"/>
      <c r="U213" s="1660">
        <f>SUM(U205:U212)</f>
        <v>0.5</v>
      </c>
      <c r="V213" s="1793">
        <f>V201+SUM(V205:V212)-V197</f>
        <v>0</v>
      </c>
      <c r="W213" s="1792"/>
      <c r="X213" s="1768"/>
      <c r="Y213" s="1660">
        <f>SUM(Y205:Y212)</f>
        <v>0</v>
      </c>
      <c r="Z213" s="1793">
        <f>Z201+SUM(Z205:Z212)-Z197</f>
        <v>0</v>
      </c>
      <c r="AA213" s="596"/>
      <c r="AB213" s="1279"/>
      <c r="AC213" s="594"/>
      <c r="AD213" s="595"/>
      <c r="AE213" s="594"/>
      <c r="AF213" s="594"/>
      <c r="AG213" s="594"/>
      <c r="AH213" s="595"/>
      <c r="AI213" s="594"/>
      <c r="AJ213" s="594"/>
      <c r="AK213" s="594"/>
      <c r="AL213" s="594"/>
      <c r="AM213" s="594"/>
      <c r="AN213" s="594"/>
      <c r="BL213" s="594">
        <f t="shared" ref="BL213:CF213" si="123">SUM(BL205:BL212)</f>
        <v>6876.4526696350495</v>
      </c>
      <c r="BM213" s="594">
        <f t="shared" si="123"/>
        <v>6876.4526696350495</v>
      </c>
      <c r="BN213" s="594">
        <f t="shared" si="123"/>
        <v>6876.4526696350495</v>
      </c>
      <c r="BO213" s="594">
        <f t="shared" si="123"/>
        <v>6876.4526696350495</v>
      </c>
      <c r="BP213" s="594">
        <f t="shared" si="123"/>
        <v>6876.4526696350495</v>
      </c>
      <c r="BQ213" s="594">
        <f t="shared" si="123"/>
        <v>6876.4526696350495</v>
      </c>
      <c r="BR213" s="594">
        <f t="shared" si="123"/>
        <v>6876.4526696350495</v>
      </c>
      <c r="BS213" s="594">
        <f t="shared" si="123"/>
        <v>6876.4526696350495</v>
      </c>
      <c r="BT213" s="594">
        <f t="shared" si="123"/>
        <v>6876.4526696350495</v>
      </c>
      <c r="BU213" s="594">
        <f t="shared" si="123"/>
        <v>6876.4526696350495</v>
      </c>
      <c r="BV213" s="594">
        <f t="shared" si="123"/>
        <v>6876.4526696350495</v>
      </c>
      <c r="BW213" s="594">
        <f t="shared" si="123"/>
        <v>6876.4526696350495</v>
      </c>
      <c r="BX213" s="594">
        <f t="shared" si="123"/>
        <v>6876.4526696350495</v>
      </c>
      <c r="BY213" s="594">
        <f t="shared" si="123"/>
        <v>6876.4526696350495</v>
      </c>
      <c r="BZ213" s="594">
        <f t="shared" si="123"/>
        <v>6876.4526696350495</v>
      </c>
      <c r="CA213" s="594">
        <f t="shared" si="123"/>
        <v>6876.4526696350495</v>
      </c>
      <c r="CB213" s="594">
        <f t="shared" si="123"/>
        <v>6876.4526696350495</v>
      </c>
      <c r="CC213" s="594">
        <f t="shared" si="123"/>
        <v>6876.4526696350495</v>
      </c>
      <c r="CD213" s="594">
        <f t="shared" si="123"/>
        <v>6876.4526696350495</v>
      </c>
      <c r="CE213" s="594">
        <f t="shared" si="123"/>
        <v>6876.4526696350495</v>
      </c>
      <c r="CF213" s="594">
        <f t="shared" si="123"/>
        <v>6876.4526696350495</v>
      </c>
    </row>
    <row r="214" spans="1:84" ht="18" customHeight="1">
      <c r="B214" s="199"/>
      <c r="D214" s="154"/>
      <c r="F214" s="154"/>
      <c r="G214" s="217"/>
      <c r="I214" s="673"/>
      <c r="J214" s="209"/>
      <c r="K214" s="520"/>
      <c r="L214" s="154"/>
      <c r="M214" s="154"/>
      <c r="N214" s="154"/>
      <c r="O214" s="521"/>
      <c r="P214" s="1597"/>
      <c r="R214" s="1598"/>
      <c r="S214" s="596"/>
      <c r="T214" s="1768"/>
      <c r="V214" s="1769"/>
      <c r="W214" s="1792"/>
      <c r="X214" s="1768"/>
      <c r="Z214" s="1769"/>
      <c r="AA214" s="596"/>
      <c r="AB214" s="1279"/>
      <c r="AC214" s="594"/>
      <c r="AD214" s="595"/>
      <c r="AE214" s="594"/>
      <c r="AF214" s="594"/>
      <c r="AG214" s="594"/>
      <c r="AH214" s="595"/>
      <c r="AI214" s="594"/>
      <c r="AJ214" s="594"/>
      <c r="AK214" s="246"/>
    </row>
    <row r="215" spans="1:84" ht="18" customHeight="1">
      <c r="B215" s="199"/>
      <c r="D215" s="154"/>
      <c r="F215" s="154"/>
      <c r="G215" s="217"/>
      <c r="I215" s="673"/>
      <c r="J215" s="209"/>
      <c r="K215" s="520"/>
      <c r="L215" s="154"/>
      <c r="M215" s="154"/>
      <c r="N215" s="154"/>
      <c r="O215" s="521"/>
      <c r="P215" s="1597"/>
      <c r="R215" s="1598"/>
      <c r="S215" s="596"/>
      <c r="T215" s="1768"/>
      <c r="V215" s="1769"/>
      <c r="W215" s="1792"/>
      <c r="X215" s="1768"/>
      <c r="Z215" s="1769"/>
      <c r="AA215" s="596"/>
      <c r="AC215" s="594"/>
      <c r="AD215" s="595"/>
      <c r="AE215" s="594"/>
      <c r="AF215" s="594"/>
      <c r="AG215" s="594"/>
      <c r="AH215" s="595"/>
      <c r="AI215" s="594"/>
      <c r="AJ215" s="594"/>
      <c r="AK215" s="246"/>
    </row>
    <row r="216" spans="1:84" ht="18" customHeight="1">
      <c r="B216" s="199"/>
      <c r="D216" s="154"/>
      <c r="F216" s="154" t="s">
        <v>411</v>
      </c>
      <c r="G216" s="217"/>
      <c r="I216" s="673"/>
      <c r="J216" s="209"/>
      <c r="K216" s="520"/>
      <c r="L216" s="154"/>
      <c r="M216" s="154"/>
      <c r="N216" s="154"/>
      <c r="O216" s="521"/>
      <c r="P216" s="1597"/>
      <c r="R216" s="1598"/>
      <c r="S216" s="596"/>
      <c r="T216" s="1768"/>
      <c r="V216" s="1769"/>
      <c r="W216" s="1792"/>
      <c r="X216" s="1768"/>
      <c r="Z216" s="1769"/>
      <c r="AA216" s="596"/>
      <c r="AC216" s="594"/>
      <c r="AD216" s="595"/>
      <c r="AE216" s="594"/>
      <c r="AF216" s="594"/>
      <c r="AG216" s="594"/>
      <c r="AH216" s="595"/>
      <c r="AI216" s="594"/>
      <c r="AJ216" s="594"/>
      <c r="AK216" s="246"/>
    </row>
    <row r="217" spans="1:84" ht="18" customHeight="1">
      <c r="A217" s="198" t="s">
        <v>221</v>
      </c>
      <c r="B217" s="199"/>
      <c r="D217" s="154"/>
      <c r="F217" s="154"/>
      <c r="G217" s="217"/>
      <c r="I217" s="673"/>
      <c r="J217" s="209"/>
      <c r="K217" s="520"/>
      <c r="L217" s="154"/>
      <c r="M217" s="154"/>
      <c r="N217" s="154"/>
      <c r="O217" s="521"/>
      <c r="P217" s="1597"/>
      <c r="R217" s="1598"/>
      <c r="S217" s="596"/>
      <c r="T217" s="1768"/>
      <c r="V217" s="1769"/>
      <c r="W217" s="1792"/>
      <c r="X217" s="1768"/>
      <c r="Z217" s="1769"/>
      <c r="AA217" s="596"/>
      <c r="AC217" s="594"/>
      <c r="AD217" s="595"/>
      <c r="AE217" s="594"/>
      <c r="AF217" s="594"/>
      <c r="AG217" s="594"/>
      <c r="AH217" s="595"/>
      <c r="AI217" s="594"/>
      <c r="AJ217" s="594"/>
      <c r="AK217" s="246"/>
    </row>
    <row r="218" spans="1:84" ht="18" customHeight="1">
      <c r="B218" s="199"/>
      <c r="D218" s="154"/>
      <c r="F218" s="154"/>
      <c r="G218" s="217"/>
      <c r="I218" s="673"/>
      <c r="J218" s="209"/>
      <c r="K218" s="520"/>
      <c r="L218" s="154"/>
      <c r="M218" s="154"/>
      <c r="N218" s="154"/>
      <c r="O218" s="521"/>
      <c r="P218" s="1597"/>
      <c r="R218" s="1598"/>
      <c r="S218" s="596"/>
      <c r="T218" s="1768"/>
      <c r="V218" s="1769"/>
      <c r="W218" s="1792"/>
      <c r="X218" s="1768"/>
      <c r="Z218" s="1769"/>
      <c r="AA218" s="596"/>
      <c r="AC218" s="594"/>
      <c r="AD218" s="595"/>
      <c r="AE218" s="594"/>
      <c r="AF218" s="594"/>
      <c r="AG218" s="594"/>
      <c r="AH218" s="595"/>
      <c r="AI218" s="594"/>
      <c r="AJ218" s="594"/>
      <c r="AK218" s="246"/>
    </row>
    <row r="219" spans="1:84" ht="18" customHeight="1">
      <c r="B219" s="199"/>
      <c r="D219" s="154"/>
      <c r="F219" s="154"/>
      <c r="G219" s="217"/>
      <c r="I219" s="673"/>
      <c r="J219" s="209"/>
      <c r="K219" s="520"/>
      <c r="L219" s="154"/>
      <c r="M219" s="154"/>
      <c r="N219" s="154"/>
      <c r="O219" s="521"/>
      <c r="P219" s="1597"/>
      <c r="R219" s="1598"/>
      <c r="S219" s="596"/>
      <c r="T219" s="1768"/>
      <c r="V219" s="1769"/>
      <c r="W219" s="1792"/>
      <c r="X219" s="1768"/>
      <c r="Z219" s="1769"/>
      <c r="AA219" s="596"/>
      <c r="AC219" s="594"/>
      <c r="AD219" s="595"/>
      <c r="AE219" s="594"/>
      <c r="AF219" s="594"/>
      <c r="AG219" s="594"/>
      <c r="AH219" s="595"/>
      <c r="AI219" s="594"/>
      <c r="AJ219" s="594"/>
      <c r="AK219" s="246"/>
    </row>
    <row r="220" spans="1:84" ht="18" customHeight="1">
      <c r="B220" s="199"/>
      <c r="D220" s="154"/>
      <c r="F220" s="154"/>
      <c r="G220" s="217"/>
      <c r="I220" s="673"/>
      <c r="J220" s="209"/>
      <c r="K220" s="520"/>
      <c r="L220" s="154"/>
      <c r="M220" s="154"/>
      <c r="N220" s="154"/>
      <c r="O220" s="246" t="s">
        <v>396</v>
      </c>
      <c r="P220" s="1597"/>
      <c r="R220" s="1598"/>
      <c r="S220" s="557" t="s">
        <v>396</v>
      </c>
      <c r="T220" s="1768"/>
      <c r="V220" s="1769"/>
      <c r="W220" s="1779" t="s">
        <v>396</v>
      </c>
      <c r="X220" s="1768"/>
      <c r="Z220" s="1769"/>
      <c r="AA220" s="557" t="s">
        <v>396</v>
      </c>
      <c r="AC220" s="594"/>
      <c r="AK220" s="246"/>
    </row>
    <row r="221" spans="1:84" ht="18" customHeight="1">
      <c r="B221" s="199"/>
      <c r="D221" s="154"/>
      <c r="F221" s="154"/>
      <c r="G221" s="217"/>
      <c r="I221" s="673">
        <f>I40+I77</f>
        <v>0</v>
      </c>
      <c r="J221" s="209"/>
      <c r="K221" s="520"/>
      <c r="L221" s="154"/>
      <c r="M221" s="154"/>
      <c r="N221" s="154"/>
      <c r="O221" s="246"/>
      <c r="P221" s="1597"/>
      <c r="R221" s="1598"/>
      <c r="S221" s="557"/>
      <c r="T221" s="1768"/>
      <c r="V221" s="1769"/>
      <c r="X221" s="1768"/>
      <c r="Z221" s="1769"/>
      <c r="AA221" s="557"/>
      <c r="AC221" s="594"/>
      <c r="AD221" s="595"/>
      <c r="AE221" s="594"/>
      <c r="AF221" s="594"/>
      <c r="AG221" s="594"/>
      <c r="AH221" s="595"/>
      <c r="AI221" s="594"/>
      <c r="AJ221" s="594"/>
      <c r="AK221" s="246"/>
    </row>
    <row r="222" spans="1:84" ht="18" customHeight="1">
      <c r="B222" s="199"/>
      <c r="D222" s="154"/>
      <c r="F222" s="154"/>
      <c r="G222" s="2027" t="s">
        <v>724</v>
      </c>
      <c r="H222" s="673">
        <v>0.06</v>
      </c>
      <c r="I222" s="674">
        <f>I221*H222</f>
        <v>0</v>
      </c>
      <c r="J222" s="209"/>
      <c r="K222" s="520"/>
      <c r="L222" s="154"/>
      <c r="M222" s="154"/>
      <c r="N222" s="154"/>
      <c r="O222" s="246"/>
      <c r="P222" s="1597"/>
      <c r="R222" s="1598"/>
      <c r="S222" s="557"/>
      <c r="T222" s="1768"/>
      <c r="V222" s="1769"/>
      <c r="X222" s="1768"/>
      <c r="Z222" s="1769"/>
      <c r="AA222" s="557"/>
      <c r="AK222" s="246"/>
    </row>
    <row r="223" spans="1:84" ht="18" customHeight="1">
      <c r="B223" s="199"/>
      <c r="D223" s="154"/>
      <c r="F223" s="154"/>
      <c r="G223" s="217"/>
      <c r="H223" s="2027" t="s">
        <v>725</v>
      </c>
      <c r="I223" s="673"/>
      <c r="J223" s="209"/>
      <c r="K223" s="520"/>
      <c r="L223" s="154"/>
      <c r="M223" s="154"/>
      <c r="N223" s="154"/>
      <c r="O223" s="246"/>
      <c r="P223" s="1597"/>
      <c r="R223" s="1598"/>
      <c r="S223" s="557"/>
      <c r="T223" s="1768"/>
      <c r="V223" s="1769"/>
      <c r="X223" s="1768"/>
      <c r="Z223" s="1769"/>
      <c r="AA223" s="557"/>
      <c r="AK223" s="246"/>
    </row>
    <row r="224" spans="1:84" ht="18" customHeight="1">
      <c r="B224" s="199"/>
      <c r="D224" s="154"/>
      <c r="F224" s="154"/>
      <c r="G224" s="217"/>
      <c r="I224" s="673"/>
      <c r="J224" s="209"/>
      <c r="K224" s="520"/>
      <c r="L224" s="154"/>
      <c r="M224" s="154"/>
      <c r="N224" s="154"/>
      <c r="O224" s="246"/>
      <c r="P224" s="1597"/>
      <c r="R224" s="1598"/>
      <c r="S224" s="557"/>
      <c r="T224" s="1768"/>
      <c r="V224" s="1769"/>
      <c r="X224" s="1768"/>
      <c r="Z224" s="1769"/>
      <c r="AA224" s="557"/>
      <c r="AK224" s="246"/>
    </row>
    <row r="225" spans="2:37" ht="18" customHeight="1">
      <c r="B225" s="199"/>
      <c r="D225" s="154"/>
      <c r="F225" s="154"/>
      <c r="G225" s="217"/>
      <c r="I225" s="673"/>
      <c r="J225" s="209"/>
      <c r="K225" s="520"/>
      <c r="L225" s="154"/>
      <c r="M225" s="154"/>
      <c r="N225" s="154"/>
      <c r="O225" s="246"/>
      <c r="P225" s="1597"/>
      <c r="R225" s="1598"/>
      <c r="S225" s="557"/>
      <c r="T225" s="1768"/>
      <c r="V225" s="1769"/>
      <c r="X225" s="1768"/>
      <c r="Z225" s="1769"/>
      <c r="AA225" s="557"/>
      <c r="AK225" s="246"/>
    </row>
    <row r="226" spans="2:37" ht="18" customHeight="1">
      <c r="B226" s="199"/>
      <c r="D226" s="154"/>
      <c r="F226" s="154"/>
      <c r="G226" s="217"/>
      <c r="I226" s="673"/>
      <c r="J226" s="209"/>
      <c r="K226" s="520"/>
      <c r="L226" s="154"/>
      <c r="M226" s="154"/>
      <c r="N226" s="154"/>
      <c r="O226" s="246"/>
      <c r="P226" s="1597"/>
      <c r="R226" s="1598"/>
      <c r="S226" s="557"/>
      <c r="T226" s="1768"/>
      <c r="V226" s="1769"/>
      <c r="X226" s="1768"/>
      <c r="Z226" s="1769"/>
      <c r="AA226" s="557"/>
      <c r="AK226" s="246"/>
    </row>
    <row r="227" spans="2:37" ht="18" customHeight="1">
      <c r="B227" s="199"/>
      <c r="D227" s="154"/>
      <c r="F227" s="154"/>
      <c r="G227" s="217"/>
      <c r="I227" s="673"/>
      <c r="J227" s="209"/>
      <c r="K227" s="520"/>
      <c r="L227" s="154"/>
      <c r="M227" s="154"/>
      <c r="N227" s="154"/>
      <c r="O227" s="246"/>
      <c r="P227" s="1597"/>
      <c r="R227" s="1598"/>
      <c r="S227" s="557"/>
      <c r="T227" s="1768"/>
      <c r="V227" s="1769"/>
      <c r="X227" s="1768"/>
      <c r="Z227" s="1769"/>
      <c r="AA227" s="557"/>
      <c r="AK227" s="246"/>
    </row>
    <row r="228" spans="2:37" ht="18" customHeight="1">
      <c r="B228" s="199"/>
      <c r="D228" s="154"/>
      <c r="F228" s="154"/>
      <c r="G228" s="217"/>
      <c r="I228" s="673"/>
      <c r="J228" s="209"/>
      <c r="K228" s="520"/>
      <c r="L228" s="154"/>
      <c r="M228" s="154"/>
      <c r="N228" s="154"/>
      <c r="O228" s="246"/>
      <c r="P228" s="1597"/>
      <c r="R228" s="1598"/>
      <c r="S228" s="557"/>
      <c r="T228" s="1768"/>
      <c r="V228" s="1769"/>
      <c r="X228" s="1768"/>
      <c r="Z228" s="1769"/>
      <c r="AA228" s="557"/>
      <c r="AK228" s="246"/>
    </row>
    <row r="229" spans="2:37" ht="18" customHeight="1">
      <c r="B229" s="199"/>
      <c r="D229" s="154"/>
      <c r="F229" s="154"/>
      <c r="G229" s="217"/>
      <c r="I229" s="673"/>
      <c r="J229" s="209"/>
      <c r="K229" s="520"/>
      <c r="L229" s="154"/>
      <c r="M229" s="154"/>
      <c r="N229" s="154"/>
      <c r="O229" s="246"/>
      <c r="P229" s="1597"/>
      <c r="R229" s="1598"/>
      <c r="S229" s="557"/>
      <c r="T229" s="1768"/>
      <c r="V229" s="1769"/>
      <c r="X229" s="1768"/>
      <c r="Z229" s="1769"/>
      <c r="AA229" s="557"/>
      <c r="AK229" s="246"/>
    </row>
    <row r="230" spans="2:37" ht="18" customHeight="1">
      <c r="B230" s="199"/>
      <c r="D230" s="154"/>
      <c r="F230" s="154"/>
      <c r="G230" s="217"/>
      <c r="I230" s="673"/>
      <c r="J230" s="209"/>
      <c r="K230" s="520"/>
      <c r="L230" s="154"/>
      <c r="M230" s="154"/>
      <c r="N230" s="154"/>
      <c r="O230" s="246"/>
      <c r="P230" s="1597"/>
      <c r="R230" s="1598"/>
      <c r="S230" s="557"/>
      <c r="T230" s="1768"/>
      <c r="V230" s="1769"/>
      <c r="X230" s="1768"/>
      <c r="Z230" s="1769"/>
      <c r="AA230" s="557"/>
      <c r="AK230" s="246"/>
    </row>
    <row r="231" spans="2:37" ht="18" customHeight="1">
      <c r="B231" s="199"/>
      <c r="D231" s="154"/>
      <c r="F231" s="154"/>
      <c r="G231" s="217"/>
      <c r="I231" s="673"/>
      <c r="J231" s="209"/>
      <c r="K231" s="520"/>
      <c r="L231" s="154"/>
      <c r="M231" s="154"/>
      <c r="N231" s="154"/>
      <c r="O231" s="246"/>
      <c r="P231" s="1597"/>
      <c r="R231" s="1598"/>
      <c r="S231" s="557"/>
      <c r="T231" s="1768"/>
      <c r="V231" s="1769"/>
      <c r="X231" s="1768"/>
      <c r="Z231" s="1769"/>
      <c r="AA231" s="557"/>
      <c r="AK231" s="246"/>
    </row>
    <row r="232" spans="2:37" ht="18" customHeight="1">
      <c r="B232" s="199"/>
      <c r="D232" s="154"/>
      <c r="F232" s="154"/>
      <c r="G232" s="217"/>
      <c r="I232" s="673"/>
      <c r="J232" s="209"/>
      <c r="K232" s="520"/>
      <c r="L232" s="154"/>
      <c r="M232" s="154"/>
      <c r="N232" s="154"/>
      <c r="O232" s="246"/>
      <c r="P232" s="1597"/>
      <c r="R232" s="1598"/>
      <c r="S232" s="557"/>
      <c r="T232" s="1768"/>
      <c r="V232" s="1769"/>
      <c r="X232" s="1768"/>
      <c r="Z232" s="1769"/>
      <c r="AA232" s="557"/>
      <c r="AK232" s="246"/>
    </row>
    <row r="233" spans="2:37" ht="18" customHeight="1">
      <c r="B233" s="199"/>
      <c r="D233" s="154"/>
      <c r="F233" s="154"/>
      <c r="G233" s="217"/>
      <c r="I233" s="673"/>
      <c r="J233" s="209"/>
      <c r="K233" s="520"/>
      <c r="L233" s="154"/>
      <c r="M233" s="154"/>
      <c r="N233" s="154"/>
      <c r="O233" s="246"/>
      <c r="P233" s="1597"/>
      <c r="R233" s="1598"/>
      <c r="S233" s="557"/>
      <c r="T233" s="1768"/>
      <c r="V233" s="1769"/>
      <c r="X233" s="1768"/>
      <c r="Z233" s="1769"/>
      <c r="AA233" s="557"/>
      <c r="AK233" s="246"/>
    </row>
    <row r="234" spans="2:37" ht="18" customHeight="1">
      <c r="B234" s="199"/>
      <c r="D234" s="154"/>
      <c r="F234" s="154"/>
      <c r="G234" s="217"/>
      <c r="I234" s="673"/>
      <c r="J234" s="209"/>
      <c r="K234" s="520"/>
      <c r="L234" s="154"/>
      <c r="M234" s="154"/>
      <c r="N234" s="154"/>
      <c r="O234" s="246"/>
      <c r="P234" s="1597"/>
      <c r="R234" s="1598"/>
      <c r="S234" s="557"/>
      <c r="T234" s="1768"/>
      <c r="V234" s="1769"/>
      <c r="X234" s="1768"/>
      <c r="Z234" s="1769"/>
      <c r="AA234" s="557"/>
      <c r="AK234" s="246"/>
    </row>
    <row r="235" spans="2:37" ht="18" customHeight="1">
      <c r="B235" s="199"/>
      <c r="D235" s="154"/>
      <c r="F235" s="154"/>
      <c r="G235" s="217"/>
      <c r="I235" s="673"/>
      <c r="J235" s="209"/>
      <c r="K235" s="520"/>
      <c r="L235" s="154"/>
      <c r="M235" s="154"/>
      <c r="N235" s="154"/>
      <c r="O235" s="246"/>
      <c r="P235" s="1597"/>
      <c r="R235" s="1598"/>
      <c r="S235" s="557"/>
      <c r="T235" s="1768"/>
      <c r="V235" s="1769"/>
      <c r="X235" s="1768"/>
      <c r="Z235" s="1769"/>
      <c r="AA235" s="557"/>
      <c r="AK235" s="246"/>
    </row>
    <row r="236" spans="2:37" ht="18" customHeight="1">
      <c r="B236" s="199"/>
      <c r="D236" s="154"/>
      <c r="F236" s="154"/>
      <c r="G236" s="217"/>
      <c r="I236" s="673"/>
      <c r="J236" s="209"/>
      <c r="K236" s="520"/>
      <c r="L236" s="154"/>
      <c r="M236" s="154"/>
      <c r="N236" s="154"/>
      <c r="O236" s="246"/>
      <c r="P236" s="1597"/>
      <c r="R236" s="1598"/>
      <c r="S236" s="557"/>
      <c r="T236" s="1768"/>
      <c r="V236" s="1769"/>
      <c r="X236" s="1768"/>
      <c r="Z236" s="1769"/>
      <c r="AA236" s="557"/>
      <c r="AK236" s="246"/>
    </row>
    <row r="237" spans="2:37" ht="18" customHeight="1">
      <c r="B237" s="199"/>
      <c r="D237" s="154"/>
      <c r="F237" s="154"/>
      <c r="G237" s="217"/>
      <c r="I237" s="673"/>
      <c r="J237" s="209"/>
      <c r="K237" s="520"/>
      <c r="L237" s="154"/>
      <c r="M237" s="154"/>
      <c r="N237" s="154"/>
      <c r="O237" s="246"/>
      <c r="P237" s="1597"/>
      <c r="R237" s="1598"/>
      <c r="S237" s="557"/>
      <c r="T237" s="1768"/>
      <c r="V237" s="1769"/>
      <c r="X237" s="1768"/>
      <c r="Z237" s="1769"/>
      <c r="AA237" s="557"/>
      <c r="AK237" s="246"/>
    </row>
    <row r="238" spans="2:37" ht="18" customHeight="1">
      <c r="B238" s="199"/>
      <c r="D238" s="154"/>
      <c r="F238" s="154"/>
      <c r="G238" s="217"/>
      <c r="I238" s="673"/>
      <c r="J238" s="209"/>
      <c r="K238" s="520"/>
      <c r="L238" s="154"/>
      <c r="M238" s="154"/>
      <c r="N238" s="154"/>
      <c r="O238" s="246"/>
      <c r="P238" s="1597"/>
      <c r="R238" s="1598"/>
      <c r="S238" s="557"/>
      <c r="T238" s="1768"/>
      <c r="V238" s="1769"/>
      <c r="X238" s="1768"/>
      <c r="Z238" s="1769"/>
      <c r="AA238" s="557"/>
      <c r="AK238" s="246"/>
    </row>
    <row r="239" spans="2:37" ht="18" customHeight="1">
      <c r="B239" s="199"/>
      <c r="D239" s="154"/>
      <c r="F239" s="154"/>
      <c r="G239" s="217"/>
      <c r="I239" s="673"/>
      <c r="J239" s="209"/>
      <c r="K239" s="520"/>
      <c r="L239" s="154"/>
      <c r="M239" s="154"/>
      <c r="N239" s="154"/>
      <c r="O239" s="246"/>
      <c r="P239" s="1597"/>
      <c r="R239" s="1598"/>
      <c r="S239" s="557"/>
      <c r="T239" s="1768"/>
      <c r="V239" s="1769"/>
      <c r="X239" s="1768"/>
      <c r="Z239" s="1769"/>
      <c r="AA239" s="557"/>
      <c r="AK239" s="246"/>
    </row>
    <row r="240" spans="2:37" ht="18" customHeight="1">
      <c r="B240" s="199"/>
      <c r="D240" s="154"/>
      <c r="F240" s="154"/>
      <c r="G240" s="217"/>
      <c r="I240" s="673"/>
      <c r="J240" s="209"/>
      <c r="K240" s="520"/>
      <c r="L240" s="154"/>
      <c r="M240" s="154"/>
      <c r="N240" s="154"/>
      <c r="O240" s="246"/>
      <c r="P240" s="1597"/>
      <c r="R240" s="1598"/>
      <c r="S240" s="557"/>
      <c r="T240" s="1768"/>
      <c r="V240" s="1769"/>
      <c r="X240" s="1768"/>
      <c r="Z240" s="1769"/>
      <c r="AA240" s="557"/>
      <c r="AK240" s="246"/>
    </row>
    <row r="241" spans="2:37" ht="18" customHeight="1">
      <c r="B241" s="199"/>
      <c r="D241" s="154"/>
      <c r="F241" s="154"/>
      <c r="G241" s="217"/>
      <c r="I241" s="673"/>
      <c r="J241" s="209"/>
      <c r="K241" s="520"/>
      <c r="L241" s="154"/>
      <c r="M241" s="154"/>
      <c r="N241" s="154"/>
      <c r="O241" s="246"/>
      <c r="P241" s="1597"/>
      <c r="R241" s="1598"/>
      <c r="S241" s="557"/>
      <c r="T241" s="1768"/>
      <c r="V241" s="1769"/>
      <c r="X241" s="1768"/>
      <c r="Z241" s="1769"/>
      <c r="AA241" s="557"/>
      <c r="AK241" s="246"/>
    </row>
    <row r="242" spans="2:37" ht="18" customHeight="1">
      <c r="B242" s="199"/>
      <c r="D242" s="154"/>
      <c r="F242" s="154"/>
      <c r="G242" s="217"/>
      <c r="I242" s="673"/>
      <c r="J242" s="209"/>
      <c r="K242" s="520"/>
      <c r="L242" s="154"/>
      <c r="M242" s="154"/>
      <c r="N242" s="154"/>
      <c r="O242" s="246"/>
      <c r="P242" s="1597"/>
      <c r="R242" s="1598"/>
      <c r="S242" s="557"/>
      <c r="T242" s="1768"/>
      <c r="V242" s="1769"/>
      <c r="X242" s="1768"/>
      <c r="Z242" s="1769"/>
      <c r="AA242" s="557"/>
      <c r="AK242" s="246"/>
    </row>
    <row r="243" spans="2:37" ht="18" customHeight="1">
      <c r="B243" s="199"/>
      <c r="D243" s="154"/>
      <c r="F243" s="154"/>
      <c r="G243" s="217"/>
      <c r="I243" s="673"/>
      <c r="J243" s="209"/>
      <c r="K243" s="520"/>
      <c r="L243" s="154"/>
      <c r="M243" s="154"/>
      <c r="N243" s="154"/>
      <c r="O243" s="246"/>
      <c r="P243" s="1597"/>
      <c r="R243" s="1598"/>
      <c r="S243" s="557"/>
      <c r="T243" s="1768"/>
      <c r="V243" s="1769"/>
      <c r="X243" s="1768"/>
      <c r="Z243" s="1769"/>
      <c r="AA243" s="557"/>
      <c r="AK243" s="246"/>
    </row>
    <row r="244" spans="2:37" ht="18" customHeight="1">
      <c r="B244" s="199"/>
      <c r="D244" s="154"/>
      <c r="F244" s="154"/>
      <c r="G244" s="217"/>
      <c r="I244" s="673"/>
      <c r="J244" s="209"/>
      <c r="K244" s="520"/>
      <c r="L244" s="154"/>
      <c r="M244" s="154"/>
      <c r="N244" s="154"/>
      <c r="O244" s="246"/>
      <c r="P244" s="1597"/>
      <c r="R244" s="1598"/>
      <c r="S244" s="557"/>
      <c r="T244" s="1768"/>
      <c r="V244" s="1769"/>
      <c r="X244" s="1768"/>
      <c r="Z244" s="1769"/>
      <c r="AA244" s="557"/>
      <c r="AK244" s="246"/>
    </row>
    <row r="245" spans="2:37" ht="18" customHeight="1">
      <c r="B245" s="199"/>
      <c r="D245" s="154"/>
      <c r="F245" s="154"/>
      <c r="G245" s="217"/>
      <c r="I245" s="673"/>
      <c r="J245" s="209"/>
      <c r="K245" s="520"/>
      <c r="L245" s="154"/>
      <c r="M245" s="154"/>
      <c r="N245" s="154"/>
      <c r="O245" s="246"/>
      <c r="P245" s="1597"/>
      <c r="R245" s="1598"/>
      <c r="S245" s="557"/>
      <c r="T245" s="1768"/>
      <c r="V245" s="1769"/>
      <c r="X245" s="1768"/>
      <c r="Z245" s="1769"/>
      <c r="AA245" s="557"/>
      <c r="AK245" s="246"/>
    </row>
    <row r="246" spans="2:37" ht="18" customHeight="1">
      <c r="B246" s="199"/>
      <c r="D246" s="154"/>
      <c r="F246" s="154"/>
      <c r="G246" s="217"/>
      <c r="I246" s="673"/>
      <c r="J246" s="209"/>
      <c r="K246" s="520"/>
      <c r="L246" s="154"/>
      <c r="M246" s="154"/>
      <c r="N246" s="154"/>
      <c r="O246" s="246"/>
      <c r="P246" s="1597"/>
      <c r="R246" s="1598"/>
      <c r="S246" s="557"/>
      <c r="T246" s="1768"/>
      <c r="V246" s="1769"/>
      <c r="X246" s="1768"/>
      <c r="Z246" s="1769"/>
      <c r="AA246" s="557"/>
      <c r="AK246" s="246"/>
    </row>
    <row r="247" spans="2:37" ht="18" customHeight="1">
      <c r="B247" s="199"/>
      <c r="D247" s="154"/>
      <c r="F247" s="154"/>
      <c r="G247" s="217"/>
      <c r="I247" s="673"/>
      <c r="J247" s="209"/>
      <c r="K247" s="520"/>
      <c r="L247" s="154"/>
      <c r="M247" s="154"/>
      <c r="N247" s="154"/>
      <c r="O247" s="246"/>
      <c r="P247" s="1597"/>
      <c r="R247" s="1598"/>
      <c r="S247" s="557"/>
      <c r="T247" s="1768"/>
      <c r="V247" s="1769"/>
      <c r="X247" s="1768"/>
      <c r="Z247" s="1769"/>
      <c r="AA247" s="557"/>
      <c r="AK247" s="246"/>
    </row>
    <row r="248" spans="2:37" ht="18" customHeight="1">
      <c r="B248" s="199"/>
      <c r="D248" s="154"/>
      <c r="F248" s="154"/>
      <c r="G248" s="217"/>
      <c r="I248" s="673"/>
      <c r="J248" s="209"/>
      <c r="K248" s="520"/>
      <c r="L248" s="154"/>
      <c r="M248" s="154"/>
      <c r="N248" s="154"/>
      <c r="O248" s="246"/>
      <c r="P248" s="1597"/>
      <c r="R248" s="1598"/>
      <c r="S248" s="557"/>
      <c r="T248" s="1768"/>
      <c r="V248" s="1769"/>
      <c r="X248" s="1768"/>
      <c r="Z248" s="1769"/>
      <c r="AA248" s="557"/>
      <c r="AK248" s="246"/>
    </row>
    <row r="249" spans="2:37" ht="18" customHeight="1">
      <c r="B249" s="199"/>
      <c r="D249" s="154"/>
      <c r="F249" s="154"/>
      <c r="G249" s="217"/>
      <c r="I249" s="673"/>
      <c r="J249" s="209"/>
      <c r="K249" s="520"/>
      <c r="L249" s="154"/>
      <c r="M249" s="154"/>
      <c r="N249" s="154"/>
      <c r="O249" s="246"/>
      <c r="P249" s="1597"/>
      <c r="R249" s="1598"/>
      <c r="S249" s="557"/>
      <c r="T249" s="1768"/>
      <c r="V249" s="1769"/>
      <c r="X249" s="1768"/>
      <c r="Z249" s="1769"/>
      <c r="AA249" s="557"/>
      <c r="AK249" s="246"/>
    </row>
    <row r="250" spans="2:37" ht="18" customHeight="1">
      <c r="B250" s="199"/>
      <c r="D250" s="154"/>
      <c r="F250" s="154"/>
      <c r="G250" s="217"/>
      <c r="I250" s="673"/>
      <c r="J250" s="209"/>
      <c r="K250" s="520"/>
      <c r="L250" s="154"/>
      <c r="M250" s="154"/>
      <c r="N250" s="154"/>
      <c r="O250" s="246"/>
      <c r="P250" s="1597"/>
      <c r="R250" s="1598"/>
      <c r="S250" s="557"/>
      <c r="T250" s="1768"/>
      <c r="V250" s="1769"/>
      <c r="X250" s="1768"/>
      <c r="Z250" s="1769"/>
      <c r="AA250" s="557"/>
      <c r="AK250" s="246"/>
    </row>
    <row r="251" spans="2:37" ht="18" customHeight="1">
      <c r="B251" s="199"/>
      <c r="D251" s="154"/>
      <c r="F251" s="154"/>
      <c r="G251" s="217"/>
      <c r="I251" s="673"/>
      <c r="J251" s="209"/>
      <c r="K251" s="520"/>
      <c r="L251" s="154"/>
      <c r="M251" s="154"/>
      <c r="N251" s="154"/>
      <c r="O251" s="246"/>
      <c r="P251" s="1597"/>
      <c r="R251" s="1598"/>
      <c r="S251" s="557"/>
      <c r="T251" s="1768"/>
      <c r="V251" s="1769"/>
      <c r="X251" s="1768"/>
      <c r="Z251" s="1769"/>
      <c r="AA251" s="557"/>
      <c r="AK251" s="246"/>
    </row>
    <row r="252" spans="2:37" ht="18" customHeight="1">
      <c r="B252" s="199"/>
      <c r="D252" s="154"/>
      <c r="F252" s="154"/>
      <c r="G252" s="217"/>
      <c r="I252" s="673"/>
      <c r="J252" s="209"/>
      <c r="K252" s="520"/>
      <c r="L252" s="154"/>
      <c r="M252" s="154"/>
      <c r="N252" s="154"/>
      <c r="O252" s="246"/>
      <c r="P252" s="1597"/>
      <c r="R252" s="1598"/>
      <c r="S252" s="557"/>
      <c r="T252" s="1768"/>
      <c r="V252" s="1769"/>
      <c r="X252" s="1768"/>
      <c r="Z252" s="1769"/>
      <c r="AA252" s="557"/>
      <c r="AK252" s="246"/>
    </row>
    <row r="253" spans="2:37" ht="18" customHeight="1">
      <c r="B253" s="199"/>
      <c r="D253" s="154"/>
      <c r="F253" s="154"/>
      <c r="G253" s="217"/>
      <c r="I253" s="673"/>
      <c r="J253" s="209"/>
      <c r="K253" s="520"/>
      <c r="L253" s="154"/>
      <c r="M253" s="154"/>
      <c r="N253" s="154"/>
      <c r="O253" s="246"/>
      <c r="P253" s="1597"/>
      <c r="R253" s="1598"/>
      <c r="S253" s="557"/>
      <c r="T253" s="1768"/>
      <c r="V253" s="1769"/>
      <c r="X253" s="1768"/>
      <c r="Z253" s="1769"/>
      <c r="AA253" s="557"/>
      <c r="AK253" s="246"/>
    </row>
    <row r="254" spans="2:37" ht="18" customHeight="1">
      <c r="B254" s="199"/>
      <c r="D254" s="154"/>
      <c r="F254" s="154"/>
      <c r="G254" s="217"/>
      <c r="I254" s="673"/>
      <c r="J254" s="209"/>
      <c r="K254" s="520"/>
      <c r="L254" s="154"/>
      <c r="M254" s="154"/>
      <c r="N254" s="154"/>
      <c r="O254" s="246"/>
      <c r="P254" s="1597"/>
      <c r="R254" s="1598"/>
      <c r="S254" s="557"/>
      <c r="T254" s="1768"/>
      <c r="V254" s="1769"/>
      <c r="X254" s="1768"/>
      <c r="Z254" s="1769"/>
      <c r="AA254" s="557"/>
      <c r="AK254" s="246"/>
    </row>
    <row r="255" spans="2:37" ht="18" customHeight="1">
      <c r="B255" s="199"/>
      <c r="D255" s="154"/>
      <c r="F255" s="154"/>
      <c r="G255" s="217"/>
      <c r="I255" s="673"/>
      <c r="J255" s="209"/>
      <c r="K255" s="520"/>
      <c r="L255" s="154"/>
      <c r="M255" s="154"/>
      <c r="N255" s="154"/>
      <c r="O255" s="246"/>
      <c r="P255" s="1597"/>
      <c r="R255" s="1598"/>
      <c r="S255" s="557"/>
      <c r="T255" s="1768"/>
      <c r="V255" s="1769"/>
      <c r="X255" s="1768"/>
      <c r="Z255" s="1769"/>
      <c r="AA255" s="557"/>
      <c r="AK255" s="246"/>
    </row>
    <row r="256" spans="2:37" ht="18" customHeight="1">
      <c r="B256" s="199"/>
      <c r="D256" s="154"/>
      <c r="F256" s="154"/>
      <c r="G256" s="217"/>
      <c r="I256" s="673"/>
      <c r="J256" s="209"/>
      <c r="K256" s="520"/>
      <c r="L256" s="154"/>
      <c r="M256" s="154"/>
      <c r="N256" s="154"/>
      <c r="O256" s="246"/>
      <c r="P256" s="1597"/>
      <c r="R256" s="1598"/>
      <c r="S256" s="557"/>
      <c r="T256" s="1768"/>
      <c r="V256" s="1769"/>
      <c r="X256" s="1768"/>
      <c r="Z256" s="1769"/>
      <c r="AA256" s="557"/>
      <c r="AK256" s="246"/>
    </row>
    <row r="257" spans="2:37" ht="18" customHeight="1">
      <c r="B257" s="199"/>
      <c r="D257" s="154"/>
      <c r="F257" s="154"/>
      <c r="G257" s="217"/>
      <c r="I257" s="673"/>
      <c r="J257" s="209"/>
      <c r="K257" s="520"/>
      <c r="L257" s="154"/>
      <c r="M257" s="154"/>
      <c r="N257" s="154"/>
      <c r="O257" s="246"/>
      <c r="P257" s="1597"/>
      <c r="R257" s="1598"/>
      <c r="S257" s="557"/>
      <c r="T257" s="1768"/>
      <c r="V257" s="1769"/>
      <c r="X257" s="1768"/>
      <c r="Z257" s="1769"/>
      <c r="AA257" s="557"/>
      <c r="AK257" s="246"/>
    </row>
    <row r="258" spans="2:37" ht="18" customHeight="1">
      <c r="B258" s="199"/>
      <c r="D258" s="154"/>
      <c r="F258" s="154"/>
      <c r="G258" s="217"/>
      <c r="I258" s="673"/>
      <c r="J258" s="209"/>
      <c r="K258" s="520"/>
      <c r="L258" s="154"/>
      <c r="M258" s="154"/>
      <c r="N258" s="154"/>
      <c r="O258" s="246"/>
      <c r="P258" s="1597"/>
      <c r="R258" s="1598"/>
      <c r="S258" s="557"/>
      <c r="T258" s="1768"/>
      <c r="V258" s="1769"/>
      <c r="X258" s="1768"/>
      <c r="Z258" s="1769"/>
      <c r="AA258" s="557"/>
      <c r="AK258" s="246"/>
    </row>
    <row r="259" spans="2:37" ht="18" customHeight="1">
      <c r="B259" s="199"/>
      <c r="D259" s="154"/>
      <c r="F259" s="154"/>
      <c r="G259" s="217"/>
      <c r="I259" s="673"/>
      <c r="J259" s="209"/>
      <c r="K259" s="520"/>
      <c r="L259" s="154"/>
      <c r="M259" s="154"/>
      <c r="N259" s="154"/>
      <c r="O259" s="246"/>
      <c r="P259" s="1597"/>
      <c r="R259" s="1598"/>
      <c r="S259" s="557"/>
      <c r="T259" s="1768"/>
      <c r="V259" s="1769"/>
      <c r="X259" s="1768"/>
      <c r="Z259" s="1769"/>
      <c r="AA259" s="557"/>
      <c r="AK259" s="246"/>
    </row>
    <row r="260" spans="2:37" ht="18" customHeight="1">
      <c r="B260" s="199"/>
      <c r="D260" s="154"/>
      <c r="F260" s="154"/>
      <c r="G260" s="217"/>
      <c r="I260" s="673"/>
      <c r="J260" s="209"/>
      <c r="K260" s="520"/>
      <c r="L260" s="154"/>
      <c r="M260" s="154"/>
      <c r="N260" s="154"/>
      <c r="O260" s="246"/>
      <c r="P260" s="1597"/>
      <c r="R260" s="1598"/>
      <c r="S260" s="557"/>
      <c r="T260" s="1768"/>
      <c r="V260" s="1769"/>
      <c r="X260" s="1768"/>
      <c r="Z260" s="1769"/>
      <c r="AA260" s="557"/>
      <c r="AK260" s="246"/>
    </row>
    <row r="261" spans="2:37" ht="18" customHeight="1">
      <c r="B261" s="199"/>
      <c r="D261" s="154"/>
      <c r="F261" s="154"/>
      <c r="G261" s="217"/>
      <c r="I261" s="673"/>
      <c r="J261" s="209"/>
      <c r="K261" s="520"/>
      <c r="L261" s="154"/>
      <c r="M261" s="154"/>
      <c r="N261" s="154"/>
      <c r="O261" s="246"/>
      <c r="P261" s="1597"/>
      <c r="R261" s="1598"/>
      <c r="S261" s="557"/>
      <c r="T261" s="1768"/>
      <c r="V261" s="1769"/>
      <c r="X261" s="1768"/>
      <c r="Z261" s="1769"/>
      <c r="AA261" s="557"/>
      <c r="AK261" s="246"/>
    </row>
    <row r="262" spans="2:37" ht="18" customHeight="1">
      <c r="B262" s="199"/>
      <c r="D262" s="154"/>
      <c r="F262" s="154"/>
      <c r="G262" s="217"/>
      <c r="I262" s="673"/>
      <c r="J262" s="209"/>
      <c r="K262" s="520"/>
      <c r="L262" s="154"/>
      <c r="M262" s="154"/>
      <c r="N262" s="154"/>
      <c r="O262" s="246"/>
      <c r="P262" s="1597"/>
      <c r="R262" s="1598"/>
      <c r="S262" s="557"/>
      <c r="T262" s="1768"/>
      <c r="V262" s="1769"/>
      <c r="X262" s="1768"/>
      <c r="Z262" s="1769"/>
      <c r="AA262" s="557"/>
      <c r="AK262" s="246"/>
    </row>
    <row r="263" spans="2:37" ht="18" customHeight="1">
      <c r="B263" s="199"/>
      <c r="D263" s="154"/>
      <c r="F263" s="154"/>
      <c r="G263" s="217"/>
      <c r="I263" s="673"/>
      <c r="J263" s="209"/>
      <c r="K263" s="520"/>
      <c r="L263" s="154"/>
      <c r="M263" s="154"/>
      <c r="N263" s="154"/>
      <c r="O263" s="246"/>
      <c r="P263" s="1597"/>
      <c r="R263" s="1598"/>
      <c r="S263" s="557"/>
      <c r="T263" s="1768"/>
      <c r="V263" s="1769"/>
      <c r="X263" s="1768"/>
      <c r="Z263" s="1769"/>
      <c r="AA263" s="557"/>
      <c r="AK263" s="246"/>
    </row>
    <row r="264" spans="2:37" ht="18" customHeight="1">
      <c r="B264" s="199"/>
      <c r="D264" s="154"/>
      <c r="F264" s="154"/>
      <c r="G264" s="217"/>
      <c r="I264" s="673"/>
      <c r="J264" s="209"/>
      <c r="K264" s="520"/>
      <c r="L264" s="154"/>
      <c r="M264" s="154"/>
      <c r="N264" s="154"/>
      <c r="O264" s="246"/>
      <c r="P264" s="1597"/>
      <c r="R264" s="1598"/>
      <c r="S264" s="557"/>
      <c r="T264" s="1768"/>
      <c r="V264" s="1769"/>
      <c r="X264" s="1768"/>
      <c r="Z264" s="1769"/>
      <c r="AA264" s="557"/>
      <c r="AK264" s="246"/>
    </row>
    <row r="265" spans="2:37" ht="18" customHeight="1">
      <c r="B265" s="199"/>
      <c r="D265" s="154"/>
      <c r="F265" s="154"/>
      <c r="G265" s="217"/>
      <c r="I265" s="673"/>
      <c r="J265" s="209"/>
      <c r="K265" s="520"/>
      <c r="L265" s="154"/>
      <c r="M265" s="154"/>
      <c r="N265" s="154"/>
      <c r="O265" s="246"/>
      <c r="P265" s="1597"/>
      <c r="R265" s="1598"/>
      <c r="S265" s="557"/>
      <c r="T265" s="1768"/>
      <c r="V265" s="1769"/>
      <c r="X265" s="1768"/>
      <c r="Z265" s="1769"/>
      <c r="AA265" s="557"/>
      <c r="AK265" s="246"/>
    </row>
    <row r="266" spans="2:37" ht="18" customHeight="1">
      <c r="B266" s="199"/>
      <c r="D266" s="154"/>
      <c r="F266" s="154"/>
      <c r="G266" s="217"/>
      <c r="I266" s="673"/>
      <c r="J266" s="209"/>
      <c r="K266" s="520"/>
      <c r="L266" s="154"/>
      <c r="M266" s="154"/>
      <c r="N266" s="154"/>
      <c r="O266" s="246"/>
      <c r="P266" s="1597"/>
      <c r="R266" s="1598"/>
      <c r="S266" s="557"/>
      <c r="T266" s="1768"/>
      <c r="V266" s="1769"/>
      <c r="X266" s="1768"/>
      <c r="Z266" s="1769"/>
      <c r="AA266" s="557"/>
      <c r="AK266" s="246"/>
    </row>
    <row r="267" spans="2:37" ht="18" customHeight="1">
      <c r="B267" s="199"/>
      <c r="D267" s="154"/>
      <c r="F267" s="154"/>
      <c r="G267" s="217"/>
      <c r="I267" s="673"/>
      <c r="J267" s="209"/>
      <c r="K267" s="520"/>
      <c r="L267" s="154"/>
      <c r="M267" s="154"/>
      <c r="N267" s="154"/>
      <c r="O267" s="246"/>
      <c r="P267" s="1597"/>
      <c r="R267" s="1598"/>
      <c r="S267" s="557"/>
      <c r="T267" s="1768"/>
      <c r="V267" s="1769"/>
      <c r="X267" s="1768"/>
      <c r="Z267" s="1769"/>
      <c r="AA267" s="557"/>
      <c r="AK267" s="246"/>
    </row>
    <row r="268" spans="2:37" ht="18" customHeight="1">
      <c r="B268" s="199"/>
      <c r="D268" s="154"/>
      <c r="F268" s="154"/>
      <c r="G268" s="217"/>
      <c r="I268" s="673"/>
      <c r="J268" s="209"/>
      <c r="K268" s="520"/>
      <c r="L268" s="154"/>
      <c r="M268" s="154"/>
      <c r="N268" s="154"/>
      <c r="O268" s="246"/>
      <c r="P268" s="1597"/>
      <c r="R268" s="1598"/>
      <c r="S268" s="557"/>
      <c r="T268" s="1768"/>
      <c r="V268" s="1769"/>
      <c r="X268" s="1768"/>
      <c r="Z268" s="1769"/>
      <c r="AA268" s="557"/>
      <c r="AK268" s="246"/>
    </row>
    <row r="269" spans="2:37" ht="18" customHeight="1">
      <c r="B269" s="199"/>
      <c r="D269" s="154"/>
      <c r="F269" s="154"/>
      <c r="G269" s="217"/>
      <c r="I269" s="673"/>
      <c r="J269" s="209"/>
      <c r="K269" s="520"/>
      <c r="L269" s="154"/>
      <c r="M269" s="154"/>
      <c r="N269" s="154"/>
      <c r="O269" s="246"/>
      <c r="P269" s="1597"/>
      <c r="R269" s="1598"/>
      <c r="S269" s="557"/>
      <c r="T269" s="1768"/>
      <c r="V269" s="1769"/>
      <c r="X269" s="1768"/>
      <c r="Z269" s="1769"/>
      <c r="AA269" s="557"/>
      <c r="AK269" s="246"/>
    </row>
    <row r="270" spans="2:37" ht="18" customHeight="1">
      <c r="B270" s="199"/>
      <c r="D270" s="154"/>
      <c r="F270" s="154"/>
      <c r="G270" s="217"/>
      <c r="I270" s="673"/>
      <c r="J270" s="209"/>
      <c r="K270" s="520"/>
      <c r="L270" s="154"/>
      <c r="M270" s="154"/>
      <c r="N270" s="154"/>
      <c r="O270" s="246"/>
      <c r="P270" s="1597"/>
      <c r="R270" s="1598"/>
      <c r="S270" s="557"/>
      <c r="T270" s="1768"/>
      <c r="V270" s="1769"/>
      <c r="X270" s="1768"/>
      <c r="Z270" s="1769"/>
      <c r="AA270" s="557"/>
      <c r="AK270" s="246"/>
    </row>
    <row r="271" spans="2:37" ht="18" customHeight="1">
      <c r="B271" s="199"/>
      <c r="D271" s="154"/>
      <c r="F271" s="154"/>
      <c r="G271" s="217"/>
      <c r="I271" s="673"/>
      <c r="J271" s="209"/>
      <c r="K271" s="520"/>
      <c r="L271" s="154"/>
      <c r="M271" s="154"/>
      <c r="N271" s="154"/>
      <c r="O271" s="246"/>
      <c r="P271" s="1597"/>
      <c r="R271" s="1598"/>
      <c r="S271" s="557"/>
      <c r="T271" s="1768"/>
      <c r="V271" s="1769"/>
      <c r="X271" s="1768"/>
      <c r="Z271" s="1769"/>
      <c r="AA271" s="557"/>
      <c r="AK271" s="246"/>
    </row>
    <row r="272" spans="2:37" ht="18" customHeight="1">
      <c r="B272" s="199"/>
      <c r="D272" s="154"/>
      <c r="F272" s="154"/>
      <c r="G272" s="217"/>
      <c r="I272" s="673"/>
      <c r="J272" s="209"/>
      <c r="K272" s="520"/>
      <c r="L272" s="154"/>
      <c r="M272" s="154"/>
      <c r="N272" s="154"/>
      <c r="O272" s="246"/>
      <c r="P272" s="1597"/>
      <c r="R272" s="1598"/>
      <c r="S272" s="557"/>
      <c r="T272" s="1768"/>
      <c r="V272" s="1769"/>
      <c r="X272" s="1768"/>
      <c r="Z272" s="1769"/>
      <c r="AA272" s="557"/>
      <c r="AK272" s="246"/>
    </row>
    <row r="273" spans="2:37" ht="18" customHeight="1">
      <c r="B273" s="199"/>
      <c r="D273" s="154"/>
      <c r="F273" s="154"/>
      <c r="G273" s="217"/>
      <c r="I273" s="673"/>
      <c r="J273" s="209"/>
      <c r="K273" s="520"/>
      <c r="L273" s="154"/>
      <c r="M273" s="154"/>
      <c r="N273" s="154"/>
      <c r="O273" s="246"/>
      <c r="P273" s="1597"/>
      <c r="R273" s="1598"/>
      <c r="S273" s="557"/>
      <c r="T273" s="1768"/>
      <c r="V273" s="1769"/>
      <c r="X273" s="1768"/>
      <c r="Z273" s="1769"/>
      <c r="AA273" s="557"/>
      <c r="AK273" s="246"/>
    </row>
    <row r="274" spans="2:37" ht="18" customHeight="1">
      <c r="B274" s="199"/>
      <c r="D274" s="154"/>
      <c r="F274" s="154"/>
      <c r="G274" s="217"/>
      <c r="I274" s="673"/>
      <c r="J274" s="209"/>
      <c r="K274" s="520"/>
      <c r="L274" s="154"/>
      <c r="M274" s="154"/>
      <c r="N274" s="154"/>
      <c r="O274" s="246"/>
      <c r="P274" s="1597"/>
      <c r="R274" s="1598"/>
      <c r="S274" s="557"/>
      <c r="T274" s="1768"/>
      <c r="V274" s="1769"/>
      <c r="X274" s="1768"/>
      <c r="Z274" s="1769"/>
      <c r="AA274" s="557"/>
      <c r="AK274" s="246"/>
    </row>
    <row r="275" spans="2:37" ht="18" customHeight="1">
      <c r="B275" s="199"/>
      <c r="D275" s="154"/>
      <c r="F275" s="154"/>
      <c r="G275" s="217"/>
      <c r="I275" s="673"/>
      <c r="J275" s="209"/>
      <c r="K275" s="520"/>
      <c r="L275" s="154"/>
      <c r="M275" s="154"/>
      <c r="N275" s="154"/>
      <c r="O275" s="246"/>
      <c r="P275" s="1597"/>
      <c r="R275" s="1598"/>
      <c r="S275" s="557"/>
      <c r="T275" s="1768"/>
      <c r="V275" s="1769"/>
      <c r="X275" s="1768"/>
      <c r="Z275" s="1769"/>
      <c r="AA275" s="557"/>
      <c r="AK275" s="246"/>
    </row>
    <row r="276" spans="2:37" ht="18" customHeight="1">
      <c r="B276" s="199"/>
      <c r="D276" s="154"/>
      <c r="F276" s="154"/>
      <c r="G276" s="217"/>
      <c r="I276" s="673"/>
      <c r="J276" s="209"/>
      <c r="K276" s="520"/>
      <c r="L276" s="154"/>
      <c r="M276" s="154"/>
      <c r="N276" s="154"/>
      <c r="O276" s="246"/>
      <c r="P276" s="1597"/>
      <c r="R276" s="1598"/>
      <c r="S276" s="557"/>
      <c r="T276" s="1768"/>
      <c r="V276" s="1769"/>
      <c r="X276" s="1768"/>
      <c r="Z276" s="1769"/>
      <c r="AA276" s="557"/>
      <c r="AK276" s="246"/>
    </row>
    <row r="277" spans="2:37" ht="18" customHeight="1">
      <c r="B277" s="199"/>
      <c r="D277" s="154"/>
      <c r="F277" s="154"/>
      <c r="G277" s="217"/>
      <c r="I277" s="673"/>
      <c r="J277" s="209"/>
      <c r="K277" s="520"/>
      <c r="L277" s="154"/>
      <c r="M277" s="154"/>
      <c r="N277" s="154"/>
      <c r="O277" s="246"/>
      <c r="P277" s="1597"/>
      <c r="R277" s="1598"/>
      <c r="S277" s="557"/>
      <c r="T277" s="1768"/>
      <c r="V277" s="1769"/>
      <c r="X277" s="1768"/>
      <c r="Z277" s="1769"/>
      <c r="AA277" s="557"/>
      <c r="AK277" s="246"/>
    </row>
    <row r="278" spans="2:37" ht="18" customHeight="1">
      <c r="B278" s="199"/>
      <c r="D278" s="154"/>
      <c r="F278" s="154"/>
      <c r="G278" s="217"/>
      <c r="I278" s="673"/>
      <c r="J278" s="209"/>
      <c r="K278" s="520"/>
      <c r="L278" s="154"/>
      <c r="M278" s="154"/>
      <c r="N278" s="154"/>
      <c r="O278" s="246"/>
      <c r="P278" s="1597"/>
      <c r="R278" s="1598"/>
      <c r="S278" s="557"/>
      <c r="T278" s="1768"/>
      <c r="V278" s="1769"/>
      <c r="X278" s="1768"/>
      <c r="Z278" s="1769"/>
      <c r="AA278" s="557"/>
      <c r="AK278" s="246"/>
    </row>
    <row r="279" spans="2:37" ht="18" customHeight="1">
      <c r="B279" s="199"/>
      <c r="D279" s="154"/>
      <c r="F279" s="154"/>
      <c r="G279" s="217"/>
      <c r="I279" s="673"/>
      <c r="J279" s="209"/>
      <c r="K279" s="520"/>
      <c r="L279" s="154"/>
      <c r="M279" s="154"/>
      <c r="N279" s="154"/>
      <c r="O279" s="246"/>
      <c r="P279" s="1597"/>
      <c r="R279" s="1598"/>
      <c r="S279" s="557"/>
      <c r="T279" s="1768"/>
      <c r="V279" s="1769"/>
      <c r="X279" s="1768"/>
      <c r="Z279" s="1769"/>
      <c r="AA279" s="557"/>
      <c r="AK279" s="246"/>
    </row>
    <row r="280" spans="2:37" ht="18" customHeight="1">
      <c r="B280" s="199"/>
      <c r="D280" s="154"/>
      <c r="F280" s="154"/>
      <c r="G280" s="217"/>
      <c r="I280" s="673"/>
      <c r="J280" s="209"/>
      <c r="K280" s="520"/>
      <c r="L280" s="154"/>
      <c r="M280" s="154"/>
      <c r="N280" s="154"/>
      <c r="O280" s="246"/>
      <c r="P280" s="1597"/>
      <c r="R280" s="1598"/>
      <c r="S280" s="557"/>
      <c r="T280" s="1768"/>
      <c r="V280" s="1769"/>
      <c r="X280" s="1768"/>
      <c r="Z280" s="1769"/>
      <c r="AA280" s="557"/>
      <c r="AK280" s="246"/>
    </row>
    <row r="281" spans="2:37" ht="18" customHeight="1">
      <c r="B281" s="199"/>
      <c r="D281" s="154"/>
      <c r="F281" s="154"/>
      <c r="G281" s="217"/>
      <c r="I281" s="673"/>
      <c r="J281" s="209"/>
      <c r="K281" s="520"/>
      <c r="L281" s="154"/>
      <c r="M281" s="154"/>
      <c r="N281" s="154"/>
      <c r="O281" s="246"/>
      <c r="P281" s="1597"/>
      <c r="R281" s="1598"/>
      <c r="S281" s="557"/>
      <c r="T281" s="1768"/>
      <c r="V281" s="1769"/>
      <c r="X281" s="1768"/>
      <c r="Z281" s="1769"/>
      <c r="AA281" s="557"/>
      <c r="AK281" s="246"/>
    </row>
    <row r="282" spans="2:37" ht="18" customHeight="1">
      <c r="B282" s="199"/>
      <c r="D282" s="154"/>
      <c r="F282" s="154"/>
      <c r="G282" s="217"/>
      <c r="I282" s="673"/>
      <c r="J282" s="209"/>
      <c r="K282" s="520"/>
      <c r="L282" s="154"/>
      <c r="M282" s="154"/>
      <c r="N282" s="154"/>
      <c r="O282" s="246"/>
      <c r="P282" s="1597"/>
      <c r="R282" s="1598"/>
      <c r="S282" s="557"/>
      <c r="T282" s="1768"/>
      <c r="V282" s="1769"/>
      <c r="X282" s="1768"/>
      <c r="Z282" s="1769"/>
      <c r="AA282" s="557"/>
      <c r="AK282" s="246"/>
    </row>
    <row r="283" spans="2:37" ht="18" customHeight="1">
      <c r="B283" s="199"/>
      <c r="D283" s="154"/>
      <c r="F283" s="154"/>
      <c r="G283" s="217"/>
      <c r="I283" s="673"/>
      <c r="J283" s="209"/>
      <c r="K283" s="520"/>
      <c r="L283" s="154"/>
      <c r="M283" s="154"/>
      <c r="N283" s="154"/>
      <c r="O283" s="246"/>
      <c r="P283" s="1597"/>
      <c r="R283" s="1598"/>
      <c r="S283" s="557"/>
      <c r="T283" s="1768"/>
      <c r="V283" s="1769"/>
      <c r="X283" s="1768"/>
      <c r="Z283" s="1769"/>
      <c r="AA283" s="557"/>
      <c r="AK283" s="246"/>
    </row>
    <row r="284" spans="2:37" ht="18" customHeight="1">
      <c r="B284" s="199"/>
      <c r="D284" s="154"/>
      <c r="F284" s="154"/>
      <c r="G284" s="217"/>
      <c r="I284" s="673"/>
      <c r="J284" s="209"/>
      <c r="K284" s="520"/>
      <c r="L284" s="154"/>
      <c r="M284" s="154"/>
      <c r="N284" s="154"/>
      <c r="O284" s="246"/>
      <c r="P284" s="1597"/>
      <c r="R284" s="1598"/>
      <c r="S284" s="557"/>
      <c r="T284" s="1768"/>
      <c r="V284" s="1769"/>
      <c r="X284" s="1768"/>
      <c r="Z284" s="1769"/>
      <c r="AA284" s="557"/>
      <c r="AK284" s="246"/>
    </row>
    <row r="285" spans="2:37" ht="18" customHeight="1">
      <c r="B285" s="199"/>
      <c r="D285" s="154"/>
      <c r="F285" s="154"/>
      <c r="G285" s="217"/>
      <c r="I285" s="673"/>
      <c r="J285" s="209"/>
      <c r="K285" s="520"/>
      <c r="L285" s="154"/>
      <c r="M285" s="154"/>
      <c r="N285" s="154"/>
      <c r="O285" s="246"/>
      <c r="P285" s="1597"/>
      <c r="R285" s="1598"/>
      <c r="S285" s="557"/>
      <c r="T285" s="1768"/>
      <c r="V285" s="1769"/>
      <c r="X285" s="1768"/>
      <c r="Z285" s="1769"/>
      <c r="AA285" s="557"/>
      <c r="AK285" s="246"/>
    </row>
    <row r="286" spans="2:37" ht="18" customHeight="1">
      <c r="B286" s="199"/>
      <c r="D286" s="154"/>
      <c r="F286" s="154"/>
      <c r="G286" s="217"/>
      <c r="I286" s="673"/>
      <c r="J286" s="209"/>
      <c r="K286" s="520"/>
      <c r="L286" s="154"/>
      <c r="M286" s="154"/>
      <c r="N286" s="154"/>
      <c r="O286" s="246"/>
      <c r="P286" s="1597"/>
      <c r="R286" s="1598"/>
      <c r="S286" s="557"/>
      <c r="T286" s="1768"/>
      <c r="V286" s="1769"/>
      <c r="X286" s="1768"/>
      <c r="Z286" s="1769"/>
      <c r="AA286" s="557"/>
      <c r="AK286" s="246"/>
    </row>
    <row r="287" spans="2:37" ht="18" customHeight="1">
      <c r="B287" s="199"/>
      <c r="D287" s="154"/>
      <c r="F287" s="154"/>
      <c r="G287" s="217"/>
      <c r="I287" s="673"/>
      <c r="J287" s="209"/>
      <c r="K287" s="520"/>
      <c r="L287" s="154"/>
      <c r="M287" s="154"/>
      <c r="N287" s="154"/>
      <c r="O287" s="246"/>
      <c r="P287" s="1597"/>
      <c r="R287" s="1598"/>
      <c r="S287" s="557"/>
      <c r="T287" s="1768"/>
      <c r="V287" s="1769"/>
      <c r="X287" s="1768"/>
      <c r="Z287" s="1769"/>
      <c r="AA287" s="557"/>
      <c r="AK287" s="246"/>
    </row>
    <row r="288" spans="2:37" ht="18" customHeight="1">
      <c r="B288" s="199"/>
      <c r="D288" s="154"/>
      <c r="F288" s="154"/>
      <c r="G288" s="217"/>
      <c r="I288" s="673"/>
      <c r="J288" s="209"/>
      <c r="K288" s="520"/>
      <c r="L288" s="154"/>
      <c r="M288" s="154"/>
      <c r="N288" s="154"/>
      <c r="O288" s="246"/>
      <c r="P288" s="1597"/>
      <c r="R288" s="1598"/>
      <c r="S288" s="557"/>
      <c r="T288" s="1768"/>
      <c r="V288" s="1769"/>
      <c r="X288" s="1768"/>
      <c r="Z288" s="1769"/>
      <c r="AA288" s="557"/>
      <c r="AK288" s="246"/>
    </row>
    <row r="289" spans="2:37" ht="18" customHeight="1">
      <c r="B289" s="199"/>
      <c r="D289" s="154"/>
      <c r="F289" s="154"/>
      <c r="G289" s="217"/>
      <c r="I289" s="673"/>
      <c r="J289" s="209"/>
      <c r="K289" s="520"/>
      <c r="L289" s="154"/>
      <c r="M289" s="154"/>
      <c r="N289" s="154"/>
      <c r="O289" s="246"/>
      <c r="P289" s="1597"/>
      <c r="R289" s="1598"/>
      <c r="S289" s="557"/>
      <c r="T289" s="1768"/>
      <c r="V289" s="1769"/>
      <c r="X289" s="1768"/>
      <c r="Z289" s="1769"/>
      <c r="AA289" s="557"/>
      <c r="AK289" s="246"/>
    </row>
    <row r="290" spans="2:37" ht="18" customHeight="1">
      <c r="B290" s="199"/>
      <c r="D290" s="154"/>
      <c r="F290" s="154"/>
      <c r="G290" s="217"/>
      <c r="I290" s="673"/>
      <c r="J290" s="209"/>
      <c r="K290" s="520"/>
      <c r="L290" s="154"/>
      <c r="M290" s="154"/>
      <c r="N290" s="154"/>
      <c r="O290" s="246"/>
      <c r="P290" s="1597"/>
      <c r="R290" s="1598"/>
      <c r="S290" s="557"/>
      <c r="T290" s="1768"/>
      <c r="V290" s="1769"/>
      <c r="X290" s="1768"/>
      <c r="Z290" s="1769"/>
      <c r="AA290" s="557"/>
      <c r="AK290" s="246"/>
    </row>
    <row r="291" spans="2:37" ht="18" customHeight="1">
      <c r="B291" s="199"/>
      <c r="D291" s="154"/>
      <c r="F291" s="154"/>
      <c r="G291" s="217"/>
      <c r="I291" s="673"/>
      <c r="J291" s="209"/>
      <c r="K291" s="520"/>
      <c r="L291" s="154"/>
      <c r="M291" s="154"/>
      <c r="N291" s="154"/>
      <c r="O291" s="246"/>
      <c r="P291" s="1597"/>
      <c r="R291" s="1598"/>
      <c r="S291" s="557"/>
      <c r="T291" s="1768"/>
      <c r="V291" s="1769"/>
      <c r="X291" s="1768"/>
      <c r="Z291" s="1769"/>
      <c r="AA291" s="557"/>
      <c r="AK291" s="246"/>
    </row>
    <row r="292" spans="2:37" ht="18" customHeight="1">
      <c r="B292" s="199"/>
      <c r="D292" s="154"/>
      <c r="F292" s="154"/>
      <c r="G292" s="217"/>
      <c r="I292" s="673"/>
      <c r="J292" s="209"/>
      <c r="K292" s="520"/>
      <c r="L292" s="154"/>
      <c r="M292" s="154"/>
      <c r="N292" s="154"/>
      <c r="O292" s="246"/>
      <c r="P292" s="1597"/>
      <c r="R292" s="1598"/>
      <c r="S292" s="557"/>
      <c r="T292" s="1768"/>
      <c r="V292" s="1769"/>
      <c r="X292" s="1768"/>
      <c r="Z292" s="1769"/>
      <c r="AA292" s="557"/>
      <c r="AK292" s="246"/>
    </row>
    <row r="293" spans="2:37" ht="18" customHeight="1">
      <c r="B293" s="199"/>
      <c r="D293" s="154"/>
      <c r="F293" s="154"/>
      <c r="G293" s="217"/>
      <c r="I293" s="673"/>
      <c r="J293" s="209"/>
      <c r="K293" s="520"/>
      <c r="L293" s="154"/>
      <c r="M293" s="154"/>
      <c r="N293" s="154"/>
      <c r="O293" s="246"/>
      <c r="P293" s="1597"/>
      <c r="R293" s="1598"/>
      <c r="S293" s="557"/>
      <c r="T293" s="1768"/>
      <c r="V293" s="1769"/>
      <c r="X293" s="1768"/>
      <c r="Z293" s="1769"/>
      <c r="AA293" s="557"/>
      <c r="AK293" s="246"/>
    </row>
    <row r="294" spans="2:37" ht="18" customHeight="1">
      <c r="B294" s="199"/>
      <c r="D294" s="154"/>
      <c r="F294" s="154"/>
      <c r="G294" s="217"/>
      <c r="I294" s="673"/>
      <c r="J294" s="209"/>
      <c r="K294" s="520"/>
      <c r="L294" s="154"/>
      <c r="M294" s="154"/>
      <c r="N294" s="154"/>
      <c r="O294" s="246"/>
      <c r="P294" s="1597"/>
      <c r="R294" s="1598"/>
      <c r="S294" s="557"/>
      <c r="T294" s="1768"/>
      <c r="V294" s="1769"/>
      <c r="X294" s="1768"/>
      <c r="Z294" s="1769"/>
      <c r="AA294" s="557"/>
      <c r="AK294" s="246"/>
    </row>
    <row r="295" spans="2:37" ht="18" customHeight="1">
      <c r="B295" s="199"/>
      <c r="D295" s="154"/>
      <c r="F295" s="154"/>
      <c r="G295" s="217"/>
      <c r="I295" s="673"/>
      <c r="J295" s="209"/>
      <c r="K295" s="520"/>
      <c r="L295" s="154"/>
      <c r="M295" s="154"/>
      <c r="N295" s="154"/>
      <c r="O295" s="246"/>
      <c r="P295" s="1597"/>
      <c r="R295" s="1598"/>
      <c r="S295" s="557"/>
      <c r="T295" s="1768"/>
      <c r="V295" s="1769"/>
      <c r="X295" s="1768"/>
      <c r="Z295" s="1769"/>
      <c r="AA295" s="557"/>
      <c r="AK295" s="246"/>
    </row>
    <row r="296" spans="2:37" ht="18" customHeight="1">
      <c r="B296" s="199"/>
      <c r="D296" s="154"/>
      <c r="F296" s="154"/>
      <c r="G296" s="217"/>
      <c r="I296" s="673"/>
      <c r="J296" s="209"/>
      <c r="K296" s="520"/>
      <c r="L296" s="154"/>
      <c r="M296" s="154"/>
      <c r="N296" s="154"/>
      <c r="O296" s="246"/>
      <c r="P296" s="1597"/>
      <c r="R296" s="1598"/>
      <c r="S296" s="557"/>
      <c r="T296" s="1768"/>
      <c r="V296" s="1769"/>
      <c r="X296" s="1768"/>
      <c r="Z296" s="1769"/>
      <c r="AA296" s="557"/>
      <c r="AK296" s="246"/>
    </row>
    <row r="297" spans="2:37" ht="18" customHeight="1">
      <c r="B297" s="199"/>
      <c r="D297" s="154"/>
      <c r="F297" s="154"/>
      <c r="G297" s="217"/>
      <c r="I297" s="673"/>
      <c r="J297" s="209"/>
      <c r="K297" s="520"/>
      <c r="L297" s="154"/>
      <c r="M297" s="154"/>
      <c r="N297" s="154"/>
      <c r="O297" s="246"/>
      <c r="P297" s="1597"/>
      <c r="R297" s="1598"/>
      <c r="S297" s="557"/>
      <c r="T297" s="1768"/>
      <c r="V297" s="1769"/>
      <c r="X297" s="1768"/>
      <c r="Z297" s="1769"/>
      <c r="AA297" s="557"/>
      <c r="AK297" s="246"/>
    </row>
    <row r="298" spans="2:37" ht="18" customHeight="1">
      <c r="B298" s="199"/>
      <c r="D298" s="154"/>
      <c r="F298" s="154"/>
      <c r="G298" s="217"/>
      <c r="I298" s="673"/>
      <c r="J298" s="209"/>
      <c r="K298" s="520"/>
      <c r="L298" s="154"/>
      <c r="M298" s="154"/>
      <c r="N298" s="154"/>
      <c r="O298" s="246"/>
      <c r="P298" s="1597"/>
      <c r="R298" s="1598"/>
      <c r="S298" s="557"/>
      <c r="T298" s="1768"/>
      <c r="V298" s="1769"/>
      <c r="X298" s="1768"/>
      <c r="Z298" s="1769"/>
      <c r="AA298" s="557"/>
      <c r="AK298" s="246"/>
    </row>
    <row r="299" spans="2:37" ht="18" customHeight="1">
      <c r="B299" s="199"/>
      <c r="D299" s="154"/>
      <c r="F299" s="154"/>
      <c r="G299" s="217"/>
      <c r="I299" s="673"/>
      <c r="J299" s="209"/>
      <c r="K299" s="520"/>
      <c r="L299" s="154"/>
      <c r="M299" s="154"/>
      <c r="N299" s="154"/>
      <c r="O299" s="246"/>
      <c r="P299" s="1597"/>
      <c r="R299" s="1598"/>
      <c r="S299" s="557"/>
      <c r="T299" s="1768"/>
      <c r="V299" s="1769"/>
      <c r="X299" s="1768"/>
      <c r="Z299" s="1769"/>
      <c r="AA299" s="557"/>
      <c r="AK299" s="246"/>
    </row>
    <row r="300" spans="2:37" ht="18" customHeight="1">
      <c r="B300" s="199"/>
      <c r="D300" s="154"/>
      <c r="F300" s="154"/>
      <c r="G300" s="217"/>
      <c r="I300" s="673"/>
      <c r="J300" s="209"/>
      <c r="K300" s="520"/>
      <c r="L300" s="154"/>
      <c r="M300" s="154"/>
      <c r="N300" s="154"/>
      <c r="O300" s="246"/>
      <c r="P300" s="1597"/>
      <c r="R300" s="1598"/>
      <c r="S300" s="557"/>
      <c r="T300" s="1768"/>
      <c r="V300" s="1769"/>
      <c r="X300" s="1768"/>
      <c r="Z300" s="1769"/>
      <c r="AA300" s="557"/>
      <c r="AK300" s="246"/>
    </row>
    <row r="301" spans="2:37" ht="18" customHeight="1">
      <c r="B301" s="199"/>
      <c r="D301" s="154"/>
      <c r="F301" s="154"/>
      <c r="G301" s="217"/>
      <c r="I301" s="673"/>
      <c r="J301" s="209"/>
      <c r="K301" s="520"/>
      <c r="L301" s="154"/>
      <c r="M301" s="154"/>
      <c r="N301" s="154"/>
      <c r="O301" s="246"/>
      <c r="P301" s="1597"/>
      <c r="R301" s="1598"/>
      <c r="S301" s="557"/>
      <c r="T301" s="1768"/>
      <c r="V301" s="1769"/>
      <c r="X301" s="1768"/>
      <c r="Z301" s="1769"/>
      <c r="AA301" s="557"/>
      <c r="AK301" s="246"/>
    </row>
    <row r="302" spans="2:37" ht="18" customHeight="1">
      <c r="B302" s="199"/>
      <c r="D302" s="154"/>
      <c r="F302" s="154"/>
      <c r="G302" s="217"/>
      <c r="I302" s="673"/>
      <c r="J302" s="209"/>
      <c r="K302" s="520"/>
      <c r="L302" s="154"/>
      <c r="M302" s="154"/>
      <c r="N302" s="154"/>
      <c r="O302" s="246"/>
      <c r="P302" s="1597"/>
      <c r="R302" s="1598"/>
      <c r="S302" s="557"/>
      <c r="T302" s="1768"/>
      <c r="V302" s="1769"/>
      <c r="X302" s="1768"/>
      <c r="Z302" s="1769"/>
      <c r="AA302" s="557"/>
      <c r="AK302" s="246"/>
    </row>
    <row r="303" spans="2:37" ht="18" customHeight="1">
      <c r="B303" s="199"/>
      <c r="D303" s="154"/>
      <c r="F303" s="154"/>
      <c r="G303" s="217"/>
      <c r="I303" s="673"/>
      <c r="J303" s="209"/>
      <c r="K303" s="520"/>
      <c r="L303" s="154"/>
      <c r="M303" s="154"/>
      <c r="N303" s="154"/>
      <c r="O303" s="246"/>
      <c r="P303" s="1597"/>
      <c r="R303" s="1598"/>
      <c r="S303" s="557"/>
      <c r="T303" s="1768"/>
      <c r="V303" s="1769"/>
      <c r="X303" s="1768"/>
      <c r="Z303" s="1769"/>
      <c r="AA303" s="557"/>
      <c r="AK303" s="246"/>
    </row>
    <row r="304" spans="2:37" ht="18" customHeight="1">
      <c r="B304" s="199"/>
      <c r="D304" s="154"/>
      <c r="F304" s="154"/>
      <c r="G304" s="217"/>
      <c r="I304" s="673"/>
      <c r="J304" s="209"/>
      <c r="K304" s="520"/>
      <c r="L304" s="154"/>
      <c r="M304" s="154"/>
      <c r="N304" s="154"/>
      <c r="O304" s="246"/>
      <c r="P304" s="1597"/>
      <c r="R304" s="1598"/>
      <c r="S304" s="557"/>
      <c r="T304" s="1768"/>
      <c r="V304" s="1769"/>
      <c r="X304" s="1768"/>
      <c r="Z304" s="1769"/>
      <c r="AA304" s="557"/>
      <c r="AK304" s="246"/>
    </row>
    <row r="305" spans="2:37" ht="18" customHeight="1">
      <c r="B305" s="199"/>
      <c r="D305" s="154"/>
      <c r="F305" s="154"/>
      <c r="G305" s="217"/>
      <c r="I305" s="673"/>
      <c r="J305" s="209"/>
      <c r="K305" s="520"/>
      <c r="L305" s="154"/>
      <c r="M305" s="154"/>
      <c r="N305" s="154"/>
      <c r="O305" s="246"/>
      <c r="P305" s="1597"/>
      <c r="R305" s="1598"/>
      <c r="S305" s="557"/>
      <c r="T305" s="1768"/>
      <c r="V305" s="1769"/>
      <c r="X305" s="1768"/>
      <c r="Z305" s="1769"/>
      <c r="AA305" s="557"/>
      <c r="AK305" s="246"/>
    </row>
    <row r="306" spans="2:37" ht="18" customHeight="1">
      <c r="B306" s="199"/>
      <c r="D306" s="154"/>
      <c r="F306" s="154"/>
      <c r="G306" s="217"/>
      <c r="I306" s="673"/>
      <c r="J306" s="209"/>
      <c r="K306" s="520"/>
      <c r="L306" s="154"/>
      <c r="M306" s="154"/>
      <c r="N306" s="154"/>
      <c r="O306" s="246"/>
      <c r="P306" s="1597"/>
      <c r="R306" s="1598"/>
      <c r="S306" s="557"/>
      <c r="T306" s="1768"/>
      <c r="V306" s="1769"/>
      <c r="X306" s="1768"/>
      <c r="Z306" s="1769"/>
      <c r="AA306" s="557"/>
      <c r="AK306" s="246"/>
    </row>
    <row r="307" spans="2:37" ht="18" customHeight="1">
      <c r="B307" s="199"/>
      <c r="D307" s="154"/>
      <c r="F307" s="154"/>
      <c r="G307" s="217"/>
      <c r="I307" s="673"/>
      <c r="J307" s="209"/>
      <c r="K307" s="520"/>
      <c r="L307" s="154"/>
      <c r="M307" s="154"/>
      <c r="N307" s="154"/>
      <c r="O307" s="246"/>
      <c r="P307" s="1597"/>
      <c r="R307" s="1598"/>
      <c r="S307" s="557"/>
      <c r="T307" s="1768"/>
      <c r="V307" s="1769"/>
      <c r="X307" s="1768"/>
      <c r="Z307" s="1769"/>
      <c r="AA307" s="557"/>
      <c r="AK307" s="246"/>
    </row>
    <row r="308" spans="2:37" ht="18" customHeight="1">
      <c r="B308" s="199"/>
      <c r="D308" s="154"/>
      <c r="F308" s="154"/>
      <c r="G308" s="217"/>
      <c r="I308" s="673"/>
      <c r="J308" s="209"/>
      <c r="K308" s="520"/>
      <c r="L308" s="154"/>
      <c r="M308" s="154"/>
      <c r="N308" s="154"/>
      <c r="O308" s="246"/>
      <c r="P308" s="1597"/>
      <c r="R308" s="1598"/>
      <c r="S308" s="557"/>
      <c r="T308" s="1768"/>
      <c r="V308" s="1769"/>
      <c r="X308" s="1768"/>
      <c r="Z308" s="1769"/>
      <c r="AA308" s="557"/>
      <c r="AK308" s="246"/>
    </row>
    <row r="309" spans="2:37" ht="18" customHeight="1">
      <c r="B309" s="199"/>
      <c r="D309" s="154"/>
      <c r="F309" s="154"/>
      <c r="G309" s="217"/>
      <c r="I309" s="673"/>
      <c r="J309" s="209"/>
      <c r="K309" s="520"/>
      <c r="L309" s="154"/>
      <c r="M309" s="154"/>
      <c r="N309" s="154"/>
      <c r="O309" s="246"/>
      <c r="P309" s="1597"/>
      <c r="R309" s="1598"/>
      <c r="S309" s="557"/>
      <c r="T309" s="1768"/>
      <c r="V309" s="1769"/>
      <c r="X309" s="1768"/>
      <c r="Z309" s="1769"/>
      <c r="AA309" s="557"/>
      <c r="AK309" s="246"/>
    </row>
    <row r="310" spans="2:37" ht="18" customHeight="1">
      <c r="B310" s="199"/>
      <c r="D310" s="154"/>
      <c r="F310" s="154"/>
      <c r="G310" s="217"/>
      <c r="I310" s="673"/>
      <c r="J310" s="209"/>
      <c r="K310" s="520"/>
      <c r="L310" s="154"/>
      <c r="M310" s="154"/>
      <c r="N310" s="154"/>
      <c r="O310" s="246"/>
      <c r="P310" s="1597"/>
      <c r="R310" s="1598"/>
      <c r="S310" s="557"/>
      <c r="T310" s="1768"/>
      <c r="V310" s="1769"/>
      <c r="X310" s="1768"/>
      <c r="Z310" s="1769"/>
      <c r="AA310" s="557"/>
      <c r="AK310" s="246"/>
    </row>
    <row r="311" spans="2:37" ht="18" customHeight="1">
      <c r="B311" s="199"/>
      <c r="D311" s="154"/>
      <c r="F311" s="154"/>
      <c r="G311" s="217"/>
      <c r="I311" s="673"/>
      <c r="J311" s="209"/>
      <c r="K311" s="520"/>
      <c r="L311" s="154"/>
      <c r="M311" s="154"/>
      <c r="N311" s="154"/>
      <c r="O311" s="246"/>
      <c r="P311" s="1597"/>
      <c r="R311" s="1598"/>
      <c r="S311" s="557"/>
      <c r="T311" s="1768"/>
      <c r="V311" s="1769"/>
      <c r="X311" s="1768"/>
      <c r="Z311" s="1769"/>
      <c r="AA311" s="557"/>
      <c r="AK311" s="246"/>
    </row>
    <row r="312" spans="2:37" ht="18" customHeight="1">
      <c r="B312" s="199"/>
      <c r="D312" s="154"/>
      <c r="F312" s="154"/>
      <c r="G312" s="217"/>
      <c r="I312" s="673"/>
      <c r="J312" s="209"/>
      <c r="K312" s="520"/>
      <c r="L312" s="154"/>
      <c r="M312" s="154"/>
      <c r="N312" s="154"/>
      <c r="O312" s="246"/>
      <c r="P312" s="1597"/>
      <c r="R312" s="1598"/>
      <c r="S312" s="557"/>
      <c r="T312" s="1768"/>
      <c r="V312" s="1769"/>
      <c r="X312" s="1768"/>
      <c r="Z312" s="1769"/>
      <c r="AA312" s="557"/>
      <c r="AK312" s="246"/>
    </row>
    <row r="313" spans="2:37" ht="18" customHeight="1">
      <c r="B313" s="199"/>
      <c r="D313" s="154"/>
      <c r="F313" s="154"/>
      <c r="G313" s="217"/>
      <c r="I313" s="673"/>
      <c r="J313" s="209"/>
      <c r="K313" s="520"/>
      <c r="L313" s="154"/>
      <c r="M313" s="154"/>
      <c r="N313" s="154"/>
      <c r="O313" s="246"/>
      <c r="P313" s="1597"/>
      <c r="R313" s="1598"/>
      <c r="S313" s="557"/>
      <c r="T313" s="1768"/>
      <c r="V313" s="1769"/>
      <c r="X313" s="1768"/>
      <c r="Z313" s="1769"/>
      <c r="AA313" s="557"/>
      <c r="AK313" s="246"/>
    </row>
    <row r="314" spans="2:37" ht="18" customHeight="1">
      <c r="B314" s="199"/>
      <c r="D314" s="154"/>
      <c r="F314" s="154"/>
      <c r="G314" s="217"/>
      <c r="I314" s="673"/>
      <c r="J314" s="209"/>
      <c r="K314" s="520"/>
      <c r="L314" s="154"/>
      <c r="M314" s="154"/>
      <c r="N314" s="154"/>
      <c r="O314" s="246"/>
      <c r="P314" s="1597"/>
      <c r="R314" s="1598"/>
      <c r="S314" s="557"/>
      <c r="T314" s="1768"/>
      <c r="V314" s="1769"/>
      <c r="X314" s="1768"/>
      <c r="Z314" s="1769"/>
      <c r="AA314" s="557"/>
      <c r="AK314" s="246"/>
    </row>
    <row r="315" spans="2:37" ht="18" customHeight="1">
      <c r="B315" s="199"/>
      <c r="D315" s="154"/>
      <c r="F315" s="154"/>
      <c r="G315" s="217"/>
      <c r="I315" s="673"/>
      <c r="J315" s="209"/>
      <c r="K315" s="520"/>
      <c r="L315" s="154"/>
      <c r="M315" s="154"/>
      <c r="N315" s="154"/>
      <c r="O315" s="246"/>
      <c r="P315" s="1597"/>
      <c r="R315" s="1598"/>
      <c r="S315" s="557"/>
      <c r="T315" s="1768"/>
      <c r="V315" s="1769"/>
      <c r="X315" s="1768"/>
      <c r="Z315" s="1769"/>
      <c r="AA315" s="557"/>
      <c r="AK315" s="246"/>
    </row>
    <row r="316" spans="2:37" ht="18" customHeight="1">
      <c r="B316" s="199"/>
      <c r="D316" s="154"/>
      <c r="F316" s="154"/>
      <c r="G316" s="217"/>
      <c r="I316" s="673"/>
      <c r="J316" s="209"/>
      <c r="K316" s="520"/>
      <c r="L316" s="154"/>
      <c r="M316" s="154"/>
      <c r="N316" s="154"/>
      <c r="O316" s="246"/>
      <c r="P316" s="1597"/>
      <c r="R316" s="1598"/>
      <c r="S316" s="557"/>
      <c r="T316" s="1768"/>
      <c r="V316" s="1769"/>
      <c r="X316" s="1768"/>
      <c r="Z316" s="1769"/>
      <c r="AA316" s="557"/>
      <c r="AK316" s="246"/>
    </row>
    <row r="317" spans="2:37" ht="18" customHeight="1">
      <c r="B317" s="199"/>
      <c r="D317" s="154"/>
      <c r="F317" s="154"/>
      <c r="G317" s="217"/>
      <c r="I317" s="673"/>
      <c r="J317" s="209"/>
      <c r="K317" s="520"/>
      <c r="L317" s="154"/>
      <c r="M317" s="154"/>
      <c r="N317" s="154"/>
      <c r="O317" s="246"/>
      <c r="P317" s="1597"/>
      <c r="R317" s="1598"/>
      <c r="S317" s="557"/>
      <c r="T317" s="1768"/>
      <c r="V317" s="1769"/>
      <c r="X317" s="1768"/>
      <c r="Z317" s="1769"/>
      <c r="AA317" s="557"/>
      <c r="AK317" s="246"/>
    </row>
    <row r="318" spans="2:37" ht="18" customHeight="1">
      <c r="B318" s="199"/>
      <c r="D318" s="154"/>
      <c r="F318" s="154"/>
      <c r="G318" s="217"/>
      <c r="I318" s="673"/>
      <c r="J318" s="209"/>
      <c r="K318" s="520"/>
      <c r="L318" s="154"/>
      <c r="M318" s="154"/>
      <c r="N318" s="154"/>
      <c r="O318" s="246"/>
      <c r="P318" s="1597"/>
      <c r="R318" s="1598"/>
      <c r="S318" s="557"/>
      <c r="T318" s="1768"/>
      <c r="V318" s="1769"/>
      <c r="X318" s="1768"/>
      <c r="Z318" s="1769"/>
      <c r="AA318" s="557"/>
      <c r="AK318" s="246"/>
    </row>
    <row r="319" spans="2:37" ht="18" customHeight="1">
      <c r="B319" s="199"/>
      <c r="D319" s="154"/>
      <c r="F319" s="154"/>
      <c r="G319" s="217"/>
      <c r="I319" s="673"/>
      <c r="J319" s="209"/>
      <c r="K319" s="520"/>
      <c r="L319" s="154"/>
      <c r="M319" s="154"/>
      <c r="N319" s="154"/>
      <c r="O319" s="246"/>
      <c r="P319" s="1597"/>
      <c r="R319" s="1598"/>
      <c r="S319" s="557"/>
      <c r="T319" s="1768"/>
      <c r="V319" s="1769"/>
      <c r="X319" s="1768"/>
      <c r="Z319" s="1769"/>
      <c r="AA319" s="557"/>
      <c r="AK319" s="246"/>
    </row>
    <row r="320" spans="2:37" ht="18" customHeight="1">
      <c r="B320" s="199"/>
      <c r="D320" s="154"/>
      <c r="F320" s="154"/>
      <c r="G320" s="217"/>
      <c r="I320" s="673"/>
      <c r="J320" s="209"/>
      <c r="K320" s="520"/>
      <c r="L320" s="154"/>
      <c r="M320" s="154"/>
      <c r="N320" s="154"/>
      <c r="O320" s="246"/>
      <c r="P320" s="1597"/>
      <c r="R320" s="1598"/>
      <c r="S320" s="557"/>
      <c r="T320" s="1768"/>
      <c r="V320" s="1769"/>
      <c r="X320" s="1768"/>
      <c r="Z320" s="1769"/>
      <c r="AA320" s="557"/>
      <c r="AK320" s="246"/>
    </row>
    <row r="321" spans="2:37" ht="18" customHeight="1">
      <c r="B321" s="199"/>
      <c r="D321" s="154"/>
      <c r="F321" s="154"/>
      <c r="G321" s="217"/>
      <c r="I321" s="673"/>
      <c r="J321" s="209"/>
      <c r="K321" s="520"/>
      <c r="L321" s="154"/>
      <c r="M321" s="154"/>
      <c r="N321" s="154"/>
      <c r="O321" s="246"/>
      <c r="P321" s="1597"/>
      <c r="R321" s="1598"/>
      <c r="S321" s="557"/>
      <c r="T321" s="1768"/>
      <c r="V321" s="1769"/>
      <c r="X321" s="1768"/>
      <c r="Z321" s="1769"/>
      <c r="AA321" s="557"/>
      <c r="AK321" s="246"/>
    </row>
    <row r="322" spans="2:37" ht="18" customHeight="1">
      <c r="B322" s="199"/>
      <c r="D322" s="154"/>
      <c r="F322" s="154"/>
      <c r="G322" s="217"/>
      <c r="I322" s="673"/>
      <c r="J322" s="209"/>
      <c r="K322" s="520"/>
      <c r="L322" s="154"/>
      <c r="M322" s="154"/>
      <c r="N322" s="154"/>
      <c r="O322" s="246"/>
      <c r="P322" s="1597"/>
      <c r="R322" s="1598"/>
      <c r="S322" s="557"/>
      <c r="T322" s="1768"/>
      <c r="V322" s="1769"/>
      <c r="X322" s="1768"/>
      <c r="Z322" s="1769"/>
      <c r="AA322" s="557"/>
      <c r="AK322" s="246"/>
    </row>
    <row r="323" spans="2:37" ht="18" customHeight="1">
      <c r="B323" s="199"/>
      <c r="D323" s="154"/>
      <c r="F323" s="154"/>
      <c r="G323" s="217"/>
      <c r="I323" s="673"/>
      <c r="J323" s="209"/>
      <c r="K323" s="520"/>
      <c r="L323" s="154"/>
      <c r="M323" s="154"/>
      <c r="N323" s="154"/>
      <c r="O323" s="246"/>
      <c r="P323" s="1597"/>
      <c r="R323" s="1598"/>
      <c r="S323" s="557"/>
      <c r="T323" s="1768"/>
      <c r="V323" s="1769"/>
      <c r="X323" s="1768"/>
      <c r="Z323" s="1769"/>
      <c r="AA323" s="557"/>
      <c r="AK323" s="246"/>
    </row>
    <row r="324" spans="2:37" ht="18" customHeight="1">
      <c r="B324" s="199"/>
      <c r="D324" s="154"/>
      <c r="F324" s="154"/>
      <c r="G324" s="217"/>
      <c r="I324" s="673"/>
      <c r="J324" s="209"/>
      <c r="K324" s="520"/>
      <c r="L324" s="154"/>
      <c r="M324" s="154"/>
      <c r="N324" s="154"/>
      <c r="O324" s="246"/>
      <c r="P324" s="1597"/>
      <c r="R324" s="1598"/>
      <c r="S324" s="557"/>
      <c r="T324" s="1768"/>
      <c r="V324" s="1769"/>
      <c r="X324" s="1768"/>
      <c r="Z324" s="1769"/>
      <c r="AA324" s="557"/>
      <c r="AK324" s="246"/>
    </row>
    <row r="325" spans="2:37" ht="18" customHeight="1">
      <c r="B325" s="199"/>
      <c r="D325" s="154"/>
      <c r="F325" s="154"/>
      <c r="G325" s="217"/>
      <c r="I325" s="673"/>
      <c r="J325" s="209"/>
      <c r="K325" s="520"/>
      <c r="L325" s="154"/>
      <c r="M325" s="154"/>
      <c r="N325" s="154"/>
      <c r="O325" s="246"/>
      <c r="P325" s="1597"/>
      <c r="R325" s="1598"/>
      <c r="S325" s="557"/>
      <c r="T325" s="1768"/>
      <c r="V325" s="1769"/>
      <c r="X325" s="1768"/>
      <c r="Z325" s="1769"/>
      <c r="AA325" s="557"/>
      <c r="AK325" s="246"/>
    </row>
    <row r="326" spans="2:37" ht="18" customHeight="1">
      <c r="B326" s="199"/>
      <c r="D326" s="154"/>
      <c r="F326" s="154"/>
      <c r="G326" s="217"/>
      <c r="I326" s="673"/>
      <c r="J326" s="209"/>
      <c r="K326" s="520"/>
      <c r="L326" s="154"/>
      <c r="M326" s="154"/>
      <c r="N326" s="154"/>
      <c r="O326" s="246"/>
      <c r="P326" s="1597"/>
      <c r="R326" s="1598"/>
      <c r="S326" s="557"/>
      <c r="T326" s="1768"/>
      <c r="V326" s="1769"/>
      <c r="X326" s="1768"/>
      <c r="Z326" s="1769"/>
      <c r="AA326" s="557"/>
      <c r="AK326" s="246"/>
    </row>
    <row r="327" spans="2:37" ht="18" customHeight="1">
      <c r="B327" s="199"/>
      <c r="D327" s="154"/>
      <c r="F327" s="154"/>
      <c r="G327" s="217"/>
      <c r="I327" s="673"/>
      <c r="J327" s="209"/>
      <c r="K327" s="520"/>
      <c r="L327" s="154"/>
      <c r="M327" s="154"/>
      <c r="N327" s="154"/>
      <c r="O327" s="246"/>
      <c r="P327" s="1597"/>
      <c r="R327" s="1598"/>
      <c r="S327" s="557"/>
      <c r="T327" s="1768"/>
      <c r="V327" s="1769"/>
      <c r="X327" s="1768"/>
      <c r="Z327" s="1769"/>
      <c r="AA327" s="557"/>
      <c r="AK327" s="246"/>
    </row>
    <row r="328" spans="2:37" ht="18" customHeight="1">
      <c r="B328" s="199"/>
      <c r="D328" s="154"/>
      <c r="F328" s="154"/>
      <c r="G328" s="217"/>
      <c r="I328" s="673"/>
      <c r="J328" s="209"/>
      <c r="K328" s="520"/>
      <c r="L328" s="154"/>
      <c r="M328" s="154"/>
      <c r="N328" s="154"/>
      <c r="O328" s="246"/>
      <c r="P328" s="1597"/>
      <c r="R328" s="1598"/>
      <c r="S328" s="557"/>
      <c r="T328" s="1768"/>
      <c r="V328" s="1769"/>
      <c r="X328" s="1768"/>
      <c r="Z328" s="1769"/>
      <c r="AA328" s="557"/>
      <c r="AK328" s="246"/>
    </row>
    <row r="329" spans="2:37" ht="18" customHeight="1">
      <c r="B329" s="199"/>
      <c r="D329" s="154"/>
      <c r="F329" s="154"/>
      <c r="G329" s="217"/>
      <c r="I329" s="673"/>
      <c r="J329" s="209"/>
      <c r="K329" s="520"/>
      <c r="L329" s="154"/>
      <c r="M329" s="154"/>
      <c r="N329" s="154"/>
      <c r="O329" s="246"/>
      <c r="P329" s="1597"/>
      <c r="R329" s="1598"/>
      <c r="S329" s="557"/>
      <c r="T329" s="1768"/>
      <c r="V329" s="1769"/>
      <c r="X329" s="1768"/>
      <c r="Z329" s="1769"/>
      <c r="AA329" s="557"/>
      <c r="AK329" s="246"/>
    </row>
    <row r="330" spans="2:37" ht="18" customHeight="1">
      <c r="B330" s="199"/>
      <c r="D330" s="154"/>
      <c r="F330" s="154"/>
      <c r="G330" s="217"/>
      <c r="I330" s="673"/>
      <c r="J330" s="209"/>
      <c r="K330" s="520"/>
      <c r="L330" s="154"/>
      <c r="M330" s="154"/>
      <c r="N330" s="154"/>
      <c r="O330" s="246"/>
      <c r="P330" s="1597"/>
      <c r="R330" s="1598"/>
      <c r="S330" s="557"/>
      <c r="T330" s="1768"/>
      <c r="V330" s="1769"/>
      <c r="X330" s="1768"/>
      <c r="Z330" s="1769"/>
      <c r="AA330" s="557"/>
      <c r="AK330" s="246"/>
    </row>
    <row r="331" spans="2:37" ht="18" customHeight="1">
      <c r="B331" s="199"/>
      <c r="D331" s="154"/>
      <c r="F331" s="154"/>
      <c r="G331" s="217"/>
      <c r="I331" s="673"/>
      <c r="J331" s="209"/>
      <c r="K331" s="520"/>
      <c r="L331" s="154"/>
      <c r="M331" s="154"/>
      <c r="N331" s="154"/>
      <c r="O331" s="246"/>
      <c r="P331" s="1597"/>
      <c r="R331" s="1598"/>
      <c r="S331" s="557"/>
      <c r="T331" s="1768"/>
      <c r="V331" s="1769"/>
      <c r="X331" s="1768"/>
      <c r="Z331" s="1769"/>
      <c r="AA331" s="557"/>
      <c r="AK331" s="246"/>
    </row>
    <row r="332" spans="2:37" ht="18" customHeight="1">
      <c r="B332" s="199"/>
      <c r="D332" s="154"/>
      <c r="F332" s="154"/>
      <c r="G332" s="217"/>
      <c r="I332" s="673"/>
      <c r="J332" s="209"/>
      <c r="K332" s="520"/>
      <c r="L332" s="154"/>
      <c r="M332" s="154"/>
      <c r="N332" s="154"/>
      <c r="O332" s="246"/>
      <c r="P332" s="1597"/>
      <c r="R332" s="1598"/>
      <c r="S332" s="557"/>
      <c r="T332" s="1768"/>
      <c r="V332" s="1769"/>
      <c r="X332" s="1768"/>
      <c r="Z332" s="1769"/>
      <c r="AA332" s="557"/>
      <c r="AK332" s="246"/>
    </row>
    <row r="333" spans="2:37" ht="18" customHeight="1">
      <c r="B333" s="199"/>
      <c r="D333" s="154"/>
      <c r="F333" s="154"/>
      <c r="G333" s="217"/>
      <c r="I333" s="673"/>
      <c r="J333" s="209"/>
      <c r="K333" s="520"/>
      <c r="L333" s="154"/>
      <c r="M333" s="154"/>
      <c r="N333" s="154"/>
      <c r="O333" s="246"/>
      <c r="P333" s="1597"/>
      <c r="R333" s="1598"/>
      <c r="S333" s="557"/>
      <c r="T333" s="1768"/>
      <c r="V333" s="1769"/>
      <c r="X333" s="1768"/>
      <c r="Z333" s="1769"/>
      <c r="AA333" s="557"/>
      <c r="AK333" s="246"/>
    </row>
    <row r="334" spans="2:37" ht="18" customHeight="1">
      <c r="B334" s="199"/>
      <c r="D334" s="154"/>
      <c r="F334" s="154"/>
      <c r="G334" s="217"/>
      <c r="I334" s="673"/>
      <c r="J334" s="209"/>
      <c r="K334" s="520"/>
      <c r="L334" s="154"/>
      <c r="M334" s="154"/>
      <c r="N334" s="154"/>
      <c r="O334" s="246"/>
      <c r="P334" s="1597"/>
      <c r="R334" s="1598"/>
      <c r="S334" s="557"/>
      <c r="T334" s="1768"/>
      <c r="V334" s="1769"/>
      <c r="X334" s="1768"/>
      <c r="Z334" s="1769"/>
      <c r="AA334" s="557"/>
      <c r="AK334" s="246"/>
    </row>
    <row r="335" spans="2:37" ht="18" customHeight="1">
      <c r="B335" s="199"/>
      <c r="D335" s="154"/>
      <c r="F335" s="154"/>
      <c r="G335" s="217"/>
      <c r="I335" s="673"/>
      <c r="J335" s="209"/>
      <c r="K335" s="520"/>
      <c r="L335" s="154"/>
      <c r="M335" s="154"/>
      <c r="N335" s="154"/>
      <c r="O335" s="246"/>
      <c r="P335" s="1597"/>
      <c r="R335" s="1598"/>
      <c r="S335" s="557"/>
      <c r="T335" s="1768"/>
      <c r="V335" s="1769"/>
      <c r="X335" s="1768"/>
      <c r="Z335" s="1769"/>
      <c r="AA335" s="557"/>
      <c r="AK335" s="246"/>
    </row>
    <row r="336" spans="2:37" ht="18" customHeight="1">
      <c r="B336" s="199"/>
      <c r="D336" s="154"/>
      <c r="F336" s="154"/>
      <c r="G336" s="217"/>
      <c r="I336" s="673"/>
      <c r="J336" s="209"/>
      <c r="K336" s="520"/>
      <c r="L336" s="154"/>
      <c r="M336" s="154"/>
      <c r="N336" s="154"/>
      <c r="O336" s="246"/>
      <c r="P336" s="1597"/>
      <c r="R336" s="1598"/>
      <c r="S336" s="557"/>
      <c r="T336" s="1768"/>
      <c r="V336" s="1769"/>
      <c r="X336" s="1768"/>
      <c r="Z336" s="1769"/>
      <c r="AA336" s="557"/>
      <c r="AK336" s="246"/>
    </row>
    <row r="337" spans="2:37" ht="18" customHeight="1">
      <c r="B337" s="199"/>
      <c r="D337" s="154"/>
      <c r="F337" s="154"/>
      <c r="G337" s="217"/>
      <c r="I337" s="673"/>
      <c r="J337" s="209"/>
      <c r="K337" s="520"/>
      <c r="L337" s="154"/>
      <c r="M337" s="154"/>
      <c r="N337" s="154"/>
      <c r="O337" s="246"/>
      <c r="P337" s="1597"/>
      <c r="R337" s="1598"/>
      <c r="S337" s="557"/>
      <c r="T337" s="1768"/>
      <c r="V337" s="1769"/>
      <c r="X337" s="1768"/>
      <c r="Z337" s="1769"/>
      <c r="AA337" s="557"/>
      <c r="AK337" s="246"/>
    </row>
    <row r="338" spans="2:37" ht="18" customHeight="1">
      <c r="B338" s="199"/>
      <c r="D338" s="154"/>
      <c r="F338" s="154"/>
      <c r="G338" s="217"/>
      <c r="I338" s="673"/>
      <c r="J338" s="209"/>
      <c r="K338" s="520"/>
      <c r="L338" s="154"/>
      <c r="M338" s="154"/>
      <c r="N338" s="154"/>
      <c r="O338" s="246"/>
      <c r="P338" s="1597"/>
      <c r="R338" s="1598"/>
      <c r="S338" s="557"/>
      <c r="T338" s="1768"/>
      <c r="V338" s="1769"/>
      <c r="X338" s="1768"/>
      <c r="Z338" s="1769"/>
      <c r="AA338" s="557"/>
      <c r="AK338" s="246"/>
    </row>
    <row r="339" spans="2:37" ht="18" customHeight="1">
      <c r="B339" s="199"/>
      <c r="D339" s="154"/>
      <c r="F339" s="154"/>
      <c r="G339" s="217"/>
      <c r="I339" s="673"/>
      <c r="J339" s="209"/>
      <c r="K339" s="520"/>
      <c r="L339" s="154"/>
      <c r="M339" s="154"/>
      <c r="N339" s="154"/>
      <c r="O339" s="246"/>
      <c r="P339" s="1597"/>
      <c r="R339" s="1598"/>
      <c r="S339" s="557"/>
      <c r="T339" s="1768"/>
      <c r="V339" s="1769"/>
      <c r="X339" s="1768"/>
      <c r="Z339" s="1769"/>
      <c r="AA339" s="557"/>
      <c r="AK339" s="246"/>
    </row>
    <row r="340" spans="2:37" ht="18" customHeight="1">
      <c r="B340" s="199"/>
      <c r="D340" s="154"/>
      <c r="F340" s="154"/>
      <c r="G340" s="217"/>
      <c r="I340" s="673"/>
      <c r="J340" s="209"/>
      <c r="K340" s="520"/>
      <c r="L340" s="154"/>
      <c r="M340" s="154"/>
      <c r="N340" s="154"/>
      <c r="O340" s="246"/>
      <c r="P340" s="1597"/>
      <c r="R340" s="1598"/>
      <c r="S340" s="557"/>
      <c r="T340" s="1768"/>
      <c r="V340" s="1769"/>
      <c r="X340" s="1768"/>
      <c r="Z340" s="1769"/>
      <c r="AA340" s="557"/>
      <c r="AK340" s="246"/>
    </row>
    <row r="341" spans="2:37" ht="18" customHeight="1">
      <c r="B341" s="199"/>
      <c r="D341" s="154"/>
      <c r="F341" s="154"/>
      <c r="G341" s="217"/>
      <c r="I341" s="673"/>
      <c r="J341" s="209"/>
      <c r="K341" s="520"/>
      <c r="L341" s="154"/>
      <c r="M341" s="154"/>
      <c r="N341" s="154"/>
      <c r="O341" s="246"/>
      <c r="P341" s="1597"/>
      <c r="R341" s="1598"/>
      <c r="S341" s="557"/>
      <c r="T341" s="1768"/>
      <c r="V341" s="1769"/>
      <c r="X341" s="1768"/>
      <c r="Z341" s="1769"/>
      <c r="AA341" s="557"/>
      <c r="AK341" s="246"/>
    </row>
    <row r="342" spans="2:37" ht="18" customHeight="1">
      <c r="B342" s="199"/>
      <c r="D342" s="154"/>
      <c r="F342" s="154"/>
      <c r="G342" s="217"/>
      <c r="I342" s="673"/>
      <c r="J342" s="209"/>
      <c r="K342" s="520"/>
      <c r="L342" s="154"/>
      <c r="M342" s="154"/>
      <c r="N342" s="154"/>
      <c r="O342" s="246"/>
      <c r="P342" s="1597"/>
      <c r="R342" s="1598"/>
      <c r="S342" s="557"/>
      <c r="T342" s="1768"/>
      <c r="V342" s="1769"/>
      <c r="X342" s="1768"/>
      <c r="Z342" s="1769"/>
      <c r="AA342" s="557"/>
      <c r="AK342" s="246"/>
    </row>
    <row r="343" spans="2:37" ht="18" customHeight="1">
      <c r="B343" s="199"/>
      <c r="D343" s="154"/>
      <c r="F343" s="154"/>
      <c r="G343" s="217"/>
      <c r="I343" s="673"/>
      <c r="J343" s="209"/>
      <c r="K343" s="520"/>
      <c r="L343" s="154"/>
      <c r="M343" s="154"/>
      <c r="N343" s="154"/>
      <c r="O343" s="246"/>
      <c r="P343" s="1597"/>
      <c r="R343" s="1598"/>
      <c r="S343" s="557"/>
      <c r="T343" s="1768"/>
      <c r="V343" s="1769"/>
      <c r="X343" s="1768"/>
      <c r="Z343" s="1769"/>
      <c r="AA343" s="557"/>
      <c r="AK343" s="246"/>
    </row>
    <row r="344" spans="2:37" ht="18" customHeight="1">
      <c r="B344" s="199"/>
      <c r="D344" s="154"/>
      <c r="F344" s="154"/>
      <c r="G344" s="217"/>
      <c r="I344" s="673"/>
      <c r="J344" s="209"/>
      <c r="K344" s="520"/>
      <c r="L344" s="154"/>
      <c r="M344" s="154"/>
      <c r="N344" s="154"/>
      <c r="O344" s="246"/>
      <c r="P344" s="1597"/>
      <c r="R344" s="1598"/>
      <c r="S344" s="557"/>
      <c r="T344" s="1768"/>
      <c r="V344" s="1769"/>
      <c r="X344" s="1768"/>
      <c r="Z344" s="1769"/>
      <c r="AA344" s="557"/>
      <c r="AK344" s="246"/>
    </row>
    <row r="345" spans="2:37" ht="18" customHeight="1">
      <c r="B345" s="199"/>
      <c r="D345" s="154"/>
      <c r="F345" s="154"/>
      <c r="G345" s="217"/>
      <c r="I345" s="673"/>
      <c r="J345" s="209"/>
      <c r="K345" s="520"/>
      <c r="L345" s="154"/>
      <c r="M345" s="154"/>
      <c r="N345" s="154"/>
      <c r="O345" s="246"/>
      <c r="P345" s="1597"/>
      <c r="R345" s="1598"/>
      <c r="S345" s="557"/>
      <c r="T345" s="1768"/>
      <c r="V345" s="1769"/>
      <c r="X345" s="1768"/>
      <c r="Z345" s="1769"/>
      <c r="AA345" s="557"/>
      <c r="AK345" s="246"/>
    </row>
    <row r="346" spans="2:37" ht="18" customHeight="1">
      <c r="B346" s="199"/>
      <c r="D346" s="154"/>
      <c r="F346" s="154"/>
      <c r="G346" s="217"/>
      <c r="I346" s="673"/>
      <c r="J346" s="209"/>
      <c r="K346" s="520"/>
      <c r="L346" s="154"/>
      <c r="M346" s="154"/>
      <c r="N346" s="154"/>
      <c r="O346" s="246"/>
      <c r="P346" s="1597"/>
      <c r="R346" s="1598"/>
      <c r="S346" s="557"/>
      <c r="T346" s="1768"/>
      <c r="V346" s="1769"/>
      <c r="X346" s="1768"/>
      <c r="Z346" s="1769"/>
      <c r="AA346" s="557"/>
      <c r="AK346" s="246"/>
    </row>
    <row r="347" spans="2:37" ht="18" customHeight="1">
      <c r="B347" s="199"/>
      <c r="D347" s="154"/>
      <c r="F347" s="154"/>
      <c r="G347" s="217"/>
      <c r="I347" s="673"/>
      <c r="J347" s="209"/>
      <c r="K347" s="520"/>
      <c r="L347" s="154"/>
      <c r="M347" s="154"/>
      <c r="N347" s="154"/>
      <c r="O347" s="246"/>
      <c r="P347" s="1597"/>
      <c r="R347" s="1598"/>
      <c r="S347" s="557"/>
      <c r="T347" s="1768"/>
      <c r="V347" s="1769"/>
      <c r="X347" s="1768"/>
      <c r="Z347" s="1769"/>
      <c r="AA347" s="557"/>
      <c r="AK347" s="246"/>
    </row>
    <row r="348" spans="2:37" ht="18" customHeight="1">
      <c r="B348" s="199"/>
      <c r="D348" s="154"/>
      <c r="F348" s="154"/>
      <c r="G348" s="217"/>
      <c r="I348" s="673"/>
      <c r="J348" s="209"/>
      <c r="K348" s="520"/>
      <c r="L348" s="154"/>
      <c r="M348" s="154"/>
      <c r="N348" s="154"/>
      <c r="O348" s="246"/>
      <c r="P348" s="1597"/>
      <c r="R348" s="1598"/>
      <c r="S348" s="557"/>
      <c r="T348" s="1768"/>
      <c r="V348" s="1769"/>
      <c r="X348" s="1768"/>
      <c r="Z348" s="1769"/>
      <c r="AA348" s="557"/>
      <c r="AK348" s="246"/>
    </row>
    <row r="349" spans="2:37" ht="18" customHeight="1">
      <c r="B349" s="199"/>
      <c r="D349" s="154"/>
      <c r="F349" s="154"/>
      <c r="G349" s="217"/>
      <c r="I349" s="673"/>
      <c r="J349" s="209"/>
      <c r="K349" s="520"/>
      <c r="L349" s="154"/>
      <c r="M349" s="154"/>
      <c r="N349" s="154"/>
      <c r="O349" s="246"/>
      <c r="P349" s="1597"/>
      <c r="R349" s="1598"/>
      <c r="S349" s="557"/>
      <c r="T349" s="1768"/>
      <c r="V349" s="1769"/>
      <c r="X349" s="1768"/>
      <c r="Z349" s="1769"/>
      <c r="AA349" s="557"/>
      <c r="AK349" s="246"/>
    </row>
    <row r="350" spans="2:37" ht="18" customHeight="1">
      <c r="B350" s="199"/>
      <c r="D350" s="154"/>
      <c r="F350" s="154"/>
      <c r="G350" s="217"/>
      <c r="I350" s="673"/>
      <c r="J350" s="209"/>
      <c r="K350" s="520"/>
      <c r="L350" s="154"/>
      <c r="M350" s="154"/>
      <c r="N350" s="154"/>
      <c r="O350" s="246"/>
      <c r="P350" s="1597"/>
      <c r="R350" s="1598"/>
      <c r="S350" s="557"/>
      <c r="T350" s="1768"/>
      <c r="V350" s="1769"/>
      <c r="X350" s="1768"/>
      <c r="Z350" s="1769"/>
      <c r="AA350" s="557"/>
      <c r="AK350" s="246"/>
    </row>
    <row r="351" spans="2:37" ht="18" customHeight="1">
      <c r="B351" s="199"/>
      <c r="D351" s="154"/>
      <c r="F351" s="154"/>
      <c r="G351" s="217"/>
      <c r="I351" s="673"/>
      <c r="J351" s="209"/>
      <c r="K351" s="520"/>
      <c r="L351" s="154"/>
      <c r="M351" s="154"/>
      <c r="N351" s="154"/>
      <c r="O351" s="246"/>
      <c r="P351" s="1597"/>
      <c r="R351" s="1598"/>
      <c r="S351" s="557"/>
      <c r="T351" s="1768"/>
      <c r="V351" s="1769"/>
      <c r="X351" s="1768"/>
      <c r="Z351" s="1769"/>
      <c r="AA351" s="557"/>
      <c r="AK351" s="246"/>
    </row>
    <row r="352" spans="2:37" ht="18" customHeight="1">
      <c r="B352" s="199"/>
      <c r="D352" s="154"/>
      <c r="F352" s="154"/>
      <c r="G352" s="217"/>
      <c r="I352" s="673"/>
      <c r="J352" s="209"/>
      <c r="K352" s="520"/>
      <c r="L352" s="154"/>
      <c r="M352" s="154"/>
      <c r="N352" s="154"/>
      <c r="O352" s="246"/>
      <c r="P352" s="1597"/>
      <c r="R352" s="1598"/>
      <c r="S352" s="557"/>
      <c r="T352" s="1768"/>
      <c r="V352" s="1769"/>
      <c r="X352" s="1768"/>
      <c r="Z352" s="1769"/>
      <c r="AA352" s="557"/>
      <c r="AK352" s="246"/>
    </row>
    <row r="353" spans="2:37" ht="18" customHeight="1">
      <c r="B353" s="199"/>
      <c r="D353" s="154"/>
      <c r="F353" s="154"/>
      <c r="G353" s="217"/>
      <c r="I353" s="673"/>
      <c r="J353" s="209"/>
      <c r="K353" s="520"/>
      <c r="L353" s="154"/>
      <c r="M353" s="154"/>
      <c r="N353" s="154"/>
      <c r="O353" s="246"/>
      <c r="P353" s="1597"/>
      <c r="R353" s="1598"/>
      <c r="S353" s="557"/>
      <c r="T353" s="1768"/>
      <c r="V353" s="1769"/>
      <c r="X353" s="1768"/>
      <c r="Z353" s="1769"/>
      <c r="AA353" s="557"/>
      <c r="AK353" s="246"/>
    </row>
    <row r="354" spans="2:37" ht="18" customHeight="1">
      <c r="B354" s="199"/>
      <c r="D354" s="154"/>
      <c r="F354" s="154"/>
      <c r="G354" s="217"/>
      <c r="I354" s="673"/>
      <c r="J354" s="209"/>
      <c r="K354" s="520"/>
      <c r="L354" s="154"/>
      <c r="M354" s="154"/>
      <c r="N354" s="154"/>
      <c r="O354" s="246"/>
      <c r="P354" s="1597"/>
      <c r="R354" s="1598"/>
      <c r="S354" s="557"/>
      <c r="T354" s="1768"/>
      <c r="V354" s="1769"/>
      <c r="X354" s="1768"/>
      <c r="Z354" s="1769"/>
      <c r="AA354" s="557"/>
      <c r="AK354" s="246"/>
    </row>
    <row r="355" spans="2:37" ht="18" customHeight="1">
      <c r="B355" s="199"/>
      <c r="D355" s="154"/>
      <c r="F355" s="154"/>
      <c r="G355" s="217"/>
      <c r="I355" s="673"/>
      <c r="J355" s="209"/>
      <c r="K355" s="520"/>
      <c r="L355" s="154"/>
      <c r="M355" s="154"/>
      <c r="N355" s="154"/>
      <c r="O355" s="246"/>
      <c r="P355" s="1597"/>
      <c r="R355" s="1598"/>
      <c r="S355" s="557"/>
      <c r="T355" s="1768"/>
      <c r="V355" s="1769"/>
      <c r="X355" s="1768"/>
      <c r="Z355" s="1769"/>
      <c r="AA355" s="557"/>
      <c r="AK355" s="246"/>
    </row>
    <row r="356" spans="2:37" ht="18" customHeight="1">
      <c r="B356" s="199"/>
      <c r="D356" s="154"/>
      <c r="F356" s="154"/>
      <c r="G356" s="217"/>
      <c r="I356" s="673"/>
      <c r="J356" s="209"/>
      <c r="K356" s="520"/>
      <c r="L356" s="154"/>
      <c r="M356" s="154"/>
      <c r="N356" s="154"/>
      <c r="O356" s="246"/>
      <c r="P356" s="1597"/>
      <c r="R356" s="1598"/>
      <c r="S356" s="557"/>
      <c r="T356" s="1768"/>
      <c r="V356" s="1769"/>
      <c r="X356" s="1768"/>
      <c r="Z356" s="1769"/>
      <c r="AA356" s="557"/>
      <c r="AK356" s="246"/>
    </row>
    <row r="357" spans="2:37" ht="18" customHeight="1">
      <c r="B357" s="199"/>
      <c r="D357" s="154"/>
      <c r="F357" s="154"/>
      <c r="G357" s="217"/>
      <c r="I357" s="673"/>
      <c r="J357" s="209"/>
      <c r="K357" s="520"/>
      <c r="L357" s="154"/>
      <c r="M357" s="154"/>
      <c r="N357" s="154"/>
      <c r="O357" s="246"/>
      <c r="P357" s="1597"/>
      <c r="R357" s="1598"/>
      <c r="S357" s="557"/>
      <c r="T357" s="1768"/>
      <c r="V357" s="1769"/>
      <c r="X357" s="1768"/>
      <c r="Z357" s="1769"/>
      <c r="AA357" s="557"/>
      <c r="AK357" s="246"/>
    </row>
    <row r="358" spans="2:37" ht="18" customHeight="1">
      <c r="B358" s="199"/>
      <c r="D358" s="154"/>
      <c r="F358" s="154"/>
      <c r="G358" s="217"/>
      <c r="I358" s="673"/>
      <c r="J358" s="209"/>
      <c r="K358" s="520"/>
      <c r="L358" s="154"/>
      <c r="M358" s="154"/>
      <c r="N358" s="154"/>
      <c r="O358" s="246"/>
      <c r="P358" s="1597"/>
      <c r="R358" s="1598"/>
      <c r="S358" s="557"/>
      <c r="T358" s="1768"/>
      <c r="V358" s="1769"/>
      <c r="X358" s="1768"/>
      <c r="Z358" s="1769"/>
      <c r="AA358" s="557"/>
      <c r="AK358" s="246"/>
    </row>
    <row r="359" spans="2:37" ht="18" customHeight="1">
      <c r="B359" s="199"/>
      <c r="D359" s="154"/>
      <c r="F359" s="154"/>
      <c r="G359" s="217"/>
      <c r="I359" s="673"/>
      <c r="J359" s="209"/>
      <c r="K359" s="520"/>
      <c r="L359" s="154"/>
      <c r="M359" s="154"/>
      <c r="N359" s="154"/>
      <c r="O359" s="246"/>
      <c r="P359" s="1597"/>
      <c r="R359" s="1598"/>
      <c r="S359" s="557"/>
      <c r="T359" s="1768"/>
      <c r="V359" s="1769"/>
      <c r="X359" s="1768"/>
      <c r="Z359" s="1769"/>
      <c r="AA359" s="557"/>
      <c r="AK359" s="246"/>
    </row>
    <row r="360" spans="2:37" ht="18" customHeight="1">
      <c r="B360" s="199"/>
      <c r="D360" s="154"/>
      <c r="F360" s="154"/>
      <c r="G360" s="217"/>
      <c r="I360" s="673"/>
      <c r="J360" s="209"/>
      <c r="K360" s="520"/>
      <c r="L360" s="154"/>
      <c r="M360" s="154"/>
      <c r="N360" s="154"/>
      <c r="O360" s="246"/>
      <c r="P360" s="1597"/>
      <c r="R360" s="1598"/>
      <c r="S360" s="557"/>
      <c r="T360" s="1768"/>
      <c r="V360" s="1769"/>
      <c r="X360" s="1768"/>
      <c r="Z360" s="1769"/>
      <c r="AA360" s="557"/>
      <c r="AK360" s="246"/>
    </row>
    <row r="361" spans="2:37" ht="18" customHeight="1">
      <c r="B361" s="199"/>
      <c r="D361" s="154"/>
      <c r="F361" s="154"/>
      <c r="G361" s="217"/>
      <c r="I361" s="673"/>
      <c r="J361" s="209"/>
      <c r="K361" s="520"/>
      <c r="L361" s="154"/>
      <c r="M361" s="154"/>
      <c r="N361" s="154"/>
      <c r="O361" s="246"/>
      <c r="P361" s="1597"/>
      <c r="R361" s="1598"/>
      <c r="S361" s="557"/>
      <c r="T361" s="1768"/>
      <c r="V361" s="1769"/>
      <c r="X361" s="1768"/>
      <c r="Z361" s="1769"/>
      <c r="AA361" s="557"/>
      <c r="AK361" s="246"/>
    </row>
    <row r="362" spans="2:37" ht="18" customHeight="1">
      <c r="B362" s="199"/>
      <c r="D362" s="154"/>
      <c r="F362" s="154"/>
      <c r="G362" s="217"/>
      <c r="I362" s="673"/>
      <c r="J362" s="209"/>
      <c r="K362" s="520"/>
      <c r="L362" s="154"/>
      <c r="M362" s="154"/>
      <c r="N362" s="154"/>
      <c r="O362" s="246"/>
      <c r="P362" s="1597"/>
      <c r="R362" s="1598"/>
      <c r="S362" s="557"/>
      <c r="T362" s="1768"/>
      <c r="V362" s="1769"/>
      <c r="X362" s="1768"/>
      <c r="Z362" s="1769"/>
      <c r="AA362" s="557"/>
      <c r="AK362" s="246"/>
    </row>
    <row r="363" spans="2:37" ht="18" customHeight="1">
      <c r="B363" s="199"/>
      <c r="D363" s="154"/>
      <c r="F363" s="154"/>
      <c r="G363" s="217"/>
      <c r="I363" s="673"/>
      <c r="J363" s="209"/>
      <c r="K363" s="520"/>
      <c r="L363" s="154"/>
      <c r="M363" s="154"/>
      <c r="N363" s="154"/>
      <c r="O363" s="246"/>
      <c r="P363" s="1597"/>
      <c r="R363" s="1598"/>
      <c r="S363" s="557"/>
      <c r="T363" s="1768"/>
      <c r="V363" s="1769"/>
      <c r="X363" s="1768"/>
      <c r="Z363" s="1769"/>
      <c r="AA363" s="557"/>
      <c r="AK363" s="246"/>
    </row>
    <row r="364" spans="2:37" ht="18" customHeight="1">
      <c r="B364" s="199"/>
      <c r="D364" s="154"/>
      <c r="F364" s="154"/>
      <c r="G364" s="217"/>
      <c r="I364" s="673"/>
      <c r="J364" s="209"/>
      <c r="K364" s="520"/>
      <c r="L364" s="154"/>
      <c r="M364" s="154"/>
      <c r="N364" s="154"/>
      <c r="O364" s="246"/>
      <c r="P364" s="1597"/>
      <c r="R364" s="1598"/>
      <c r="S364" s="557"/>
      <c r="T364" s="1768"/>
      <c r="V364" s="1769"/>
      <c r="X364" s="1768"/>
      <c r="Z364" s="1769"/>
      <c r="AA364" s="557"/>
      <c r="AK364" s="246"/>
    </row>
    <row r="365" spans="2:37" ht="18" customHeight="1">
      <c r="B365" s="199"/>
      <c r="D365" s="154"/>
      <c r="F365" s="154"/>
      <c r="G365" s="217"/>
      <c r="I365" s="673"/>
      <c r="J365" s="209"/>
      <c r="K365" s="520"/>
      <c r="L365" s="154"/>
      <c r="M365" s="154"/>
      <c r="N365" s="154"/>
      <c r="O365" s="246"/>
      <c r="P365" s="1597"/>
      <c r="R365" s="1598"/>
      <c r="S365" s="557"/>
      <c r="T365" s="1768"/>
      <c r="V365" s="1769"/>
      <c r="X365" s="1768"/>
      <c r="Z365" s="1769"/>
      <c r="AA365" s="557"/>
      <c r="AK365" s="246"/>
    </row>
    <row r="366" spans="2:37" ht="18" customHeight="1">
      <c r="B366" s="199"/>
      <c r="D366" s="154"/>
      <c r="F366" s="154"/>
      <c r="G366" s="217"/>
      <c r="I366" s="673"/>
      <c r="J366" s="209"/>
      <c r="K366" s="520"/>
      <c r="L366" s="154"/>
      <c r="M366" s="154"/>
      <c r="N366" s="154"/>
      <c r="O366" s="246"/>
      <c r="P366" s="1597"/>
      <c r="R366" s="1598"/>
      <c r="S366" s="557"/>
      <c r="T366" s="1768"/>
      <c r="V366" s="1769"/>
      <c r="X366" s="1768"/>
      <c r="Z366" s="1769"/>
      <c r="AA366" s="557"/>
      <c r="AK366" s="246"/>
    </row>
    <row r="367" spans="2:37" ht="18" customHeight="1">
      <c r="B367" s="199"/>
      <c r="D367" s="154"/>
      <c r="F367" s="154"/>
      <c r="G367" s="217"/>
      <c r="I367" s="673"/>
      <c r="J367" s="209"/>
      <c r="K367" s="520"/>
      <c r="L367" s="154"/>
      <c r="M367" s="154"/>
      <c r="N367" s="154"/>
      <c r="O367" s="246"/>
      <c r="P367" s="1597"/>
      <c r="R367" s="1598"/>
      <c r="S367" s="557"/>
      <c r="T367" s="1768"/>
      <c r="V367" s="1769"/>
      <c r="X367" s="1768"/>
      <c r="Z367" s="1769"/>
      <c r="AA367" s="557"/>
      <c r="AK367" s="246"/>
    </row>
    <row r="368" spans="2:37" ht="18" customHeight="1">
      <c r="B368" s="199"/>
      <c r="D368" s="154"/>
      <c r="F368" s="154"/>
      <c r="G368" s="217"/>
      <c r="I368" s="673"/>
      <c r="J368" s="209"/>
      <c r="K368" s="520"/>
      <c r="L368" s="154"/>
      <c r="M368" s="154"/>
      <c r="N368" s="154"/>
      <c r="O368" s="246"/>
      <c r="P368" s="1597"/>
      <c r="R368" s="1598"/>
      <c r="S368" s="557"/>
      <c r="T368" s="1768"/>
      <c r="V368" s="1769"/>
      <c r="X368" s="1768"/>
      <c r="Z368" s="1769"/>
      <c r="AA368" s="557"/>
      <c r="AK368" s="246"/>
    </row>
    <row r="369" spans="2:37" ht="18" customHeight="1">
      <c r="B369" s="199"/>
      <c r="D369" s="154"/>
      <c r="F369" s="154"/>
      <c r="G369" s="217"/>
      <c r="I369" s="673"/>
      <c r="J369" s="209"/>
      <c r="K369" s="520"/>
      <c r="L369" s="154"/>
      <c r="M369" s="154"/>
      <c r="N369" s="154"/>
      <c r="O369" s="246"/>
      <c r="P369" s="1597"/>
      <c r="R369" s="1598"/>
      <c r="S369" s="557"/>
      <c r="T369" s="1768"/>
      <c r="V369" s="1769"/>
      <c r="X369" s="1768"/>
      <c r="Z369" s="1769"/>
      <c r="AA369" s="557"/>
      <c r="AK369" s="246"/>
    </row>
    <row r="370" spans="2:37" ht="18" customHeight="1">
      <c r="B370" s="199"/>
      <c r="D370" s="154"/>
      <c r="F370" s="154"/>
      <c r="G370" s="217"/>
      <c r="I370" s="673"/>
      <c r="J370" s="209"/>
      <c r="K370" s="520"/>
      <c r="L370" s="154"/>
      <c r="M370" s="154"/>
      <c r="N370" s="154"/>
      <c r="O370" s="246"/>
      <c r="P370" s="1597"/>
      <c r="R370" s="1598"/>
      <c r="S370" s="557"/>
      <c r="T370" s="1768"/>
      <c r="V370" s="1769"/>
      <c r="X370" s="1768"/>
      <c r="Z370" s="1769"/>
      <c r="AA370" s="557"/>
      <c r="AK370" s="246"/>
    </row>
    <row r="371" spans="2:37" ht="18" customHeight="1">
      <c r="B371" s="199"/>
      <c r="D371" s="154"/>
      <c r="F371" s="154"/>
      <c r="G371" s="217"/>
      <c r="I371" s="673"/>
      <c r="J371" s="209"/>
      <c r="K371" s="520"/>
      <c r="L371" s="154"/>
      <c r="M371" s="154"/>
      <c r="N371" s="154"/>
      <c r="O371" s="246"/>
      <c r="P371" s="1597"/>
      <c r="R371" s="1598"/>
      <c r="S371" s="557"/>
      <c r="T371" s="1768"/>
      <c r="V371" s="1769"/>
      <c r="X371" s="1768"/>
      <c r="Z371" s="1769"/>
      <c r="AA371" s="557"/>
      <c r="AK371" s="246"/>
    </row>
    <row r="372" spans="2:37" ht="18" customHeight="1">
      <c r="B372" s="199"/>
      <c r="D372" s="154"/>
      <c r="F372" s="154"/>
      <c r="G372" s="217"/>
      <c r="I372" s="673"/>
      <c r="J372" s="209"/>
      <c r="K372" s="520"/>
      <c r="L372" s="154"/>
      <c r="M372" s="154"/>
      <c r="N372" s="154"/>
      <c r="O372" s="246"/>
      <c r="P372" s="1597"/>
      <c r="R372" s="1598"/>
      <c r="S372" s="557"/>
      <c r="T372" s="1768"/>
      <c r="V372" s="1769"/>
      <c r="X372" s="1768"/>
      <c r="Z372" s="1769"/>
      <c r="AA372" s="557"/>
      <c r="AK372" s="246"/>
    </row>
    <row r="373" spans="2:37" ht="18" customHeight="1">
      <c r="B373" s="199"/>
      <c r="D373" s="154"/>
      <c r="F373" s="154"/>
      <c r="G373" s="217"/>
      <c r="I373" s="673"/>
      <c r="J373" s="209"/>
      <c r="K373" s="520"/>
      <c r="L373" s="154"/>
      <c r="M373" s="154"/>
      <c r="N373" s="154"/>
      <c r="O373" s="246"/>
      <c r="P373" s="1597"/>
      <c r="R373" s="1598"/>
      <c r="S373" s="557"/>
      <c r="T373" s="1768"/>
      <c r="V373" s="1769"/>
      <c r="X373" s="1768"/>
      <c r="Z373" s="1769"/>
      <c r="AA373" s="557"/>
      <c r="AK373" s="246"/>
    </row>
    <row r="374" spans="2:37" ht="18" customHeight="1">
      <c r="B374" s="199"/>
      <c r="D374" s="154"/>
      <c r="F374" s="154"/>
      <c r="G374" s="217"/>
      <c r="I374" s="673"/>
      <c r="J374" s="209"/>
      <c r="K374" s="520"/>
      <c r="L374" s="154"/>
      <c r="M374" s="154"/>
      <c r="N374" s="154"/>
      <c r="O374" s="246"/>
      <c r="P374" s="1597"/>
      <c r="R374" s="1598"/>
      <c r="S374" s="557"/>
      <c r="T374" s="1768"/>
      <c r="V374" s="1769"/>
      <c r="X374" s="1768"/>
      <c r="Z374" s="1769"/>
      <c r="AA374" s="557"/>
      <c r="AK374" s="246"/>
    </row>
    <row r="375" spans="2:37" ht="18" customHeight="1">
      <c r="B375" s="199"/>
      <c r="D375" s="154"/>
      <c r="F375" s="154"/>
      <c r="G375" s="217"/>
      <c r="I375" s="673"/>
      <c r="J375" s="209"/>
      <c r="K375" s="520"/>
      <c r="L375" s="154"/>
      <c r="M375" s="154"/>
      <c r="N375" s="154"/>
      <c r="O375" s="246"/>
      <c r="P375" s="1597"/>
      <c r="R375" s="1598"/>
      <c r="S375" s="557"/>
      <c r="T375" s="1768"/>
      <c r="V375" s="1769"/>
      <c r="X375" s="1768"/>
      <c r="Z375" s="1769"/>
      <c r="AA375" s="557"/>
      <c r="AK375" s="246"/>
    </row>
    <row r="376" spans="2:37" ht="18" customHeight="1">
      <c r="B376" s="199"/>
      <c r="D376" s="154"/>
      <c r="F376" s="154"/>
      <c r="G376" s="217"/>
      <c r="I376" s="673"/>
      <c r="J376" s="209"/>
      <c r="K376" s="520"/>
      <c r="L376" s="154"/>
      <c r="M376" s="154"/>
      <c r="N376" s="154"/>
      <c r="O376" s="246"/>
      <c r="P376" s="1597"/>
      <c r="R376" s="1598"/>
      <c r="S376" s="557"/>
      <c r="T376" s="1768"/>
      <c r="V376" s="1769"/>
      <c r="X376" s="1768"/>
      <c r="Z376" s="1769"/>
      <c r="AA376" s="557"/>
      <c r="AK376" s="246"/>
    </row>
    <row r="377" spans="2:37" ht="18" customHeight="1">
      <c r="B377" s="199"/>
      <c r="D377" s="154"/>
      <c r="F377" s="154"/>
      <c r="G377" s="217"/>
      <c r="I377" s="673"/>
      <c r="J377" s="209"/>
      <c r="K377" s="520"/>
      <c r="L377" s="154"/>
      <c r="M377" s="154"/>
      <c r="N377" s="154"/>
      <c r="O377" s="246"/>
      <c r="P377" s="1597"/>
      <c r="R377" s="1598"/>
      <c r="S377" s="557"/>
      <c r="T377" s="1768"/>
      <c r="V377" s="1769"/>
      <c r="X377" s="1768"/>
      <c r="Z377" s="1769"/>
      <c r="AA377" s="557"/>
      <c r="AK377" s="246"/>
    </row>
    <row r="378" spans="2:37" ht="18" customHeight="1">
      <c r="B378" s="199"/>
      <c r="D378" s="154"/>
      <c r="F378" s="154"/>
      <c r="G378" s="217"/>
      <c r="I378" s="673"/>
      <c r="J378" s="209"/>
      <c r="K378" s="520"/>
      <c r="L378" s="154"/>
      <c r="M378" s="154"/>
      <c r="N378" s="154"/>
      <c r="O378" s="246"/>
      <c r="P378" s="1597"/>
      <c r="R378" s="1598"/>
      <c r="S378" s="557"/>
      <c r="T378" s="1768"/>
      <c r="V378" s="1769"/>
      <c r="X378" s="1768"/>
      <c r="Z378" s="1769"/>
      <c r="AA378" s="557"/>
      <c r="AK378" s="246"/>
    </row>
    <row r="379" spans="2:37" ht="18" customHeight="1">
      <c r="B379" s="199"/>
      <c r="D379" s="154"/>
      <c r="F379" s="154"/>
      <c r="G379" s="217"/>
      <c r="I379" s="673"/>
      <c r="J379" s="209"/>
      <c r="K379" s="520"/>
      <c r="L379" s="154"/>
      <c r="M379" s="154"/>
      <c r="N379" s="154"/>
      <c r="O379" s="246"/>
      <c r="P379" s="1597"/>
      <c r="R379" s="1598"/>
      <c r="S379" s="557"/>
      <c r="T379" s="1768"/>
      <c r="V379" s="1769"/>
      <c r="X379" s="1768"/>
      <c r="Z379" s="1769"/>
      <c r="AA379" s="557"/>
      <c r="AK379" s="246"/>
    </row>
    <row r="380" spans="2:37" ht="18" customHeight="1">
      <c r="B380" s="199"/>
      <c r="D380" s="154"/>
      <c r="F380" s="154"/>
      <c r="G380" s="217"/>
      <c r="I380" s="673"/>
      <c r="J380" s="209"/>
      <c r="K380" s="520"/>
      <c r="L380" s="154"/>
      <c r="M380" s="154"/>
      <c r="N380" s="154"/>
      <c r="O380" s="246"/>
      <c r="P380" s="1597"/>
      <c r="R380" s="1598"/>
      <c r="S380" s="557"/>
      <c r="T380" s="1768"/>
      <c r="V380" s="1769"/>
      <c r="X380" s="1768"/>
      <c r="Z380" s="1769"/>
      <c r="AA380" s="557"/>
      <c r="AK380" s="246"/>
    </row>
    <row r="381" spans="2:37" ht="18" customHeight="1">
      <c r="B381" s="199"/>
      <c r="D381" s="154"/>
      <c r="F381" s="154"/>
      <c r="G381" s="217"/>
      <c r="I381" s="673"/>
      <c r="J381" s="209"/>
      <c r="K381" s="520"/>
      <c r="L381" s="154"/>
      <c r="M381" s="154"/>
      <c r="N381" s="154"/>
      <c r="O381" s="246"/>
      <c r="P381" s="1597"/>
      <c r="R381" s="1598"/>
      <c r="S381" s="557"/>
      <c r="T381" s="1768"/>
      <c r="V381" s="1769"/>
      <c r="X381" s="1768"/>
      <c r="Z381" s="1769"/>
      <c r="AA381" s="557"/>
      <c r="AK381" s="246"/>
    </row>
    <row r="382" spans="2:37" ht="18" customHeight="1">
      <c r="B382" s="199"/>
      <c r="D382" s="154"/>
      <c r="F382" s="154"/>
      <c r="G382" s="217"/>
      <c r="I382" s="673"/>
      <c r="J382" s="209"/>
      <c r="K382" s="520"/>
      <c r="L382" s="154"/>
      <c r="M382" s="154"/>
      <c r="N382" s="154"/>
      <c r="O382" s="246"/>
      <c r="P382" s="1597"/>
      <c r="R382" s="1598"/>
      <c r="S382" s="557"/>
      <c r="T382" s="1768"/>
      <c r="V382" s="1769"/>
      <c r="X382" s="1768"/>
      <c r="Z382" s="1769"/>
      <c r="AA382" s="557"/>
      <c r="AK382" s="246"/>
    </row>
    <row r="383" spans="2:37" ht="18" customHeight="1">
      <c r="B383" s="199"/>
      <c r="D383" s="154"/>
      <c r="F383" s="154"/>
      <c r="G383" s="217"/>
      <c r="I383" s="673"/>
      <c r="J383" s="209"/>
      <c r="K383" s="520"/>
      <c r="L383" s="154"/>
      <c r="M383" s="154"/>
      <c r="N383" s="154"/>
      <c r="O383" s="246"/>
      <c r="P383" s="1597"/>
      <c r="R383" s="1598"/>
      <c r="S383" s="557"/>
      <c r="T383" s="1768"/>
      <c r="V383" s="1769"/>
      <c r="X383" s="1768"/>
      <c r="Z383" s="1769"/>
      <c r="AA383" s="557"/>
      <c r="AK383" s="246"/>
    </row>
    <row r="384" spans="2:37" ht="18" customHeight="1">
      <c r="B384" s="199"/>
      <c r="D384" s="154"/>
      <c r="F384" s="154"/>
      <c r="G384" s="217"/>
      <c r="I384" s="673"/>
      <c r="J384" s="209"/>
      <c r="K384" s="520"/>
      <c r="L384" s="154"/>
      <c r="M384" s="154"/>
      <c r="N384" s="154"/>
      <c r="O384" s="246"/>
      <c r="P384" s="1597"/>
      <c r="R384" s="1598"/>
      <c r="S384" s="557"/>
      <c r="T384" s="1768"/>
      <c r="V384" s="1769"/>
      <c r="X384" s="1768"/>
      <c r="Z384" s="1769"/>
      <c r="AA384" s="557"/>
      <c r="AK384" s="246"/>
    </row>
    <row r="385" spans="2:37" ht="18" customHeight="1">
      <c r="B385" s="199"/>
      <c r="D385" s="154"/>
      <c r="F385" s="154"/>
      <c r="G385" s="217"/>
      <c r="I385" s="673"/>
      <c r="J385" s="209"/>
      <c r="K385" s="520"/>
      <c r="L385" s="154"/>
      <c r="M385" s="154"/>
      <c r="N385" s="154"/>
      <c r="O385" s="246"/>
      <c r="P385" s="1597"/>
      <c r="R385" s="1598"/>
      <c r="S385" s="557"/>
      <c r="T385" s="1768"/>
      <c r="V385" s="1769"/>
      <c r="X385" s="1768"/>
      <c r="Z385" s="1769"/>
      <c r="AA385" s="557"/>
      <c r="AK385" s="246"/>
    </row>
    <row r="386" spans="2:37" ht="18" customHeight="1">
      <c r="B386" s="199"/>
      <c r="D386" s="154"/>
      <c r="F386" s="154"/>
      <c r="G386" s="217"/>
      <c r="I386" s="673"/>
      <c r="J386" s="209"/>
      <c r="K386" s="520"/>
      <c r="L386" s="154"/>
      <c r="M386" s="154"/>
      <c r="N386" s="154"/>
      <c r="O386" s="246"/>
      <c r="P386" s="1597"/>
      <c r="R386" s="1598"/>
      <c r="S386" s="557"/>
      <c r="T386" s="1768"/>
      <c r="V386" s="1769"/>
      <c r="X386" s="1768"/>
      <c r="Z386" s="1769"/>
      <c r="AA386" s="557"/>
      <c r="AK386" s="246"/>
    </row>
    <row r="387" spans="2:37" ht="18" customHeight="1">
      <c r="B387" s="199"/>
      <c r="D387" s="154"/>
      <c r="F387" s="154"/>
      <c r="G387" s="217"/>
      <c r="I387" s="673"/>
      <c r="J387" s="209"/>
      <c r="K387" s="520"/>
      <c r="L387" s="154"/>
      <c r="M387" s="154"/>
      <c r="N387" s="154"/>
      <c r="O387" s="246"/>
      <c r="P387" s="1597"/>
      <c r="R387" s="1598"/>
      <c r="S387" s="557"/>
      <c r="T387" s="1768"/>
      <c r="V387" s="1769"/>
      <c r="X387" s="1768"/>
      <c r="Z387" s="1769"/>
      <c r="AA387" s="557"/>
      <c r="AK387" s="246"/>
    </row>
    <row r="388" spans="2:37" ht="18" customHeight="1">
      <c r="B388" s="199"/>
      <c r="D388" s="154"/>
      <c r="F388" s="154"/>
      <c r="G388" s="217"/>
      <c r="I388" s="673"/>
      <c r="J388" s="209"/>
      <c r="K388" s="520"/>
      <c r="L388" s="154"/>
      <c r="M388" s="154"/>
      <c r="N388" s="154"/>
      <c r="O388" s="246"/>
      <c r="P388" s="1597"/>
      <c r="R388" s="1598"/>
      <c r="S388" s="557"/>
      <c r="T388" s="1768"/>
      <c r="V388" s="1769"/>
      <c r="X388" s="1768"/>
      <c r="Z388" s="1769"/>
      <c r="AA388" s="557"/>
      <c r="AK388" s="246"/>
    </row>
    <row r="389" spans="2:37" ht="18" customHeight="1">
      <c r="B389" s="199"/>
      <c r="D389" s="154"/>
      <c r="F389" s="154"/>
      <c r="G389" s="217"/>
      <c r="I389" s="673"/>
      <c r="J389" s="209"/>
      <c r="K389" s="520"/>
      <c r="L389" s="154"/>
      <c r="M389" s="154"/>
      <c r="N389" s="154"/>
      <c r="O389" s="246"/>
      <c r="P389" s="1597"/>
      <c r="R389" s="1598"/>
      <c r="S389" s="557"/>
      <c r="T389" s="1768"/>
      <c r="V389" s="1769"/>
      <c r="X389" s="1768"/>
      <c r="Z389" s="1769"/>
      <c r="AA389" s="557"/>
      <c r="AK389" s="246"/>
    </row>
    <row r="390" spans="2:37" ht="18" customHeight="1">
      <c r="B390" s="199"/>
      <c r="D390" s="154"/>
      <c r="F390" s="154"/>
      <c r="G390" s="217"/>
      <c r="I390" s="673"/>
      <c r="J390" s="209"/>
      <c r="K390" s="520"/>
      <c r="L390" s="154"/>
      <c r="M390" s="154"/>
      <c r="N390" s="154"/>
      <c r="O390" s="246"/>
      <c r="P390" s="1597"/>
      <c r="R390" s="1598"/>
      <c r="S390" s="557"/>
      <c r="T390" s="1768"/>
      <c r="V390" s="1769"/>
      <c r="X390" s="1768"/>
      <c r="Z390" s="1769"/>
      <c r="AA390" s="557"/>
      <c r="AK390" s="246"/>
    </row>
    <row r="391" spans="2:37" ht="18" customHeight="1">
      <c r="B391" s="199"/>
      <c r="D391" s="154"/>
      <c r="F391" s="154"/>
      <c r="G391" s="217"/>
      <c r="I391" s="673"/>
      <c r="J391" s="209"/>
      <c r="K391" s="520"/>
      <c r="L391" s="154"/>
      <c r="M391" s="154"/>
      <c r="N391" s="154"/>
      <c r="O391" s="246"/>
      <c r="P391" s="1597"/>
      <c r="R391" s="1598"/>
      <c r="S391" s="557"/>
      <c r="T391" s="1768"/>
      <c r="V391" s="1769"/>
      <c r="X391" s="1768"/>
      <c r="Z391" s="1769"/>
      <c r="AA391" s="557"/>
      <c r="AK391" s="246"/>
    </row>
    <row r="392" spans="2:37" ht="18" customHeight="1">
      <c r="B392" s="199"/>
      <c r="D392" s="154"/>
      <c r="F392" s="154"/>
      <c r="G392" s="217"/>
      <c r="I392" s="673"/>
      <c r="J392" s="209"/>
      <c r="K392" s="520"/>
      <c r="L392" s="154"/>
      <c r="M392" s="154"/>
      <c r="N392" s="154"/>
      <c r="O392" s="246"/>
      <c r="P392" s="1597"/>
      <c r="R392" s="1598"/>
      <c r="S392" s="557"/>
      <c r="T392" s="1768"/>
      <c r="V392" s="1769"/>
      <c r="X392" s="1768"/>
      <c r="Z392" s="1769"/>
      <c r="AA392" s="557"/>
      <c r="AK392" s="246"/>
    </row>
    <row r="393" spans="2:37" ht="18" customHeight="1">
      <c r="B393" s="199"/>
      <c r="D393" s="154"/>
      <c r="F393" s="154"/>
      <c r="G393" s="217"/>
      <c r="I393" s="673"/>
      <c r="J393" s="209"/>
      <c r="K393" s="520"/>
      <c r="L393" s="154"/>
      <c r="M393" s="154"/>
      <c r="N393" s="154"/>
      <c r="O393" s="246"/>
      <c r="P393" s="1597"/>
      <c r="R393" s="1598"/>
      <c r="S393" s="557"/>
      <c r="T393" s="1768"/>
      <c r="V393" s="1769"/>
      <c r="X393" s="1768"/>
      <c r="Z393" s="1769"/>
      <c r="AA393" s="557"/>
      <c r="AK393" s="246"/>
    </row>
    <row r="394" spans="2:37" ht="18" customHeight="1">
      <c r="B394" s="199"/>
      <c r="D394" s="154"/>
      <c r="F394" s="154"/>
      <c r="G394" s="217"/>
      <c r="I394" s="673"/>
      <c r="J394" s="209"/>
      <c r="K394" s="520"/>
      <c r="L394" s="154"/>
      <c r="M394" s="154"/>
      <c r="N394" s="154"/>
      <c r="O394" s="246"/>
      <c r="P394" s="1597"/>
      <c r="R394" s="1598"/>
      <c r="S394" s="557"/>
      <c r="T394" s="1768"/>
      <c r="V394" s="1769"/>
      <c r="X394" s="1768"/>
      <c r="Z394" s="1769"/>
      <c r="AA394" s="557"/>
      <c r="AK394" s="246"/>
    </row>
    <row r="395" spans="2:37" ht="18" customHeight="1">
      <c r="B395" s="199"/>
      <c r="D395" s="154"/>
      <c r="F395" s="154"/>
      <c r="G395" s="217"/>
      <c r="I395" s="673"/>
      <c r="J395" s="209"/>
      <c r="K395" s="520"/>
      <c r="L395" s="154"/>
      <c r="M395" s="154"/>
      <c r="N395" s="154"/>
      <c r="O395" s="246"/>
      <c r="P395" s="1597"/>
      <c r="R395" s="1598"/>
      <c r="S395" s="557"/>
      <c r="T395" s="1768"/>
      <c r="V395" s="1769"/>
      <c r="X395" s="1768"/>
      <c r="Z395" s="1769"/>
      <c r="AA395" s="557"/>
      <c r="AK395" s="246"/>
    </row>
    <row r="396" spans="2:37" ht="18" customHeight="1">
      <c r="B396" s="199"/>
      <c r="D396" s="154"/>
      <c r="F396" s="154"/>
      <c r="G396" s="217"/>
      <c r="I396" s="673"/>
      <c r="J396" s="209"/>
      <c r="K396" s="520"/>
      <c r="L396" s="154"/>
      <c r="M396" s="154"/>
      <c r="N396" s="154"/>
      <c r="O396" s="246"/>
      <c r="P396" s="1597"/>
      <c r="R396" s="1598"/>
      <c r="S396" s="557"/>
      <c r="T396" s="1768"/>
      <c r="V396" s="1769"/>
      <c r="X396" s="1768"/>
      <c r="Z396" s="1769"/>
      <c r="AA396" s="557"/>
      <c r="AK396" s="246"/>
    </row>
    <row r="397" spans="2:37" ht="18" customHeight="1">
      <c r="B397" s="199"/>
      <c r="D397" s="154"/>
      <c r="F397" s="154"/>
      <c r="G397" s="217"/>
      <c r="I397" s="673"/>
      <c r="J397" s="209"/>
      <c r="K397" s="520"/>
      <c r="L397" s="154"/>
      <c r="M397" s="154"/>
      <c r="N397" s="154"/>
      <c r="O397" s="246"/>
      <c r="P397" s="1597"/>
      <c r="R397" s="1598"/>
      <c r="S397" s="557"/>
      <c r="T397" s="1768"/>
      <c r="V397" s="1769"/>
      <c r="X397" s="1768"/>
      <c r="Z397" s="1769"/>
      <c r="AA397" s="557"/>
      <c r="AK397" s="246"/>
    </row>
    <row r="398" spans="2:37" ht="18" customHeight="1">
      <c r="B398" s="199"/>
      <c r="D398" s="154"/>
      <c r="F398" s="154"/>
      <c r="G398" s="217"/>
      <c r="I398" s="673"/>
      <c r="J398" s="209"/>
      <c r="K398" s="520"/>
      <c r="L398" s="154"/>
      <c r="M398" s="154"/>
      <c r="N398" s="154"/>
      <c r="O398" s="246"/>
      <c r="P398" s="1597"/>
      <c r="R398" s="1598"/>
      <c r="S398" s="557"/>
      <c r="T398" s="1768"/>
      <c r="V398" s="1769"/>
      <c r="X398" s="1768"/>
      <c r="Z398" s="1769"/>
      <c r="AA398" s="557"/>
      <c r="AK398" s="246"/>
    </row>
    <row r="399" spans="2:37" ht="18" customHeight="1">
      <c r="B399" s="199"/>
      <c r="D399" s="154"/>
      <c r="F399" s="154"/>
      <c r="G399" s="217"/>
      <c r="I399" s="673"/>
      <c r="J399" s="209"/>
      <c r="K399" s="520"/>
      <c r="L399" s="154"/>
      <c r="M399" s="154"/>
      <c r="N399" s="154"/>
      <c r="O399" s="246"/>
      <c r="P399" s="1597"/>
      <c r="R399" s="1598"/>
      <c r="S399" s="557"/>
      <c r="T399" s="1768"/>
      <c r="V399" s="1769"/>
      <c r="X399" s="1768"/>
      <c r="Z399" s="1769"/>
      <c r="AA399" s="557"/>
      <c r="AK399" s="246"/>
    </row>
    <row r="400" spans="2:37" ht="18" customHeight="1">
      <c r="B400" s="199"/>
      <c r="D400" s="154"/>
      <c r="F400" s="154"/>
      <c r="G400" s="217"/>
      <c r="I400" s="673"/>
      <c r="J400" s="209"/>
      <c r="K400" s="520"/>
      <c r="L400" s="154"/>
      <c r="M400" s="154"/>
      <c r="N400" s="154"/>
      <c r="O400" s="246"/>
      <c r="P400" s="1597"/>
      <c r="R400" s="1598"/>
      <c r="S400" s="557"/>
      <c r="T400" s="1768"/>
      <c r="V400" s="1769"/>
      <c r="X400" s="1768"/>
      <c r="Z400" s="1769"/>
      <c r="AA400" s="557"/>
      <c r="AK400" s="246"/>
    </row>
    <row r="401" spans="2:37" ht="18" customHeight="1">
      <c r="B401" s="199"/>
      <c r="D401" s="154"/>
      <c r="F401" s="154"/>
      <c r="G401" s="217"/>
      <c r="I401" s="673"/>
      <c r="J401" s="209"/>
      <c r="K401" s="520"/>
      <c r="L401" s="154"/>
      <c r="M401" s="154"/>
      <c r="N401" s="154"/>
      <c r="O401" s="246"/>
      <c r="P401" s="1597"/>
      <c r="R401" s="1598"/>
      <c r="S401" s="557"/>
      <c r="T401" s="1768"/>
      <c r="V401" s="1769"/>
      <c r="X401" s="1768"/>
      <c r="Z401" s="1769"/>
      <c r="AA401" s="557"/>
      <c r="AK401" s="246"/>
    </row>
    <row r="402" spans="2:37" ht="18" customHeight="1">
      <c r="B402" s="199"/>
      <c r="D402" s="154"/>
      <c r="F402" s="154"/>
      <c r="G402" s="217"/>
      <c r="I402" s="673"/>
      <c r="J402" s="209"/>
      <c r="K402" s="520"/>
      <c r="L402" s="154"/>
      <c r="M402" s="154"/>
      <c r="N402" s="154"/>
      <c r="O402" s="246"/>
      <c r="P402" s="1597"/>
      <c r="R402" s="1598"/>
      <c r="S402" s="557"/>
      <c r="T402" s="1768"/>
      <c r="V402" s="1769"/>
      <c r="X402" s="1768"/>
      <c r="Z402" s="1769"/>
      <c r="AA402" s="557"/>
      <c r="AK402" s="246"/>
    </row>
    <row r="403" spans="2:37" ht="18" customHeight="1">
      <c r="B403" s="199"/>
      <c r="D403" s="154"/>
      <c r="F403" s="154"/>
      <c r="G403" s="217"/>
      <c r="I403" s="673"/>
      <c r="J403" s="209"/>
      <c r="K403" s="520"/>
      <c r="L403" s="154"/>
      <c r="M403" s="154"/>
      <c r="N403" s="154"/>
      <c r="O403" s="246"/>
      <c r="P403" s="1597"/>
      <c r="R403" s="1598"/>
      <c r="S403" s="557"/>
      <c r="T403" s="1768"/>
      <c r="V403" s="1769"/>
      <c r="X403" s="1768"/>
      <c r="Z403" s="1769"/>
      <c r="AA403" s="557"/>
      <c r="AK403" s="246"/>
    </row>
    <row r="404" spans="2:37" ht="18" customHeight="1">
      <c r="B404" s="199"/>
      <c r="D404" s="154"/>
      <c r="F404" s="154"/>
      <c r="G404" s="217"/>
      <c r="I404" s="673"/>
      <c r="J404" s="209"/>
      <c r="K404" s="520"/>
      <c r="L404" s="154"/>
      <c r="M404" s="154"/>
      <c r="N404" s="154"/>
      <c r="O404" s="246"/>
      <c r="P404" s="1597"/>
      <c r="R404" s="1598"/>
      <c r="S404" s="557"/>
      <c r="T404" s="1768"/>
      <c r="V404" s="1769"/>
      <c r="X404" s="1768"/>
      <c r="Z404" s="1769"/>
      <c r="AA404" s="557"/>
      <c r="AK404" s="246"/>
    </row>
    <row r="405" spans="2:37" ht="18" customHeight="1">
      <c r="B405" s="199"/>
      <c r="D405" s="154"/>
      <c r="F405" s="154"/>
      <c r="G405" s="217"/>
      <c r="I405" s="673"/>
      <c r="J405" s="209"/>
      <c r="K405" s="520"/>
      <c r="L405" s="154"/>
      <c r="M405" s="154"/>
      <c r="N405" s="154"/>
      <c r="O405" s="246"/>
      <c r="P405" s="1597"/>
      <c r="R405" s="1598"/>
      <c r="S405" s="557"/>
      <c r="T405" s="1768"/>
      <c r="V405" s="1769"/>
      <c r="X405" s="1768"/>
      <c r="Z405" s="1769"/>
      <c r="AA405" s="557"/>
      <c r="AK405" s="246"/>
    </row>
    <row r="406" spans="2:37" ht="18" customHeight="1">
      <c r="B406" s="199"/>
      <c r="D406" s="154"/>
      <c r="F406" s="154"/>
      <c r="G406" s="217"/>
      <c r="I406" s="673"/>
      <c r="J406" s="209"/>
      <c r="K406" s="520"/>
      <c r="L406" s="154"/>
      <c r="M406" s="154"/>
      <c r="N406" s="154"/>
      <c r="O406" s="246"/>
      <c r="P406" s="1597"/>
      <c r="R406" s="1598"/>
      <c r="S406" s="557"/>
      <c r="T406" s="1768"/>
      <c r="V406" s="1769"/>
      <c r="X406" s="1768"/>
      <c r="Z406" s="1769"/>
      <c r="AA406" s="557"/>
      <c r="AK406" s="246"/>
    </row>
    <row r="407" spans="2:37" ht="18" customHeight="1">
      <c r="B407" s="199"/>
      <c r="D407" s="154"/>
      <c r="F407" s="154"/>
      <c r="G407" s="217"/>
      <c r="I407" s="673"/>
      <c r="J407" s="209"/>
      <c r="K407" s="520"/>
      <c r="L407" s="154"/>
      <c r="M407" s="154"/>
      <c r="N407" s="154"/>
      <c r="O407" s="246"/>
      <c r="P407" s="1597"/>
      <c r="R407" s="1598"/>
      <c r="S407" s="557"/>
      <c r="T407" s="1768"/>
      <c r="V407" s="1769"/>
      <c r="X407" s="1768"/>
      <c r="Z407" s="1769"/>
      <c r="AA407" s="557"/>
      <c r="AK407" s="246"/>
    </row>
    <row r="408" spans="2:37" ht="18" customHeight="1">
      <c r="B408" s="199"/>
      <c r="D408" s="154"/>
      <c r="F408" s="154"/>
      <c r="G408" s="217"/>
      <c r="I408" s="673"/>
      <c r="J408" s="209"/>
      <c r="K408" s="520"/>
      <c r="L408" s="154"/>
      <c r="M408" s="154"/>
      <c r="N408" s="154"/>
      <c r="O408" s="246"/>
      <c r="P408" s="1597"/>
      <c r="R408" s="1598"/>
      <c r="S408" s="557"/>
      <c r="T408" s="1768"/>
      <c r="V408" s="1769"/>
      <c r="X408" s="1768"/>
      <c r="Z408" s="1769"/>
      <c r="AA408" s="557"/>
      <c r="AK408" s="246"/>
    </row>
    <row r="409" spans="2:37" ht="18" customHeight="1">
      <c r="B409" s="199"/>
      <c r="D409" s="154"/>
      <c r="F409" s="154"/>
      <c r="G409" s="217"/>
      <c r="I409" s="673"/>
      <c r="J409" s="209"/>
      <c r="K409" s="520"/>
      <c r="L409" s="154"/>
      <c r="M409" s="154"/>
      <c r="N409" s="154"/>
      <c r="O409" s="246"/>
      <c r="P409" s="1597"/>
      <c r="R409" s="1598"/>
      <c r="S409" s="557"/>
      <c r="T409" s="1768"/>
      <c r="V409" s="1769"/>
      <c r="X409" s="1768"/>
      <c r="Z409" s="1769"/>
      <c r="AA409" s="557"/>
      <c r="AK409" s="246"/>
    </row>
    <row r="410" spans="2:37" ht="18" customHeight="1">
      <c r="B410" s="199"/>
      <c r="D410" s="154"/>
      <c r="F410" s="154"/>
      <c r="G410" s="217"/>
      <c r="I410" s="673"/>
      <c r="J410" s="209"/>
      <c r="K410" s="520"/>
      <c r="L410" s="154"/>
      <c r="M410" s="154"/>
      <c r="N410" s="154"/>
      <c r="O410" s="246"/>
      <c r="P410" s="1597"/>
      <c r="R410" s="1598"/>
      <c r="S410" s="557"/>
      <c r="T410" s="1768"/>
      <c r="V410" s="1769"/>
      <c r="X410" s="1768"/>
      <c r="Z410" s="1769"/>
      <c r="AA410" s="557"/>
      <c r="AK410" s="246"/>
    </row>
    <row r="411" spans="2:37" ht="18" customHeight="1">
      <c r="B411" s="199"/>
      <c r="D411" s="154"/>
      <c r="F411" s="154"/>
      <c r="G411" s="217"/>
      <c r="I411" s="673"/>
      <c r="J411" s="209"/>
      <c r="K411" s="520"/>
      <c r="L411" s="154"/>
      <c r="M411" s="154"/>
      <c r="N411" s="154"/>
      <c r="O411" s="246"/>
      <c r="P411" s="1597"/>
      <c r="R411" s="1598"/>
      <c r="S411" s="557"/>
      <c r="T411" s="1768"/>
      <c r="V411" s="1769"/>
      <c r="X411" s="1768"/>
      <c r="Z411" s="1769"/>
      <c r="AA411" s="557"/>
      <c r="AK411" s="246"/>
    </row>
    <row r="412" spans="2:37" ht="18" customHeight="1">
      <c r="B412" s="199"/>
      <c r="D412" s="154"/>
      <c r="F412" s="154"/>
      <c r="G412" s="217"/>
      <c r="I412" s="673"/>
      <c r="J412" s="209"/>
      <c r="K412" s="520"/>
      <c r="L412" s="154"/>
      <c r="M412" s="154"/>
      <c r="N412" s="154"/>
      <c r="O412" s="246"/>
      <c r="P412" s="1597"/>
      <c r="R412" s="1598"/>
      <c r="S412" s="557"/>
      <c r="T412" s="1768"/>
      <c r="V412" s="1769"/>
      <c r="X412" s="1768"/>
      <c r="Z412" s="1769"/>
      <c r="AA412" s="557"/>
      <c r="AK412" s="246"/>
    </row>
    <row r="413" spans="2:37" ht="18" customHeight="1">
      <c r="B413" s="199"/>
      <c r="D413" s="154"/>
      <c r="F413" s="154"/>
      <c r="G413" s="217"/>
      <c r="I413" s="673"/>
      <c r="J413" s="209"/>
      <c r="K413" s="520"/>
      <c r="L413" s="154"/>
      <c r="M413" s="154"/>
      <c r="N413" s="154"/>
      <c r="O413" s="246"/>
      <c r="P413" s="1597"/>
      <c r="R413" s="1598"/>
      <c r="S413" s="557"/>
      <c r="T413" s="1768"/>
      <c r="V413" s="1769"/>
      <c r="X413" s="1768"/>
      <c r="Z413" s="1769"/>
      <c r="AA413" s="557"/>
      <c r="AK413" s="246"/>
    </row>
    <row r="414" spans="2:37" ht="18" customHeight="1">
      <c r="B414" s="199"/>
      <c r="D414" s="154"/>
      <c r="F414" s="154"/>
      <c r="G414" s="217"/>
      <c r="I414" s="673"/>
      <c r="J414" s="209"/>
      <c r="K414" s="520"/>
      <c r="L414" s="154"/>
      <c r="M414" s="154"/>
      <c r="N414" s="154"/>
      <c r="O414" s="246"/>
      <c r="P414" s="1597"/>
      <c r="R414" s="1598"/>
      <c r="S414" s="557"/>
      <c r="T414" s="1768"/>
      <c r="V414" s="1769"/>
      <c r="X414" s="1768"/>
      <c r="Z414" s="1769"/>
      <c r="AA414" s="557"/>
      <c r="AK414" s="246"/>
    </row>
    <row r="415" spans="2:37" ht="18" customHeight="1">
      <c r="B415" s="199"/>
      <c r="D415" s="154"/>
      <c r="F415" s="154"/>
      <c r="G415" s="217"/>
      <c r="I415" s="673"/>
      <c r="J415" s="209"/>
      <c r="K415" s="520"/>
      <c r="L415" s="154"/>
      <c r="M415" s="154"/>
      <c r="N415" s="154"/>
      <c r="O415" s="246"/>
      <c r="P415" s="1597"/>
      <c r="R415" s="1598"/>
      <c r="S415" s="557"/>
      <c r="T415" s="1768"/>
      <c r="V415" s="1769"/>
      <c r="X415" s="1768"/>
      <c r="Z415" s="1769"/>
      <c r="AA415" s="557"/>
      <c r="AK415" s="246"/>
    </row>
    <row r="416" spans="2:37" ht="18" customHeight="1">
      <c r="B416" s="199"/>
      <c r="D416" s="154"/>
      <c r="F416" s="154"/>
      <c r="G416" s="217"/>
      <c r="I416" s="673"/>
      <c r="J416" s="209"/>
      <c r="K416" s="520"/>
      <c r="L416" s="154"/>
      <c r="M416" s="154"/>
      <c r="N416" s="154"/>
      <c r="O416" s="246"/>
      <c r="P416" s="1597"/>
      <c r="R416" s="1598"/>
      <c r="S416" s="557"/>
      <c r="T416" s="1768"/>
      <c r="V416" s="1769"/>
      <c r="X416" s="1768"/>
      <c r="Z416" s="1769"/>
      <c r="AA416" s="557"/>
      <c r="AK416" s="246"/>
    </row>
    <row r="417" spans="2:37" ht="18" customHeight="1">
      <c r="B417" s="199"/>
      <c r="D417" s="154"/>
      <c r="F417" s="154"/>
      <c r="G417" s="217"/>
      <c r="I417" s="673"/>
      <c r="J417" s="209"/>
      <c r="K417" s="520"/>
      <c r="L417" s="154"/>
      <c r="M417" s="154"/>
      <c r="N417" s="154"/>
      <c r="O417" s="246"/>
      <c r="P417" s="1597"/>
      <c r="R417" s="1598"/>
      <c r="S417" s="557"/>
      <c r="T417" s="1768"/>
      <c r="V417" s="1769"/>
      <c r="X417" s="1768"/>
      <c r="Z417" s="1769"/>
      <c r="AA417" s="557"/>
      <c r="AK417" s="246"/>
    </row>
    <row r="418" spans="2:37" ht="18" customHeight="1">
      <c r="B418" s="199"/>
      <c r="D418" s="154"/>
      <c r="F418" s="154"/>
      <c r="G418" s="217"/>
      <c r="I418" s="673"/>
      <c r="J418" s="209"/>
      <c r="K418" s="520"/>
      <c r="L418" s="154"/>
      <c r="M418" s="154"/>
      <c r="N418" s="154"/>
      <c r="O418" s="246"/>
      <c r="P418" s="1597"/>
      <c r="R418" s="1598"/>
      <c r="S418" s="557"/>
      <c r="T418" s="1768"/>
      <c r="V418" s="1769"/>
      <c r="X418" s="1768"/>
      <c r="Z418" s="1769"/>
      <c r="AA418" s="557"/>
      <c r="AK418" s="246"/>
    </row>
    <row r="419" spans="2:37" ht="18" customHeight="1">
      <c r="B419" s="199"/>
      <c r="D419" s="154"/>
      <c r="F419" s="154"/>
      <c r="G419" s="217"/>
      <c r="I419" s="673"/>
      <c r="J419" s="209"/>
      <c r="K419" s="520"/>
      <c r="L419" s="154"/>
      <c r="M419" s="154"/>
      <c r="N419" s="154"/>
      <c r="O419" s="246"/>
      <c r="P419" s="1597"/>
      <c r="R419" s="1598"/>
      <c r="S419" s="557"/>
      <c r="T419" s="1768"/>
      <c r="V419" s="1769"/>
      <c r="X419" s="1768"/>
      <c r="Z419" s="1769"/>
      <c r="AA419" s="557"/>
      <c r="AK419" s="246"/>
    </row>
    <row r="420" spans="2:37" ht="18" customHeight="1">
      <c r="B420" s="199"/>
      <c r="D420" s="154"/>
      <c r="F420" s="154"/>
      <c r="G420" s="217"/>
      <c r="I420" s="673"/>
      <c r="J420" s="209"/>
      <c r="K420" s="520"/>
      <c r="L420" s="154"/>
      <c r="M420" s="154"/>
      <c r="N420" s="154"/>
      <c r="O420" s="246"/>
      <c r="P420" s="1597"/>
      <c r="R420" s="1598"/>
      <c r="S420" s="557"/>
      <c r="T420" s="1768"/>
      <c r="V420" s="1769"/>
      <c r="X420" s="1768"/>
      <c r="Z420" s="1769"/>
      <c r="AA420" s="557"/>
      <c r="AK420" s="246"/>
    </row>
    <row r="421" spans="2:37" ht="18" customHeight="1">
      <c r="B421" s="199"/>
      <c r="D421" s="154"/>
      <c r="F421" s="154"/>
      <c r="G421" s="217"/>
      <c r="I421" s="673"/>
      <c r="J421" s="209"/>
      <c r="K421" s="520"/>
      <c r="L421" s="154"/>
      <c r="M421" s="154"/>
      <c r="N421" s="154"/>
      <c r="O421" s="246"/>
      <c r="P421" s="1597"/>
      <c r="R421" s="1598"/>
      <c r="S421" s="557"/>
      <c r="T421" s="1768"/>
      <c r="V421" s="1769"/>
      <c r="X421" s="1768"/>
      <c r="Z421" s="1769"/>
      <c r="AA421" s="557"/>
      <c r="AK421" s="246"/>
    </row>
    <row r="422" spans="2:37" ht="18" customHeight="1">
      <c r="B422" s="199"/>
      <c r="D422" s="154"/>
      <c r="F422" s="154"/>
      <c r="G422" s="217"/>
      <c r="I422" s="673"/>
      <c r="J422" s="209"/>
      <c r="K422" s="520"/>
      <c r="L422" s="154"/>
      <c r="M422" s="154"/>
      <c r="N422" s="154"/>
      <c r="O422" s="246"/>
      <c r="P422" s="1597"/>
      <c r="R422" s="1598"/>
      <c r="S422" s="557"/>
      <c r="T422" s="1768"/>
      <c r="V422" s="1769"/>
      <c r="X422" s="1768"/>
      <c r="Z422" s="1769"/>
      <c r="AA422" s="557"/>
      <c r="AK422" s="246"/>
    </row>
    <row r="423" spans="2:37" ht="18" customHeight="1">
      <c r="B423" s="199"/>
      <c r="D423" s="154"/>
      <c r="F423" s="154"/>
      <c r="G423" s="217"/>
      <c r="I423" s="673"/>
      <c r="J423" s="209"/>
      <c r="K423" s="520"/>
      <c r="L423" s="154"/>
      <c r="M423" s="154"/>
      <c r="N423" s="154"/>
      <c r="O423" s="246"/>
      <c r="P423" s="1597"/>
      <c r="R423" s="1598"/>
      <c r="S423" s="557"/>
      <c r="T423" s="1768"/>
      <c r="V423" s="1769"/>
      <c r="X423" s="1768"/>
      <c r="Z423" s="1769"/>
      <c r="AA423" s="557"/>
      <c r="AK423" s="246"/>
    </row>
    <row r="424" spans="2:37" ht="18" customHeight="1">
      <c r="B424" s="199"/>
      <c r="D424" s="154"/>
      <c r="F424" s="154"/>
      <c r="G424" s="217"/>
      <c r="I424" s="673"/>
      <c r="J424" s="209"/>
      <c r="K424" s="520"/>
      <c r="L424" s="154"/>
      <c r="M424" s="154"/>
      <c r="N424" s="154"/>
      <c r="O424" s="246"/>
      <c r="P424" s="1597"/>
      <c r="R424" s="1598"/>
      <c r="S424" s="557"/>
      <c r="T424" s="1768"/>
      <c r="V424" s="1769"/>
      <c r="X424" s="1768"/>
      <c r="Z424" s="1769"/>
      <c r="AA424" s="557"/>
      <c r="AK424" s="246"/>
    </row>
    <row r="425" spans="2:37" ht="18" customHeight="1">
      <c r="B425" s="199"/>
      <c r="D425" s="154"/>
      <c r="F425" s="154"/>
      <c r="G425" s="217"/>
      <c r="I425" s="673"/>
      <c r="J425" s="209"/>
      <c r="K425" s="520"/>
      <c r="L425" s="154"/>
      <c r="M425" s="154"/>
      <c r="N425" s="154"/>
      <c r="O425" s="246"/>
      <c r="P425" s="1597"/>
      <c r="R425" s="1598"/>
      <c r="S425" s="557"/>
      <c r="T425" s="1768"/>
      <c r="V425" s="1769"/>
      <c r="X425" s="1768"/>
      <c r="Z425" s="1769"/>
      <c r="AA425" s="557"/>
      <c r="AK425" s="246"/>
    </row>
    <row r="426" spans="2:37" ht="18" customHeight="1">
      <c r="B426" s="199"/>
      <c r="D426" s="154"/>
      <c r="F426" s="154"/>
      <c r="G426" s="217"/>
      <c r="I426" s="673"/>
      <c r="J426" s="209"/>
      <c r="K426" s="520"/>
      <c r="L426" s="154"/>
      <c r="M426" s="154"/>
      <c r="N426" s="154"/>
      <c r="O426" s="246"/>
      <c r="P426" s="1597"/>
      <c r="R426" s="1598"/>
      <c r="S426" s="557"/>
      <c r="T426" s="1768"/>
      <c r="V426" s="1769"/>
      <c r="X426" s="1768"/>
      <c r="Z426" s="1769"/>
      <c r="AA426" s="557"/>
      <c r="AK426" s="246"/>
    </row>
    <row r="427" spans="2:37" ht="18" customHeight="1">
      <c r="B427" s="199"/>
      <c r="D427" s="154"/>
      <c r="F427" s="154"/>
      <c r="G427" s="217"/>
      <c r="I427" s="673"/>
      <c r="J427" s="209"/>
      <c r="K427" s="520"/>
      <c r="L427" s="154"/>
      <c r="M427" s="154"/>
      <c r="N427" s="154"/>
      <c r="O427" s="246"/>
      <c r="P427" s="1597"/>
      <c r="R427" s="1598"/>
      <c r="S427" s="557"/>
      <c r="T427" s="1768"/>
      <c r="V427" s="1769"/>
      <c r="X427" s="1768"/>
      <c r="Z427" s="1769"/>
      <c r="AA427" s="557"/>
      <c r="AK427" s="246"/>
    </row>
    <row r="428" spans="2:37" ht="18" customHeight="1">
      <c r="B428" s="199"/>
      <c r="D428" s="154"/>
      <c r="F428" s="154"/>
      <c r="G428" s="217"/>
      <c r="I428" s="673"/>
      <c r="J428" s="209"/>
      <c r="K428" s="520"/>
      <c r="L428" s="154"/>
      <c r="M428" s="154"/>
      <c r="N428" s="154"/>
      <c r="O428" s="246"/>
      <c r="P428" s="1597"/>
      <c r="R428" s="1598"/>
      <c r="S428" s="557"/>
      <c r="T428" s="1768"/>
      <c r="V428" s="1769"/>
      <c r="X428" s="1768"/>
      <c r="Z428" s="1769"/>
      <c r="AA428" s="557"/>
      <c r="AK428" s="246"/>
    </row>
    <row r="429" spans="2:37" ht="18" customHeight="1">
      <c r="B429" s="199"/>
      <c r="D429" s="154"/>
      <c r="F429" s="154"/>
      <c r="G429" s="217"/>
      <c r="I429" s="673"/>
      <c r="J429" s="209"/>
      <c r="K429" s="520"/>
      <c r="L429" s="154"/>
      <c r="M429" s="154"/>
      <c r="N429" s="154"/>
      <c r="O429" s="246"/>
      <c r="P429" s="1597"/>
      <c r="R429" s="1598"/>
      <c r="S429" s="557"/>
      <c r="T429" s="1768"/>
      <c r="V429" s="1769"/>
      <c r="X429" s="1768"/>
      <c r="Z429" s="1769"/>
      <c r="AA429" s="557"/>
      <c r="AK429" s="246"/>
    </row>
    <row r="430" spans="2:37" ht="18" customHeight="1">
      <c r="B430" s="199"/>
      <c r="D430" s="154"/>
      <c r="F430" s="154"/>
      <c r="G430" s="217"/>
      <c r="I430" s="673"/>
      <c r="J430" s="209"/>
      <c r="K430" s="520"/>
      <c r="L430" s="154"/>
      <c r="M430" s="154"/>
      <c r="N430" s="154"/>
      <c r="O430" s="246"/>
      <c r="P430" s="1597"/>
      <c r="R430" s="1598"/>
      <c r="S430" s="557"/>
      <c r="T430" s="1768"/>
      <c r="V430" s="1769"/>
      <c r="X430" s="1768"/>
      <c r="Z430" s="1769"/>
      <c r="AA430" s="557"/>
      <c r="AK430" s="246"/>
    </row>
    <row r="431" spans="2:37" ht="18" customHeight="1">
      <c r="B431" s="199"/>
      <c r="D431" s="154"/>
      <c r="F431" s="154"/>
      <c r="G431" s="217"/>
      <c r="I431" s="673"/>
      <c r="J431" s="209"/>
      <c r="K431" s="520"/>
      <c r="L431" s="154"/>
      <c r="M431" s="154"/>
      <c r="N431" s="154"/>
      <c r="O431" s="246"/>
      <c r="P431" s="1597"/>
      <c r="R431" s="1598"/>
      <c r="S431" s="557"/>
      <c r="T431" s="1768"/>
      <c r="V431" s="1769"/>
      <c r="X431" s="1768"/>
      <c r="Z431" s="1769"/>
      <c r="AA431" s="557"/>
      <c r="AK431" s="246"/>
    </row>
    <row r="432" spans="2:37" ht="18" customHeight="1">
      <c r="B432" s="199"/>
      <c r="D432" s="154"/>
      <c r="F432" s="154"/>
      <c r="G432" s="217"/>
      <c r="I432" s="673"/>
      <c r="J432" s="209"/>
      <c r="K432" s="520"/>
      <c r="L432" s="154"/>
      <c r="M432" s="154"/>
      <c r="N432" s="154"/>
      <c r="O432" s="246"/>
      <c r="P432" s="1597"/>
      <c r="R432" s="1598"/>
      <c r="S432" s="557"/>
      <c r="T432" s="1768"/>
      <c r="V432" s="1769"/>
      <c r="X432" s="1768"/>
      <c r="Z432" s="1769"/>
      <c r="AA432" s="557"/>
      <c r="AK432" s="246"/>
    </row>
    <row r="433" spans="2:37" ht="18" customHeight="1">
      <c r="B433" s="199"/>
      <c r="D433" s="154"/>
      <c r="F433" s="154"/>
      <c r="G433" s="217"/>
      <c r="I433" s="673"/>
      <c r="J433" s="209"/>
      <c r="K433" s="520"/>
      <c r="L433" s="154"/>
      <c r="M433" s="154"/>
      <c r="N433" s="154"/>
      <c r="O433" s="246"/>
      <c r="P433" s="1597"/>
      <c r="R433" s="1598"/>
      <c r="S433" s="557"/>
      <c r="T433" s="1768"/>
      <c r="V433" s="1769"/>
      <c r="X433" s="1768"/>
      <c r="Z433" s="1769"/>
      <c r="AA433" s="557"/>
      <c r="AK433" s="246"/>
    </row>
    <row r="434" spans="2:37" ht="18" customHeight="1">
      <c r="B434" s="199"/>
      <c r="D434" s="154"/>
      <c r="F434" s="154"/>
      <c r="G434" s="217"/>
      <c r="I434" s="673"/>
      <c r="J434" s="209"/>
      <c r="K434" s="520"/>
      <c r="L434" s="154"/>
      <c r="M434" s="154"/>
      <c r="N434" s="154"/>
      <c r="O434" s="246"/>
      <c r="P434" s="1597"/>
      <c r="R434" s="1598"/>
      <c r="S434" s="557"/>
      <c r="T434" s="1768"/>
      <c r="V434" s="1769"/>
      <c r="X434" s="1768"/>
      <c r="Z434" s="1769"/>
      <c r="AA434" s="557"/>
      <c r="AK434" s="246"/>
    </row>
    <row r="435" spans="2:37" ht="18" customHeight="1">
      <c r="B435" s="199"/>
      <c r="D435" s="154"/>
      <c r="F435" s="154"/>
      <c r="G435" s="217"/>
      <c r="I435" s="673"/>
      <c r="J435" s="209"/>
      <c r="K435" s="520"/>
      <c r="L435" s="154"/>
      <c r="M435" s="154"/>
      <c r="N435" s="154"/>
      <c r="O435" s="246"/>
      <c r="P435" s="1597"/>
      <c r="R435" s="1598"/>
      <c r="S435" s="557"/>
      <c r="T435" s="1768"/>
      <c r="V435" s="1769"/>
      <c r="X435" s="1768"/>
      <c r="Z435" s="1769"/>
      <c r="AA435" s="557"/>
      <c r="AK435" s="246"/>
    </row>
    <row r="436" spans="2:37" ht="18" customHeight="1">
      <c r="B436" s="199"/>
      <c r="D436" s="154"/>
      <c r="F436" s="154"/>
      <c r="G436" s="217"/>
      <c r="I436" s="673"/>
      <c r="J436" s="209"/>
      <c r="K436" s="520"/>
      <c r="L436" s="154"/>
      <c r="M436" s="154"/>
      <c r="N436" s="154"/>
      <c r="O436" s="246"/>
      <c r="P436" s="1597"/>
      <c r="R436" s="1598"/>
      <c r="S436" s="557"/>
      <c r="T436" s="1768"/>
      <c r="V436" s="1769"/>
      <c r="X436" s="1768"/>
      <c r="Z436" s="1769"/>
      <c r="AA436" s="557"/>
      <c r="AK436" s="246"/>
    </row>
    <row r="437" spans="2:37" ht="18" customHeight="1">
      <c r="B437" s="199"/>
      <c r="D437" s="154"/>
      <c r="F437" s="154"/>
      <c r="G437" s="217"/>
      <c r="I437" s="673"/>
      <c r="J437" s="209"/>
      <c r="K437" s="520"/>
      <c r="L437" s="154"/>
      <c r="M437" s="154"/>
      <c r="N437" s="154"/>
      <c r="O437" s="246"/>
      <c r="P437" s="1597"/>
      <c r="R437" s="1598"/>
      <c r="S437" s="557"/>
      <c r="T437" s="1768"/>
      <c r="V437" s="1769"/>
      <c r="X437" s="1768"/>
      <c r="Z437" s="1769"/>
      <c r="AA437" s="557"/>
      <c r="AK437" s="246"/>
    </row>
    <row r="438" spans="2:37" ht="18" customHeight="1">
      <c r="B438" s="199"/>
      <c r="D438" s="154"/>
      <c r="F438" s="154"/>
      <c r="G438" s="217"/>
      <c r="I438" s="673"/>
      <c r="J438" s="209"/>
      <c r="K438" s="520"/>
      <c r="L438" s="154"/>
      <c r="M438" s="154"/>
      <c r="N438" s="154"/>
      <c r="O438" s="246"/>
      <c r="P438" s="1597"/>
      <c r="R438" s="1598"/>
      <c r="S438" s="557"/>
      <c r="T438" s="1768"/>
      <c r="V438" s="1769"/>
      <c r="X438" s="1768"/>
      <c r="Z438" s="1769"/>
      <c r="AA438" s="557"/>
      <c r="AK438" s="246"/>
    </row>
    <row r="439" spans="2:37" ht="18" customHeight="1">
      <c r="B439" s="199"/>
      <c r="D439" s="154"/>
      <c r="F439" s="154"/>
      <c r="G439" s="217"/>
      <c r="I439" s="673"/>
      <c r="J439" s="209"/>
      <c r="K439" s="520"/>
      <c r="L439" s="154"/>
      <c r="M439" s="154"/>
      <c r="N439" s="154"/>
      <c r="O439" s="246"/>
      <c r="P439" s="1597"/>
      <c r="R439" s="1598"/>
      <c r="S439" s="557"/>
      <c r="T439" s="1768"/>
      <c r="V439" s="1769"/>
      <c r="X439" s="1768"/>
      <c r="Z439" s="1769"/>
      <c r="AA439" s="557"/>
      <c r="AK439" s="246"/>
    </row>
    <row r="440" spans="2:37" ht="18" customHeight="1">
      <c r="B440" s="199"/>
      <c r="D440" s="154"/>
      <c r="F440" s="154"/>
      <c r="G440" s="217"/>
      <c r="I440" s="673"/>
      <c r="J440" s="209"/>
      <c r="K440" s="520"/>
      <c r="L440" s="154"/>
      <c r="M440" s="154"/>
      <c r="N440" s="154"/>
      <c r="O440" s="246"/>
      <c r="P440" s="1597"/>
      <c r="R440" s="1598"/>
      <c r="S440" s="557"/>
      <c r="T440" s="1768"/>
      <c r="V440" s="1769"/>
      <c r="X440" s="1768"/>
      <c r="Z440" s="1769"/>
      <c r="AA440" s="557"/>
      <c r="AK440" s="246"/>
    </row>
    <row r="441" spans="2:37" ht="18" customHeight="1">
      <c r="B441" s="199"/>
      <c r="D441" s="154"/>
      <c r="F441" s="154"/>
      <c r="G441" s="217"/>
      <c r="I441" s="673"/>
      <c r="J441" s="209"/>
      <c r="K441" s="520"/>
      <c r="L441" s="154"/>
      <c r="M441" s="154"/>
      <c r="N441" s="154"/>
      <c r="O441" s="246"/>
      <c r="P441" s="1597"/>
      <c r="R441" s="1598"/>
      <c r="S441" s="557"/>
      <c r="T441" s="1768"/>
      <c r="V441" s="1769"/>
      <c r="X441" s="1768"/>
      <c r="Z441" s="1769"/>
      <c r="AA441" s="557"/>
      <c r="AK441" s="246"/>
    </row>
    <row r="442" spans="2:37" ht="18" customHeight="1">
      <c r="B442" s="199"/>
      <c r="D442" s="154"/>
      <c r="F442" s="154"/>
      <c r="G442" s="217"/>
      <c r="I442" s="673"/>
      <c r="J442" s="209"/>
      <c r="K442" s="520"/>
      <c r="L442" s="154"/>
      <c r="M442" s="154"/>
      <c r="N442" s="154"/>
      <c r="O442" s="246"/>
      <c r="P442" s="1597"/>
      <c r="R442" s="1598"/>
      <c r="S442" s="557"/>
      <c r="T442" s="1768"/>
      <c r="V442" s="1769"/>
      <c r="X442" s="1768"/>
      <c r="Z442" s="1769"/>
      <c r="AA442" s="557"/>
      <c r="AK442" s="246"/>
    </row>
    <row r="443" spans="2:37" ht="18" customHeight="1">
      <c r="B443" s="199"/>
      <c r="D443" s="154"/>
      <c r="F443" s="154"/>
      <c r="G443" s="217"/>
      <c r="I443" s="673"/>
      <c r="J443" s="209"/>
      <c r="K443" s="520"/>
      <c r="L443" s="154"/>
      <c r="M443" s="154"/>
      <c r="N443" s="154"/>
      <c r="O443" s="246"/>
      <c r="P443" s="1597"/>
      <c r="R443" s="1598"/>
      <c r="S443" s="557"/>
      <c r="T443" s="1768"/>
      <c r="V443" s="1769"/>
      <c r="X443" s="1768"/>
      <c r="Z443" s="1769"/>
      <c r="AA443" s="557"/>
      <c r="AK443" s="246"/>
    </row>
    <row r="444" spans="2:37" ht="18" customHeight="1">
      <c r="B444" s="199"/>
      <c r="D444" s="154"/>
      <c r="F444" s="154"/>
      <c r="G444" s="217"/>
      <c r="I444" s="673"/>
      <c r="J444" s="209"/>
      <c r="K444" s="520"/>
      <c r="L444" s="154"/>
      <c r="M444" s="154"/>
      <c r="N444" s="154"/>
      <c r="O444" s="246"/>
      <c r="P444" s="1597"/>
      <c r="R444" s="1598"/>
      <c r="S444" s="557"/>
      <c r="T444" s="1768"/>
      <c r="V444" s="1769"/>
      <c r="X444" s="1768"/>
      <c r="Z444" s="1769"/>
      <c r="AA444" s="557"/>
      <c r="AK444" s="246"/>
    </row>
    <row r="445" spans="2:37" ht="18" customHeight="1">
      <c r="B445" s="199"/>
      <c r="D445" s="154"/>
      <c r="F445" s="154"/>
      <c r="G445" s="217"/>
      <c r="I445" s="673"/>
      <c r="J445" s="209"/>
      <c r="K445" s="520"/>
      <c r="L445" s="154"/>
      <c r="M445" s="154"/>
      <c r="N445" s="154"/>
      <c r="O445" s="246"/>
      <c r="P445" s="1597"/>
      <c r="R445" s="1598"/>
      <c r="S445" s="557"/>
      <c r="T445" s="1768"/>
      <c r="V445" s="1769"/>
      <c r="X445" s="1768"/>
      <c r="Z445" s="1769"/>
      <c r="AA445" s="557"/>
      <c r="AK445" s="246"/>
    </row>
    <row r="446" spans="2:37" ht="18" customHeight="1">
      <c r="B446" s="199"/>
      <c r="D446" s="154"/>
      <c r="F446" s="154"/>
      <c r="G446" s="217"/>
      <c r="I446" s="673"/>
      <c r="J446" s="209"/>
      <c r="K446" s="520"/>
      <c r="L446" s="154"/>
      <c r="M446" s="154"/>
      <c r="N446" s="154"/>
      <c r="O446" s="246"/>
      <c r="P446" s="1597"/>
      <c r="R446" s="1598"/>
      <c r="S446" s="557"/>
      <c r="T446" s="1768"/>
      <c r="V446" s="1769"/>
      <c r="X446" s="1768"/>
      <c r="Z446" s="1769"/>
      <c r="AA446" s="557"/>
      <c r="AK446" s="246"/>
    </row>
    <row r="447" spans="2:37" ht="18" customHeight="1">
      <c r="B447" s="199"/>
      <c r="D447" s="154"/>
      <c r="F447" s="154"/>
      <c r="G447" s="217"/>
      <c r="I447" s="673"/>
      <c r="J447" s="209"/>
      <c r="K447" s="520"/>
      <c r="L447" s="154"/>
      <c r="M447" s="154"/>
      <c r="N447" s="154"/>
      <c r="O447" s="246"/>
      <c r="P447" s="1597"/>
      <c r="R447" s="1598"/>
      <c r="S447" s="557"/>
      <c r="T447" s="1768"/>
      <c r="V447" s="1769"/>
      <c r="X447" s="1768"/>
      <c r="Z447" s="1769"/>
      <c r="AA447" s="557"/>
      <c r="AK447" s="246"/>
    </row>
    <row r="448" spans="2:37" ht="18" customHeight="1">
      <c r="B448" s="199"/>
      <c r="D448" s="154"/>
      <c r="F448" s="154"/>
      <c r="G448" s="217"/>
      <c r="I448" s="673"/>
      <c r="J448" s="209"/>
      <c r="K448" s="520"/>
      <c r="L448" s="154"/>
      <c r="M448" s="154"/>
      <c r="N448" s="154"/>
      <c r="O448" s="246"/>
      <c r="P448" s="1597"/>
      <c r="R448" s="1598"/>
      <c r="S448" s="557"/>
      <c r="T448" s="1768"/>
      <c r="V448" s="1769"/>
      <c r="X448" s="1768"/>
      <c r="Z448" s="1769"/>
      <c r="AA448" s="557"/>
      <c r="AK448" s="246"/>
    </row>
    <row r="449" spans="2:37" ht="18" customHeight="1">
      <c r="B449" s="199"/>
      <c r="D449" s="154"/>
      <c r="F449" s="154"/>
      <c r="G449" s="217"/>
      <c r="I449" s="673"/>
      <c r="J449" s="209"/>
      <c r="K449" s="520"/>
      <c r="L449" s="154"/>
      <c r="M449" s="154"/>
      <c r="N449" s="154"/>
      <c r="O449" s="246"/>
      <c r="P449" s="1597"/>
      <c r="R449" s="1598"/>
      <c r="S449" s="557"/>
      <c r="T449" s="1768"/>
      <c r="V449" s="1769"/>
      <c r="X449" s="1768"/>
      <c r="Z449" s="1769"/>
      <c r="AA449" s="557"/>
      <c r="AK449" s="246"/>
    </row>
    <row r="450" spans="2:37" ht="18" customHeight="1">
      <c r="B450" s="199"/>
      <c r="D450" s="154"/>
      <c r="F450" s="154"/>
      <c r="G450" s="217"/>
      <c r="I450" s="673"/>
      <c r="J450" s="209"/>
      <c r="K450" s="520"/>
      <c r="L450" s="154"/>
      <c r="M450" s="154"/>
      <c r="N450" s="154"/>
      <c r="O450" s="246"/>
      <c r="P450" s="1597"/>
      <c r="R450" s="1598"/>
      <c r="S450" s="557"/>
      <c r="T450" s="1768"/>
      <c r="V450" s="1769"/>
      <c r="X450" s="1768"/>
      <c r="Z450" s="1769"/>
      <c r="AA450" s="557"/>
      <c r="AK450" s="246"/>
    </row>
    <row r="451" spans="2:37" ht="18" customHeight="1">
      <c r="B451" s="199"/>
      <c r="D451" s="154"/>
      <c r="F451" s="154"/>
      <c r="G451" s="217"/>
      <c r="I451" s="673"/>
      <c r="J451" s="209"/>
      <c r="K451" s="520"/>
      <c r="L451" s="154"/>
      <c r="M451" s="154"/>
      <c r="N451" s="154"/>
      <c r="O451" s="246"/>
      <c r="P451" s="1597"/>
      <c r="R451" s="1598"/>
      <c r="S451" s="557"/>
      <c r="T451" s="1768"/>
      <c r="V451" s="1769"/>
      <c r="X451" s="1768"/>
      <c r="Z451" s="1769"/>
      <c r="AA451" s="557"/>
      <c r="AK451" s="246"/>
    </row>
    <row r="452" spans="2:37" ht="18" customHeight="1">
      <c r="B452" s="199"/>
      <c r="D452" s="154"/>
      <c r="F452" s="154"/>
      <c r="G452" s="217"/>
      <c r="I452" s="673"/>
      <c r="J452" s="209"/>
      <c r="K452" s="520"/>
      <c r="L452" s="154"/>
      <c r="M452" s="154"/>
      <c r="N452" s="154"/>
      <c r="O452" s="246"/>
      <c r="P452" s="1597"/>
      <c r="R452" s="1598"/>
      <c r="S452" s="557"/>
      <c r="T452" s="1768"/>
      <c r="V452" s="1769"/>
      <c r="X452" s="1768"/>
      <c r="Z452" s="1769"/>
      <c r="AA452" s="557"/>
      <c r="AK452" s="246"/>
    </row>
    <row r="453" spans="2:37" ht="18" customHeight="1">
      <c r="B453" s="199"/>
      <c r="D453" s="154"/>
      <c r="F453" s="154"/>
      <c r="G453" s="217"/>
      <c r="I453" s="673"/>
      <c r="J453" s="209"/>
      <c r="K453" s="520"/>
      <c r="L453" s="154"/>
      <c r="M453" s="154"/>
      <c r="N453" s="154"/>
      <c r="O453" s="246"/>
      <c r="P453" s="1597"/>
      <c r="R453" s="1598"/>
      <c r="S453" s="557"/>
      <c r="T453" s="1768"/>
      <c r="V453" s="1769"/>
      <c r="X453" s="1768"/>
      <c r="Z453" s="1769"/>
      <c r="AA453" s="557"/>
      <c r="AK453" s="246"/>
    </row>
    <row r="454" spans="2:37" ht="18" customHeight="1">
      <c r="B454" s="199"/>
      <c r="D454" s="154"/>
      <c r="F454" s="154"/>
      <c r="G454" s="217"/>
      <c r="I454" s="673"/>
      <c r="J454" s="209"/>
      <c r="K454" s="520"/>
      <c r="L454" s="154"/>
      <c r="M454" s="154"/>
      <c r="N454" s="154"/>
      <c r="O454" s="246"/>
      <c r="P454" s="1597"/>
      <c r="R454" s="1598"/>
      <c r="S454" s="557"/>
      <c r="T454" s="1768"/>
      <c r="V454" s="1769"/>
      <c r="X454" s="1768"/>
      <c r="Z454" s="1769"/>
      <c r="AA454" s="557"/>
      <c r="AK454" s="246"/>
    </row>
    <row r="455" spans="2:37" ht="18" customHeight="1">
      <c r="B455" s="199"/>
      <c r="D455" s="154"/>
      <c r="F455" s="154"/>
      <c r="G455" s="217"/>
      <c r="I455" s="673"/>
      <c r="J455" s="209"/>
      <c r="K455" s="520"/>
      <c r="L455" s="154"/>
      <c r="M455" s="154"/>
      <c r="N455" s="154"/>
      <c r="O455" s="246"/>
      <c r="P455" s="1597"/>
      <c r="R455" s="1598"/>
      <c r="S455" s="557"/>
      <c r="T455" s="1768"/>
      <c r="V455" s="1769"/>
      <c r="X455" s="1768"/>
      <c r="Z455" s="1769"/>
      <c r="AA455" s="557"/>
      <c r="AK455" s="246"/>
    </row>
    <row r="456" spans="2:37" ht="18" customHeight="1">
      <c r="B456" s="199"/>
      <c r="D456" s="154"/>
      <c r="F456" s="154"/>
      <c r="G456" s="217"/>
      <c r="I456" s="673"/>
      <c r="J456" s="209"/>
      <c r="K456" s="520"/>
      <c r="L456" s="154"/>
      <c r="M456" s="154"/>
      <c r="N456" s="154"/>
      <c r="O456" s="246"/>
      <c r="P456" s="1597"/>
      <c r="R456" s="1598"/>
      <c r="S456" s="557"/>
      <c r="T456" s="1768"/>
      <c r="V456" s="1769"/>
      <c r="X456" s="1768"/>
      <c r="Z456" s="1769"/>
      <c r="AA456" s="557"/>
      <c r="AK456" s="246"/>
    </row>
    <row r="457" spans="2:37" ht="18" customHeight="1">
      <c r="B457" s="199"/>
      <c r="D457" s="154"/>
      <c r="F457" s="154"/>
      <c r="G457" s="217"/>
      <c r="I457" s="673"/>
      <c r="J457" s="209"/>
      <c r="K457" s="520"/>
      <c r="L457" s="154"/>
      <c r="M457" s="154"/>
      <c r="N457" s="154"/>
      <c r="O457" s="246"/>
      <c r="P457" s="1597"/>
      <c r="R457" s="1598"/>
      <c r="S457" s="557"/>
      <c r="T457" s="1768"/>
      <c r="V457" s="1769"/>
      <c r="X457" s="1768"/>
      <c r="Z457" s="1769"/>
      <c r="AA457" s="557"/>
      <c r="AK457" s="246"/>
    </row>
    <row r="458" spans="2:37" ht="18" customHeight="1">
      <c r="B458" s="199"/>
      <c r="D458" s="154"/>
      <c r="F458" s="154"/>
      <c r="G458" s="217"/>
      <c r="I458" s="673"/>
      <c r="J458" s="209"/>
      <c r="K458" s="520"/>
      <c r="L458" s="154"/>
      <c r="M458" s="154"/>
      <c r="N458" s="154"/>
      <c r="O458" s="246"/>
      <c r="P458" s="1597"/>
      <c r="R458" s="1598"/>
      <c r="S458" s="557"/>
      <c r="T458" s="1768"/>
      <c r="V458" s="1769"/>
      <c r="X458" s="1768"/>
      <c r="Z458" s="1769"/>
      <c r="AA458" s="557"/>
      <c r="AK458" s="246"/>
    </row>
    <row r="459" spans="2:37" ht="18" customHeight="1">
      <c r="B459" s="199"/>
      <c r="D459" s="154"/>
      <c r="F459" s="154"/>
      <c r="G459" s="217"/>
      <c r="I459" s="673"/>
      <c r="J459" s="209"/>
      <c r="K459" s="520"/>
      <c r="L459" s="154"/>
      <c r="M459" s="154"/>
      <c r="N459" s="154"/>
      <c r="O459" s="246"/>
      <c r="P459" s="1597"/>
      <c r="R459" s="1598"/>
      <c r="S459" s="557"/>
      <c r="T459" s="1768"/>
      <c r="V459" s="1769"/>
      <c r="X459" s="1768"/>
      <c r="Z459" s="1769"/>
      <c r="AA459" s="557"/>
      <c r="AK459" s="246"/>
    </row>
    <row r="460" spans="2:37" ht="18" customHeight="1">
      <c r="B460" s="199"/>
      <c r="D460" s="154"/>
      <c r="F460" s="154"/>
      <c r="G460" s="217"/>
      <c r="I460" s="673"/>
      <c r="J460" s="209"/>
      <c r="K460" s="520"/>
      <c r="L460" s="154"/>
      <c r="M460" s="154"/>
      <c r="N460" s="154"/>
      <c r="O460" s="246"/>
      <c r="P460" s="1597"/>
      <c r="R460" s="1598"/>
      <c r="S460" s="557"/>
      <c r="T460" s="1768"/>
      <c r="V460" s="1769"/>
      <c r="X460" s="1768"/>
      <c r="Z460" s="1769"/>
      <c r="AA460" s="557"/>
      <c r="AK460" s="246"/>
    </row>
    <row r="461" spans="2:37" ht="18" customHeight="1">
      <c r="B461" s="199"/>
      <c r="D461" s="154"/>
      <c r="F461" s="154"/>
      <c r="G461" s="217"/>
      <c r="I461" s="673"/>
      <c r="J461" s="209"/>
      <c r="K461" s="520"/>
      <c r="L461" s="154"/>
      <c r="M461" s="154"/>
      <c r="N461" s="154"/>
      <c r="O461" s="246"/>
      <c r="P461" s="1597"/>
      <c r="R461" s="1598"/>
      <c r="S461" s="557"/>
      <c r="T461" s="1768"/>
      <c r="V461" s="1769"/>
      <c r="X461" s="1768"/>
      <c r="Z461" s="1769"/>
      <c r="AA461" s="557"/>
      <c r="AK461" s="246"/>
    </row>
    <row r="462" spans="2:37" ht="18" customHeight="1">
      <c r="B462" s="199"/>
      <c r="D462" s="154"/>
      <c r="F462" s="154"/>
      <c r="G462" s="217"/>
      <c r="I462" s="673"/>
      <c r="J462" s="209"/>
      <c r="K462" s="520"/>
      <c r="L462" s="154"/>
      <c r="M462" s="154"/>
      <c r="N462" s="154"/>
      <c r="O462" s="246"/>
      <c r="P462" s="1597"/>
      <c r="R462" s="1598"/>
      <c r="S462" s="557"/>
      <c r="T462" s="1768"/>
      <c r="V462" s="1769"/>
      <c r="X462" s="1768"/>
      <c r="Z462" s="1769"/>
      <c r="AA462" s="557"/>
      <c r="AK462" s="246"/>
    </row>
    <row r="463" spans="2:37" ht="18" customHeight="1">
      <c r="B463" s="199"/>
      <c r="D463" s="154"/>
      <c r="F463" s="154"/>
      <c r="G463" s="217"/>
      <c r="I463" s="673"/>
      <c r="J463" s="209"/>
      <c r="K463" s="520"/>
      <c r="L463" s="154"/>
      <c r="M463" s="154"/>
      <c r="N463" s="154"/>
      <c r="O463" s="246"/>
      <c r="P463" s="1597"/>
      <c r="R463" s="1598"/>
      <c r="S463" s="557"/>
      <c r="T463" s="1768"/>
      <c r="V463" s="1769"/>
      <c r="X463" s="1768"/>
      <c r="Z463" s="1769"/>
      <c r="AA463" s="557"/>
      <c r="AK463" s="246"/>
    </row>
    <row r="464" spans="2:37" ht="18" customHeight="1">
      <c r="B464" s="199"/>
      <c r="D464" s="154"/>
      <c r="F464" s="154"/>
      <c r="G464" s="217"/>
      <c r="I464" s="673"/>
      <c r="J464" s="209"/>
      <c r="K464" s="520"/>
      <c r="L464" s="154"/>
      <c r="M464" s="154"/>
      <c r="N464" s="154"/>
      <c r="O464" s="246"/>
      <c r="P464" s="1597"/>
      <c r="R464" s="1598"/>
      <c r="S464" s="557"/>
      <c r="T464" s="1768"/>
      <c r="V464" s="1769"/>
      <c r="X464" s="1768"/>
      <c r="Z464" s="1769"/>
      <c r="AA464" s="557"/>
      <c r="AK464" s="246"/>
    </row>
    <row r="465" spans="2:37" ht="18" customHeight="1">
      <c r="B465" s="199"/>
      <c r="D465" s="154"/>
      <c r="F465" s="154"/>
      <c r="G465" s="217"/>
      <c r="I465" s="673"/>
      <c r="J465" s="209"/>
      <c r="K465" s="520"/>
      <c r="L465" s="154"/>
      <c r="M465" s="154"/>
      <c r="N465" s="154"/>
      <c r="O465" s="246"/>
      <c r="P465" s="1597"/>
      <c r="R465" s="1598"/>
      <c r="S465" s="557"/>
      <c r="T465" s="1768"/>
      <c r="V465" s="1769"/>
      <c r="X465" s="1768"/>
      <c r="Z465" s="1769"/>
      <c r="AA465" s="557"/>
      <c r="AK465" s="246"/>
    </row>
    <row r="466" spans="2:37" ht="18" customHeight="1">
      <c r="B466" s="199"/>
      <c r="D466" s="154"/>
      <c r="F466" s="154"/>
      <c r="G466" s="217"/>
      <c r="I466" s="673"/>
      <c r="J466" s="209"/>
      <c r="K466" s="520"/>
      <c r="L466" s="154"/>
      <c r="M466" s="154"/>
      <c r="N466" s="154"/>
      <c r="O466" s="246"/>
      <c r="P466" s="1597"/>
      <c r="R466" s="1598"/>
      <c r="S466" s="557"/>
      <c r="T466" s="1768"/>
      <c r="V466" s="1769"/>
      <c r="X466" s="1768"/>
      <c r="Z466" s="1769"/>
      <c r="AA466" s="557"/>
      <c r="AK466" s="246"/>
    </row>
    <row r="467" spans="2:37" ht="18" customHeight="1">
      <c r="B467" s="199"/>
      <c r="D467" s="154"/>
      <c r="F467" s="154"/>
      <c r="G467" s="217"/>
      <c r="I467" s="673"/>
      <c r="J467" s="209"/>
      <c r="K467" s="520"/>
      <c r="L467" s="154"/>
      <c r="M467" s="154"/>
      <c r="N467" s="154"/>
      <c r="O467" s="246"/>
      <c r="P467" s="1597"/>
      <c r="R467" s="1598"/>
      <c r="S467" s="557"/>
      <c r="T467" s="1768"/>
      <c r="V467" s="1769"/>
      <c r="X467" s="1768"/>
      <c r="Z467" s="1769"/>
      <c r="AA467" s="557"/>
      <c r="AK467" s="246"/>
    </row>
    <row r="468" spans="2:37" ht="18" customHeight="1">
      <c r="B468" s="199"/>
      <c r="D468" s="154"/>
      <c r="F468" s="154"/>
      <c r="G468" s="217"/>
      <c r="I468" s="673"/>
      <c r="J468" s="209"/>
      <c r="K468" s="520"/>
      <c r="L468" s="154"/>
      <c r="M468" s="154"/>
      <c r="N468" s="154"/>
      <c r="O468" s="246"/>
      <c r="P468" s="1597"/>
      <c r="R468" s="1598"/>
      <c r="S468" s="557"/>
      <c r="T468" s="1768"/>
      <c r="V468" s="1769"/>
      <c r="X468" s="1768"/>
      <c r="Z468" s="1769"/>
      <c r="AA468" s="557"/>
      <c r="AK468" s="246"/>
    </row>
    <row r="469" spans="2:37" ht="18" customHeight="1">
      <c r="B469" s="199"/>
      <c r="D469" s="154"/>
      <c r="F469" s="154"/>
      <c r="G469" s="217"/>
      <c r="I469" s="673"/>
      <c r="J469" s="209"/>
      <c r="K469" s="520"/>
      <c r="L469" s="154"/>
      <c r="M469" s="154"/>
      <c r="N469" s="154"/>
      <c r="O469" s="246"/>
      <c r="P469" s="1597"/>
      <c r="R469" s="1598"/>
      <c r="S469" s="557"/>
      <c r="T469" s="1768"/>
      <c r="V469" s="1769"/>
      <c r="X469" s="1768"/>
      <c r="Z469" s="1769"/>
      <c r="AA469" s="557"/>
      <c r="AK469" s="246"/>
    </row>
    <row r="470" spans="2:37" ht="18" customHeight="1">
      <c r="B470" s="199"/>
      <c r="D470" s="154"/>
      <c r="F470" s="154"/>
      <c r="G470" s="217"/>
      <c r="I470" s="673"/>
      <c r="J470" s="209"/>
      <c r="K470" s="520"/>
      <c r="L470" s="154"/>
      <c r="M470" s="154"/>
      <c r="N470" s="154"/>
      <c r="O470" s="246"/>
      <c r="P470" s="1597"/>
      <c r="R470" s="1598"/>
      <c r="S470" s="557"/>
      <c r="T470" s="1768"/>
      <c r="V470" s="1769"/>
      <c r="X470" s="1768"/>
      <c r="Z470" s="1769"/>
      <c r="AA470" s="557"/>
      <c r="AK470" s="246"/>
    </row>
    <row r="471" spans="2:37" ht="18" customHeight="1">
      <c r="B471" s="199"/>
      <c r="D471" s="154"/>
      <c r="F471" s="154"/>
      <c r="G471" s="217"/>
      <c r="I471" s="673"/>
      <c r="J471" s="209"/>
      <c r="K471" s="520"/>
      <c r="L471" s="154"/>
      <c r="M471" s="154"/>
      <c r="N471" s="154"/>
      <c r="O471" s="246"/>
      <c r="P471" s="1597"/>
      <c r="R471" s="1598"/>
      <c r="S471" s="557"/>
      <c r="T471" s="1768"/>
      <c r="V471" s="1769"/>
      <c r="X471" s="1768"/>
      <c r="Z471" s="1769"/>
      <c r="AA471" s="557"/>
      <c r="AK471" s="246"/>
    </row>
    <row r="472" spans="2:37" ht="18" customHeight="1">
      <c r="B472" s="199"/>
      <c r="D472" s="154"/>
      <c r="F472" s="154"/>
      <c r="G472" s="217"/>
      <c r="I472" s="673"/>
      <c r="J472" s="209"/>
      <c r="K472" s="520"/>
      <c r="L472" s="154"/>
      <c r="M472" s="154"/>
      <c r="N472" s="154"/>
      <c r="O472" s="246"/>
      <c r="P472" s="1597"/>
      <c r="R472" s="1598"/>
      <c r="S472" s="557"/>
      <c r="T472" s="1768"/>
      <c r="V472" s="1769"/>
      <c r="X472" s="1768"/>
      <c r="Z472" s="1769"/>
      <c r="AA472" s="557"/>
      <c r="AK472" s="246"/>
    </row>
    <row r="473" spans="2:37" ht="18" customHeight="1">
      <c r="B473" s="199"/>
      <c r="D473" s="154"/>
      <c r="F473" s="154"/>
      <c r="G473" s="217"/>
      <c r="I473" s="673"/>
      <c r="J473" s="209"/>
      <c r="K473" s="520"/>
      <c r="L473" s="154"/>
      <c r="M473" s="154"/>
      <c r="N473" s="154"/>
      <c r="O473" s="246"/>
      <c r="P473" s="1597"/>
      <c r="R473" s="1598"/>
      <c r="S473" s="557"/>
      <c r="T473" s="1768"/>
      <c r="V473" s="1769"/>
      <c r="X473" s="1768"/>
      <c r="Z473" s="1769"/>
      <c r="AA473" s="557"/>
      <c r="AK473" s="246"/>
    </row>
    <row r="474" spans="2:37" ht="18" customHeight="1">
      <c r="B474" s="199"/>
      <c r="D474" s="154"/>
      <c r="F474" s="154"/>
      <c r="G474" s="217"/>
      <c r="I474" s="673"/>
      <c r="J474" s="209"/>
      <c r="K474" s="520"/>
      <c r="L474" s="154"/>
      <c r="M474" s="154"/>
      <c r="N474" s="154"/>
      <c r="O474" s="246"/>
      <c r="P474" s="1597"/>
      <c r="R474" s="1598"/>
      <c r="S474" s="557"/>
      <c r="T474" s="1768"/>
      <c r="V474" s="1769"/>
      <c r="X474" s="1768"/>
      <c r="Z474" s="1769"/>
      <c r="AA474" s="557"/>
      <c r="AK474" s="246"/>
    </row>
    <row r="475" spans="2:37" ht="18" customHeight="1">
      <c r="B475" s="199"/>
      <c r="D475" s="154"/>
      <c r="F475" s="154"/>
      <c r="G475" s="217"/>
      <c r="I475" s="673"/>
      <c r="J475" s="209"/>
      <c r="K475" s="520"/>
      <c r="L475" s="154"/>
      <c r="M475" s="154"/>
      <c r="N475" s="154"/>
      <c r="O475" s="246"/>
      <c r="P475" s="1597"/>
      <c r="R475" s="1598"/>
      <c r="S475" s="557"/>
      <c r="T475" s="1768"/>
      <c r="V475" s="1769"/>
      <c r="X475" s="1768"/>
      <c r="Z475" s="1769"/>
      <c r="AA475" s="557"/>
      <c r="AK475" s="246"/>
    </row>
    <row r="476" spans="2:37" ht="18" customHeight="1">
      <c r="B476" s="199"/>
      <c r="D476" s="154"/>
      <c r="F476" s="154"/>
      <c r="G476" s="217"/>
      <c r="I476" s="673"/>
      <c r="J476" s="209"/>
      <c r="K476" s="520"/>
      <c r="L476" s="154"/>
      <c r="M476" s="154"/>
      <c r="N476" s="154"/>
      <c r="O476" s="246"/>
      <c r="P476" s="1597"/>
      <c r="R476" s="1598"/>
      <c r="S476" s="557"/>
      <c r="T476" s="1768"/>
      <c r="V476" s="1769"/>
      <c r="X476" s="1768"/>
      <c r="Z476" s="1769"/>
      <c r="AA476" s="557"/>
      <c r="AK476" s="246"/>
    </row>
    <row r="477" spans="2:37" ht="18" customHeight="1">
      <c r="B477" s="199"/>
      <c r="D477" s="154"/>
      <c r="F477" s="154"/>
      <c r="G477" s="217"/>
      <c r="I477" s="673"/>
      <c r="J477" s="209"/>
      <c r="K477" s="520"/>
      <c r="L477" s="154"/>
      <c r="M477" s="154"/>
      <c r="N477" s="154"/>
      <c r="O477" s="246"/>
      <c r="P477" s="1597"/>
      <c r="R477" s="1598"/>
      <c r="S477" s="557"/>
      <c r="T477" s="1768"/>
      <c r="V477" s="1769"/>
      <c r="X477" s="1768"/>
      <c r="Z477" s="1769"/>
      <c r="AA477" s="557"/>
      <c r="AK477" s="246"/>
    </row>
    <row r="478" spans="2:37" ht="18" customHeight="1">
      <c r="B478" s="199"/>
      <c r="D478" s="154"/>
      <c r="F478" s="154"/>
      <c r="G478" s="217"/>
      <c r="I478" s="673"/>
      <c r="J478" s="209"/>
      <c r="K478" s="520"/>
      <c r="L478" s="154"/>
      <c r="M478" s="154"/>
      <c r="N478" s="154"/>
      <c r="O478" s="246"/>
      <c r="P478" s="1597"/>
      <c r="R478" s="1598"/>
      <c r="S478" s="557"/>
      <c r="T478" s="1768"/>
      <c r="V478" s="1769"/>
      <c r="X478" s="1768"/>
      <c r="Z478" s="1769"/>
      <c r="AA478" s="557"/>
      <c r="AK478" s="246"/>
    </row>
    <row r="479" spans="2:37" ht="18" customHeight="1">
      <c r="B479" s="199"/>
      <c r="D479" s="154"/>
      <c r="F479" s="154"/>
      <c r="G479" s="217"/>
      <c r="I479" s="673"/>
      <c r="J479" s="209"/>
      <c r="K479" s="520"/>
      <c r="L479" s="154"/>
      <c r="M479" s="154"/>
      <c r="N479" s="154"/>
      <c r="O479" s="246"/>
      <c r="P479" s="1597"/>
      <c r="R479" s="1598"/>
      <c r="S479" s="557"/>
      <c r="T479" s="1768"/>
      <c r="V479" s="1769"/>
      <c r="X479" s="1768"/>
      <c r="Z479" s="1769"/>
      <c r="AA479" s="557"/>
      <c r="AK479" s="246"/>
    </row>
    <row r="480" spans="2:37" ht="18" customHeight="1">
      <c r="B480" s="199"/>
      <c r="D480" s="154"/>
      <c r="F480" s="154"/>
      <c r="G480" s="217"/>
      <c r="I480" s="673"/>
      <c r="J480" s="209"/>
      <c r="K480" s="520"/>
      <c r="L480" s="154"/>
      <c r="M480" s="154"/>
      <c r="N480" s="154"/>
      <c r="O480" s="246"/>
      <c r="P480" s="1597"/>
      <c r="R480" s="1598"/>
      <c r="S480" s="557"/>
      <c r="T480" s="1768"/>
      <c r="V480" s="1769"/>
      <c r="X480" s="1768"/>
      <c r="Z480" s="1769"/>
      <c r="AA480" s="557"/>
      <c r="AK480" s="246"/>
    </row>
    <row r="481" spans="2:37" ht="18" customHeight="1">
      <c r="B481" s="199"/>
      <c r="D481" s="154"/>
      <c r="F481" s="154"/>
      <c r="G481" s="217"/>
      <c r="I481" s="673"/>
      <c r="J481" s="209"/>
      <c r="K481" s="520"/>
      <c r="L481" s="154"/>
      <c r="M481" s="154"/>
      <c r="N481" s="154"/>
      <c r="O481" s="246"/>
      <c r="P481" s="1597"/>
      <c r="R481" s="1598"/>
      <c r="S481" s="557"/>
      <c r="T481" s="1768"/>
      <c r="V481" s="1769"/>
      <c r="X481" s="1768"/>
      <c r="Z481" s="1769"/>
      <c r="AA481" s="557"/>
      <c r="AK481" s="246"/>
    </row>
    <row r="482" spans="2:37" ht="18" customHeight="1">
      <c r="B482" s="199"/>
      <c r="D482" s="154"/>
      <c r="F482" s="154"/>
      <c r="G482" s="217"/>
      <c r="I482" s="673"/>
      <c r="J482" s="209"/>
      <c r="K482" s="520"/>
      <c r="L482" s="154"/>
      <c r="M482" s="154"/>
      <c r="N482" s="154"/>
      <c r="O482" s="246"/>
      <c r="P482" s="1597"/>
      <c r="R482" s="1598"/>
      <c r="S482" s="557"/>
      <c r="T482" s="1768"/>
      <c r="V482" s="1769"/>
      <c r="X482" s="1768"/>
      <c r="Z482" s="1769"/>
      <c r="AA482" s="557"/>
      <c r="AK482" s="246"/>
    </row>
    <row r="483" spans="2:37" ht="18" customHeight="1">
      <c r="B483" s="199"/>
      <c r="D483" s="154"/>
      <c r="F483" s="154"/>
      <c r="G483" s="217"/>
      <c r="I483" s="673"/>
      <c r="J483" s="209"/>
      <c r="K483" s="520"/>
      <c r="L483" s="154"/>
      <c r="M483" s="154"/>
      <c r="N483" s="154"/>
      <c r="O483" s="246"/>
      <c r="P483" s="1597"/>
      <c r="R483" s="1598"/>
      <c r="S483" s="557"/>
      <c r="T483" s="1768"/>
      <c r="V483" s="1769"/>
      <c r="X483" s="1768"/>
      <c r="Z483" s="1769"/>
      <c r="AA483" s="557"/>
      <c r="AK483" s="246"/>
    </row>
    <row r="484" spans="2:37" ht="18" customHeight="1">
      <c r="B484" s="199"/>
      <c r="D484" s="154"/>
      <c r="F484" s="154"/>
      <c r="G484" s="217"/>
      <c r="I484" s="673"/>
      <c r="J484" s="209"/>
      <c r="K484" s="520"/>
      <c r="L484" s="154"/>
      <c r="M484" s="154"/>
      <c r="N484" s="154"/>
      <c r="O484" s="246"/>
      <c r="P484" s="1597"/>
      <c r="R484" s="1598"/>
      <c r="S484" s="557"/>
      <c r="T484" s="1768"/>
      <c r="V484" s="1769"/>
      <c r="X484" s="1768"/>
      <c r="Z484" s="1769"/>
      <c r="AA484" s="557"/>
      <c r="AK484" s="246"/>
    </row>
    <row r="485" spans="2:37" ht="18" customHeight="1">
      <c r="B485" s="199"/>
      <c r="D485" s="154"/>
      <c r="F485" s="154"/>
      <c r="G485" s="217"/>
      <c r="I485" s="673"/>
      <c r="J485" s="209"/>
      <c r="K485" s="520"/>
      <c r="L485" s="154"/>
      <c r="M485" s="154"/>
      <c r="N485" s="154"/>
      <c r="O485" s="246"/>
      <c r="P485" s="1597"/>
      <c r="R485" s="1598"/>
      <c r="S485" s="557"/>
      <c r="T485" s="1768"/>
      <c r="V485" s="1769"/>
      <c r="X485" s="1768"/>
      <c r="Z485" s="1769"/>
      <c r="AA485" s="557"/>
      <c r="AK485" s="246"/>
    </row>
    <row r="486" spans="2:37" ht="18" customHeight="1">
      <c r="B486" s="199"/>
      <c r="D486" s="154"/>
      <c r="F486" s="154"/>
      <c r="G486" s="217"/>
      <c r="I486" s="673"/>
      <c r="J486" s="209"/>
      <c r="K486" s="520"/>
      <c r="L486" s="154"/>
      <c r="M486" s="154"/>
      <c r="N486" s="154"/>
      <c r="O486" s="246"/>
      <c r="P486" s="1597"/>
      <c r="R486" s="1598"/>
      <c r="S486" s="557"/>
      <c r="T486" s="1768"/>
      <c r="V486" s="1769"/>
      <c r="X486" s="1768"/>
      <c r="Z486" s="1769"/>
      <c r="AA486" s="557"/>
      <c r="AK486" s="246"/>
    </row>
    <row r="487" spans="2:37" ht="18" customHeight="1">
      <c r="B487" s="199"/>
      <c r="D487" s="154"/>
      <c r="F487" s="154"/>
      <c r="G487" s="217"/>
      <c r="I487" s="673"/>
      <c r="J487" s="209"/>
      <c r="K487" s="520"/>
      <c r="L487" s="154"/>
      <c r="M487" s="154"/>
      <c r="N487" s="154"/>
      <c r="O487" s="246"/>
      <c r="P487" s="1597"/>
      <c r="R487" s="1598"/>
      <c r="S487" s="557"/>
      <c r="T487" s="1768"/>
      <c r="V487" s="1769"/>
      <c r="X487" s="1768"/>
      <c r="Z487" s="1769"/>
      <c r="AA487" s="557"/>
      <c r="AK487" s="246"/>
    </row>
    <row r="488" spans="2:37" ht="18" customHeight="1">
      <c r="B488" s="199"/>
      <c r="D488" s="154"/>
      <c r="F488" s="154"/>
      <c r="G488" s="217"/>
      <c r="I488" s="673"/>
      <c r="J488" s="209"/>
      <c r="K488" s="520"/>
      <c r="L488" s="154"/>
      <c r="M488" s="154"/>
      <c r="N488" s="154"/>
      <c r="O488" s="246"/>
      <c r="P488" s="1597"/>
      <c r="R488" s="1598"/>
      <c r="S488" s="557"/>
      <c r="T488" s="1768"/>
      <c r="V488" s="1769"/>
      <c r="X488" s="1768"/>
      <c r="Z488" s="1769"/>
      <c r="AA488" s="557"/>
      <c r="AK488" s="246"/>
    </row>
    <row r="489" spans="2:37" ht="18" customHeight="1">
      <c r="B489" s="199"/>
      <c r="D489" s="154"/>
      <c r="F489" s="154"/>
      <c r="G489" s="217"/>
      <c r="I489" s="673"/>
      <c r="J489" s="209"/>
      <c r="K489" s="520"/>
      <c r="L489" s="154"/>
      <c r="M489" s="154"/>
      <c r="N489" s="154"/>
      <c r="O489" s="246"/>
      <c r="P489" s="1597"/>
      <c r="R489" s="1598"/>
      <c r="S489" s="557"/>
      <c r="T489" s="1768"/>
      <c r="V489" s="1769"/>
      <c r="X489" s="1768"/>
      <c r="Z489" s="1769"/>
      <c r="AA489" s="557"/>
      <c r="AK489" s="246"/>
    </row>
    <row r="490" spans="2:37" ht="18" customHeight="1">
      <c r="B490" s="199"/>
      <c r="D490" s="154"/>
      <c r="F490" s="154"/>
      <c r="G490" s="217"/>
      <c r="I490" s="673"/>
      <c r="J490" s="209"/>
      <c r="K490" s="520"/>
      <c r="L490" s="154"/>
      <c r="M490" s="154"/>
      <c r="N490" s="154"/>
      <c r="O490" s="246"/>
      <c r="P490" s="1597"/>
      <c r="R490" s="1598"/>
      <c r="S490" s="557"/>
      <c r="T490" s="1768"/>
      <c r="V490" s="1769"/>
      <c r="X490" s="1768"/>
      <c r="Z490" s="1769"/>
      <c r="AA490" s="557"/>
      <c r="AK490" s="246"/>
    </row>
    <row r="491" spans="2:37" ht="18" customHeight="1">
      <c r="B491" s="199"/>
      <c r="D491" s="154"/>
      <c r="F491" s="154"/>
      <c r="G491" s="217"/>
      <c r="I491" s="673"/>
      <c r="J491" s="209"/>
      <c r="K491" s="520"/>
      <c r="L491" s="154"/>
      <c r="M491" s="154"/>
      <c r="N491" s="154"/>
      <c r="O491" s="246"/>
      <c r="P491" s="1597"/>
      <c r="R491" s="1598"/>
      <c r="S491" s="557"/>
      <c r="T491" s="1768"/>
      <c r="V491" s="1769"/>
      <c r="X491" s="1768"/>
      <c r="Z491" s="1769"/>
      <c r="AA491" s="557"/>
      <c r="AK491" s="246"/>
    </row>
    <row r="492" spans="2:37" ht="18" customHeight="1">
      <c r="B492" s="199"/>
      <c r="D492" s="154"/>
      <c r="F492" s="154"/>
      <c r="G492" s="217"/>
      <c r="I492" s="673"/>
      <c r="J492" s="209"/>
      <c r="K492" s="520"/>
      <c r="L492" s="154"/>
      <c r="M492" s="154"/>
      <c r="N492" s="154"/>
      <c r="O492" s="246"/>
      <c r="P492" s="1597"/>
      <c r="R492" s="1598"/>
      <c r="S492" s="557"/>
      <c r="T492" s="1768"/>
      <c r="V492" s="1769"/>
      <c r="X492" s="1768"/>
      <c r="Z492" s="1769"/>
      <c r="AA492" s="557"/>
      <c r="AK492" s="246"/>
    </row>
    <row r="493" spans="2:37" ht="18" customHeight="1">
      <c r="B493" s="199"/>
      <c r="D493" s="154"/>
      <c r="F493" s="154"/>
      <c r="G493" s="217"/>
      <c r="I493" s="673"/>
      <c r="J493" s="209"/>
      <c r="K493" s="520"/>
      <c r="L493" s="154"/>
      <c r="M493" s="154"/>
      <c r="N493" s="154"/>
      <c r="O493" s="246"/>
      <c r="P493" s="1597"/>
      <c r="R493" s="1598"/>
      <c r="S493" s="557"/>
      <c r="T493" s="1768"/>
      <c r="V493" s="1769"/>
      <c r="X493" s="1768"/>
      <c r="Z493" s="1769"/>
      <c r="AA493" s="557"/>
      <c r="AK493" s="246"/>
    </row>
    <row r="494" spans="2:37" ht="18" customHeight="1">
      <c r="B494" s="199"/>
      <c r="D494" s="154"/>
      <c r="F494" s="154"/>
      <c r="G494" s="217"/>
      <c r="I494" s="673"/>
      <c r="J494" s="209"/>
      <c r="K494" s="520"/>
      <c r="L494" s="154"/>
      <c r="M494" s="154"/>
      <c r="N494" s="154"/>
      <c r="O494" s="246"/>
      <c r="P494" s="1597"/>
      <c r="R494" s="1598"/>
      <c r="S494" s="557"/>
      <c r="T494" s="1768"/>
      <c r="V494" s="1769"/>
      <c r="X494" s="1768"/>
      <c r="Z494" s="1769"/>
      <c r="AA494" s="557"/>
      <c r="AK494" s="246"/>
    </row>
    <row r="495" spans="2:37" ht="18" customHeight="1">
      <c r="B495" s="199"/>
      <c r="D495" s="154"/>
      <c r="F495" s="154"/>
      <c r="G495" s="217"/>
      <c r="I495" s="673"/>
      <c r="J495" s="209"/>
      <c r="K495" s="520"/>
      <c r="L495" s="154"/>
      <c r="M495" s="154"/>
      <c r="N495" s="154"/>
      <c r="O495" s="246"/>
      <c r="P495" s="1597"/>
      <c r="R495" s="1598"/>
      <c r="S495" s="557"/>
      <c r="T495" s="1768"/>
      <c r="V495" s="1769"/>
      <c r="X495" s="1768"/>
      <c r="Z495" s="1769"/>
      <c r="AA495" s="557"/>
      <c r="AK495" s="246"/>
    </row>
    <row r="496" spans="2:37" ht="18" customHeight="1">
      <c r="B496" s="199"/>
      <c r="D496" s="154"/>
      <c r="F496" s="154"/>
      <c r="G496" s="217"/>
      <c r="I496" s="673"/>
      <c r="J496" s="209"/>
      <c r="K496" s="520"/>
      <c r="L496" s="154"/>
      <c r="M496" s="154"/>
      <c r="N496" s="154"/>
      <c r="O496" s="246"/>
      <c r="P496" s="1597"/>
      <c r="R496" s="1598"/>
      <c r="S496" s="557"/>
      <c r="T496" s="1768"/>
      <c r="V496" s="1769"/>
      <c r="X496" s="1768"/>
      <c r="Z496" s="1769"/>
      <c r="AA496" s="557"/>
      <c r="AK496" s="246"/>
    </row>
    <row r="497" spans="2:37" ht="18" customHeight="1">
      <c r="B497" s="199"/>
      <c r="D497" s="154"/>
      <c r="F497" s="154"/>
      <c r="G497" s="217"/>
      <c r="I497" s="673"/>
      <c r="J497" s="209"/>
      <c r="K497" s="520"/>
      <c r="L497" s="154"/>
      <c r="M497" s="154"/>
      <c r="N497" s="154"/>
      <c r="O497" s="246"/>
      <c r="P497" s="1597"/>
      <c r="R497" s="1598"/>
      <c r="S497" s="557"/>
      <c r="T497" s="1768"/>
      <c r="V497" s="1769"/>
      <c r="X497" s="1768"/>
      <c r="Z497" s="1769"/>
      <c r="AA497" s="557"/>
      <c r="AK497" s="246"/>
    </row>
    <row r="498" spans="2:37" ht="18" customHeight="1">
      <c r="B498" s="199"/>
      <c r="D498" s="154"/>
      <c r="F498" s="154"/>
      <c r="G498" s="217"/>
      <c r="I498" s="673"/>
      <c r="J498" s="209"/>
      <c r="K498" s="520"/>
      <c r="L498" s="154"/>
      <c r="M498" s="154"/>
      <c r="N498" s="154"/>
      <c r="O498" s="246"/>
      <c r="P498" s="1597"/>
      <c r="R498" s="1598"/>
      <c r="S498" s="557"/>
      <c r="T498" s="1768"/>
      <c r="V498" s="1769"/>
      <c r="X498" s="1768"/>
      <c r="Z498" s="1769"/>
      <c r="AA498" s="557"/>
      <c r="AK498" s="246"/>
    </row>
    <row r="499" spans="2:37" ht="18" customHeight="1">
      <c r="B499" s="199"/>
      <c r="D499" s="154"/>
      <c r="F499" s="154"/>
      <c r="G499" s="217"/>
      <c r="I499" s="673"/>
      <c r="J499" s="209"/>
      <c r="K499" s="520"/>
      <c r="L499" s="154"/>
      <c r="M499" s="154"/>
      <c r="N499" s="154"/>
      <c r="O499" s="246"/>
      <c r="P499" s="1597"/>
      <c r="R499" s="1598"/>
      <c r="S499" s="557"/>
      <c r="T499" s="1768"/>
      <c r="V499" s="1769"/>
      <c r="X499" s="1768"/>
      <c r="Z499" s="1769"/>
      <c r="AA499" s="557"/>
      <c r="AK499" s="246"/>
    </row>
    <row r="500" spans="2:37" ht="18" customHeight="1">
      <c r="B500" s="199"/>
      <c r="D500" s="154"/>
      <c r="F500" s="154"/>
      <c r="G500" s="217"/>
      <c r="I500" s="673"/>
      <c r="J500" s="209"/>
      <c r="K500" s="520"/>
      <c r="L500" s="154"/>
      <c r="M500" s="154"/>
      <c r="N500" s="154"/>
      <c r="O500" s="246"/>
      <c r="P500" s="1597"/>
      <c r="R500" s="1598"/>
      <c r="S500" s="557"/>
      <c r="T500" s="1768"/>
      <c r="V500" s="1769"/>
      <c r="X500" s="1768"/>
      <c r="Z500" s="1769"/>
      <c r="AA500" s="557"/>
      <c r="AK500" s="246"/>
    </row>
    <row r="501" spans="2:37" ht="18" customHeight="1">
      <c r="B501" s="199"/>
      <c r="D501" s="154"/>
      <c r="F501" s="154"/>
      <c r="G501" s="217"/>
      <c r="I501" s="673"/>
      <c r="J501" s="209"/>
      <c r="K501" s="520"/>
      <c r="L501" s="154"/>
      <c r="M501" s="154"/>
      <c r="N501" s="154"/>
      <c r="O501" s="246"/>
      <c r="P501" s="1597"/>
      <c r="R501" s="1598"/>
      <c r="S501" s="557"/>
      <c r="T501" s="1768"/>
      <c r="V501" s="1769"/>
      <c r="X501" s="1768"/>
      <c r="Z501" s="1769"/>
      <c r="AA501" s="557"/>
      <c r="AK501" s="246"/>
    </row>
    <row r="502" spans="2:37" ht="18" customHeight="1">
      <c r="B502" s="199"/>
      <c r="D502" s="154"/>
      <c r="F502" s="154"/>
      <c r="G502" s="217"/>
      <c r="I502" s="673"/>
      <c r="J502" s="209"/>
      <c r="K502" s="520"/>
      <c r="L502" s="154"/>
      <c r="M502" s="154"/>
      <c r="N502" s="154"/>
      <c r="O502" s="246"/>
      <c r="P502" s="1597"/>
      <c r="R502" s="1598"/>
      <c r="S502" s="557"/>
      <c r="T502" s="1768"/>
      <c r="V502" s="1769"/>
      <c r="X502" s="1768"/>
      <c r="Z502" s="1769"/>
      <c r="AA502" s="557"/>
      <c r="AK502" s="246"/>
    </row>
    <row r="503" spans="2:37" ht="18" customHeight="1">
      <c r="B503" s="199"/>
      <c r="D503" s="154"/>
      <c r="F503" s="154"/>
      <c r="G503" s="217"/>
      <c r="I503" s="673"/>
      <c r="J503" s="209"/>
      <c r="K503" s="520"/>
      <c r="L503" s="154"/>
      <c r="M503" s="154"/>
      <c r="N503" s="154"/>
      <c r="O503" s="246"/>
      <c r="P503" s="1597"/>
      <c r="R503" s="1598"/>
      <c r="S503" s="557"/>
      <c r="T503" s="1768"/>
      <c r="V503" s="1769"/>
      <c r="X503" s="1768"/>
      <c r="Z503" s="1769"/>
      <c r="AA503" s="557"/>
      <c r="AK503" s="246"/>
    </row>
    <row r="504" spans="2:37" ht="18" customHeight="1">
      <c r="B504" s="199"/>
      <c r="D504" s="154"/>
      <c r="F504" s="154"/>
      <c r="G504" s="217"/>
      <c r="I504" s="673"/>
      <c r="J504" s="209"/>
      <c r="K504" s="520"/>
      <c r="L504" s="154"/>
      <c r="M504" s="154"/>
      <c r="N504" s="154"/>
      <c r="O504" s="246"/>
      <c r="P504" s="1597"/>
      <c r="R504" s="1598"/>
      <c r="S504" s="557"/>
      <c r="T504" s="1768"/>
      <c r="V504" s="1769"/>
      <c r="X504" s="1768"/>
      <c r="Z504" s="1769"/>
      <c r="AA504" s="557"/>
      <c r="AK504" s="246"/>
    </row>
    <row r="505" spans="2:37" ht="18" customHeight="1">
      <c r="B505" s="199"/>
      <c r="D505" s="154"/>
      <c r="F505" s="154"/>
      <c r="G505" s="217"/>
      <c r="I505" s="673"/>
      <c r="J505" s="209"/>
      <c r="K505" s="520"/>
      <c r="L505" s="154"/>
      <c r="M505" s="154"/>
      <c r="N505" s="154"/>
      <c r="O505" s="246"/>
      <c r="P505" s="1597"/>
      <c r="R505" s="1598"/>
      <c r="S505" s="557"/>
      <c r="T505" s="1768"/>
      <c r="V505" s="1769"/>
      <c r="X505" s="1768"/>
      <c r="Z505" s="1769"/>
      <c r="AA505" s="557"/>
      <c r="AK505" s="246"/>
    </row>
    <row r="506" spans="2:37" ht="18" customHeight="1">
      <c r="B506" s="199"/>
      <c r="D506" s="154"/>
      <c r="F506" s="154"/>
      <c r="G506" s="217"/>
      <c r="I506" s="673"/>
      <c r="J506" s="209"/>
      <c r="K506" s="520"/>
      <c r="L506" s="154"/>
      <c r="M506" s="154"/>
      <c r="N506" s="154"/>
      <c r="O506" s="246"/>
      <c r="P506" s="1597"/>
      <c r="R506" s="1598"/>
      <c r="S506" s="557"/>
      <c r="T506" s="1768"/>
      <c r="V506" s="1769"/>
      <c r="X506" s="1768"/>
      <c r="Z506" s="1769"/>
      <c r="AA506" s="557"/>
      <c r="AK506" s="246"/>
    </row>
    <row r="507" spans="2:37" ht="18" customHeight="1">
      <c r="B507" s="199"/>
      <c r="D507" s="154"/>
      <c r="F507" s="154"/>
      <c r="G507" s="217"/>
      <c r="I507" s="673"/>
      <c r="J507" s="209"/>
      <c r="K507" s="520"/>
      <c r="L507" s="154"/>
      <c r="M507" s="154"/>
      <c r="N507" s="154"/>
      <c r="O507" s="246"/>
      <c r="P507" s="1597"/>
      <c r="R507" s="1598"/>
      <c r="S507" s="557"/>
      <c r="T507" s="1768"/>
      <c r="V507" s="1769"/>
      <c r="X507" s="1768"/>
      <c r="Z507" s="1769"/>
      <c r="AA507" s="557"/>
      <c r="AK507" s="246"/>
    </row>
    <row r="508" spans="2:37" ht="18" customHeight="1">
      <c r="B508" s="199"/>
      <c r="D508" s="154"/>
      <c r="F508" s="154"/>
      <c r="G508" s="217"/>
      <c r="I508" s="673"/>
      <c r="J508" s="209"/>
      <c r="K508" s="520"/>
      <c r="L508" s="154"/>
      <c r="M508" s="154"/>
      <c r="N508" s="154"/>
      <c r="O508" s="246"/>
      <c r="P508" s="1597"/>
      <c r="R508" s="1598"/>
      <c r="S508" s="557"/>
      <c r="T508" s="1768"/>
      <c r="V508" s="1769"/>
      <c r="X508" s="1768"/>
      <c r="Z508" s="1769"/>
      <c r="AA508" s="557"/>
      <c r="AK508" s="246"/>
    </row>
    <row r="509" spans="2:37" ht="18" customHeight="1">
      <c r="B509" s="199"/>
      <c r="D509" s="154"/>
      <c r="F509" s="154"/>
      <c r="G509" s="217"/>
      <c r="I509" s="673"/>
      <c r="J509" s="209"/>
      <c r="K509" s="520"/>
      <c r="L509" s="154"/>
      <c r="M509" s="154"/>
      <c r="N509" s="154"/>
      <c r="O509" s="246"/>
      <c r="P509" s="1597"/>
      <c r="R509" s="1598"/>
      <c r="S509" s="557"/>
      <c r="T509" s="1768"/>
      <c r="V509" s="1769"/>
      <c r="X509" s="1768"/>
      <c r="Z509" s="1769"/>
      <c r="AA509" s="557"/>
      <c r="AK509" s="246"/>
    </row>
    <row r="510" spans="2:37" ht="18" customHeight="1">
      <c r="B510" s="199"/>
      <c r="D510" s="154"/>
      <c r="F510" s="154"/>
      <c r="G510" s="217"/>
      <c r="I510" s="673"/>
      <c r="J510" s="209"/>
      <c r="K510" s="520"/>
      <c r="L510" s="154"/>
      <c r="M510" s="154"/>
      <c r="N510" s="154"/>
      <c r="O510" s="246"/>
      <c r="P510" s="1597"/>
      <c r="R510" s="1598"/>
      <c r="S510" s="557"/>
      <c r="T510" s="1768"/>
      <c r="V510" s="1769"/>
      <c r="X510" s="1768"/>
      <c r="Z510" s="1769"/>
      <c r="AA510" s="557"/>
      <c r="AK510" s="246"/>
    </row>
    <row r="511" spans="2:37" ht="18" customHeight="1">
      <c r="B511" s="199"/>
      <c r="D511" s="154"/>
      <c r="F511" s="154"/>
      <c r="G511" s="217"/>
      <c r="I511" s="673"/>
      <c r="J511" s="209"/>
      <c r="K511" s="520"/>
      <c r="L511" s="154"/>
      <c r="M511" s="154"/>
      <c r="N511" s="154"/>
      <c r="O511" s="246"/>
      <c r="P511" s="1597"/>
      <c r="R511" s="1598"/>
      <c r="S511" s="557"/>
      <c r="T511" s="1768"/>
      <c r="V511" s="1769"/>
      <c r="X511" s="1768"/>
      <c r="Z511" s="1769"/>
      <c r="AA511" s="557"/>
      <c r="AK511" s="246"/>
    </row>
    <row r="512" spans="2:37" ht="18" customHeight="1">
      <c r="B512" s="199"/>
      <c r="D512" s="154"/>
      <c r="F512" s="154"/>
      <c r="G512" s="217"/>
      <c r="I512" s="673"/>
      <c r="J512" s="209"/>
      <c r="K512" s="520"/>
      <c r="L512" s="154"/>
      <c r="M512" s="154"/>
      <c r="N512" s="154"/>
      <c r="O512" s="246"/>
      <c r="P512" s="1597"/>
      <c r="R512" s="1598"/>
      <c r="S512" s="557"/>
      <c r="T512" s="1768"/>
      <c r="V512" s="1769"/>
      <c r="X512" s="1768"/>
      <c r="Z512" s="1769"/>
      <c r="AA512" s="557"/>
      <c r="AK512" s="246"/>
    </row>
    <row r="513" spans="2:37" ht="18" customHeight="1">
      <c r="B513" s="199"/>
      <c r="D513" s="154"/>
      <c r="F513" s="154"/>
      <c r="G513" s="217"/>
      <c r="I513" s="673"/>
      <c r="J513" s="209"/>
      <c r="K513" s="520"/>
      <c r="L513" s="154"/>
      <c r="M513" s="154"/>
      <c r="N513" s="154"/>
      <c r="O513" s="246"/>
      <c r="P513" s="1597"/>
      <c r="R513" s="1598"/>
      <c r="S513" s="557"/>
      <c r="T513" s="1768"/>
      <c r="V513" s="1769"/>
      <c r="X513" s="1768"/>
      <c r="Z513" s="1769"/>
      <c r="AA513" s="557"/>
      <c r="AK513" s="246"/>
    </row>
    <row r="514" spans="2:37" ht="18" customHeight="1">
      <c r="B514" s="199"/>
      <c r="D514" s="154"/>
      <c r="F514" s="154"/>
      <c r="G514" s="217"/>
      <c r="I514" s="673"/>
      <c r="J514" s="209"/>
      <c r="K514" s="520"/>
      <c r="L514" s="154"/>
      <c r="M514" s="154"/>
      <c r="N514" s="154"/>
      <c r="O514" s="246"/>
      <c r="P514" s="1597"/>
      <c r="R514" s="1598"/>
      <c r="S514" s="557"/>
      <c r="T514" s="1768"/>
      <c r="V514" s="1769"/>
      <c r="X514" s="1768"/>
      <c r="Z514" s="1769"/>
      <c r="AA514" s="557"/>
      <c r="AK514" s="246"/>
    </row>
    <row r="515" spans="2:37" ht="18" customHeight="1">
      <c r="B515" s="199"/>
      <c r="D515" s="154"/>
      <c r="F515" s="154"/>
      <c r="G515" s="217"/>
      <c r="I515" s="673"/>
      <c r="J515" s="209"/>
      <c r="K515" s="520"/>
      <c r="L515" s="154"/>
      <c r="M515" s="154"/>
      <c r="N515" s="154"/>
      <c r="O515" s="246"/>
      <c r="P515" s="1597"/>
      <c r="R515" s="1598"/>
      <c r="S515" s="557"/>
      <c r="T515" s="1768"/>
      <c r="V515" s="1769"/>
      <c r="X515" s="1768"/>
      <c r="Z515" s="1769"/>
      <c r="AA515" s="557"/>
      <c r="AK515" s="246"/>
    </row>
    <row r="516" spans="2:37" ht="18" customHeight="1">
      <c r="B516" s="199"/>
      <c r="D516" s="154"/>
      <c r="F516" s="154"/>
      <c r="G516" s="217"/>
      <c r="I516" s="673"/>
      <c r="J516" s="209"/>
      <c r="K516" s="520"/>
      <c r="L516" s="154"/>
      <c r="M516" s="154"/>
      <c r="N516" s="154"/>
      <c r="O516" s="246"/>
      <c r="P516" s="1597"/>
      <c r="R516" s="1598"/>
      <c r="S516" s="557"/>
      <c r="T516" s="1768"/>
      <c r="V516" s="1769"/>
      <c r="X516" s="1768"/>
      <c r="Z516" s="1769"/>
      <c r="AA516" s="557"/>
      <c r="AK516" s="246"/>
    </row>
    <row r="517" spans="2:37" ht="18" customHeight="1">
      <c r="B517" s="199"/>
      <c r="D517" s="154"/>
      <c r="F517" s="154"/>
      <c r="G517" s="217"/>
      <c r="I517" s="673"/>
      <c r="J517" s="209"/>
      <c r="K517" s="520"/>
      <c r="L517" s="154"/>
      <c r="M517" s="154"/>
      <c r="N517" s="154"/>
      <c r="O517" s="246"/>
      <c r="P517" s="1597"/>
      <c r="R517" s="1598"/>
      <c r="S517" s="557"/>
      <c r="T517" s="1768"/>
      <c r="V517" s="1769"/>
      <c r="X517" s="1768"/>
      <c r="Z517" s="1769"/>
      <c r="AA517" s="557"/>
      <c r="AK517" s="246"/>
    </row>
    <row r="518" spans="2:37" ht="18" customHeight="1">
      <c r="B518" s="199"/>
      <c r="D518" s="154"/>
      <c r="F518" s="154"/>
      <c r="G518" s="217"/>
      <c r="I518" s="673"/>
      <c r="J518" s="209"/>
      <c r="K518" s="520"/>
      <c r="L518" s="154"/>
      <c r="M518" s="154"/>
      <c r="N518" s="154"/>
      <c r="O518" s="246"/>
      <c r="P518" s="1597"/>
      <c r="R518" s="1598"/>
      <c r="S518" s="557"/>
      <c r="T518" s="1768"/>
      <c r="V518" s="1769"/>
      <c r="X518" s="1768"/>
      <c r="Z518" s="1769"/>
      <c r="AA518" s="557"/>
      <c r="AK518" s="246"/>
    </row>
    <row r="519" spans="2:37" ht="18" customHeight="1">
      <c r="B519" s="199"/>
      <c r="D519" s="154"/>
      <c r="F519" s="154"/>
      <c r="G519" s="217"/>
      <c r="I519" s="673"/>
      <c r="J519" s="209"/>
      <c r="K519" s="520"/>
      <c r="L519" s="154"/>
      <c r="M519" s="154"/>
      <c r="N519" s="154"/>
      <c r="O519" s="246"/>
      <c r="P519" s="1597"/>
      <c r="R519" s="1598"/>
      <c r="S519" s="557"/>
      <c r="T519" s="1768"/>
      <c r="V519" s="1769"/>
      <c r="X519" s="1768"/>
      <c r="Z519" s="1769"/>
      <c r="AA519" s="557"/>
      <c r="AK519" s="246"/>
    </row>
    <row r="520" spans="2:37" ht="18" customHeight="1">
      <c r="B520" s="199"/>
      <c r="D520" s="154"/>
      <c r="F520" s="154"/>
      <c r="G520" s="217"/>
      <c r="I520" s="673"/>
      <c r="J520" s="209"/>
      <c r="K520" s="520"/>
      <c r="L520" s="154"/>
      <c r="M520" s="154"/>
      <c r="N520" s="154"/>
      <c r="O520" s="246"/>
      <c r="P520" s="1597"/>
      <c r="R520" s="1598"/>
      <c r="S520" s="557"/>
      <c r="T520" s="1768"/>
      <c r="V520" s="1769"/>
      <c r="X520" s="1768"/>
      <c r="Z520" s="1769"/>
      <c r="AA520" s="557"/>
      <c r="AK520" s="246"/>
    </row>
    <row r="521" spans="2:37" ht="18" customHeight="1">
      <c r="B521" s="199"/>
      <c r="D521" s="154"/>
      <c r="F521" s="154"/>
      <c r="G521" s="217"/>
      <c r="I521" s="673"/>
      <c r="J521" s="209"/>
      <c r="K521" s="520"/>
      <c r="L521" s="154"/>
      <c r="M521" s="154"/>
      <c r="N521" s="154"/>
      <c r="O521" s="246"/>
      <c r="P521" s="1597"/>
      <c r="R521" s="1598"/>
      <c r="S521" s="557"/>
      <c r="T521" s="1768"/>
      <c r="V521" s="1769"/>
      <c r="X521" s="1768"/>
      <c r="Z521" s="1769"/>
      <c r="AA521" s="557"/>
      <c r="AK521" s="246"/>
    </row>
    <row r="522" spans="2:37" ht="18" customHeight="1">
      <c r="B522" s="199"/>
      <c r="D522" s="154"/>
      <c r="F522" s="154"/>
      <c r="G522" s="217"/>
      <c r="I522" s="673"/>
      <c r="J522" s="209"/>
      <c r="K522" s="520"/>
      <c r="L522" s="154"/>
      <c r="M522" s="154"/>
      <c r="N522" s="154"/>
      <c r="O522" s="246"/>
      <c r="P522" s="1597"/>
      <c r="R522" s="1598"/>
      <c r="S522" s="557"/>
      <c r="T522" s="1768"/>
      <c r="V522" s="1769"/>
      <c r="X522" s="1768"/>
      <c r="Z522" s="1769"/>
      <c r="AA522" s="557"/>
      <c r="AK522" s="246"/>
    </row>
    <row r="523" spans="2:37" ht="18" customHeight="1">
      <c r="B523" s="199"/>
      <c r="D523" s="154"/>
      <c r="F523" s="154"/>
      <c r="G523" s="217"/>
      <c r="I523" s="673"/>
      <c r="J523" s="209"/>
      <c r="K523" s="520"/>
      <c r="L523" s="154"/>
      <c r="M523" s="154"/>
      <c r="N523" s="154"/>
      <c r="O523" s="246"/>
      <c r="P523" s="1597"/>
      <c r="R523" s="1598"/>
      <c r="S523" s="557"/>
      <c r="T523" s="1768"/>
      <c r="V523" s="1769"/>
      <c r="X523" s="1768"/>
      <c r="Z523" s="1769"/>
      <c r="AA523" s="557"/>
      <c r="AK523" s="246"/>
    </row>
    <row r="524" spans="2:37" ht="18" customHeight="1">
      <c r="B524" s="199"/>
      <c r="D524" s="154"/>
      <c r="F524" s="154"/>
      <c r="G524" s="217"/>
      <c r="I524" s="673"/>
      <c r="J524" s="209"/>
      <c r="K524" s="520"/>
      <c r="L524" s="154"/>
      <c r="M524" s="154"/>
      <c r="N524" s="154"/>
      <c r="O524" s="246"/>
      <c r="P524" s="1597"/>
      <c r="R524" s="1598"/>
      <c r="S524" s="557"/>
      <c r="T524" s="1768"/>
      <c r="V524" s="1769"/>
      <c r="X524" s="1768"/>
      <c r="Z524" s="1769"/>
      <c r="AA524" s="557"/>
      <c r="AK524" s="246"/>
    </row>
    <row r="525" spans="2:37" ht="18" customHeight="1">
      <c r="B525" s="199"/>
      <c r="D525" s="154"/>
      <c r="F525" s="154"/>
      <c r="G525" s="217"/>
      <c r="I525" s="673"/>
      <c r="J525" s="209"/>
      <c r="K525" s="520"/>
      <c r="L525" s="154"/>
      <c r="M525" s="154"/>
      <c r="N525" s="154"/>
      <c r="O525" s="246"/>
      <c r="P525" s="1597"/>
      <c r="R525" s="1598"/>
      <c r="S525" s="557"/>
      <c r="T525" s="1768"/>
      <c r="V525" s="1769"/>
      <c r="X525" s="1768"/>
      <c r="Z525" s="1769"/>
      <c r="AA525" s="557"/>
      <c r="AK525" s="246"/>
    </row>
    <row r="526" spans="2:37" ht="18" customHeight="1">
      <c r="B526" s="199"/>
      <c r="D526" s="154"/>
      <c r="F526" s="154"/>
      <c r="G526" s="217"/>
      <c r="I526" s="673"/>
      <c r="J526" s="209"/>
      <c r="K526" s="520"/>
      <c r="L526" s="154"/>
      <c r="M526" s="154"/>
      <c r="N526" s="154"/>
      <c r="O526" s="246"/>
      <c r="P526" s="1597"/>
      <c r="R526" s="1598"/>
      <c r="S526" s="557"/>
      <c r="T526" s="1768"/>
      <c r="V526" s="1769"/>
      <c r="X526" s="1768"/>
      <c r="Z526" s="1769"/>
      <c r="AA526" s="557"/>
      <c r="AK526" s="246"/>
    </row>
    <row r="527" spans="2:37" ht="18" customHeight="1">
      <c r="B527" s="199"/>
      <c r="D527" s="154"/>
      <c r="F527" s="154"/>
      <c r="G527" s="217"/>
      <c r="I527" s="673"/>
      <c r="J527" s="209"/>
      <c r="K527" s="520"/>
      <c r="L527" s="154"/>
      <c r="M527" s="154"/>
      <c r="N527" s="154"/>
      <c r="O527" s="246"/>
      <c r="P527" s="1597"/>
      <c r="R527" s="1598"/>
      <c r="S527" s="557"/>
      <c r="T527" s="1768"/>
      <c r="V527" s="1769"/>
      <c r="X527" s="1768"/>
      <c r="Z527" s="1769"/>
      <c r="AA527" s="557"/>
      <c r="AK527" s="246"/>
    </row>
    <row r="528" spans="2:37" ht="18" customHeight="1">
      <c r="B528" s="199"/>
      <c r="D528" s="154"/>
      <c r="F528" s="154"/>
      <c r="G528" s="217"/>
      <c r="I528" s="673"/>
      <c r="J528" s="209"/>
      <c r="K528" s="520"/>
      <c r="L528" s="154"/>
      <c r="M528" s="154"/>
      <c r="N528" s="154"/>
      <c r="O528" s="246"/>
      <c r="P528" s="1597"/>
      <c r="R528" s="1598"/>
      <c r="S528" s="557"/>
      <c r="T528" s="1768"/>
      <c r="V528" s="1769"/>
      <c r="X528" s="1768"/>
      <c r="Z528" s="1769"/>
      <c r="AA528" s="557"/>
      <c r="AK528" s="246"/>
    </row>
    <row r="529" spans="2:37" ht="18" customHeight="1">
      <c r="B529" s="199"/>
      <c r="D529" s="154"/>
      <c r="F529" s="154"/>
      <c r="G529" s="217"/>
      <c r="I529" s="673"/>
      <c r="J529" s="209"/>
      <c r="K529" s="520"/>
      <c r="L529" s="154"/>
      <c r="M529" s="154"/>
      <c r="N529" s="154"/>
      <c r="O529" s="246"/>
      <c r="P529" s="1597"/>
      <c r="R529" s="1598"/>
      <c r="S529" s="557"/>
      <c r="T529" s="1768"/>
      <c r="V529" s="1769"/>
      <c r="X529" s="1768"/>
      <c r="Z529" s="1769"/>
      <c r="AA529" s="557"/>
      <c r="AK529" s="246"/>
    </row>
    <row r="530" spans="2:37" ht="18" customHeight="1">
      <c r="B530" s="199"/>
      <c r="D530" s="154"/>
      <c r="F530" s="154"/>
      <c r="G530" s="217"/>
      <c r="I530" s="673"/>
      <c r="J530" s="209"/>
      <c r="K530" s="520"/>
      <c r="L530" s="154"/>
      <c r="M530" s="154"/>
      <c r="N530" s="154"/>
      <c r="O530" s="246"/>
      <c r="P530" s="1597"/>
      <c r="R530" s="1598"/>
      <c r="S530" s="557"/>
      <c r="T530" s="1768"/>
      <c r="V530" s="1769"/>
      <c r="X530" s="1768"/>
      <c r="Z530" s="1769"/>
      <c r="AA530" s="557"/>
      <c r="AK530" s="246"/>
    </row>
    <row r="531" spans="2:37" ht="18" customHeight="1">
      <c r="B531" s="199"/>
      <c r="D531" s="154"/>
      <c r="F531" s="154"/>
      <c r="G531" s="217"/>
      <c r="I531" s="673"/>
      <c r="J531" s="209"/>
      <c r="K531" s="520"/>
      <c r="L531" s="154"/>
      <c r="M531" s="154"/>
      <c r="N531" s="154"/>
      <c r="O531" s="246"/>
      <c r="P531" s="1597"/>
      <c r="R531" s="1598"/>
      <c r="S531" s="557"/>
      <c r="T531" s="1768"/>
      <c r="V531" s="1769"/>
      <c r="X531" s="1768"/>
      <c r="Z531" s="1769"/>
      <c r="AA531" s="557"/>
      <c r="AK531" s="246"/>
    </row>
    <row r="532" spans="2:37" ht="18" customHeight="1">
      <c r="B532" s="199"/>
      <c r="D532" s="154"/>
      <c r="F532" s="154"/>
      <c r="G532" s="217"/>
      <c r="I532" s="673"/>
      <c r="J532" s="209"/>
      <c r="K532" s="520"/>
      <c r="L532" s="154"/>
      <c r="M532" s="154"/>
      <c r="N532" s="154"/>
      <c r="O532" s="246"/>
      <c r="P532" s="1597"/>
      <c r="R532" s="1598"/>
      <c r="S532" s="557"/>
      <c r="T532" s="1768"/>
      <c r="V532" s="1769"/>
      <c r="X532" s="1768"/>
      <c r="Z532" s="1769"/>
      <c r="AA532" s="557"/>
      <c r="AK532" s="246"/>
    </row>
    <row r="533" spans="2:37" ht="18" customHeight="1">
      <c r="B533" s="199"/>
      <c r="D533" s="154"/>
      <c r="F533" s="154"/>
      <c r="G533" s="217"/>
      <c r="I533" s="673"/>
      <c r="J533" s="209"/>
      <c r="K533" s="520"/>
      <c r="L533" s="154"/>
      <c r="M533" s="154"/>
      <c r="N533" s="154"/>
      <c r="O533" s="246"/>
      <c r="P533" s="1597"/>
      <c r="R533" s="1598"/>
      <c r="S533" s="557"/>
      <c r="T533" s="1768"/>
      <c r="V533" s="1769"/>
      <c r="X533" s="1768"/>
      <c r="Z533" s="1769"/>
      <c r="AA533" s="557"/>
      <c r="AK533" s="246"/>
    </row>
    <row r="534" spans="2:37" ht="18" customHeight="1">
      <c r="B534" s="199"/>
      <c r="D534" s="154"/>
      <c r="F534" s="154"/>
      <c r="G534" s="217"/>
      <c r="I534" s="673"/>
      <c r="J534" s="209"/>
      <c r="K534" s="520"/>
      <c r="L534" s="154"/>
      <c r="M534" s="154"/>
      <c r="N534" s="154"/>
      <c r="O534" s="246"/>
      <c r="P534" s="1597"/>
      <c r="R534" s="1598"/>
      <c r="S534" s="557"/>
      <c r="T534" s="1768"/>
      <c r="V534" s="1769"/>
      <c r="X534" s="1768"/>
      <c r="Z534" s="1769"/>
      <c r="AA534" s="557"/>
      <c r="AK534" s="246"/>
    </row>
    <row r="535" spans="2:37" ht="18" customHeight="1">
      <c r="B535" s="199"/>
      <c r="D535" s="154"/>
      <c r="F535" s="154"/>
      <c r="G535" s="217"/>
      <c r="I535" s="673"/>
      <c r="J535" s="209"/>
      <c r="K535" s="520"/>
      <c r="L535" s="154"/>
      <c r="M535" s="154"/>
      <c r="N535" s="154"/>
      <c r="O535" s="246"/>
      <c r="P535" s="1597"/>
      <c r="R535" s="1598"/>
      <c r="S535" s="557"/>
      <c r="T535" s="1768"/>
      <c r="V535" s="1769"/>
      <c r="X535" s="1768"/>
      <c r="Z535" s="1769"/>
      <c r="AA535" s="557"/>
      <c r="AK535" s="246"/>
    </row>
    <row r="536" spans="2:37" ht="18" customHeight="1">
      <c r="B536" s="199"/>
      <c r="D536" s="154"/>
      <c r="F536" s="154"/>
      <c r="G536" s="217"/>
      <c r="I536" s="673"/>
      <c r="J536" s="209"/>
      <c r="K536" s="520"/>
      <c r="L536" s="154"/>
      <c r="M536" s="154"/>
      <c r="N536" s="154"/>
      <c r="O536" s="246"/>
      <c r="P536" s="1597"/>
      <c r="R536" s="1598"/>
      <c r="S536" s="557"/>
      <c r="T536" s="1768"/>
      <c r="V536" s="1769"/>
      <c r="X536" s="1768"/>
      <c r="Z536" s="1769"/>
      <c r="AA536" s="557"/>
      <c r="AK536" s="246"/>
    </row>
    <row r="537" spans="2:37" ht="18" customHeight="1">
      <c r="B537" s="199"/>
      <c r="D537" s="154"/>
      <c r="F537" s="154"/>
      <c r="G537" s="217"/>
      <c r="I537" s="673"/>
      <c r="J537" s="209"/>
      <c r="K537" s="520"/>
      <c r="L537" s="154"/>
      <c r="M537" s="154"/>
      <c r="N537" s="154"/>
      <c r="O537" s="246"/>
      <c r="P537" s="1597"/>
      <c r="R537" s="1598"/>
      <c r="S537" s="557"/>
      <c r="T537" s="1768"/>
      <c r="V537" s="1769"/>
      <c r="X537" s="1768"/>
      <c r="Z537" s="1769"/>
      <c r="AA537" s="557"/>
      <c r="AK537" s="246"/>
    </row>
    <row r="538" spans="2:37" ht="18" customHeight="1">
      <c r="B538" s="199"/>
      <c r="D538" s="154"/>
      <c r="F538" s="154"/>
      <c r="G538" s="217"/>
      <c r="I538" s="673"/>
      <c r="J538" s="209"/>
      <c r="K538" s="520"/>
      <c r="L538" s="154"/>
      <c r="M538" s="154"/>
      <c r="N538" s="154"/>
      <c r="O538" s="246"/>
      <c r="P538" s="1597"/>
      <c r="R538" s="1598"/>
      <c r="S538" s="557"/>
      <c r="T538" s="1768"/>
      <c r="V538" s="1769"/>
      <c r="X538" s="1768"/>
      <c r="Z538" s="1769"/>
      <c r="AA538" s="557"/>
      <c r="AK538" s="246"/>
    </row>
    <row r="539" spans="2:37" ht="18" customHeight="1">
      <c r="B539" s="199"/>
      <c r="D539" s="154"/>
      <c r="F539" s="154"/>
      <c r="G539" s="217"/>
      <c r="I539" s="673"/>
      <c r="J539" s="209"/>
      <c r="K539" s="520"/>
      <c r="L539" s="154"/>
      <c r="M539" s="154"/>
      <c r="N539" s="154"/>
      <c r="O539" s="246"/>
      <c r="P539" s="1597"/>
      <c r="R539" s="1598"/>
      <c r="S539" s="557"/>
      <c r="T539" s="1768"/>
      <c r="V539" s="1769"/>
      <c r="X539" s="1768"/>
      <c r="Z539" s="1769"/>
      <c r="AA539" s="557"/>
      <c r="AK539" s="246"/>
    </row>
    <row r="540" spans="2:37" ht="18" customHeight="1">
      <c r="B540" s="199"/>
      <c r="D540" s="154"/>
      <c r="F540" s="154"/>
      <c r="G540" s="217"/>
      <c r="I540" s="673"/>
      <c r="J540" s="209"/>
      <c r="K540" s="520"/>
      <c r="L540" s="154"/>
      <c r="M540" s="154"/>
      <c r="N540" s="154"/>
      <c r="O540" s="246"/>
      <c r="P540" s="1597"/>
      <c r="R540" s="1598"/>
      <c r="S540" s="557"/>
      <c r="T540" s="1768"/>
      <c r="V540" s="1769"/>
      <c r="X540" s="1768"/>
      <c r="Z540" s="1769"/>
      <c r="AA540" s="557"/>
      <c r="AK540" s="246"/>
    </row>
    <row r="541" spans="2:37" ht="18" customHeight="1">
      <c r="B541" s="199"/>
      <c r="D541" s="154"/>
      <c r="F541" s="154"/>
      <c r="G541" s="217"/>
      <c r="I541" s="673"/>
      <c r="J541" s="209"/>
      <c r="K541" s="520"/>
      <c r="L541" s="154"/>
      <c r="M541" s="154"/>
      <c r="N541" s="154"/>
      <c r="O541" s="246"/>
      <c r="P541" s="1597"/>
      <c r="R541" s="1598"/>
      <c r="S541" s="557"/>
      <c r="T541" s="1768"/>
      <c r="V541" s="1769"/>
      <c r="X541" s="1768"/>
      <c r="Z541" s="1769"/>
      <c r="AA541" s="557"/>
      <c r="AK541" s="246"/>
    </row>
    <row r="542" spans="2:37" ht="18" customHeight="1">
      <c r="B542" s="199"/>
      <c r="D542" s="154"/>
      <c r="F542" s="154"/>
      <c r="G542" s="217"/>
      <c r="I542" s="673"/>
      <c r="J542" s="209"/>
      <c r="K542" s="520"/>
      <c r="L542" s="154"/>
      <c r="M542" s="154"/>
      <c r="N542" s="154"/>
      <c r="O542" s="246"/>
      <c r="P542" s="1597"/>
      <c r="R542" s="1598"/>
      <c r="S542" s="557"/>
      <c r="T542" s="1768"/>
      <c r="V542" s="1769"/>
      <c r="X542" s="1768"/>
      <c r="Z542" s="1769"/>
      <c r="AA542" s="557"/>
      <c r="AK542" s="246"/>
    </row>
    <row r="543" spans="2:37" ht="18" customHeight="1">
      <c r="B543" s="199"/>
      <c r="D543" s="154"/>
      <c r="F543" s="154"/>
      <c r="G543" s="217"/>
      <c r="I543" s="673"/>
      <c r="J543" s="209"/>
      <c r="K543" s="520"/>
      <c r="L543" s="154"/>
      <c r="M543" s="154"/>
      <c r="N543" s="154"/>
      <c r="O543" s="246"/>
      <c r="P543" s="1597"/>
      <c r="R543" s="1598"/>
      <c r="S543" s="557"/>
      <c r="T543" s="1768"/>
      <c r="V543" s="1769"/>
      <c r="X543" s="1768"/>
      <c r="Z543" s="1769"/>
      <c r="AA543" s="557"/>
      <c r="AK543" s="246"/>
    </row>
    <row r="544" spans="2:37" ht="18" customHeight="1">
      <c r="B544" s="199"/>
      <c r="D544" s="154"/>
      <c r="F544" s="154"/>
      <c r="G544" s="217"/>
      <c r="I544" s="673"/>
      <c r="J544" s="209"/>
      <c r="K544" s="520"/>
      <c r="L544" s="154"/>
      <c r="M544" s="154"/>
      <c r="N544" s="154"/>
      <c r="O544" s="246"/>
      <c r="P544" s="1597"/>
      <c r="R544" s="1598"/>
      <c r="S544" s="557"/>
      <c r="T544" s="1768"/>
      <c r="V544" s="1769"/>
      <c r="X544" s="1768"/>
      <c r="Z544" s="1769"/>
      <c r="AA544" s="557"/>
      <c r="AK544" s="246"/>
    </row>
    <row r="545" spans="2:37" ht="18" customHeight="1">
      <c r="B545" s="199"/>
      <c r="D545" s="154"/>
      <c r="F545" s="154"/>
      <c r="G545" s="217"/>
      <c r="I545" s="673"/>
      <c r="J545" s="209"/>
      <c r="K545" s="520"/>
      <c r="L545" s="154"/>
      <c r="M545" s="154"/>
      <c r="N545" s="154"/>
      <c r="O545" s="246"/>
      <c r="P545" s="1597"/>
      <c r="R545" s="1598"/>
      <c r="S545" s="557"/>
      <c r="T545" s="1768"/>
      <c r="V545" s="1769"/>
      <c r="X545" s="1768"/>
      <c r="Z545" s="1769"/>
      <c r="AA545" s="557"/>
      <c r="AK545" s="246"/>
    </row>
    <row r="546" spans="2:37" ht="18" customHeight="1">
      <c r="B546" s="199"/>
      <c r="D546" s="154"/>
      <c r="F546" s="154"/>
      <c r="G546" s="217"/>
      <c r="I546" s="673"/>
      <c r="J546" s="209"/>
      <c r="K546" s="520"/>
      <c r="L546" s="154"/>
      <c r="M546" s="154"/>
      <c r="N546" s="154"/>
      <c r="O546" s="246"/>
      <c r="P546" s="1597"/>
      <c r="R546" s="1598"/>
      <c r="S546" s="557"/>
      <c r="T546" s="1768"/>
      <c r="V546" s="1769"/>
      <c r="X546" s="1768"/>
      <c r="Z546" s="1769"/>
      <c r="AA546" s="557"/>
      <c r="AK546" s="246"/>
    </row>
    <row r="547" spans="2:37" ht="18" customHeight="1">
      <c r="B547" s="199"/>
      <c r="D547" s="154"/>
      <c r="F547" s="154"/>
      <c r="G547" s="217"/>
      <c r="I547" s="673"/>
      <c r="J547" s="209"/>
      <c r="K547" s="520"/>
      <c r="L547" s="154"/>
      <c r="M547" s="154"/>
      <c r="N547" s="154"/>
      <c r="O547" s="246"/>
      <c r="P547" s="1597"/>
      <c r="R547" s="1598"/>
      <c r="S547" s="557"/>
      <c r="T547" s="1768"/>
      <c r="V547" s="1769"/>
      <c r="X547" s="1768"/>
      <c r="Z547" s="1769"/>
      <c r="AA547" s="557"/>
      <c r="AK547" s="246"/>
    </row>
    <row r="548" spans="2:37" ht="18" customHeight="1">
      <c r="B548" s="199"/>
      <c r="D548" s="154"/>
      <c r="F548" s="154"/>
      <c r="G548" s="217"/>
      <c r="I548" s="673"/>
      <c r="J548" s="209"/>
      <c r="K548" s="520"/>
      <c r="L548" s="154"/>
      <c r="M548" s="154"/>
      <c r="N548" s="154"/>
      <c r="O548" s="246"/>
      <c r="P548" s="1597"/>
      <c r="R548" s="1598"/>
      <c r="S548" s="557"/>
      <c r="T548" s="1768"/>
      <c r="V548" s="1769"/>
      <c r="X548" s="1768"/>
      <c r="Z548" s="1769"/>
      <c r="AA548" s="557"/>
      <c r="AK548" s="246"/>
    </row>
    <row r="549" spans="2:37" ht="18" customHeight="1">
      <c r="B549" s="199"/>
      <c r="D549" s="154"/>
      <c r="F549" s="154"/>
      <c r="G549" s="217"/>
      <c r="I549" s="673"/>
      <c r="J549" s="209"/>
      <c r="K549" s="520"/>
      <c r="L549" s="154"/>
      <c r="M549" s="154"/>
      <c r="N549" s="154"/>
      <c r="O549" s="246"/>
      <c r="P549" s="1597"/>
      <c r="R549" s="1598"/>
      <c r="S549" s="557"/>
      <c r="T549" s="1768"/>
      <c r="V549" s="1769"/>
      <c r="X549" s="1768"/>
      <c r="Z549" s="1769"/>
      <c r="AA549" s="557"/>
      <c r="AK549" s="246"/>
    </row>
    <row r="550" spans="2:37" ht="18" customHeight="1">
      <c r="B550" s="199"/>
      <c r="D550" s="154"/>
      <c r="F550" s="154"/>
      <c r="G550" s="217"/>
      <c r="I550" s="673"/>
      <c r="J550" s="209"/>
      <c r="K550" s="520"/>
      <c r="L550" s="154"/>
      <c r="M550" s="154"/>
      <c r="N550" s="154"/>
      <c r="O550" s="246"/>
      <c r="P550" s="1597"/>
      <c r="R550" s="1598"/>
      <c r="S550" s="557"/>
      <c r="T550" s="1768"/>
      <c r="V550" s="1769"/>
      <c r="X550" s="1768"/>
      <c r="Z550" s="1769"/>
      <c r="AA550" s="557"/>
      <c r="AK550" s="246"/>
    </row>
    <row r="551" spans="2:37" ht="18" customHeight="1">
      <c r="B551" s="199"/>
      <c r="D551" s="154"/>
      <c r="F551" s="154"/>
      <c r="G551" s="217"/>
      <c r="I551" s="673"/>
      <c r="J551" s="209"/>
      <c r="K551" s="520"/>
      <c r="L551" s="154"/>
      <c r="M551" s="154"/>
      <c r="N551" s="154"/>
      <c r="O551" s="246"/>
      <c r="P551" s="1597"/>
      <c r="R551" s="1598"/>
      <c r="S551" s="557"/>
      <c r="T551" s="1768"/>
      <c r="V551" s="1769"/>
      <c r="X551" s="1768"/>
      <c r="Z551" s="1769"/>
      <c r="AA551" s="557"/>
      <c r="AK551" s="246"/>
    </row>
    <row r="552" spans="2:37" ht="18" customHeight="1">
      <c r="B552" s="199"/>
      <c r="D552" s="154"/>
      <c r="F552" s="154"/>
      <c r="G552" s="217"/>
      <c r="I552" s="673"/>
      <c r="J552" s="209"/>
      <c r="K552" s="520"/>
      <c r="L552" s="154"/>
      <c r="M552" s="154"/>
      <c r="N552" s="154"/>
      <c r="O552" s="246"/>
      <c r="P552" s="1597"/>
      <c r="R552" s="1598"/>
      <c r="S552" s="557"/>
      <c r="T552" s="1768"/>
      <c r="V552" s="1769"/>
      <c r="X552" s="1768"/>
      <c r="Z552" s="1769"/>
      <c r="AA552" s="557"/>
      <c r="AK552" s="246"/>
    </row>
    <row r="553" spans="2:37" ht="18" customHeight="1">
      <c r="B553" s="199"/>
      <c r="D553" s="154"/>
      <c r="F553" s="154"/>
      <c r="G553" s="217"/>
      <c r="I553" s="673"/>
      <c r="J553" s="209"/>
      <c r="K553" s="520"/>
      <c r="L553" s="154"/>
      <c r="M553" s="154"/>
      <c r="N553" s="154"/>
      <c r="O553" s="246"/>
      <c r="P553" s="1597"/>
      <c r="R553" s="1598"/>
      <c r="S553" s="557"/>
      <c r="T553" s="1768"/>
      <c r="V553" s="1769"/>
      <c r="X553" s="1768"/>
      <c r="Z553" s="1769"/>
      <c r="AA553" s="557"/>
      <c r="AK553" s="246"/>
    </row>
    <row r="554" spans="2:37" ht="18" customHeight="1">
      <c r="B554" s="199"/>
      <c r="D554" s="154"/>
      <c r="F554" s="154"/>
      <c r="G554" s="217"/>
      <c r="I554" s="673"/>
      <c r="J554" s="209"/>
      <c r="K554" s="520"/>
      <c r="L554" s="154"/>
      <c r="M554" s="154"/>
      <c r="N554" s="154"/>
      <c r="O554" s="246"/>
      <c r="P554" s="1597"/>
      <c r="R554" s="1598"/>
      <c r="S554" s="557"/>
      <c r="T554" s="1768"/>
      <c r="V554" s="1769"/>
      <c r="X554" s="1768"/>
      <c r="Z554" s="1769"/>
      <c r="AA554" s="557"/>
      <c r="AK554" s="246"/>
    </row>
    <row r="555" spans="2:37" ht="18" customHeight="1">
      <c r="B555" s="199"/>
      <c r="D555" s="154"/>
      <c r="F555" s="154"/>
      <c r="G555" s="217"/>
      <c r="I555" s="673"/>
      <c r="J555" s="209"/>
      <c r="K555" s="520"/>
      <c r="L555" s="154"/>
      <c r="M555" s="154"/>
      <c r="N555" s="154"/>
      <c r="O555" s="246"/>
      <c r="P555" s="1597"/>
      <c r="R555" s="1598"/>
      <c r="S555" s="557"/>
      <c r="T555" s="1768"/>
      <c r="V555" s="1769"/>
      <c r="X555" s="1768"/>
      <c r="Z555" s="1769"/>
      <c r="AA555" s="557"/>
      <c r="AK555" s="246"/>
    </row>
    <row r="556" spans="2:37" ht="18" customHeight="1">
      <c r="B556" s="199"/>
      <c r="D556" s="154"/>
      <c r="F556" s="154"/>
      <c r="G556" s="217"/>
      <c r="I556" s="673"/>
      <c r="J556" s="209"/>
      <c r="K556" s="520"/>
      <c r="L556" s="154"/>
      <c r="M556" s="154"/>
      <c r="N556" s="154"/>
      <c r="O556" s="246"/>
      <c r="P556" s="1597"/>
      <c r="R556" s="1598"/>
      <c r="S556" s="557"/>
      <c r="T556" s="1768"/>
      <c r="V556" s="1769"/>
      <c r="X556" s="1768"/>
      <c r="Z556" s="1769"/>
      <c r="AA556" s="557"/>
      <c r="AK556" s="246"/>
    </row>
    <row r="557" spans="2:37" ht="18" customHeight="1">
      <c r="B557" s="199"/>
      <c r="D557" s="154"/>
      <c r="F557" s="154"/>
      <c r="G557" s="217"/>
      <c r="I557" s="673"/>
      <c r="J557" s="209"/>
      <c r="K557" s="520"/>
      <c r="L557" s="154"/>
      <c r="M557" s="154"/>
      <c r="N557" s="154"/>
      <c r="O557" s="246"/>
      <c r="P557" s="1597"/>
      <c r="R557" s="1598"/>
      <c r="S557" s="557"/>
      <c r="T557" s="1768"/>
      <c r="V557" s="1769"/>
      <c r="X557" s="1768"/>
      <c r="Z557" s="1769"/>
      <c r="AA557" s="557"/>
      <c r="AK557" s="246"/>
    </row>
    <row r="558" spans="2:37" ht="18" customHeight="1">
      <c r="B558" s="199"/>
      <c r="D558" s="154"/>
      <c r="F558" s="154"/>
      <c r="G558" s="217"/>
      <c r="I558" s="673"/>
      <c r="J558" s="209"/>
      <c r="K558" s="520"/>
      <c r="L558" s="154"/>
      <c r="M558" s="154"/>
      <c r="N558" s="154"/>
      <c r="O558" s="246"/>
      <c r="P558" s="1597"/>
      <c r="R558" s="1598"/>
      <c r="S558" s="557"/>
      <c r="T558" s="1768"/>
      <c r="V558" s="1769"/>
      <c r="X558" s="1768"/>
      <c r="Z558" s="1769"/>
      <c r="AA558" s="557"/>
      <c r="AK558" s="246"/>
    </row>
    <row r="559" spans="2:37" ht="18" customHeight="1">
      <c r="B559" s="199"/>
      <c r="D559" s="154"/>
      <c r="F559" s="154"/>
      <c r="G559" s="217"/>
      <c r="I559" s="673"/>
      <c r="J559" s="209"/>
      <c r="K559" s="520"/>
      <c r="L559" s="154"/>
      <c r="M559" s="154"/>
      <c r="N559" s="154"/>
      <c r="O559" s="246"/>
      <c r="P559" s="1597"/>
      <c r="R559" s="1598"/>
      <c r="S559" s="557"/>
      <c r="T559" s="1768"/>
      <c r="V559" s="1769"/>
      <c r="X559" s="1768"/>
      <c r="Z559" s="1769"/>
      <c r="AA559" s="557"/>
      <c r="AK559" s="246"/>
    </row>
    <row r="560" spans="2:37" ht="18" customHeight="1">
      <c r="B560" s="199"/>
      <c r="D560" s="154"/>
      <c r="F560" s="154"/>
      <c r="G560" s="217"/>
      <c r="I560" s="673"/>
      <c r="J560" s="209"/>
      <c r="K560" s="520"/>
      <c r="L560" s="154"/>
      <c r="M560" s="154"/>
      <c r="N560" s="154"/>
      <c r="O560" s="246"/>
      <c r="P560" s="1597"/>
      <c r="R560" s="1598"/>
      <c r="S560" s="557"/>
      <c r="T560" s="1768"/>
      <c r="V560" s="1769"/>
      <c r="X560" s="1768"/>
      <c r="Z560" s="1769"/>
      <c r="AA560" s="557"/>
      <c r="AK560" s="246"/>
    </row>
    <row r="561" spans="2:37" ht="18" customHeight="1">
      <c r="B561" s="199"/>
      <c r="D561" s="154"/>
      <c r="F561" s="154"/>
      <c r="G561" s="217"/>
      <c r="I561" s="673"/>
      <c r="J561" s="209"/>
      <c r="K561" s="520"/>
      <c r="L561" s="154"/>
      <c r="M561" s="154"/>
      <c r="N561" s="154"/>
      <c r="O561" s="246"/>
      <c r="P561" s="1597"/>
      <c r="R561" s="1598"/>
      <c r="S561" s="557"/>
      <c r="T561" s="1768"/>
      <c r="V561" s="1769"/>
      <c r="X561" s="1768"/>
      <c r="Z561" s="1769"/>
      <c r="AA561" s="557"/>
      <c r="AK561" s="246"/>
    </row>
    <row r="562" spans="2:37" ht="18" customHeight="1">
      <c r="B562" s="199"/>
      <c r="D562" s="154"/>
      <c r="F562" s="154"/>
      <c r="G562" s="217"/>
      <c r="I562" s="673"/>
      <c r="J562" s="209"/>
      <c r="K562" s="520"/>
      <c r="L562" s="154"/>
      <c r="M562" s="154"/>
      <c r="N562" s="154"/>
      <c r="O562" s="246"/>
      <c r="P562" s="1597"/>
      <c r="R562" s="1598"/>
      <c r="S562" s="557"/>
      <c r="T562" s="1768"/>
      <c r="V562" s="1769"/>
      <c r="X562" s="1768"/>
      <c r="Z562" s="1769"/>
      <c r="AA562" s="557"/>
      <c r="AK562" s="246"/>
    </row>
    <row r="563" spans="2:37" ht="18" customHeight="1">
      <c r="B563" s="199"/>
      <c r="D563" s="154"/>
      <c r="F563" s="154"/>
      <c r="G563" s="217"/>
      <c r="I563" s="673"/>
      <c r="J563" s="209"/>
      <c r="K563" s="520"/>
      <c r="L563" s="154"/>
      <c r="M563" s="154"/>
      <c r="N563" s="154"/>
      <c r="O563" s="246"/>
      <c r="P563" s="1597"/>
      <c r="R563" s="1598"/>
      <c r="S563" s="557"/>
      <c r="T563" s="1768"/>
      <c r="V563" s="1769"/>
      <c r="X563" s="1768"/>
      <c r="Z563" s="1769"/>
      <c r="AA563" s="557"/>
      <c r="AK563" s="246"/>
    </row>
    <row r="564" spans="2:37" ht="18" customHeight="1">
      <c r="B564" s="199"/>
      <c r="D564" s="154"/>
      <c r="F564" s="154"/>
      <c r="G564" s="217"/>
      <c r="I564" s="673"/>
      <c r="J564" s="209"/>
      <c r="K564" s="520"/>
      <c r="L564" s="154"/>
      <c r="M564" s="154"/>
      <c r="N564" s="154"/>
      <c r="O564" s="246"/>
      <c r="P564" s="1597"/>
      <c r="R564" s="1598"/>
      <c r="S564" s="557"/>
      <c r="T564" s="1768"/>
      <c r="V564" s="1769"/>
      <c r="X564" s="1768"/>
      <c r="Z564" s="1769"/>
      <c r="AA564" s="557"/>
      <c r="AK564" s="246"/>
    </row>
    <row r="565" spans="2:37" ht="18" customHeight="1">
      <c r="B565" s="199"/>
      <c r="D565" s="154"/>
      <c r="F565" s="154"/>
      <c r="G565" s="217"/>
      <c r="I565" s="673"/>
      <c r="J565" s="209"/>
      <c r="K565" s="520"/>
      <c r="L565" s="154"/>
      <c r="M565" s="154"/>
      <c r="N565" s="154"/>
      <c r="O565" s="246"/>
      <c r="P565" s="1597"/>
      <c r="R565" s="1598"/>
      <c r="S565" s="557"/>
      <c r="T565" s="1768"/>
      <c r="V565" s="1769"/>
      <c r="X565" s="1768"/>
      <c r="Z565" s="1769"/>
      <c r="AA565" s="557"/>
      <c r="AK565" s="246"/>
    </row>
    <row r="566" spans="2:37" ht="18" customHeight="1">
      <c r="B566" s="199"/>
      <c r="D566" s="154"/>
      <c r="F566" s="154"/>
      <c r="G566" s="217"/>
      <c r="I566" s="673"/>
      <c r="J566" s="209"/>
      <c r="K566" s="520"/>
      <c r="L566" s="154"/>
      <c r="M566" s="154"/>
      <c r="N566" s="154"/>
      <c r="O566" s="246"/>
      <c r="P566" s="1597"/>
      <c r="R566" s="1598"/>
      <c r="S566" s="557"/>
      <c r="T566" s="1768"/>
      <c r="V566" s="1769"/>
      <c r="X566" s="1768"/>
      <c r="Z566" s="1769"/>
      <c r="AA566" s="557"/>
      <c r="AK566" s="246"/>
    </row>
    <row r="567" spans="2:37" ht="18" customHeight="1">
      <c r="B567" s="199"/>
      <c r="D567" s="154"/>
      <c r="F567" s="154"/>
      <c r="G567" s="217"/>
      <c r="I567" s="673"/>
      <c r="J567" s="209"/>
      <c r="K567" s="520"/>
      <c r="L567" s="154"/>
      <c r="M567" s="154"/>
      <c r="N567" s="154"/>
      <c r="O567" s="246"/>
      <c r="P567" s="1597"/>
      <c r="R567" s="1598"/>
      <c r="S567" s="557"/>
      <c r="T567" s="1768"/>
      <c r="V567" s="1769"/>
      <c r="X567" s="1768"/>
      <c r="Z567" s="1769"/>
      <c r="AA567" s="557"/>
      <c r="AK567" s="246"/>
    </row>
    <row r="568" spans="2:37" ht="18" customHeight="1">
      <c r="B568" s="199"/>
      <c r="D568" s="154"/>
      <c r="F568" s="154"/>
      <c r="G568" s="217"/>
      <c r="I568" s="673"/>
      <c r="J568" s="209"/>
      <c r="K568" s="520"/>
      <c r="L568" s="154"/>
      <c r="M568" s="154"/>
      <c r="N568" s="154"/>
      <c r="O568" s="246"/>
      <c r="P568" s="1597"/>
      <c r="R568" s="1598"/>
      <c r="S568" s="557"/>
      <c r="T568" s="1768"/>
      <c r="V568" s="1769"/>
      <c r="X568" s="1768"/>
      <c r="Z568" s="1769"/>
      <c r="AA568" s="557"/>
      <c r="AK568" s="246"/>
    </row>
    <row r="569" spans="2:37" ht="18" customHeight="1">
      <c r="B569" s="199"/>
      <c r="D569" s="154"/>
      <c r="F569" s="154"/>
      <c r="G569" s="217"/>
      <c r="I569" s="673"/>
      <c r="J569" s="209"/>
      <c r="K569" s="520"/>
      <c r="L569" s="154"/>
      <c r="M569" s="154"/>
      <c r="N569" s="154"/>
      <c r="O569" s="246"/>
      <c r="P569" s="1597"/>
      <c r="R569" s="1598"/>
      <c r="S569" s="557"/>
      <c r="T569" s="1768"/>
      <c r="V569" s="1769"/>
      <c r="X569" s="1768"/>
      <c r="Z569" s="1769"/>
      <c r="AA569" s="557"/>
      <c r="AK569" s="246"/>
    </row>
    <row r="570" spans="2:37" ht="18" customHeight="1">
      <c r="B570" s="199"/>
      <c r="D570" s="154"/>
      <c r="F570" s="154"/>
      <c r="G570" s="217"/>
      <c r="I570" s="673"/>
      <c r="J570" s="209"/>
      <c r="K570" s="520"/>
      <c r="L570" s="154"/>
      <c r="M570" s="154"/>
      <c r="N570" s="154"/>
      <c r="O570" s="246"/>
      <c r="P570" s="1597"/>
      <c r="R570" s="1598"/>
      <c r="S570" s="557"/>
      <c r="T570" s="1768"/>
      <c r="V570" s="1769"/>
      <c r="X570" s="1768"/>
      <c r="Z570" s="1769"/>
      <c r="AA570" s="557"/>
      <c r="AK570" s="246"/>
    </row>
    <row r="571" spans="2:37" ht="18" customHeight="1">
      <c r="B571" s="199"/>
      <c r="D571" s="154"/>
      <c r="F571" s="154"/>
      <c r="G571" s="217"/>
      <c r="I571" s="673"/>
      <c r="J571" s="209"/>
      <c r="K571" s="520"/>
      <c r="L571" s="154"/>
      <c r="M571" s="154"/>
      <c r="N571" s="154"/>
      <c r="O571" s="246"/>
      <c r="P571" s="1597"/>
      <c r="R571" s="1598"/>
      <c r="S571" s="557"/>
      <c r="T571" s="1768"/>
      <c r="V571" s="1769"/>
      <c r="X571" s="1768"/>
      <c r="Z571" s="1769"/>
      <c r="AA571" s="557"/>
      <c r="AK571" s="246"/>
    </row>
    <row r="572" spans="2:37" ht="18" customHeight="1">
      <c r="B572" s="199"/>
      <c r="D572" s="154"/>
      <c r="F572" s="154"/>
      <c r="G572" s="217"/>
      <c r="I572" s="673"/>
      <c r="J572" s="209"/>
      <c r="K572" s="520"/>
      <c r="L572" s="154"/>
      <c r="M572" s="154"/>
      <c r="N572" s="154"/>
      <c r="O572" s="246"/>
      <c r="P572" s="1597"/>
      <c r="R572" s="1598"/>
      <c r="S572" s="557"/>
      <c r="T572" s="1768"/>
      <c r="V572" s="1769"/>
      <c r="X572" s="1768"/>
      <c r="Z572" s="1769"/>
      <c r="AA572" s="557"/>
      <c r="AK572" s="246"/>
    </row>
    <row r="573" spans="2:37" ht="18" customHeight="1">
      <c r="B573" s="199"/>
      <c r="D573" s="154"/>
      <c r="F573" s="154"/>
      <c r="G573" s="217"/>
      <c r="I573" s="673"/>
      <c r="J573" s="209"/>
      <c r="K573" s="520"/>
      <c r="L573" s="154"/>
      <c r="M573" s="154"/>
      <c r="N573" s="154"/>
      <c r="O573" s="246"/>
      <c r="P573" s="1597"/>
      <c r="R573" s="1598"/>
      <c r="S573" s="557"/>
      <c r="T573" s="1768"/>
      <c r="V573" s="1769"/>
      <c r="X573" s="1768"/>
      <c r="Z573" s="1769"/>
      <c r="AA573" s="557"/>
      <c r="AK573" s="246"/>
    </row>
    <row r="574" spans="2:37" ht="18" customHeight="1">
      <c r="B574" s="199"/>
      <c r="D574" s="154"/>
      <c r="F574" s="154"/>
      <c r="G574" s="217"/>
      <c r="I574" s="673"/>
      <c r="J574" s="209"/>
      <c r="K574" s="520"/>
      <c r="L574" s="154"/>
      <c r="M574" s="154"/>
      <c r="N574" s="154"/>
      <c r="O574" s="246"/>
      <c r="P574" s="1597"/>
      <c r="R574" s="1598"/>
      <c r="S574" s="557"/>
      <c r="T574" s="1768"/>
      <c r="V574" s="1769"/>
      <c r="X574" s="1768"/>
      <c r="Z574" s="1769"/>
      <c r="AA574" s="557"/>
      <c r="AK574" s="246"/>
    </row>
    <row r="575" spans="2:37" ht="18" customHeight="1">
      <c r="B575" s="199"/>
      <c r="D575" s="154"/>
      <c r="F575" s="154"/>
      <c r="G575" s="217"/>
      <c r="I575" s="673"/>
      <c r="J575" s="209"/>
      <c r="K575" s="520"/>
      <c r="L575" s="154"/>
      <c r="M575" s="154"/>
      <c r="N575" s="154"/>
      <c r="O575" s="246"/>
      <c r="P575" s="1597"/>
      <c r="R575" s="1598"/>
      <c r="S575" s="557"/>
      <c r="T575" s="1768"/>
      <c r="V575" s="1769"/>
      <c r="X575" s="1768"/>
      <c r="Z575" s="1769"/>
      <c r="AA575" s="557"/>
      <c r="AK575" s="246"/>
    </row>
    <row r="576" spans="2:37" ht="18" customHeight="1">
      <c r="B576" s="199"/>
      <c r="D576" s="154"/>
      <c r="F576" s="154"/>
      <c r="G576" s="217"/>
      <c r="I576" s="673"/>
      <c r="J576" s="209"/>
      <c r="K576" s="520"/>
      <c r="L576" s="154"/>
      <c r="M576" s="154"/>
      <c r="N576" s="154"/>
      <c r="O576" s="246"/>
      <c r="P576" s="1597"/>
      <c r="R576" s="1598"/>
      <c r="S576" s="557"/>
      <c r="T576" s="1768"/>
      <c r="V576" s="1769"/>
      <c r="X576" s="1768"/>
      <c r="Z576" s="1769"/>
      <c r="AA576" s="557"/>
      <c r="AK576" s="246"/>
    </row>
    <row r="577" spans="2:37" ht="18" customHeight="1">
      <c r="B577" s="199"/>
      <c r="D577" s="154"/>
      <c r="F577" s="154"/>
      <c r="G577" s="217"/>
      <c r="I577" s="673"/>
      <c r="J577" s="209"/>
      <c r="K577" s="520"/>
      <c r="L577" s="154"/>
      <c r="M577" s="154"/>
      <c r="N577" s="154"/>
      <c r="O577" s="246"/>
      <c r="P577" s="1597"/>
      <c r="R577" s="1598"/>
      <c r="S577" s="557"/>
      <c r="T577" s="1768"/>
      <c r="V577" s="1769"/>
      <c r="X577" s="1768"/>
      <c r="Z577" s="1769"/>
      <c r="AA577" s="557"/>
      <c r="AK577" s="246"/>
    </row>
    <row r="578" spans="2:37" ht="18" customHeight="1">
      <c r="B578" s="199"/>
      <c r="D578" s="154"/>
      <c r="F578" s="154"/>
      <c r="G578" s="217"/>
      <c r="I578" s="673"/>
      <c r="J578" s="209"/>
      <c r="K578" s="520"/>
      <c r="L578" s="154"/>
      <c r="M578" s="154"/>
      <c r="N578" s="154"/>
      <c r="O578" s="246"/>
      <c r="P578" s="1597"/>
      <c r="R578" s="1598"/>
      <c r="S578" s="557"/>
      <c r="T578" s="1768"/>
      <c r="V578" s="1769"/>
      <c r="X578" s="1768"/>
      <c r="Z578" s="1769"/>
      <c r="AA578" s="557"/>
      <c r="AK578" s="246"/>
    </row>
    <row r="579" spans="2:37" ht="18" customHeight="1">
      <c r="B579" s="199"/>
      <c r="D579" s="154"/>
      <c r="F579" s="154"/>
      <c r="G579" s="217"/>
      <c r="I579" s="673"/>
      <c r="J579" s="209"/>
      <c r="K579" s="520"/>
      <c r="L579" s="154"/>
      <c r="M579" s="154"/>
      <c r="N579" s="154"/>
      <c r="O579" s="246"/>
      <c r="P579" s="1597"/>
      <c r="R579" s="1598"/>
      <c r="S579" s="557"/>
      <c r="T579" s="1768"/>
      <c r="V579" s="1769"/>
      <c r="X579" s="1768"/>
      <c r="Z579" s="1769"/>
      <c r="AA579" s="557"/>
      <c r="AK579" s="246"/>
    </row>
    <row r="580" spans="2:37" ht="18" customHeight="1">
      <c r="B580" s="199"/>
      <c r="D580" s="154"/>
      <c r="F580" s="154"/>
      <c r="G580" s="217"/>
      <c r="I580" s="673"/>
      <c r="J580" s="209"/>
      <c r="K580" s="520"/>
      <c r="L580" s="154"/>
      <c r="M580" s="154"/>
      <c r="N580" s="154"/>
      <c r="O580" s="246"/>
      <c r="P580" s="1597"/>
      <c r="R580" s="1598"/>
      <c r="S580" s="557"/>
      <c r="T580" s="1768"/>
      <c r="V580" s="1769"/>
      <c r="X580" s="1768"/>
      <c r="Z580" s="1769"/>
      <c r="AA580" s="557"/>
      <c r="AK580" s="246"/>
    </row>
    <row r="581" spans="2:37" ht="18" customHeight="1">
      <c r="B581" s="199"/>
      <c r="D581" s="154"/>
      <c r="F581" s="154"/>
      <c r="G581" s="217"/>
      <c r="I581" s="673"/>
      <c r="J581" s="209"/>
      <c r="K581" s="520"/>
      <c r="L581" s="154"/>
      <c r="M581" s="154"/>
      <c r="N581" s="154"/>
      <c r="O581" s="246"/>
      <c r="P581" s="1597"/>
      <c r="R581" s="1598"/>
      <c r="S581" s="557"/>
      <c r="T581" s="1768"/>
      <c r="V581" s="1769"/>
      <c r="X581" s="1768"/>
      <c r="Z581" s="1769"/>
      <c r="AA581" s="557"/>
      <c r="AK581" s="246"/>
    </row>
    <row r="582" spans="2:37" ht="18" customHeight="1">
      <c r="B582" s="199"/>
      <c r="D582" s="154"/>
      <c r="F582" s="154"/>
      <c r="G582" s="217"/>
      <c r="I582" s="673"/>
      <c r="J582" s="209"/>
      <c r="K582" s="520"/>
      <c r="L582" s="154"/>
      <c r="M582" s="154"/>
      <c r="N582" s="154"/>
      <c r="O582" s="246"/>
      <c r="P582" s="1597"/>
      <c r="R582" s="1598"/>
      <c r="S582" s="557"/>
      <c r="T582" s="1768"/>
      <c r="V582" s="1769"/>
      <c r="X582" s="1768"/>
      <c r="Z582" s="1769"/>
      <c r="AA582" s="557"/>
      <c r="AK582" s="246"/>
    </row>
    <row r="583" spans="2:37" ht="18" customHeight="1">
      <c r="B583" s="199"/>
      <c r="D583" s="154"/>
      <c r="F583" s="154"/>
      <c r="G583" s="217"/>
      <c r="I583" s="673"/>
      <c r="J583" s="209"/>
      <c r="K583" s="520"/>
      <c r="L583" s="154"/>
      <c r="M583" s="154"/>
      <c r="N583" s="154"/>
      <c r="O583" s="246"/>
      <c r="P583" s="1597"/>
      <c r="R583" s="1598"/>
      <c r="S583" s="557"/>
      <c r="T583" s="1768"/>
      <c r="V583" s="1769"/>
      <c r="X583" s="1768"/>
      <c r="Z583" s="1769"/>
      <c r="AA583" s="557"/>
      <c r="AK583" s="246"/>
    </row>
    <row r="584" spans="2:37" ht="18" customHeight="1">
      <c r="B584" s="199"/>
      <c r="D584" s="154"/>
      <c r="F584" s="154"/>
      <c r="G584" s="217"/>
      <c r="I584" s="673"/>
      <c r="J584" s="209"/>
      <c r="K584" s="520"/>
      <c r="L584" s="154"/>
      <c r="M584" s="154"/>
      <c r="N584" s="154"/>
      <c r="O584" s="246"/>
      <c r="P584" s="1597"/>
      <c r="R584" s="1598"/>
      <c r="S584" s="557"/>
      <c r="T584" s="1768"/>
      <c r="V584" s="1769"/>
      <c r="X584" s="1768"/>
      <c r="Z584" s="1769"/>
      <c r="AA584" s="557"/>
      <c r="AK584" s="246"/>
    </row>
    <row r="585" spans="2:37" ht="18" customHeight="1">
      <c r="B585" s="199"/>
      <c r="D585" s="154"/>
      <c r="F585" s="154"/>
      <c r="G585" s="217"/>
      <c r="I585" s="673"/>
      <c r="J585" s="209"/>
      <c r="K585" s="520"/>
      <c r="L585" s="154"/>
      <c r="M585" s="154"/>
      <c r="N585" s="154"/>
      <c r="O585" s="246"/>
      <c r="P585" s="1597"/>
      <c r="R585" s="1598"/>
      <c r="S585" s="557"/>
      <c r="T585" s="1768"/>
      <c r="V585" s="1769"/>
      <c r="X585" s="1768"/>
      <c r="Z585" s="1769"/>
      <c r="AA585" s="557"/>
      <c r="AK585" s="246"/>
    </row>
    <row r="586" spans="2:37" ht="18" customHeight="1">
      <c r="B586" s="199"/>
      <c r="D586" s="154"/>
      <c r="F586" s="154"/>
      <c r="G586" s="217"/>
      <c r="I586" s="673"/>
      <c r="J586" s="209"/>
      <c r="K586" s="520"/>
      <c r="L586" s="154"/>
      <c r="M586" s="154"/>
      <c r="N586" s="154"/>
      <c r="O586" s="246"/>
      <c r="P586" s="1597"/>
      <c r="R586" s="1598"/>
      <c r="S586" s="557"/>
      <c r="T586" s="1768"/>
      <c r="V586" s="1769"/>
      <c r="X586" s="1768"/>
      <c r="Z586" s="1769"/>
      <c r="AA586" s="557"/>
      <c r="AK586" s="246"/>
    </row>
    <row r="587" spans="2:37" ht="18" customHeight="1">
      <c r="B587" s="199"/>
      <c r="D587" s="154"/>
      <c r="F587" s="154"/>
      <c r="G587" s="217"/>
      <c r="I587" s="673"/>
      <c r="J587" s="209"/>
      <c r="K587" s="520"/>
      <c r="L587" s="154"/>
      <c r="M587" s="154"/>
      <c r="N587" s="154"/>
      <c r="O587" s="246"/>
      <c r="P587" s="1597"/>
      <c r="R587" s="1598"/>
      <c r="S587" s="557"/>
      <c r="T587" s="1768"/>
      <c r="V587" s="1769"/>
      <c r="X587" s="1768"/>
      <c r="Z587" s="1769"/>
      <c r="AA587" s="557"/>
      <c r="AK587" s="246"/>
    </row>
    <row r="588" spans="2:37" ht="18" customHeight="1">
      <c r="B588" s="199"/>
      <c r="D588" s="154"/>
      <c r="F588" s="154"/>
      <c r="G588" s="217"/>
      <c r="I588" s="673"/>
      <c r="J588" s="209"/>
      <c r="K588" s="520"/>
      <c r="L588" s="154"/>
      <c r="M588" s="154"/>
      <c r="N588" s="154"/>
      <c r="O588" s="246"/>
      <c r="P588" s="1597"/>
      <c r="R588" s="1598"/>
      <c r="S588" s="557"/>
      <c r="T588" s="1768"/>
      <c r="V588" s="1769"/>
      <c r="X588" s="1768"/>
      <c r="Z588" s="1769"/>
      <c r="AA588" s="557"/>
      <c r="AK588" s="246"/>
    </row>
    <row r="589" spans="2:37" ht="18" customHeight="1">
      <c r="B589" s="199"/>
      <c r="D589" s="154"/>
      <c r="F589" s="154"/>
      <c r="G589" s="217"/>
      <c r="I589" s="673"/>
      <c r="J589" s="209"/>
      <c r="K589" s="520"/>
      <c r="L589" s="154"/>
      <c r="M589" s="154"/>
      <c r="N589" s="154"/>
      <c r="O589" s="246"/>
      <c r="P589" s="1597"/>
      <c r="R589" s="1598"/>
      <c r="S589" s="557"/>
      <c r="T589" s="1768"/>
      <c r="V589" s="1769"/>
      <c r="X589" s="1768"/>
      <c r="Z589" s="1769"/>
      <c r="AA589" s="557"/>
      <c r="AK589" s="246"/>
    </row>
    <row r="590" spans="2:37" ht="18" customHeight="1">
      <c r="B590" s="199"/>
      <c r="D590" s="154"/>
      <c r="F590" s="154"/>
      <c r="G590" s="217"/>
      <c r="I590" s="673"/>
      <c r="J590" s="209"/>
      <c r="K590" s="520"/>
      <c r="L590" s="154"/>
      <c r="M590" s="154"/>
      <c r="N590" s="154"/>
      <c r="O590" s="246"/>
      <c r="P590" s="1597"/>
      <c r="R590" s="1598"/>
      <c r="S590" s="557"/>
      <c r="T590" s="1768"/>
      <c r="V590" s="1769"/>
      <c r="X590" s="1768"/>
      <c r="Z590" s="1769"/>
      <c r="AA590" s="557"/>
      <c r="AK590" s="246"/>
    </row>
    <row r="591" spans="2:37" ht="18" customHeight="1">
      <c r="B591" s="199"/>
      <c r="D591" s="154"/>
      <c r="F591" s="154"/>
      <c r="G591" s="217"/>
      <c r="I591" s="673"/>
      <c r="J591" s="209"/>
      <c r="K591" s="520"/>
      <c r="L591" s="154"/>
      <c r="M591" s="154"/>
      <c r="N591" s="154"/>
      <c r="O591" s="246"/>
      <c r="P591" s="1597"/>
      <c r="R591" s="1598"/>
      <c r="S591" s="557"/>
      <c r="T591" s="1768"/>
      <c r="V591" s="1769"/>
      <c r="X591" s="1768"/>
      <c r="Z591" s="1769"/>
      <c r="AA591" s="557"/>
      <c r="AK591" s="246"/>
    </row>
    <row r="592" spans="2:37" ht="18" customHeight="1">
      <c r="B592" s="199"/>
      <c r="D592" s="154"/>
      <c r="F592" s="154"/>
      <c r="G592" s="217"/>
      <c r="I592" s="673"/>
      <c r="J592" s="209"/>
      <c r="K592" s="520"/>
      <c r="L592" s="154"/>
      <c r="M592" s="154"/>
      <c r="N592" s="154"/>
      <c r="O592" s="246"/>
      <c r="P592" s="1597"/>
      <c r="R592" s="1598"/>
      <c r="S592" s="557"/>
      <c r="T592" s="1768"/>
      <c r="V592" s="1769"/>
      <c r="X592" s="1768"/>
      <c r="Z592" s="1769"/>
      <c r="AA592" s="557"/>
      <c r="AK592" s="246"/>
    </row>
    <row r="593" spans="2:37" ht="18" customHeight="1">
      <c r="B593" s="199"/>
      <c r="D593" s="154"/>
      <c r="F593" s="154"/>
      <c r="G593" s="217"/>
      <c r="I593" s="673"/>
      <c r="J593" s="209"/>
      <c r="K593" s="520"/>
      <c r="L593" s="154"/>
      <c r="M593" s="154"/>
      <c r="N593" s="154"/>
      <c r="O593" s="246"/>
      <c r="P593" s="1597"/>
      <c r="R593" s="1598"/>
      <c r="S593" s="557"/>
      <c r="T593" s="1768"/>
      <c r="V593" s="1769"/>
      <c r="X593" s="1768"/>
      <c r="Z593" s="1769"/>
      <c r="AA593" s="557"/>
      <c r="AK593" s="246"/>
    </row>
    <row r="594" spans="2:37" ht="18" customHeight="1">
      <c r="B594" s="199"/>
      <c r="D594" s="154"/>
      <c r="F594" s="154"/>
      <c r="G594" s="217"/>
      <c r="I594" s="673"/>
      <c r="J594" s="209"/>
      <c r="K594" s="520"/>
      <c r="L594" s="154"/>
      <c r="M594" s="154"/>
      <c r="N594" s="154"/>
      <c r="O594" s="246"/>
      <c r="P594" s="1597"/>
      <c r="R594" s="1598"/>
      <c r="S594" s="557"/>
      <c r="T594" s="1768"/>
      <c r="V594" s="1769"/>
      <c r="X594" s="1768"/>
      <c r="Z594" s="1769"/>
      <c r="AA594" s="557"/>
      <c r="AK594" s="246"/>
    </row>
    <row r="595" spans="2:37" ht="18" customHeight="1">
      <c r="B595" s="199"/>
      <c r="D595" s="154"/>
      <c r="F595" s="154"/>
      <c r="G595" s="217"/>
      <c r="I595" s="673"/>
      <c r="J595" s="209"/>
      <c r="K595" s="520"/>
      <c r="L595" s="154"/>
      <c r="M595" s="154"/>
      <c r="N595" s="154"/>
      <c r="O595" s="246"/>
      <c r="P595" s="1597"/>
      <c r="R595" s="1598"/>
      <c r="S595" s="557"/>
      <c r="T595" s="1768"/>
      <c r="V595" s="1769"/>
      <c r="X595" s="1768"/>
      <c r="Z595" s="1769"/>
      <c r="AA595" s="557"/>
      <c r="AK595" s="246"/>
    </row>
    <row r="596" spans="2:37" ht="18" customHeight="1">
      <c r="B596" s="199"/>
      <c r="D596" s="154"/>
      <c r="F596" s="154"/>
      <c r="G596" s="217"/>
      <c r="I596" s="673"/>
      <c r="J596" s="209"/>
      <c r="K596" s="520"/>
      <c r="L596" s="154"/>
      <c r="M596" s="154"/>
      <c r="N596" s="154"/>
      <c r="O596" s="246"/>
      <c r="P596" s="1597"/>
      <c r="R596" s="1598"/>
      <c r="S596" s="557"/>
      <c r="T596" s="1768"/>
      <c r="V596" s="1769"/>
      <c r="X596" s="1768"/>
      <c r="Z596" s="1769"/>
      <c r="AA596" s="557"/>
      <c r="AK596" s="246"/>
    </row>
    <row r="597" spans="2:37" ht="18" customHeight="1">
      <c r="B597" s="199"/>
      <c r="D597" s="154"/>
      <c r="F597" s="154"/>
      <c r="G597" s="217"/>
      <c r="I597" s="673"/>
      <c r="J597" s="209"/>
      <c r="K597" s="520"/>
      <c r="L597" s="154"/>
      <c r="M597" s="154"/>
      <c r="N597" s="154"/>
      <c r="O597" s="246"/>
      <c r="P597" s="1597"/>
      <c r="R597" s="1598"/>
      <c r="S597" s="557"/>
      <c r="T597" s="1768"/>
      <c r="V597" s="1769"/>
      <c r="X597" s="1768"/>
      <c r="Z597" s="1769"/>
      <c r="AA597" s="557"/>
      <c r="AK597" s="246"/>
    </row>
    <row r="598" spans="2:37" ht="18" customHeight="1">
      <c r="B598" s="199"/>
      <c r="D598" s="154"/>
      <c r="F598" s="154"/>
      <c r="G598" s="217"/>
      <c r="I598" s="673"/>
      <c r="J598" s="209"/>
      <c r="K598" s="520"/>
      <c r="L598" s="154"/>
      <c r="M598" s="154"/>
      <c r="N598" s="154"/>
      <c r="O598" s="246"/>
      <c r="P598" s="1597"/>
      <c r="R598" s="1598"/>
      <c r="S598" s="557"/>
      <c r="T598" s="1768"/>
      <c r="V598" s="1769"/>
      <c r="X598" s="1768"/>
      <c r="Z598" s="1769"/>
      <c r="AA598" s="557"/>
      <c r="AK598" s="246"/>
    </row>
    <row r="599" spans="2:37" ht="18" customHeight="1">
      <c r="B599" s="199"/>
      <c r="D599" s="154"/>
      <c r="F599" s="154"/>
      <c r="G599" s="217"/>
      <c r="I599" s="673"/>
      <c r="J599" s="209"/>
      <c r="K599" s="520"/>
      <c r="L599" s="154"/>
      <c r="M599" s="154"/>
      <c r="N599" s="154"/>
      <c r="O599" s="246"/>
      <c r="P599" s="1597"/>
      <c r="R599" s="1598"/>
      <c r="S599" s="557"/>
      <c r="T599" s="1768"/>
      <c r="V599" s="1769"/>
      <c r="X599" s="1768"/>
      <c r="Z599" s="1769"/>
      <c r="AA599" s="557"/>
      <c r="AK599" s="246"/>
    </row>
    <row r="600" spans="2:37" ht="18" customHeight="1">
      <c r="B600" s="199"/>
      <c r="D600" s="154"/>
      <c r="F600" s="154"/>
      <c r="G600" s="217"/>
      <c r="I600" s="673"/>
      <c r="J600" s="209"/>
      <c r="K600" s="520"/>
      <c r="L600" s="154"/>
      <c r="M600" s="154"/>
      <c r="N600" s="154"/>
      <c r="O600" s="246"/>
      <c r="P600" s="1597"/>
      <c r="R600" s="1598"/>
      <c r="S600" s="557"/>
      <c r="T600" s="1768"/>
      <c r="V600" s="1769"/>
      <c r="X600" s="1768"/>
      <c r="Z600" s="1769"/>
      <c r="AA600" s="557"/>
      <c r="AK600" s="246"/>
    </row>
    <row r="601" spans="2:37" ht="18" customHeight="1">
      <c r="B601" s="199"/>
      <c r="D601" s="154"/>
      <c r="F601" s="154"/>
      <c r="G601" s="217"/>
      <c r="I601" s="673"/>
      <c r="J601" s="209"/>
      <c r="K601" s="520"/>
      <c r="L601" s="154"/>
      <c r="M601" s="154"/>
      <c r="N601" s="154"/>
      <c r="O601" s="246"/>
      <c r="P601" s="1597"/>
      <c r="R601" s="1598"/>
      <c r="S601" s="557"/>
      <c r="T601" s="1768"/>
      <c r="V601" s="1769"/>
      <c r="X601" s="1768"/>
      <c r="Z601" s="1769"/>
      <c r="AA601" s="557"/>
      <c r="AK601" s="246"/>
    </row>
    <row r="602" spans="2:37" ht="18" customHeight="1">
      <c r="B602" s="199"/>
      <c r="D602" s="154"/>
      <c r="F602" s="154"/>
      <c r="G602" s="217"/>
      <c r="I602" s="673"/>
      <c r="J602" s="209"/>
      <c r="K602" s="520"/>
      <c r="L602" s="154"/>
      <c r="M602" s="154"/>
      <c r="N602" s="154"/>
      <c r="O602" s="246"/>
      <c r="P602" s="1597"/>
      <c r="R602" s="1598"/>
      <c r="S602" s="557"/>
      <c r="T602" s="1768"/>
      <c r="V602" s="1769"/>
      <c r="X602" s="1768"/>
      <c r="Z602" s="1769"/>
      <c r="AA602" s="557"/>
      <c r="AK602" s="246"/>
    </row>
    <row r="603" spans="2:37" ht="18" customHeight="1">
      <c r="B603" s="199"/>
      <c r="D603" s="154"/>
      <c r="F603" s="154"/>
      <c r="G603" s="217"/>
      <c r="I603" s="673"/>
      <c r="J603" s="209"/>
      <c r="K603" s="520"/>
      <c r="L603" s="154"/>
      <c r="M603" s="154"/>
      <c r="N603" s="154"/>
      <c r="O603" s="246"/>
      <c r="P603" s="1597"/>
      <c r="R603" s="1598"/>
      <c r="S603" s="557"/>
      <c r="T603" s="1768"/>
      <c r="V603" s="1769"/>
      <c r="X603" s="1768"/>
      <c r="Z603" s="1769"/>
      <c r="AA603" s="557"/>
      <c r="AK603" s="246"/>
    </row>
    <row r="604" spans="2:37" ht="18" customHeight="1">
      <c r="B604" s="199"/>
      <c r="D604" s="154"/>
      <c r="F604" s="154"/>
      <c r="G604" s="217"/>
      <c r="I604" s="673"/>
      <c r="J604" s="209"/>
      <c r="K604" s="520"/>
      <c r="L604" s="154"/>
      <c r="M604" s="154"/>
      <c r="N604" s="154"/>
      <c r="O604" s="246"/>
      <c r="P604" s="1597"/>
      <c r="R604" s="1598"/>
      <c r="S604" s="557"/>
      <c r="T604" s="1768"/>
      <c r="V604" s="1769"/>
      <c r="X604" s="1768"/>
      <c r="Z604" s="1769"/>
      <c r="AA604" s="557"/>
      <c r="AK604" s="246"/>
    </row>
    <row r="605" spans="2:37" ht="18" customHeight="1">
      <c r="B605" s="199"/>
      <c r="D605" s="154"/>
      <c r="F605" s="154"/>
      <c r="G605" s="217"/>
      <c r="I605" s="673"/>
      <c r="J605" s="209"/>
      <c r="K605" s="520"/>
      <c r="L605" s="154"/>
      <c r="M605" s="154"/>
      <c r="N605" s="154"/>
      <c r="O605" s="246"/>
      <c r="P605" s="1597"/>
      <c r="R605" s="1598"/>
      <c r="S605" s="557"/>
      <c r="T605" s="1768"/>
      <c r="V605" s="1769"/>
      <c r="X605" s="1768"/>
      <c r="Z605" s="1769"/>
      <c r="AA605" s="557"/>
      <c r="AK605" s="246"/>
    </row>
    <row r="606" spans="2:37" ht="18" customHeight="1">
      <c r="B606" s="199"/>
      <c r="D606" s="154"/>
      <c r="F606" s="154"/>
      <c r="G606" s="217"/>
      <c r="I606" s="673"/>
      <c r="J606" s="209"/>
      <c r="K606" s="520"/>
      <c r="L606" s="154"/>
      <c r="M606" s="154"/>
      <c r="N606" s="154"/>
      <c r="O606" s="246"/>
      <c r="P606" s="1597"/>
      <c r="R606" s="1598"/>
      <c r="S606" s="557"/>
      <c r="T606" s="1768"/>
      <c r="V606" s="1769"/>
      <c r="X606" s="1768"/>
      <c r="Z606" s="1769"/>
      <c r="AA606" s="557"/>
      <c r="AK606" s="246"/>
    </row>
    <row r="607" spans="2:37" ht="18" customHeight="1">
      <c r="B607" s="199"/>
      <c r="D607" s="154"/>
      <c r="F607" s="154"/>
      <c r="G607" s="217"/>
      <c r="I607" s="673"/>
      <c r="J607" s="209"/>
      <c r="K607" s="520"/>
      <c r="L607" s="154"/>
      <c r="M607" s="154"/>
      <c r="N607" s="154"/>
      <c r="O607" s="246"/>
      <c r="P607" s="1597"/>
      <c r="R607" s="1598"/>
      <c r="S607" s="557"/>
      <c r="T607" s="1768"/>
      <c r="V607" s="1769"/>
      <c r="X607" s="1768"/>
      <c r="Z607" s="1769"/>
      <c r="AA607" s="557"/>
      <c r="AK607" s="246"/>
    </row>
    <row r="608" spans="2:37" ht="18" customHeight="1">
      <c r="B608" s="199"/>
      <c r="D608" s="154"/>
      <c r="F608" s="154"/>
      <c r="G608" s="217"/>
      <c r="I608" s="673"/>
      <c r="J608" s="209"/>
      <c r="K608" s="520"/>
      <c r="L608" s="154"/>
      <c r="M608" s="154"/>
      <c r="N608" s="154"/>
      <c r="O608" s="246"/>
      <c r="P608" s="1597"/>
      <c r="R608" s="1598"/>
      <c r="S608" s="557"/>
      <c r="T608" s="1768"/>
      <c r="V608" s="1769"/>
      <c r="X608" s="1768"/>
      <c r="Z608" s="1769"/>
      <c r="AA608" s="557"/>
      <c r="AK608" s="246"/>
    </row>
    <row r="609" spans="2:37" ht="18" customHeight="1">
      <c r="B609" s="199"/>
      <c r="D609" s="154"/>
      <c r="F609" s="154"/>
      <c r="G609" s="217"/>
      <c r="I609" s="673"/>
      <c r="J609" s="209"/>
      <c r="K609" s="520"/>
      <c r="L609" s="154"/>
      <c r="M609" s="154"/>
      <c r="N609" s="154"/>
      <c r="O609" s="246"/>
      <c r="P609" s="1597"/>
      <c r="R609" s="1598"/>
      <c r="S609" s="557"/>
      <c r="T609" s="1768"/>
      <c r="V609" s="1769"/>
      <c r="X609" s="1768"/>
      <c r="Z609" s="1769"/>
      <c r="AA609" s="557"/>
      <c r="AK609" s="246"/>
    </row>
    <row r="610" spans="2:37" ht="18" customHeight="1">
      <c r="B610" s="199"/>
      <c r="D610" s="154"/>
      <c r="F610" s="154"/>
      <c r="G610" s="217"/>
      <c r="I610" s="673"/>
      <c r="J610" s="209"/>
      <c r="K610" s="520"/>
      <c r="L610" s="154"/>
      <c r="M610" s="154"/>
      <c r="N610" s="154"/>
      <c r="O610" s="246"/>
      <c r="P610" s="1597"/>
      <c r="R610" s="1598"/>
      <c r="S610" s="557"/>
      <c r="T610" s="1768"/>
      <c r="V610" s="1769"/>
      <c r="X610" s="1768"/>
      <c r="Z610" s="1769"/>
      <c r="AA610" s="557"/>
      <c r="AK610" s="246"/>
    </row>
    <row r="611" spans="2:37" ht="18" customHeight="1">
      <c r="B611" s="199"/>
      <c r="D611" s="154"/>
      <c r="F611" s="154"/>
      <c r="G611" s="217"/>
      <c r="I611" s="673"/>
      <c r="J611" s="209"/>
      <c r="K611" s="520"/>
      <c r="L611" s="154"/>
      <c r="M611" s="154"/>
      <c r="N611" s="154"/>
      <c r="O611" s="246"/>
      <c r="P611" s="1597"/>
      <c r="R611" s="1598"/>
      <c r="S611" s="557"/>
      <c r="T611" s="1768"/>
      <c r="V611" s="1769"/>
      <c r="X611" s="1768"/>
      <c r="Z611" s="1769"/>
      <c r="AA611" s="557"/>
      <c r="AK611" s="246"/>
    </row>
    <row r="612" spans="2:37" ht="18" customHeight="1">
      <c r="B612" s="199"/>
      <c r="D612" s="154"/>
      <c r="F612" s="154"/>
      <c r="G612" s="217"/>
      <c r="I612" s="673"/>
      <c r="J612" s="209"/>
      <c r="K612" s="520"/>
      <c r="L612" s="154"/>
      <c r="M612" s="154"/>
      <c r="N612" s="154"/>
      <c r="O612" s="246"/>
      <c r="P612" s="1597"/>
      <c r="R612" s="1598"/>
      <c r="S612" s="557"/>
      <c r="T612" s="1768"/>
      <c r="V612" s="1769"/>
      <c r="X612" s="1768"/>
      <c r="Z612" s="1769"/>
      <c r="AA612" s="557"/>
      <c r="AK612" s="246"/>
    </row>
    <row r="613" spans="2:37" ht="18" customHeight="1">
      <c r="B613" s="199"/>
      <c r="D613" s="154"/>
      <c r="F613" s="154"/>
      <c r="G613" s="217"/>
      <c r="I613" s="673"/>
      <c r="J613" s="209"/>
      <c r="K613" s="520"/>
      <c r="L613" s="154"/>
      <c r="M613" s="154"/>
      <c r="N613" s="154"/>
      <c r="O613" s="246"/>
      <c r="P613" s="1597"/>
      <c r="R613" s="1598"/>
      <c r="S613" s="557"/>
      <c r="T613" s="1768"/>
      <c r="V613" s="1769"/>
      <c r="X613" s="1768"/>
      <c r="Z613" s="1769"/>
      <c r="AA613" s="557"/>
      <c r="AK613" s="246"/>
    </row>
    <row r="614" spans="2:37" ht="18" customHeight="1">
      <c r="B614" s="199"/>
      <c r="D614" s="154"/>
      <c r="F614" s="154"/>
      <c r="G614" s="217"/>
      <c r="I614" s="673"/>
      <c r="J614" s="209"/>
      <c r="K614" s="520"/>
      <c r="L614" s="154"/>
      <c r="M614" s="154"/>
      <c r="N614" s="154"/>
      <c r="O614" s="246"/>
      <c r="P614" s="1597"/>
      <c r="R614" s="1598"/>
      <c r="S614" s="557"/>
      <c r="T614" s="1768"/>
      <c r="V614" s="1769"/>
      <c r="X614" s="1768"/>
      <c r="Z614" s="1769"/>
      <c r="AA614" s="557"/>
      <c r="AK614" s="246"/>
    </row>
    <row r="615" spans="2:37" ht="18" customHeight="1">
      <c r="B615" s="199"/>
      <c r="D615" s="154"/>
      <c r="F615" s="154"/>
      <c r="G615" s="217"/>
      <c r="I615" s="673"/>
      <c r="J615" s="209"/>
      <c r="K615" s="520"/>
      <c r="L615" s="154"/>
      <c r="M615" s="154"/>
      <c r="N615" s="154"/>
      <c r="O615" s="246"/>
      <c r="P615" s="1597"/>
      <c r="R615" s="1598"/>
      <c r="S615" s="557"/>
      <c r="T615" s="1768"/>
      <c r="V615" s="1769"/>
      <c r="X615" s="1768"/>
      <c r="Z615" s="1769"/>
      <c r="AA615" s="557"/>
      <c r="AK615" s="246"/>
    </row>
    <row r="616" spans="2:37" ht="18" customHeight="1">
      <c r="B616" s="199"/>
      <c r="D616" s="154"/>
      <c r="F616" s="154"/>
      <c r="G616" s="217"/>
      <c r="I616" s="673"/>
      <c r="J616" s="209"/>
      <c r="K616" s="520"/>
      <c r="L616" s="154"/>
      <c r="M616" s="154"/>
      <c r="N616" s="154"/>
      <c r="O616" s="246"/>
      <c r="P616" s="1597"/>
      <c r="R616" s="1598"/>
      <c r="S616" s="557"/>
      <c r="T616" s="1768"/>
      <c r="V616" s="1769"/>
      <c r="X616" s="1768"/>
      <c r="Z616" s="1769"/>
      <c r="AA616" s="557"/>
      <c r="AK616" s="246"/>
    </row>
    <row r="617" spans="2:37" ht="18" customHeight="1">
      <c r="B617" s="199"/>
      <c r="D617" s="154"/>
      <c r="F617" s="154"/>
      <c r="G617" s="217"/>
      <c r="I617" s="673"/>
      <c r="J617" s="209"/>
      <c r="K617" s="520"/>
      <c r="L617" s="154"/>
      <c r="M617" s="154"/>
      <c r="N617" s="154"/>
      <c r="O617" s="246"/>
      <c r="P617" s="1597"/>
      <c r="R617" s="1598"/>
      <c r="S617" s="557"/>
      <c r="T617" s="1768"/>
      <c r="V617" s="1769"/>
      <c r="X617" s="1768"/>
      <c r="Z617" s="1769"/>
      <c r="AA617" s="557"/>
      <c r="AK617" s="246"/>
    </row>
    <row r="618" spans="2:37" ht="18" customHeight="1">
      <c r="B618" s="199"/>
      <c r="D618" s="154"/>
      <c r="F618" s="154"/>
      <c r="G618" s="217"/>
      <c r="I618" s="673"/>
      <c r="J618" s="209"/>
      <c r="K618" s="520"/>
      <c r="L618" s="154"/>
      <c r="M618" s="154"/>
      <c r="N618" s="154"/>
      <c r="O618" s="246"/>
      <c r="P618" s="1597"/>
      <c r="R618" s="1598"/>
      <c r="S618" s="557"/>
      <c r="T618" s="1768"/>
      <c r="V618" s="1769"/>
      <c r="X618" s="1768"/>
      <c r="Z618" s="1769"/>
      <c r="AA618" s="557"/>
      <c r="AK618" s="246"/>
    </row>
    <row r="619" spans="2:37" ht="18" customHeight="1">
      <c r="B619" s="199"/>
      <c r="D619" s="154"/>
      <c r="F619" s="154"/>
      <c r="G619" s="217"/>
      <c r="I619" s="673"/>
      <c r="J619" s="209"/>
      <c r="K619" s="520"/>
      <c r="L619" s="154"/>
      <c r="M619" s="154"/>
      <c r="N619" s="154"/>
      <c r="O619" s="246"/>
      <c r="P619" s="1597"/>
      <c r="R619" s="1598"/>
      <c r="S619" s="557"/>
      <c r="T619" s="1768"/>
      <c r="V619" s="1769"/>
      <c r="X619" s="1768"/>
      <c r="Z619" s="1769"/>
      <c r="AA619" s="557"/>
      <c r="AK619" s="246"/>
    </row>
    <row r="620" spans="2:37" ht="18" customHeight="1">
      <c r="B620" s="199"/>
      <c r="D620" s="154"/>
      <c r="F620" s="154"/>
      <c r="G620" s="217"/>
      <c r="I620" s="673"/>
      <c r="J620" s="209"/>
      <c r="K620" s="520"/>
      <c r="L620" s="154"/>
      <c r="M620" s="154"/>
      <c r="N620" s="154"/>
      <c r="O620" s="246"/>
      <c r="P620" s="1597"/>
      <c r="R620" s="1598"/>
      <c r="S620" s="557"/>
      <c r="T620" s="1768"/>
      <c r="V620" s="1769"/>
      <c r="X620" s="1768"/>
      <c r="Z620" s="1769"/>
      <c r="AA620" s="557"/>
      <c r="AK620" s="246"/>
    </row>
    <row r="621" spans="2:37" ht="18" customHeight="1">
      <c r="B621" s="199"/>
      <c r="D621" s="154"/>
      <c r="F621" s="154"/>
      <c r="G621" s="217"/>
      <c r="I621" s="673"/>
      <c r="J621" s="209"/>
      <c r="K621" s="520"/>
      <c r="L621" s="154"/>
      <c r="M621" s="154"/>
      <c r="N621" s="154"/>
      <c r="O621" s="246"/>
      <c r="P621" s="1597"/>
      <c r="R621" s="1598"/>
      <c r="S621" s="557"/>
      <c r="T621" s="1768"/>
      <c r="V621" s="1769"/>
      <c r="X621" s="1768"/>
      <c r="Z621" s="1769"/>
      <c r="AA621" s="557"/>
      <c r="AK621" s="246"/>
    </row>
    <row r="622" spans="2:37" ht="18" customHeight="1">
      <c r="B622" s="199"/>
      <c r="D622" s="154"/>
      <c r="F622" s="154"/>
      <c r="G622" s="217"/>
      <c r="I622" s="673"/>
      <c r="J622" s="209"/>
      <c r="K622" s="520"/>
      <c r="L622" s="154"/>
      <c r="M622" s="154"/>
      <c r="N622" s="154"/>
      <c r="O622" s="246"/>
      <c r="P622" s="1597"/>
      <c r="R622" s="1598"/>
      <c r="S622" s="557"/>
      <c r="T622" s="1768"/>
      <c r="V622" s="1769"/>
      <c r="X622" s="1768"/>
      <c r="Z622" s="1769"/>
      <c r="AA622" s="557"/>
      <c r="AK622" s="246"/>
    </row>
    <row r="623" spans="2:37" ht="18" customHeight="1">
      <c r="B623" s="199"/>
      <c r="D623" s="154"/>
      <c r="F623" s="154"/>
      <c r="G623" s="217"/>
      <c r="I623" s="673"/>
      <c r="J623" s="209"/>
      <c r="K623" s="520"/>
      <c r="L623" s="154"/>
      <c r="M623" s="154"/>
      <c r="N623" s="154"/>
      <c r="O623" s="246"/>
      <c r="P623" s="1597"/>
      <c r="R623" s="1598"/>
      <c r="S623" s="557"/>
      <c r="T623" s="1768"/>
      <c r="V623" s="1769"/>
      <c r="X623" s="1768"/>
      <c r="Z623" s="1769"/>
      <c r="AA623" s="557"/>
      <c r="AK623" s="246"/>
    </row>
    <row r="624" spans="2:37" ht="18" customHeight="1">
      <c r="B624" s="199"/>
      <c r="D624" s="154"/>
      <c r="F624" s="154"/>
      <c r="G624" s="217"/>
      <c r="I624" s="673"/>
      <c r="J624" s="209"/>
      <c r="K624" s="520"/>
      <c r="L624" s="154"/>
      <c r="M624" s="154"/>
      <c r="N624" s="154"/>
      <c r="O624" s="246"/>
      <c r="P624" s="1597"/>
      <c r="R624" s="1598"/>
      <c r="S624" s="557"/>
      <c r="T624" s="1768"/>
      <c r="V624" s="1769"/>
      <c r="X624" s="1768"/>
      <c r="Z624" s="1769"/>
      <c r="AA624" s="557"/>
      <c r="AK624" s="246"/>
    </row>
    <row r="625" spans="2:37" ht="18" customHeight="1">
      <c r="B625" s="199"/>
      <c r="D625" s="154"/>
      <c r="F625" s="154"/>
      <c r="G625" s="217"/>
      <c r="I625" s="673"/>
      <c r="J625" s="209"/>
      <c r="K625" s="520"/>
      <c r="L625" s="154"/>
      <c r="M625" s="154"/>
      <c r="N625" s="154"/>
      <c r="O625" s="246"/>
      <c r="P625" s="1597"/>
      <c r="R625" s="1598"/>
      <c r="S625" s="557"/>
      <c r="T625" s="1768"/>
      <c r="V625" s="1769"/>
      <c r="X625" s="1768"/>
      <c r="Z625" s="1769"/>
      <c r="AA625" s="557"/>
      <c r="AK625" s="246"/>
    </row>
    <row r="626" spans="2:37" ht="18" customHeight="1">
      <c r="B626" s="199"/>
      <c r="D626" s="154"/>
      <c r="F626" s="154"/>
      <c r="G626" s="217"/>
      <c r="I626" s="673"/>
      <c r="J626" s="209"/>
      <c r="K626" s="520"/>
      <c r="L626" s="154"/>
      <c r="M626" s="154"/>
      <c r="N626" s="154"/>
      <c r="O626" s="246"/>
      <c r="P626" s="1597"/>
      <c r="R626" s="1598"/>
      <c r="S626" s="557"/>
      <c r="T626" s="1768"/>
      <c r="V626" s="1769"/>
      <c r="X626" s="1768"/>
      <c r="Z626" s="1769"/>
      <c r="AA626" s="557"/>
      <c r="AK626" s="246"/>
    </row>
    <row r="627" spans="2:37" ht="18" customHeight="1">
      <c r="B627" s="199"/>
      <c r="D627" s="154"/>
      <c r="F627" s="154"/>
      <c r="G627" s="217"/>
      <c r="I627" s="673"/>
      <c r="J627" s="209"/>
      <c r="K627" s="520"/>
      <c r="L627" s="154"/>
      <c r="M627" s="154"/>
      <c r="N627" s="154"/>
      <c r="O627" s="246"/>
      <c r="P627" s="1597"/>
      <c r="R627" s="1598"/>
      <c r="S627" s="557"/>
      <c r="T627" s="1768"/>
      <c r="V627" s="1769"/>
      <c r="X627" s="1768"/>
      <c r="Z627" s="1769"/>
      <c r="AA627" s="557"/>
      <c r="AK627" s="246"/>
    </row>
    <row r="628" spans="2:37" ht="18" customHeight="1">
      <c r="B628" s="199"/>
      <c r="D628" s="154"/>
      <c r="F628" s="154"/>
      <c r="G628" s="217"/>
      <c r="I628" s="673"/>
      <c r="J628" s="209"/>
      <c r="K628" s="520"/>
      <c r="L628" s="154"/>
      <c r="M628" s="154"/>
      <c r="N628" s="154"/>
      <c r="O628" s="246"/>
      <c r="P628" s="1597"/>
      <c r="R628" s="1598"/>
      <c r="S628" s="557"/>
      <c r="T628" s="1768"/>
      <c r="V628" s="1769"/>
      <c r="X628" s="1768"/>
      <c r="Z628" s="1769"/>
      <c r="AA628" s="557"/>
      <c r="AK628" s="246"/>
    </row>
    <row r="629" spans="2:37" ht="18" customHeight="1">
      <c r="B629" s="199"/>
      <c r="D629" s="154"/>
      <c r="F629" s="154"/>
      <c r="G629" s="217"/>
      <c r="I629" s="673"/>
      <c r="J629" s="209"/>
      <c r="K629" s="520"/>
      <c r="L629" s="154"/>
      <c r="M629" s="154"/>
      <c r="N629" s="154"/>
      <c r="O629" s="246"/>
      <c r="P629" s="1597"/>
      <c r="R629" s="1598"/>
      <c r="S629" s="557"/>
      <c r="T629" s="1768"/>
      <c r="V629" s="1769"/>
      <c r="X629" s="1768"/>
      <c r="Z629" s="1769"/>
      <c r="AA629" s="557"/>
      <c r="AK629" s="246"/>
    </row>
    <row r="630" spans="2:37" ht="18" customHeight="1">
      <c r="B630" s="199"/>
      <c r="D630" s="154"/>
      <c r="F630" s="154"/>
      <c r="G630" s="217"/>
      <c r="I630" s="673"/>
      <c r="J630" s="209"/>
      <c r="K630" s="520"/>
      <c r="L630" s="154"/>
      <c r="M630" s="154"/>
      <c r="N630" s="154"/>
      <c r="O630" s="246"/>
      <c r="P630" s="1597"/>
      <c r="R630" s="1598"/>
      <c r="S630" s="557"/>
      <c r="T630" s="1768"/>
      <c r="V630" s="1769"/>
      <c r="X630" s="1768"/>
      <c r="Z630" s="1769"/>
      <c r="AA630" s="557"/>
      <c r="AK630" s="246"/>
    </row>
    <row r="631" spans="2:37" ht="18" customHeight="1">
      <c r="B631" s="199"/>
      <c r="D631" s="154"/>
      <c r="F631" s="154"/>
      <c r="G631" s="217"/>
      <c r="I631" s="673"/>
      <c r="J631" s="209"/>
      <c r="K631" s="520"/>
      <c r="L631" s="154"/>
      <c r="M631" s="154"/>
      <c r="N631" s="154"/>
      <c r="O631" s="246"/>
      <c r="P631" s="1597"/>
      <c r="R631" s="1598"/>
      <c r="S631" s="557"/>
      <c r="T631" s="1768"/>
      <c r="V631" s="1769"/>
      <c r="X631" s="1768"/>
      <c r="Z631" s="1769"/>
      <c r="AA631" s="557"/>
      <c r="AK631" s="246"/>
    </row>
    <row r="632" spans="2:37" ht="18" customHeight="1">
      <c r="B632" s="199"/>
      <c r="D632" s="154"/>
      <c r="F632" s="154"/>
      <c r="G632" s="217"/>
      <c r="I632" s="673"/>
      <c r="J632" s="209"/>
      <c r="K632" s="520"/>
      <c r="L632" s="154"/>
      <c r="M632" s="154"/>
      <c r="N632" s="154"/>
      <c r="O632" s="246"/>
      <c r="P632" s="1597"/>
      <c r="R632" s="1598"/>
      <c r="S632" s="557"/>
      <c r="T632" s="1768"/>
      <c r="V632" s="1769"/>
      <c r="X632" s="1768"/>
      <c r="Z632" s="1769"/>
      <c r="AA632" s="557"/>
      <c r="AK632" s="246"/>
    </row>
    <row r="633" spans="2:37" ht="18" customHeight="1">
      <c r="B633" s="199"/>
      <c r="D633" s="154"/>
      <c r="F633" s="154"/>
      <c r="G633" s="217"/>
      <c r="I633" s="673"/>
      <c r="J633" s="209"/>
      <c r="K633" s="520"/>
      <c r="L633" s="154"/>
      <c r="M633" s="154"/>
      <c r="N633" s="154"/>
      <c r="O633" s="246"/>
      <c r="P633" s="1597"/>
      <c r="R633" s="1598"/>
      <c r="S633" s="557"/>
      <c r="T633" s="1768"/>
      <c r="V633" s="1769"/>
      <c r="X633" s="1768"/>
      <c r="Z633" s="1769"/>
      <c r="AA633" s="557"/>
      <c r="AK633" s="246"/>
    </row>
    <row r="634" spans="2:37" ht="18" customHeight="1">
      <c r="B634" s="199"/>
      <c r="D634" s="154"/>
      <c r="F634" s="154"/>
      <c r="G634" s="217"/>
      <c r="I634" s="673"/>
      <c r="J634" s="209"/>
      <c r="K634" s="520"/>
      <c r="L634" s="154"/>
      <c r="M634" s="154"/>
      <c r="N634" s="154"/>
      <c r="O634" s="246"/>
      <c r="P634" s="1597"/>
      <c r="R634" s="1598"/>
      <c r="S634" s="557"/>
      <c r="T634" s="1768"/>
      <c r="V634" s="1769"/>
      <c r="X634" s="1768"/>
      <c r="Z634" s="1769"/>
      <c r="AA634" s="557"/>
      <c r="AK634" s="246"/>
    </row>
    <row r="635" spans="2:37" ht="18" customHeight="1">
      <c r="B635" s="199"/>
      <c r="D635" s="154"/>
      <c r="F635" s="154"/>
      <c r="G635" s="217"/>
      <c r="I635" s="673"/>
      <c r="J635" s="209"/>
      <c r="K635" s="520"/>
      <c r="L635" s="154"/>
      <c r="M635" s="154"/>
      <c r="N635" s="154"/>
      <c r="O635" s="246"/>
      <c r="P635" s="1597"/>
      <c r="R635" s="1598"/>
      <c r="S635" s="557"/>
      <c r="T635" s="1768"/>
      <c r="V635" s="1769"/>
      <c r="X635" s="1768"/>
      <c r="Z635" s="1769"/>
      <c r="AA635" s="557"/>
      <c r="AK635" s="246"/>
    </row>
    <row r="636" spans="2:37" ht="18" customHeight="1">
      <c r="B636" s="199"/>
      <c r="D636" s="154"/>
      <c r="F636" s="154"/>
      <c r="G636" s="217"/>
      <c r="I636" s="673"/>
      <c r="J636" s="209"/>
      <c r="K636" s="520"/>
      <c r="L636" s="154"/>
      <c r="M636" s="154"/>
      <c r="N636" s="154"/>
      <c r="O636" s="246"/>
      <c r="P636" s="1597"/>
      <c r="R636" s="1598"/>
      <c r="S636" s="557"/>
      <c r="T636" s="1768"/>
      <c r="V636" s="1769"/>
      <c r="X636" s="1768"/>
      <c r="Z636" s="1769"/>
      <c r="AA636" s="557"/>
      <c r="AK636" s="246"/>
    </row>
    <row r="637" spans="2:37" ht="18" customHeight="1">
      <c r="B637" s="199"/>
      <c r="D637" s="154"/>
      <c r="F637" s="154"/>
      <c r="G637" s="217"/>
      <c r="I637" s="673"/>
      <c r="J637" s="209"/>
      <c r="K637" s="520"/>
      <c r="L637" s="154"/>
      <c r="M637" s="154"/>
      <c r="N637" s="154"/>
      <c r="O637" s="246"/>
      <c r="P637" s="1597"/>
      <c r="R637" s="1598"/>
      <c r="S637" s="557"/>
      <c r="T637" s="1768"/>
      <c r="V637" s="1769"/>
      <c r="X637" s="1768"/>
      <c r="Z637" s="1769"/>
      <c r="AA637" s="557"/>
      <c r="AK637" s="246"/>
    </row>
    <row r="638" spans="2:37" ht="18" customHeight="1">
      <c r="B638" s="199"/>
      <c r="D638" s="154"/>
      <c r="F638" s="154"/>
      <c r="G638" s="217"/>
      <c r="I638" s="673"/>
      <c r="J638" s="209"/>
      <c r="K638" s="520"/>
      <c r="L638" s="154"/>
      <c r="M638" s="154"/>
      <c r="N638" s="154"/>
      <c r="O638" s="246"/>
      <c r="P638" s="1597"/>
      <c r="R638" s="1598"/>
      <c r="S638" s="557"/>
      <c r="T638" s="1768"/>
      <c r="V638" s="1769"/>
      <c r="X638" s="1768"/>
      <c r="Z638" s="1769"/>
      <c r="AA638" s="557"/>
      <c r="AK638" s="246"/>
    </row>
    <row r="639" spans="2:37" ht="18" customHeight="1">
      <c r="B639" s="199"/>
      <c r="D639" s="154"/>
      <c r="F639" s="154"/>
      <c r="G639" s="217"/>
      <c r="I639" s="673"/>
      <c r="J639" s="209"/>
      <c r="K639" s="520"/>
      <c r="L639" s="154"/>
      <c r="M639" s="154"/>
      <c r="N639" s="154"/>
      <c r="O639" s="246"/>
      <c r="P639" s="1597"/>
      <c r="R639" s="1598"/>
      <c r="S639" s="557"/>
      <c r="T639" s="1768"/>
      <c r="V639" s="1769"/>
      <c r="X639" s="1768"/>
      <c r="Z639" s="1769"/>
      <c r="AA639" s="557"/>
      <c r="AK639" s="246"/>
    </row>
    <row r="640" spans="2:37" ht="18" customHeight="1">
      <c r="B640" s="199"/>
      <c r="D640" s="154"/>
      <c r="F640" s="154"/>
      <c r="G640" s="217"/>
      <c r="I640" s="673"/>
      <c r="J640" s="209"/>
      <c r="K640" s="520"/>
      <c r="L640" s="154"/>
      <c r="M640" s="154"/>
      <c r="N640" s="154"/>
      <c r="O640" s="246"/>
      <c r="P640" s="1597"/>
      <c r="R640" s="1598"/>
      <c r="S640" s="557"/>
      <c r="T640" s="1768"/>
      <c r="V640" s="1769"/>
      <c r="X640" s="1768"/>
      <c r="Z640" s="1769"/>
      <c r="AA640" s="557"/>
      <c r="AK640" s="246"/>
    </row>
    <row r="641" spans="2:37" ht="18" customHeight="1">
      <c r="B641" s="199"/>
      <c r="D641" s="154"/>
      <c r="F641" s="154"/>
      <c r="G641" s="217"/>
      <c r="I641" s="673"/>
      <c r="J641" s="209"/>
      <c r="K641" s="520"/>
      <c r="L641" s="154"/>
      <c r="M641" s="154"/>
      <c r="N641" s="154"/>
      <c r="O641" s="246"/>
      <c r="P641" s="1597"/>
      <c r="R641" s="1598"/>
      <c r="S641" s="557"/>
      <c r="T641" s="1768"/>
      <c r="V641" s="1769"/>
      <c r="X641" s="1768"/>
      <c r="Z641" s="1769"/>
      <c r="AA641" s="557"/>
      <c r="AK641" s="246"/>
    </row>
    <row r="642" spans="2:37" ht="18" customHeight="1">
      <c r="B642" s="199"/>
      <c r="D642" s="154"/>
      <c r="F642" s="154"/>
      <c r="G642" s="217"/>
      <c r="I642" s="673"/>
      <c r="J642" s="209"/>
      <c r="K642" s="520"/>
      <c r="L642" s="154"/>
      <c r="M642" s="154"/>
      <c r="N642" s="154"/>
      <c r="O642" s="246"/>
      <c r="P642" s="1597"/>
      <c r="R642" s="1598"/>
      <c r="S642" s="557"/>
      <c r="T642" s="1768"/>
      <c r="V642" s="1769"/>
      <c r="X642" s="1768"/>
      <c r="Z642" s="1769"/>
      <c r="AA642" s="557"/>
      <c r="AK642" s="246"/>
    </row>
    <row r="643" spans="2:37" ht="18" customHeight="1">
      <c r="B643" s="199"/>
      <c r="D643" s="154"/>
      <c r="F643" s="154"/>
      <c r="G643" s="217"/>
      <c r="I643" s="673"/>
      <c r="J643" s="209"/>
      <c r="K643" s="520"/>
      <c r="L643" s="154"/>
      <c r="M643" s="154"/>
      <c r="N643" s="154"/>
      <c r="O643" s="246"/>
      <c r="P643" s="1597"/>
      <c r="R643" s="1598"/>
      <c r="S643" s="557"/>
      <c r="T643" s="1768"/>
      <c r="V643" s="1769"/>
      <c r="X643" s="1768"/>
      <c r="Z643" s="1769"/>
      <c r="AA643" s="557"/>
      <c r="AK643" s="246"/>
    </row>
    <row r="644" spans="2:37" ht="18" customHeight="1">
      <c r="B644" s="199"/>
      <c r="D644" s="154"/>
      <c r="F644" s="154"/>
      <c r="G644" s="217"/>
      <c r="I644" s="673"/>
      <c r="J644" s="209"/>
      <c r="K644" s="520"/>
      <c r="L644" s="154"/>
      <c r="M644" s="154"/>
      <c r="N644" s="154"/>
      <c r="O644" s="246"/>
      <c r="P644" s="1597"/>
      <c r="R644" s="1598"/>
      <c r="S644" s="557"/>
      <c r="T644" s="1768"/>
      <c r="V644" s="1769"/>
      <c r="X644" s="1768"/>
      <c r="Z644" s="1769"/>
      <c r="AA644" s="557"/>
      <c r="AK644" s="246"/>
    </row>
    <row r="645" spans="2:37" ht="18" customHeight="1">
      <c r="B645" s="199"/>
      <c r="D645" s="154"/>
      <c r="F645" s="154"/>
      <c r="G645" s="217"/>
      <c r="I645" s="673"/>
      <c r="J645" s="209"/>
      <c r="K645" s="520"/>
      <c r="L645" s="154"/>
      <c r="M645" s="154"/>
      <c r="N645" s="154"/>
      <c r="O645" s="246"/>
      <c r="P645" s="1597"/>
      <c r="R645" s="1598"/>
      <c r="S645" s="557"/>
      <c r="T645" s="1768"/>
      <c r="V645" s="1769"/>
      <c r="X645" s="1768"/>
      <c r="Z645" s="1769"/>
      <c r="AA645" s="557"/>
      <c r="AK645" s="246"/>
    </row>
    <row r="646" spans="2:37" ht="18" customHeight="1">
      <c r="B646" s="199"/>
      <c r="D646" s="154"/>
      <c r="F646" s="154"/>
      <c r="G646" s="217"/>
      <c r="I646" s="673"/>
      <c r="J646" s="209"/>
      <c r="K646" s="520"/>
      <c r="L646" s="154"/>
      <c r="M646" s="154"/>
      <c r="N646" s="154"/>
      <c r="O646" s="246"/>
      <c r="P646" s="1597"/>
      <c r="R646" s="1598"/>
      <c r="S646" s="557"/>
      <c r="T646" s="1768"/>
      <c r="V646" s="1769"/>
      <c r="X646" s="1768"/>
      <c r="Z646" s="1769"/>
      <c r="AA646" s="557"/>
      <c r="AK646" s="246"/>
    </row>
    <row r="647" spans="2:37" ht="18" customHeight="1">
      <c r="B647" s="199"/>
      <c r="D647" s="154"/>
      <c r="F647" s="154"/>
      <c r="G647" s="217"/>
      <c r="I647" s="673"/>
      <c r="J647" s="209"/>
      <c r="K647" s="520"/>
      <c r="L647" s="154"/>
      <c r="M647" s="154"/>
      <c r="N647" s="154"/>
      <c r="O647" s="246"/>
      <c r="P647" s="1597"/>
      <c r="R647" s="1598"/>
      <c r="S647" s="557"/>
      <c r="T647" s="1768"/>
      <c r="V647" s="1769"/>
      <c r="X647" s="1768"/>
      <c r="Z647" s="1769"/>
      <c r="AA647" s="557"/>
      <c r="AK647" s="246"/>
    </row>
    <row r="648" spans="2:37" ht="18" customHeight="1">
      <c r="B648" s="199"/>
      <c r="D648" s="154"/>
      <c r="F648" s="154"/>
      <c r="G648" s="217"/>
      <c r="I648" s="673"/>
      <c r="J648" s="209"/>
      <c r="K648" s="520"/>
      <c r="L648" s="154"/>
      <c r="M648" s="154"/>
      <c r="N648" s="154"/>
      <c r="O648" s="246"/>
      <c r="P648" s="1597"/>
      <c r="R648" s="1598"/>
      <c r="S648" s="557"/>
      <c r="T648" s="1768"/>
      <c r="V648" s="1769"/>
      <c r="X648" s="1768"/>
      <c r="Z648" s="1769"/>
      <c r="AA648" s="557"/>
      <c r="AK648" s="246"/>
    </row>
    <row r="649" spans="2:37" ht="18" customHeight="1">
      <c r="B649" s="199"/>
      <c r="D649" s="154"/>
      <c r="F649" s="154"/>
      <c r="G649" s="217"/>
      <c r="I649" s="673"/>
      <c r="J649" s="209"/>
      <c r="K649" s="520"/>
      <c r="L649" s="154"/>
      <c r="M649" s="154"/>
      <c r="N649" s="154"/>
      <c r="O649" s="246"/>
      <c r="P649" s="1597"/>
      <c r="R649" s="1598"/>
      <c r="S649" s="557"/>
      <c r="T649" s="1768"/>
      <c r="V649" s="1769"/>
      <c r="X649" s="1768"/>
      <c r="Z649" s="1769"/>
      <c r="AA649" s="557"/>
      <c r="AK649" s="246"/>
    </row>
    <row r="650" spans="2:37" ht="18" customHeight="1">
      <c r="B650" s="199"/>
      <c r="D650" s="154"/>
      <c r="F650" s="154"/>
      <c r="G650" s="217"/>
      <c r="I650" s="673"/>
      <c r="J650" s="209"/>
      <c r="K650" s="520"/>
      <c r="L650" s="154"/>
      <c r="M650" s="154"/>
      <c r="N650" s="154"/>
      <c r="O650" s="246"/>
      <c r="P650" s="1597"/>
      <c r="R650" s="1598"/>
      <c r="S650" s="557"/>
      <c r="T650" s="1768"/>
      <c r="V650" s="1769"/>
      <c r="X650" s="1768"/>
      <c r="Z650" s="1769"/>
      <c r="AA650" s="557"/>
      <c r="AK650" s="246"/>
    </row>
    <row r="651" spans="2:37" ht="18" customHeight="1">
      <c r="B651" s="199"/>
      <c r="D651" s="154"/>
      <c r="F651" s="154"/>
      <c r="G651" s="217"/>
      <c r="I651" s="673"/>
      <c r="J651" s="209"/>
      <c r="K651" s="520"/>
      <c r="L651" s="154"/>
      <c r="M651" s="154"/>
      <c r="N651" s="154"/>
      <c r="O651" s="246"/>
      <c r="P651" s="1597"/>
      <c r="R651" s="1598"/>
      <c r="S651" s="557"/>
      <c r="T651" s="1768"/>
      <c r="V651" s="1769"/>
      <c r="X651" s="1768"/>
      <c r="Z651" s="1769"/>
      <c r="AA651" s="557"/>
      <c r="AK651" s="246"/>
    </row>
    <row r="652" spans="2:37" ht="18" customHeight="1">
      <c r="B652" s="199"/>
      <c r="D652" s="154"/>
      <c r="F652" s="154"/>
      <c r="G652" s="217"/>
      <c r="I652" s="673"/>
      <c r="J652" s="209"/>
      <c r="K652" s="520"/>
      <c r="L652" s="154"/>
      <c r="M652" s="154"/>
      <c r="N652" s="154"/>
      <c r="O652" s="246"/>
      <c r="P652" s="1597"/>
      <c r="R652" s="1598"/>
      <c r="S652" s="557"/>
      <c r="T652" s="1768"/>
      <c r="V652" s="1769"/>
      <c r="X652" s="1768"/>
      <c r="Z652" s="1769"/>
      <c r="AA652" s="557"/>
      <c r="AK652" s="246"/>
    </row>
    <row r="653" spans="2:37" ht="18" customHeight="1">
      <c r="B653" s="199"/>
      <c r="D653" s="154"/>
      <c r="F653" s="154"/>
      <c r="G653" s="217"/>
      <c r="I653" s="673"/>
      <c r="J653" s="209"/>
      <c r="K653" s="520"/>
      <c r="L653" s="154"/>
      <c r="M653" s="154"/>
      <c r="N653" s="154"/>
      <c r="O653" s="246"/>
      <c r="P653" s="1597"/>
      <c r="R653" s="1598"/>
      <c r="S653" s="557"/>
      <c r="T653" s="1768"/>
      <c r="V653" s="1769"/>
      <c r="X653" s="1768"/>
      <c r="Z653" s="1769"/>
      <c r="AA653" s="557"/>
      <c r="AK653" s="246"/>
    </row>
    <row r="654" spans="2:37" ht="18" customHeight="1">
      <c r="B654" s="199"/>
      <c r="D654" s="154"/>
      <c r="F654" s="154"/>
      <c r="G654" s="217"/>
      <c r="I654" s="673"/>
      <c r="J654" s="209"/>
      <c r="K654" s="520"/>
      <c r="L654" s="154"/>
      <c r="M654" s="154"/>
      <c r="N654" s="154"/>
      <c r="O654" s="246"/>
      <c r="P654" s="1597"/>
      <c r="R654" s="1598"/>
      <c r="S654" s="557"/>
      <c r="T654" s="1768"/>
      <c r="V654" s="1769"/>
      <c r="X654" s="1768"/>
      <c r="Z654" s="1769"/>
      <c r="AA654" s="557"/>
      <c r="AK654" s="246"/>
    </row>
    <row r="655" spans="2:37" ht="18" customHeight="1">
      <c r="B655" s="199"/>
      <c r="D655" s="154"/>
      <c r="F655" s="154"/>
      <c r="G655" s="217"/>
      <c r="I655" s="673"/>
      <c r="J655" s="209"/>
      <c r="K655" s="520"/>
      <c r="L655" s="154"/>
      <c r="M655" s="154"/>
      <c r="N655" s="154"/>
      <c r="O655" s="246"/>
      <c r="P655" s="1597"/>
      <c r="R655" s="1598"/>
      <c r="S655" s="557"/>
      <c r="T655" s="1768"/>
      <c r="V655" s="1769"/>
      <c r="X655" s="1768"/>
      <c r="Z655" s="1769"/>
      <c r="AA655" s="557"/>
      <c r="AK655" s="246"/>
    </row>
    <row r="656" spans="2:37" ht="18" customHeight="1">
      <c r="B656" s="199"/>
      <c r="D656" s="154"/>
      <c r="F656" s="154"/>
      <c r="G656" s="217"/>
      <c r="I656" s="673"/>
      <c r="J656" s="209"/>
      <c r="K656" s="520"/>
      <c r="L656" s="154"/>
      <c r="M656" s="154"/>
      <c r="N656" s="154"/>
      <c r="O656" s="246"/>
      <c r="P656" s="1597"/>
      <c r="R656" s="1598"/>
      <c r="S656" s="557"/>
      <c r="T656" s="1768"/>
      <c r="V656" s="1769"/>
      <c r="X656" s="1768"/>
      <c r="Z656" s="1769"/>
      <c r="AA656" s="557"/>
      <c r="AK656" s="246"/>
    </row>
    <row r="657" spans="2:37" ht="18" customHeight="1">
      <c r="B657" s="199"/>
      <c r="D657" s="154"/>
      <c r="F657" s="154"/>
      <c r="G657" s="217"/>
      <c r="I657" s="673"/>
      <c r="J657" s="209"/>
      <c r="K657" s="520"/>
      <c r="L657" s="154"/>
      <c r="M657" s="154"/>
      <c r="N657" s="154"/>
      <c r="O657" s="246"/>
      <c r="P657" s="1597"/>
      <c r="R657" s="1598"/>
      <c r="S657" s="557"/>
      <c r="T657" s="1768"/>
      <c r="V657" s="1769"/>
      <c r="X657" s="1768"/>
      <c r="Z657" s="1769"/>
      <c r="AA657" s="557"/>
      <c r="AK657" s="246"/>
    </row>
    <row r="658" spans="2:37" ht="18" customHeight="1">
      <c r="B658" s="199"/>
      <c r="D658" s="154"/>
      <c r="F658" s="154"/>
      <c r="G658" s="217"/>
      <c r="I658" s="673"/>
      <c r="J658" s="209"/>
      <c r="K658" s="520"/>
      <c r="L658" s="154"/>
      <c r="M658" s="154"/>
      <c r="N658" s="154"/>
      <c r="O658" s="246"/>
      <c r="P658" s="1597"/>
      <c r="R658" s="1598"/>
      <c r="S658" s="557"/>
      <c r="T658" s="1768"/>
      <c r="V658" s="1769"/>
      <c r="X658" s="1768"/>
      <c r="Z658" s="1769"/>
      <c r="AA658" s="557"/>
      <c r="AK658" s="246"/>
    </row>
    <row r="659" spans="2:37" ht="18" customHeight="1">
      <c r="B659" s="199"/>
      <c r="D659" s="154"/>
      <c r="F659" s="154"/>
      <c r="G659" s="217"/>
      <c r="I659" s="673"/>
      <c r="J659" s="209"/>
      <c r="K659" s="520"/>
      <c r="L659" s="154"/>
      <c r="M659" s="154"/>
      <c r="N659" s="154"/>
      <c r="O659" s="246"/>
      <c r="P659" s="1597"/>
      <c r="R659" s="1598"/>
      <c r="S659" s="557"/>
      <c r="T659" s="1768"/>
      <c r="V659" s="1769"/>
      <c r="X659" s="1768"/>
      <c r="Z659" s="1769"/>
      <c r="AA659" s="557"/>
      <c r="AK659" s="246"/>
    </row>
    <row r="660" spans="2:37" ht="18" customHeight="1">
      <c r="B660" s="199"/>
      <c r="D660" s="154"/>
      <c r="F660" s="154"/>
      <c r="G660" s="217"/>
      <c r="I660" s="673"/>
      <c r="J660" s="209"/>
      <c r="K660" s="520"/>
      <c r="L660" s="154"/>
      <c r="M660" s="154"/>
      <c r="N660" s="154"/>
      <c r="O660" s="246"/>
      <c r="P660" s="1597"/>
      <c r="R660" s="1598"/>
      <c r="S660" s="557"/>
      <c r="T660" s="1768"/>
      <c r="V660" s="1769"/>
      <c r="X660" s="1768"/>
      <c r="Z660" s="1769"/>
      <c r="AA660" s="557"/>
      <c r="AK660" s="246"/>
    </row>
    <row r="661" spans="2:37" ht="18" customHeight="1">
      <c r="B661" s="199"/>
      <c r="D661" s="154"/>
      <c r="F661" s="154"/>
      <c r="G661" s="217"/>
      <c r="I661" s="673"/>
      <c r="J661" s="209"/>
      <c r="K661" s="520"/>
      <c r="L661" s="154"/>
      <c r="M661" s="154"/>
      <c r="N661" s="154"/>
      <c r="O661" s="246"/>
      <c r="P661" s="1597"/>
      <c r="R661" s="1598"/>
      <c r="S661" s="557"/>
      <c r="T661" s="1768"/>
      <c r="V661" s="1769"/>
      <c r="X661" s="1768"/>
      <c r="Z661" s="1769"/>
      <c r="AA661" s="557"/>
      <c r="AK661" s="246"/>
    </row>
    <row r="662" spans="2:37" ht="18" customHeight="1">
      <c r="B662" s="199"/>
      <c r="D662" s="154"/>
      <c r="F662" s="154"/>
      <c r="G662" s="217"/>
      <c r="I662" s="673"/>
      <c r="J662" s="209"/>
      <c r="K662" s="520"/>
      <c r="L662" s="154"/>
      <c r="M662" s="154"/>
      <c r="N662" s="154"/>
      <c r="O662" s="246"/>
      <c r="P662" s="1597"/>
      <c r="R662" s="1598"/>
      <c r="S662" s="557"/>
      <c r="T662" s="1768"/>
      <c r="V662" s="1769"/>
      <c r="X662" s="1768"/>
      <c r="Z662" s="1769"/>
      <c r="AA662" s="557"/>
      <c r="AK662" s="246"/>
    </row>
    <row r="663" spans="2:37" ht="18" customHeight="1">
      <c r="B663" s="199"/>
      <c r="D663" s="154"/>
      <c r="F663" s="154"/>
      <c r="G663" s="217"/>
      <c r="I663" s="673"/>
      <c r="J663" s="209"/>
      <c r="K663" s="520"/>
      <c r="L663" s="154"/>
      <c r="M663" s="154"/>
      <c r="N663" s="154"/>
      <c r="O663" s="246"/>
      <c r="P663" s="1597"/>
      <c r="R663" s="1598"/>
      <c r="S663" s="557"/>
      <c r="T663" s="1768"/>
      <c r="V663" s="1769"/>
      <c r="X663" s="1768"/>
      <c r="Z663" s="1769"/>
      <c r="AA663" s="557"/>
      <c r="AK663" s="246"/>
    </row>
    <row r="664" spans="2:37" ht="18" customHeight="1">
      <c r="B664" s="199"/>
      <c r="D664" s="154"/>
      <c r="F664" s="154"/>
      <c r="G664" s="217"/>
      <c r="I664" s="673"/>
      <c r="J664" s="209"/>
      <c r="K664" s="520"/>
      <c r="L664" s="154"/>
      <c r="M664" s="154"/>
      <c r="N664" s="154"/>
      <c r="O664" s="246"/>
      <c r="P664" s="1597"/>
      <c r="R664" s="1598"/>
      <c r="S664" s="557"/>
      <c r="T664" s="1768"/>
      <c r="V664" s="1769"/>
      <c r="X664" s="1768"/>
      <c r="Z664" s="1769"/>
      <c r="AA664" s="557"/>
      <c r="AK664" s="246"/>
    </row>
    <row r="665" spans="2:37" ht="18" customHeight="1">
      <c r="B665" s="199"/>
      <c r="D665" s="154"/>
      <c r="F665" s="154"/>
      <c r="G665" s="217"/>
      <c r="I665" s="673"/>
      <c r="J665" s="209"/>
      <c r="K665" s="520"/>
      <c r="L665" s="154"/>
      <c r="M665" s="154"/>
      <c r="N665" s="154"/>
      <c r="O665" s="246"/>
      <c r="P665" s="1597"/>
      <c r="R665" s="1598"/>
      <c r="S665" s="557"/>
      <c r="T665" s="1768"/>
      <c r="V665" s="1769"/>
      <c r="X665" s="1768"/>
      <c r="Z665" s="1769"/>
      <c r="AA665" s="557"/>
      <c r="AK665" s="246"/>
    </row>
    <row r="666" spans="2:37" ht="18" customHeight="1">
      <c r="B666" s="199"/>
      <c r="D666" s="154"/>
      <c r="F666" s="154"/>
      <c r="G666" s="217"/>
      <c r="I666" s="673"/>
      <c r="J666" s="209"/>
      <c r="K666" s="520"/>
      <c r="L666" s="154"/>
      <c r="M666" s="154"/>
      <c r="N666" s="154"/>
      <c r="O666" s="246"/>
      <c r="P666" s="1597"/>
      <c r="R666" s="1598"/>
      <c r="S666" s="557"/>
      <c r="T666" s="1768"/>
      <c r="V666" s="1769"/>
      <c r="X666" s="1768"/>
      <c r="Z666" s="1769"/>
      <c r="AA666" s="557"/>
      <c r="AK666" s="246"/>
    </row>
    <row r="667" spans="2:37" ht="18" customHeight="1">
      <c r="B667" s="199"/>
      <c r="D667" s="154"/>
      <c r="F667" s="154"/>
      <c r="G667" s="217"/>
      <c r="I667" s="673"/>
      <c r="J667" s="209"/>
      <c r="K667" s="520"/>
      <c r="L667" s="154"/>
      <c r="M667" s="154"/>
      <c r="N667" s="154"/>
      <c r="O667" s="246"/>
      <c r="P667" s="1597"/>
      <c r="R667" s="1598"/>
      <c r="S667" s="557"/>
      <c r="T667" s="1768"/>
      <c r="V667" s="1769"/>
      <c r="X667" s="1768"/>
      <c r="Z667" s="1769"/>
      <c r="AA667" s="557"/>
      <c r="AK667" s="246"/>
    </row>
    <row r="668" spans="2:37" ht="18" customHeight="1">
      <c r="B668" s="199"/>
      <c r="D668" s="154"/>
      <c r="F668" s="154"/>
      <c r="G668" s="217"/>
      <c r="I668" s="673"/>
      <c r="J668" s="209"/>
      <c r="K668" s="520"/>
      <c r="L668" s="154"/>
      <c r="M668" s="154"/>
      <c r="N668" s="154"/>
      <c r="O668" s="246"/>
      <c r="P668" s="1597"/>
      <c r="R668" s="1598"/>
      <c r="S668" s="557"/>
      <c r="T668" s="1768"/>
      <c r="V668" s="1769"/>
      <c r="X668" s="1768"/>
      <c r="Z668" s="1769"/>
      <c r="AA668" s="557"/>
      <c r="AK668" s="246"/>
    </row>
    <row r="669" spans="2:37" ht="18" customHeight="1">
      <c r="B669" s="199"/>
      <c r="D669" s="154"/>
      <c r="F669" s="154"/>
      <c r="G669" s="217"/>
      <c r="I669" s="673"/>
      <c r="J669" s="209"/>
      <c r="K669" s="520"/>
      <c r="L669" s="154"/>
      <c r="M669" s="154"/>
      <c r="N669" s="154"/>
      <c r="O669" s="246"/>
      <c r="P669" s="1597"/>
      <c r="R669" s="1598"/>
      <c r="S669" s="557"/>
      <c r="T669" s="1768"/>
      <c r="V669" s="1769"/>
      <c r="X669" s="1768"/>
      <c r="Z669" s="1769"/>
      <c r="AA669" s="557"/>
      <c r="AK669" s="246"/>
    </row>
    <row r="670" spans="2:37" ht="18" customHeight="1">
      <c r="B670" s="199"/>
      <c r="D670" s="154"/>
      <c r="F670" s="154"/>
      <c r="G670" s="217"/>
      <c r="I670" s="673"/>
      <c r="J670" s="209"/>
      <c r="K670" s="520"/>
      <c r="L670" s="154"/>
      <c r="M670" s="154"/>
      <c r="N670" s="154"/>
      <c r="O670" s="246"/>
      <c r="P670" s="1597"/>
      <c r="R670" s="1598"/>
      <c r="S670" s="557"/>
      <c r="T670" s="1768"/>
      <c r="V670" s="1769"/>
      <c r="X670" s="1768"/>
      <c r="Z670" s="1769"/>
      <c r="AA670" s="557"/>
      <c r="AK670" s="246"/>
    </row>
    <row r="671" spans="2:37" ht="18" customHeight="1">
      <c r="B671" s="199"/>
      <c r="D671" s="154"/>
      <c r="F671" s="154"/>
      <c r="G671" s="217"/>
      <c r="I671" s="673"/>
      <c r="J671" s="209"/>
      <c r="K671" s="520"/>
      <c r="L671" s="154"/>
      <c r="M671" s="154"/>
      <c r="N671" s="154"/>
      <c r="O671" s="246"/>
      <c r="P671" s="1597"/>
      <c r="R671" s="1598"/>
      <c r="S671" s="557"/>
      <c r="T671" s="1768"/>
      <c r="V671" s="1769"/>
      <c r="X671" s="1768"/>
      <c r="Z671" s="1769"/>
      <c r="AA671" s="557"/>
      <c r="AK671" s="246"/>
    </row>
    <row r="672" spans="2:37" ht="18" customHeight="1">
      <c r="B672" s="199"/>
      <c r="D672" s="154"/>
      <c r="F672" s="154"/>
      <c r="G672" s="217"/>
      <c r="I672" s="673"/>
      <c r="J672" s="209"/>
      <c r="K672" s="520"/>
      <c r="L672" s="154"/>
      <c r="M672" s="154"/>
      <c r="N672" s="154"/>
      <c r="O672" s="246"/>
      <c r="P672" s="1597"/>
      <c r="R672" s="1598"/>
      <c r="S672" s="557"/>
      <c r="T672" s="1768"/>
      <c r="V672" s="1769"/>
      <c r="X672" s="1768"/>
      <c r="Z672" s="1769"/>
      <c r="AA672" s="557"/>
      <c r="AK672" s="246"/>
    </row>
    <row r="673" spans="2:37" ht="18" customHeight="1">
      <c r="B673" s="199"/>
      <c r="D673" s="154"/>
      <c r="F673" s="154"/>
      <c r="G673" s="217"/>
      <c r="I673" s="673"/>
      <c r="J673" s="209"/>
      <c r="K673" s="520"/>
      <c r="L673" s="154"/>
      <c r="M673" s="154"/>
      <c r="N673" s="154"/>
      <c r="O673" s="246"/>
      <c r="P673" s="1597"/>
      <c r="R673" s="1598"/>
      <c r="S673" s="557"/>
      <c r="T673" s="1768"/>
      <c r="V673" s="1769"/>
      <c r="X673" s="1768"/>
      <c r="Z673" s="1769"/>
      <c r="AA673" s="557"/>
      <c r="AK673" s="246"/>
    </row>
    <row r="674" spans="2:37" ht="18" customHeight="1">
      <c r="B674" s="199"/>
      <c r="D674" s="154"/>
      <c r="F674" s="154"/>
      <c r="G674" s="217"/>
      <c r="I674" s="673"/>
      <c r="J674" s="209"/>
      <c r="K674" s="520"/>
      <c r="L674" s="154"/>
      <c r="M674" s="154"/>
      <c r="N674" s="154"/>
      <c r="O674" s="246"/>
      <c r="P674" s="1597"/>
      <c r="R674" s="1598"/>
      <c r="S674" s="557"/>
      <c r="T674" s="1768"/>
      <c r="V674" s="1769"/>
      <c r="X674" s="1768"/>
      <c r="Z674" s="1769"/>
      <c r="AA674" s="557"/>
      <c r="AK674" s="246"/>
    </row>
    <row r="675" spans="2:37" ht="18" customHeight="1">
      <c r="B675" s="199"/>
      <c r="D675" s="154"/>
      <c r="F675" s="154"/>
      <c r="G675" s="217"/>
      <c r="I675" s="673"/>
      <c r="J675" s="209"/>
      <c r="K675" s="520"/>
      <c r="L675" s="154"/>
      <c r="M675" s="154"/>
      <c r="N675" s="154"/>
      <c r="O675" s="246"/>
      <c r="P675" s="1597"/>
      <c r="R675" s="1598"/>
      <c r="S675" s="557"/>
      <c r="T675" s="1768"/>
      <c r="V675" s="1769"/>
      <c r="X675" s="1768"/>
      <c r="Z675" s="1769"/>
      <c r="AA675" s="557"/>
      <c r="AK675" s="246"/>
    </row>
    <row r="676" spans="2:37" ht="18" customHeight="1">
      <c r="B676" s="199"/>
      <c r="D676" s="154"/>
      <c r="F676" s="154"/>
      <c r="G676" s="217"/>
      <c r="I676" s="673"/>
      <c r="J676" s="209"/>
      <c r="K676" s="520"/>
      <c r="L676" s="154"/>
      <c r="M676" s="154"/>
      <c r="N676" s="154"/>
      <c r="O676" s="246"/>
      <c r="P676" s="1597"/>
      <c r="R676" s="1598"/>
      <c r="S676" s="557"/>
      <c r="T676" s="1768"/>
      <c r="V676" s="1769"/>
      <c r="X676" s="1768"/>
      <c r="Z676" s="1769"/>
      <c r="AA676" s="557"/>
      <c r="AK676" s="246"/>
    </row>
    <row r="677" spans="2:37" ht="18" customHeight="1">
      <c r="B677" s="199"/>
      <c r="D677" s="154"/>
      <c r="F677" s="154"/>
      <c r="G677" s="217"/>
      <c r="I677" s="673"/>
      <c r="J677" s="209"/>
      <c r="K677" s="520"/>
      <c r="L677" s="154"/>
      <c r="M677" s="154"/>
      <c r="N677" s="154"/>
      <c r="O677" s="246"/>
      <c r="P677" s="1597"/>
      <c r="R677" s="1598"/>
      <c r="S677" s="557"/>
      <c r="T677" s="1768"/>
      <c r="V677" s="1769"/>
      <c r="X677" s="1768"/>
      <c r="Z677" s="1769"/>
      <c r="AA677" s="557"/>
      <c r="AK677" s="246"/>
    </row>
    <row r="678" spans="2:37" ht="18" customHeight="1">
      <c r="B678" s="199"/>
      <c r="D678" s="154"/>
      <c r="F678" s="154"/>
      <c r="G678" s="217"/>
      <c r="I678" s="673"/>
      <c r="J678" s="209"/>
      <c r="K678" s="520"/>
      <c r="L678" s="154"/>
      <c r="M678" s="154"/>
      <c r="N678" s="154"/>
      <c r="O678" s="246"/>
      <c r="P678" s="1597"/>
      <c r="R678" s="1598"/>
      <c r="S678" s="557"/>
      <c r="T678" s="1768"/>
      <c r="V678" s="1769"/>
      <c r="X678" s="1768"/>
      <c r="Z678" s="1769"/>
      <c r="AA678" s="557"/>
      <c r="AK678" s="246"/>
    </row>
    <row r="679" spans="2:37" ht="18" customHeight="1">
      <c r="B679" s="199"/>
      <c r="D679" s="154"/>
      <c r="F679" s="154"/>
      <c r="G679" s="217"/>
      <c r="I679" s="673"/>
      <c r="J679" s="209"/>
      <c r="K679" s="520"/>
      <c r="L679" s="154"/>
      <c r="M679" s="154"/>
      <c r="N679" s="154"/>
      <c r="O679" s="246"/>
      <c r="P679" s="1597"/>
      <c r="R679" s="1598"/>
      <c r="S679" s="557"/>
      <c r="T679" s="1768"/>
      <c r="V679" s="1769"/>
      <c r="X679" s="1768"/>
      <c r="Z679" s="1769"/>
      <c r="AA679" s="557"/>
      <c r="AK679" s="246"/>
    </row>
    <row r="680" spans="2:37" ht="18" customHeight="1">
      <c r="B680" s="199"/>
      <c r="D680" s="154"/>
      <c r="F680" s="154"/>
      <c r="G680" s="217"/>
      <c r="I680" s="673"/>
      <c r="J680" s="209"/>
      <c r="K680" s="520"/>
      <c r="L680" s="154"/>
      <c r="M680" s="154"/>
      <c r="N680" s="154"/>
      <c r="O680" s="246"/>
      <c r="P680" s="1597"/>
      <c r="R680" s="1598"/>
      <c r="S680" s="557"/>
      <c r="T680" s="1768"/>
      <c r="V680" s="1769"/>
      <c r="X680" s="1768"/>
      <c r="Z680" s="1769"/>
      <c r="AA680" s="557"/>
      <c r="AK680" s="246"/>
    </row>
    <row r="681" spans="2:37" ht="18" customHeight="1">
      <c r="B681" s="199"/>
      <c r="D681" s="154"/>
      <c r="F681" s="154"/>
      <c r="G681" s="217"/>
      <c r="I681" s="673"/>
      <c r="J681" s="209"/>
      <c r="K681" s="520"/>
      <c r="L681" s="154"/>
      <c r="M681" s="154"/>
      <c r="N681" s="154"/>
      <c r="O681" s="246"/>
      <c r="P681" s="1597"/>
      <c r="R681" s="1598"/>
      <c r="S681" s="557"/>
      <c r="T681" s="1768"/>
      <c r="V681" s="1769"/>
      <c r="X681" s="1768"/>
      <c r="Z681" s="1769"/>
      <c r="AA681" s="557"/>
      <c r="AK681" s="246"/>
    </row>
    <row r="682" spans="2:37" ht="18" customHeight="1">
      <c r="B682" s="199"/>
      <c r="D682" s="154"/>
      <c r="F682" s="154"/>
      <c r="G682" s="217"/>
      <c r="I682" s="673"/>
      <c r="J682" s="209"/>
      <c r="K682" s="520"/>
      <c r="L682" s="154"/>
      <c r="M682" s="154"/>
      <c r="N682" s="154"/>
      <c r="O682" s="246"/>
      <c r="P682" s="1597"/>
      <c r="R682" s="1598"/>
      <c r="S682" s="557"/>
      <c r="T682" s="1768"/>
      <c r="V682" s="1769"/>
      <c r="X682" s="1768"/>
      <c r="Z682" s="1769"/>
      <c r="AA682" s="557"/>
      <c r="AK682" s="246"/>
    </row>
    <row r="683" spans="2:37" ht="18" customHeight="1">
      <c r="B683" s="199"/>
      <c r="D683" s="154"/>
      <c r="F683" s="154"/>
      <c r="G683" s="217"/>
      <c r="I683" s="673"/>
      <c r="J683" s="209"/>
      <c r="K683" s="520"/>
      <c r="L683" s="154"/>
      <c r="M683" s="154"/>
      <c r="N683" s="154"/>
      <c r="O683" s="246"/>
      <c r="P683" s="1597"/>
      <c r="R683" s="1598"/>
      <c r="S683" s="557"/>
      <c r="T683" s="1768"/>
      <c r="V683" s="1769"/>
      <c r="X683" s="1768"/>
      <c r="Z683" s="1769"/>
      <c r="AA683" s="557"/>
      <c r="AK683" s="246"/>
    </row>
    <row r="684" spans="2:37" ht="18" customHeight="1">
      <c r="B684" s="199"/>
      <c r="D684" s="154"/>
      <c r="F684" s="154"/>
      <c r="G684" s="217"/>
      <c r="I684" s="673"/>
      <c r="J684" s="209"/>
      <c r="K684" s="520"/>
      <c r="L684" s="154"/>
      <c r="M684" s="154"/>
      <c r="N684" s="154"/>
      <c r="O684" s="246"/>
      <c r="P684" s="1597"/>
      <c r="R684" s="1598"/>
      <c r="S684" s="557"/>
      <c r="T684" s="1768"/>
      <c r="V684" s="1769"/>
      <c r="X684" s="1768"/>
      <c r="Z684" s="1769"/>
      <c r="AA684" s="557"/>
      <c r="AK684" s="246"/>
    </row>
    <row r="685" spans="2:37" ht="18" customHeight="1">
      <c r="B685" s="199"/>
      <c r="D685" s="154"/>
      <c r="F685" s="154"/>
      <c r="G685" s="217"/>
      <c r="I685" s="673"/>
      <c r="J685" s="209"/>
      <c r="K685" s="520"/>
      <c r="L685" s="154"/>
      <c r="M685" s="154"/>
      <c r="N685" s="154"/>
      <c r="O685" s="246"/>
      <c r="P685" s="1597"/>
      <c r="R685" s="1598"/>
      <c r="S685" s="557"/>
      <c r="T685" s="1768"/>
      <c r="V685" s="1769"/>
      <c r="X685" s="1768"/>
      <c r="Z685" s="1769"/>
      <c r="AA685" s="557"/>
      <c r="AK685" s="246"/>
    </row>
    <row r="686" spans="2:37" ht="18" customHeight="1">
      <c r="B686" s="199"/>
      <c r="D686" s="154"/>
      <c r="F686" s="154"/>
      <c r="G686" s="217"/>
      <c r="I686" s="673"/>
      <c r="J686" s="209"/>
      <c r="K686" s="520"/>
      <c r="L686" s="154"/>
      <c r="M686" s="154"/>
      <c r="N686" s="154"/>
      <c r="O686" s="246"/>
      <c r="P686" s="1597"/>
      <c r="R686" s="1598"/>
      <c r="S686" s="557"/>
      <c r="T686" s="1768"/>
      <c r="V686" s="1769"/>
      <c r="X686" s="1768"/>
      <c r="Z686" s="1769"/>
      <c r="AA686" s="557"/>
      <c r="AK686" s="246"/>
    </row>
    <row r="687" spans="2:37" ht="18" customHeight="1">
      <c r="B687" s="199"/>
      <c r="D687" s="154"/>
      <c r="F687" s="154"/>
      <c r="G687" s="217"/>
      <c r="I687" s="673"/>
      <c r="J687" s="209"/>
      <c r="K687" s="520"/>
      <c r="L687" s="154"/>
      <c r="M687" s="154"/>
      <c r="N687" s="154"/>
      <c r="O687" s="246"/>
      <c r="P687" s="1597"/>
      <c r="R687" s="1598"/>
      <c r="S687" s="557"/>
      <c r="T687" s="1768"/>
      <c r="V687" s="1769"/>
      <c r="X687" s="1768"/>
      <c r="Z687" s="1769"/>
      <c r="AA687" s="557"/>
      <c r="AK687" s="246"/>
    </row>
    <row r="688" spans="2:37" ht="18" customHeight="1">
      <c r="B688" s="199"/>
      <c r="D688" s="154"/>
      <c r="F688" s="154"/>
      <c r="G688" s="217"/>
      <c r="I688" s="673"/>
      <c r="J688" s="209"/>
      <c r="K688" s="520"/>
      <c r="L688" s="154"/>
      <c r="M688" s="154"/>
      <c r="N688" s="154"/>
      <c r="O688" s="246"/>
      <c r="P688" s="1597"/>
      <c r="R688" s="1598"/>
      <c r="S688" s="557"/>
      <c r="T688" s="1768"/>
      <c r="V688" s="1769"/>
      <c r="X688" s="1768"/>
      <c r="Z688" s="1769"/>
      <c r="AA688" s="557"/>
      <c r="AK688" s="246"/>
    </row>
    <row r="689" spans="2:37" ht="18" customHeight="1">
      <c r="B689" s="199"/>
      <c r="D689" s="154"/>
      <c r="F689" s="154"/>
      <c r="G689" s="217"/>
      <c r="I689" s="673"/>
      <c r="J689" s="209"/>
      <c r="K689" s="520"/>
      <c r="L689" s="154"/>
      <c r="M689" s="154"/>
      <c r="N689" s="154"/>
      <c r="O689" s="246"/>
      <c r="P689" s="1597"/>
      <c r="R689" s="1598"/>
      <c r="S689" s="557"/>
      <c r="T689" s="1768"/>
      <c r="V689" s="1769"/>
      <c r="X689" s="1768"/>
      <c r="Z689" s="1769"/>
      <c r="AA689" s="557"/>
      <c r="AK689" s="246"/>
    </row>
    <row r="690" spans="2:37" ht="18" customHeight="1">
      <c r="B690" s="199"/>
      <c r="D690" s="154"/>
      <c r="F690" s="154"/>
      <c r="G690" s="217"/>
      <c r="I690" s="673"/>
      <c r="J690" s="209"/>
      <c r="K690" s="520"/>
      <c r="L690" s="154"/>
      <c r="M690" s="154"/>
      <c r="N690" s="154"/>
      <c r="O690" s="246"/>
      <c r="P690" s="1597"/>
      <c r="R690" s="1598"/>
      <c r="S690" s="557"/>
      <c r="T690" s="1768"/>
      <c r="V690" s="1769"/>
      <c r="X690" s="1768"/>
      <c r="Z690" s="1769"/>
      <c r="AA690" s="557"/>
      <c r="AK690" s="246"/>
    </row>
    <row r="691" spans="2:37" ht="18" customHeight="1">
      <c r="B691" s="199"/>
      <c r="D691" s="154"/>
      <c r="F691" s="154"/>
      <c r="G691" s="217"/>
      <c r="I691" s="673"/>
      <c r="J691" s="209"/>
      <c r="K691" s="520"/>
      <c r="L691" s="154"/>
      <c r="M691" s="154"/>
      <c r="N691" s="154"/>
      <c r="O691" s="246"/>
      <c r="P691" s="1597"/>
      <c r="R691" s="1598"/>
      <c r="S691" s="557"/>
      <c r="T691" s="1768"/>
      <c r="V691" s="1769"/>
      <c r="X691" s="1768"/>
      <c r="Z691" s="1769"/>
      <c r="AA691" s="557"/>
      <c r="AK691" s="246"/>
    </row>
    <row r="692" spans="2:37" ht="18" customHeight="1">
      <c r="B692" s="199"/>
      <c r="D692" s="154"/>
      <c r="F692" s="154"/>
      <c r="G692" s="217"/>
      <c r="I692" s="673"/>
      <c r="J692" s="209"/>
      <c r="K692" s="520"/>
      <c r="L692" s="154"/>
      <c r="M692" s="154"/>
      <c r="N692" s="154"/>
      <c r="O692" s="246"/>
      <c r="P692" s="1597"/>
      <c r="R692" s="1598"/>
      <c r="S692" s="557"/>
      <c r="T692" s="1768"/>
      <c r="V692" s="1769"/>
      <c r="X692" s="1768"/>
      <c r="Z692" s="1769"/>
      <c r="AA692" s="557"/>
      <c r="AK692" s="246"/>
    </row>
    <row r="693" spans="2:37" ht="18" customHeight="1">
      <c r="B693" s="199"/>
      <c r="D693" s="154"/>
      <c r="F693" s="154"/>
      <c r="G693" s="217"/>
      <c r="I693" s="673"/>
      <c r="J693" s="209"/>
      <c r="K693" s="520"/>
      <c r="L693" s="154"/>
      <c r="M693" s="154"/>
      <c r="N693" s="154"/>
      <c r="O693" s="246"/>
      <c r="P693" s="1597"/>
      <c r="R693" s="1598"/>
      <c r="S693" s="557"/>
      <c r="T693" s="1768"/>
      <c r="V693" s="1769"/>
      <c r="X693" s="1768"/>
      <c r="Z693" s="1769"/>
      <c r="AA693" s="557"/>
      <c r="AK693" s="246"/>
    </row>
    <row r="694" spans="2:37" ht="18" customHeight="1">
      <c r="B694" s="199"/>
      <c r="D694" s="154"/>
      <c r="F694" s="154"/>
      <c r="G694" s="217"/>
      <c r="I694" s="673"/>
      <c r="J694" s="209"/>
      <c r="K694" s="520"/>
      <c r="L694" s="154"/>
      <c r="M694" s="154"/>
      <c r="N694" s="154"/>
      <c r="O694" s="246"/>
      <c r="P694" s="1597"/>
      <c r="R694" s="1598"/>
      <c r="S694" s="557"/>
      <c r="T694" s="1768"/>
      <c r="V694" s="1769"/>
      <c r="X694" s="1768"/>
      <c r="Z694" s="1769"/>
      <c r="AA694" s="557"/>
      <c r="AK694" s="246"/>
    </row>
    <row r="695" spans="2:37" ht="18" customHeight="1">
      <c r="B695" s="199"/>
      <c r="D695" s="154"/>
      <c r="F695" s="154"/>
      <c r="G695" s="217"/>
      <c r="I695" s="673"/>
      <c r="J695" s="209"/>
      <c r="K695" s="520"/>
      <c r="L695" s="154"/>
      <c r="M695" s="154"/>
      <c r="N695" s="154"/>
      <c r="O695" s="246"/>
      <c r="P695" s="1597"/>
      <c r="R695" s="1598"/>
      <c r="S695" s="557"/>
      <c r="T695" s="1768"/>
      <c r="V695" s="1769"/>
      <c r="X695" s="1768"/>
      <c r="Z695" s="1769"/>
      <c r="AA695" s="557"/>
      <c r="AK695" s="246"/>
    </row>
    <row r="696" spans="2:37" ht="18" customHeight="1">
      <c r="B696" s="199"/>
      <c r="D696" s="154"/>
      <c r="F696" s="154"/>
      <c r="G696" s="217"/>
      <c r="I696" s="673"/>
      <c r="J696" s="209"/>
      <c r="K696" s="520"/>
      <c r="L696" s="154"/>
      <c r="M696" s="154"/>
      <c r="N696" s="154"/>
      <c r="O696" s="246"/>
      <c r="P696" s="1597"/>
      <c r="R696" s="1598"/>
      <c r="S696" s="557"/>
      <c r="T696" s="1768"/>
      <c r="V696" s="1769"/>
      <c r="X696" s="1768"/>
      <c r="Z696" s="1769"/>
      <c r="AA696" s="557"/>
      <c r="AK696" s="246"/>
    </row>
    <row r="697" spans="2:37" ht="18" customHeight="1">
      <c r="B697" s="199"/>
      <c r="D697" s="154"/>
      <c r="F697" s="154"/>
      <c r="G697" s="217"/>
      <c r="I697" s="673"/>
      <c r="J697" s="209"/>
      <c r="K697" s="520"/>
      <c r="L697" s="154"/>
      <c r="M697" s="154"/>
      <c r="N697" s="154"/>
      <c r="O697" s="246"/>
      <c r="P697" s="1597"/>
      <c r="R697" s="1598"/>
      <c r="S697" s="557"/>
      <c r="T697" s="1768"/>
      <c r="V697" s="1769"/>
      <c r="X697" s="1768"/>
      <c r="Z697" s="1769"/>
      <c r="AA697" s="557"/>
      <c r="AK697" s="246"/>
    </row>
    <row r="698" spans="2:37" ht="18" customHeight="1">
      <c r="B698" s="199"/>
      <c r="D698" s="154"/>
      <c r="F698" s="154"/>
      <c r="G698" s="217"/>
      <c r="I698" s="673"/>
      <c r="J698" s="209"/>
      <c r="K698" s="520"/>
      <c r="L698" s="154"/>
      <c r="M698" s="154"/>
      <c r="N698" s="154"/>
      <c r="O698" s="246"/>
      <c r="P698" s="1597"/>
      <c r="R698" s="1598"/>
      <c r="S698" s="557"/>
      <c r="T698" s="1768"/>
      <c r="V698" s="1769"/>
      <c r="X698" s="1768"/>
      <c r="Z698" s="1769"/>
      <c r="AA698" s="557"/>
      <c r="AK698" s="246"/>
    </row>
    <row r="699" spans="2:37" ht="18" customHeight="1">
      <c r="B699" s="199"/>
      <c r="D699" s="154"/>
      <c r="F699" s="154"/>
      <c r="G699" s="217"/>
      <c r="I699" s="673"/>
      <c r="J699" s="209"/>
      <c r="K699" s="520"/>
      <c r="L699" s="154"/>
      <c r="M699" s="154"/>
      <c r="N699" s="154"/>
      <c r="O699" s="246"/>
      <c r="P699" s="1597"/>
      <c r="R699" s="1598"/>
      <c r="S699" s="557"/>
      <c r="T699" s="1768"/>
      <c r="V699" s="1769"/>
      <c r="X699" s="1768"/>
      <c r="Z699" s="1769"/>
      <c r="AA699" s="557"/>
      <c r="AK699" s="246"/>
    </row>
    <row r="700" spans="2:37" ht="18" customHeight="1">
      <c r="B700" s="199"/>
      <c r="D700" s="154"/>
      <c r="F700" s="154"/>
      <c r="G700" s="217"/>
      <c r="I700" s="673"/>
      <c r="J700" s="209"/>
      <c r="K700" s="520"/>
      <c r="L700" s="154"/>
      <c r="M700" s="154"/>
      <c r="N700" s="154"/>
      <c r="O700" s="246"/>
      <c r="P700" s="1597"/>
      <c r="R700" s="1598"/>
      <c r="S700" s="557"/>
      <c r="T700" s="1768"/>
      <c r="V700" s="1769"/>
      <c r="X700" s="1768"/>
      <c r="Z700" s="1769"/>
      <c r="AA700" s="557"/>
      <c r="AK700" s="246"/>
    </row>
    <row r="701" spans="2:37" ht="18" customHeight="1">
      <c r="B701" s="199"/>
      <c r="D701" s="154"/>
      <c r="F701" s="154"/>
      <c r="G701" s="217"/>
      <c r="I701" s="673"/>
      <c r="J701" s="209"/>
      <c r="K701" s="520"/>
      <c r="L701" s="154"/>
      <c r="M701" s="154"/>
      <c r="N701" s="154"/>
      <c r="O701" s="246"/>
      <c r="P701" s="1597"/>
      <c r="R701" s="1598"/>
      <c r="S701" s="557"/>
      <c r="T701" s="1768"/>
      <c r="V701" s="1769"/>
      <c r="X701" s="1768"/>
      <c r="Z701" s="1769"/>
      <c r="AA701" s="557"/>
      <c r="AK701" s="246"/>
    </row>
    <row r="702" spans="2:37" ht="18" customHeight="1">
      <c r="B702" s="199"/>
      <c r="D702" s="154"/>
      <c r="F702" s="154"/>
      <c r="G702" s="217"/>
      <c r="I702" s="673"/>
      <c r="J702" s="209"/>
      <c r="K702" s="520"/>
      <c r="L702" s="154"/>
      <c r="M702" s="154"/>
      <c r="N702" s="154"/>
      <c r="O702" s="246"/>
      <c r="P702" s="1597"/>
      <c r="R702" s="1598"/>
      <c r="S702" s="557"/>
      <c r="T702" s="1768"/>
      <c r="V702" s="1769"/>
      <c r="X702" s="1768"/>
      <c r="Z702" s="1769"/>
      <c r="AA702" s="557"/>
      <c r="AK702" s="246"/>
    </row>
    <row r="703" spans="2:37" ht="18" customHeight="1">
      <c r="B703" s="199"/>
      <c r="D703" s="154"/>
      <c r="F703" s="154"/>
      <c r="G703" s="217"/>
      <c r="I703" s="673"/>
      <c r="J703" s="209"/>
      <c r="K703" s="520"/>
      <c r="L703" s="154"/>
      <c r="M703" s="154"/>
      <c r="N703" s="154"/>
      <c r="O703" s="246"/>
      <c r="P703" s="1597"/>
      <c r="R703" s="1598"/>
      <c r="S703" s="557"/>
      <c r="T703" s="1768"/>
      <c r="V703" s="1769"/>
      <c r="X703" s="1768"/>
      <c r="Z703" s="1769"/>
      <c r="AA703" s="557"/>
      <c r="AK703" s="246"/>
    </row>
    <row r="704" spans="2:37" ht="18" customHeight="1">
      <c r="B704" s="199"/>
      <c r="D704" s="154"/>
      <c r="F704" s="154"/>
      <c r="G704" s="217"/>
      <c r="I704" s="673"/>
      <c r="J704" s="209"/>
      <c r="K704" s="520"/>
      <c r="L704" s="154"/>
      <c r="M704" s="154"/>
      <c r="N704" s="154"/>
      <c r="O704" s="246"/>
      <c r="P704" s="1597"/>
      <c r="R704" s="1598"/>
      <c r="S704" s="557"/>
      <c r="T704" s="1768"/>
      <c r="V704" s="1769"/>
      <c r="X704" s="1768"/>
      <c r="Z704" s="1769"/>
      <c r="AA704" s="557"/>
      <c r="AK704" s="246"/>
    </row>
    <row r="705" spans="2:37" ht="18" customHeight="1">
      <c r="B705" s="199"/>
      <c r="D705" s="154"/>
      <c r="F705" s="154"/>
      <c r="G705" s="217"/>
      <c r="I705" s="673"/>
      <c r="J705" s="209"/>
      <c r="K705" s="520"/>
      <c r="L705" s="154"/>
      <c r="M705" s="154"/>
      <c r="N705" s="154"/>
      <c r="O705" s="246"/>
      <c r="P705" s="1597"/>
      <c r="R705" s="1598"/>
      <c r="S705" s="557"/>
      <c r="T705" s="1768"/>
      <c r="V705" s="1769"/>
      <c r="X705" s="1768"/>
      <c r="Z705" s="1769"/>
      <c r="AA705" s="557"/>
      <c r="AK705" s="246"/>
    </row>
    <row r="706" spans="2:37" ht="18" customHeight="1">
      <c r="B706" s="199"/>
      <c r="D706" s="154"/>
      <c r="F706" s="154"/>
      <c r="G706" s="217"/>
      <c r="I706" s="673"/>
      <c r="J706" s="209"/>
      <c r="K706" s="520"/>
      <c r="L706" s="154"/>
      <c r="M706" s="154"/>
      <c r="N706" s="154"/>
      <c r="O706" s="246"/>
      <c r="P706" s="1597"/>
      <c r="R706" s="1598"/>
      <c r="S706" s="557"/>
      <c r="T706" s="1768"/>
      <c r="V706" s="1769"/>
      <c r="X706" s="1768"/>
      <c r="Z706" s="1769"/>
      <c r="AA706" s="557"/>
      <c r="AK706" s="246"/>
    </row>
    <row r="707" spans="2:37" ht="18" customHeight="1">
      <c r="B707" s="199"/>
      <c r="D707" s="154"/>
      <c r="F707" s="154"/>
      <c r="G707" s="217"/>
      <c r="I707" s="673"/>
      <c r="J707" s="209"/>
      <c r="K707" s="520"/>
      <c r="L707" s="154"/>
      <c r="M707" s="154"/>
      <c r="N707" s="154"/>
      <c r="O707" s="246"/>
      <c r="P707" s="1597"/>
      <c r="R707" s="1598"/>
      <c r="S707" s="557"/>
      <c r="T707" s="1768"/>
      <c r="V707" s="1769"/>
      <c r="X707" s="1768"/>
      <c r="Z707" s="1769"/>
      <c r="AA707" s="557"/>
      <c r="AK707" s="246"/>
    </row>
    <row r="708" spans="2:37" ht="18" customHeight="1">
      <c r="B708" s="199"/>
      <c r="D708" s="154"/>
      <c r="F708" s="154"/>
      <c r="G708" s="217"/>
      <c r="I708" s="673"/>
      <c r="J708" s="209"/>
      <c r="K708" s="520"/>
      <c r="L708" s="154"/>
      <c r="M708" s="154"/>
      <c r="N708" s="154"/>
      <c r="O708" s="246"/>
      <c r="P708" s="1597"/>
      <c r="R708" s="1598"/>
      <c r="S708" s="557"/>
      <c r="T708" s="1768"/>
      <c r="V708" s="1769"/>
      <c r="X708" s="1768"/>
      <c r="Z708" s="1769"/>
      <c r="AA708" s="557"/>
      <c r="AK708" s="246"/>
    </row>
    <row r="709" spans="2:37" ht="18" customHeight="1">
      <c r="B709" s="199"/>
      <c r="D709" s="154"/>
      <c r="F709" s="154"/>
      <c r="G709" s="217"/>
      <c r="I709" s="673"/>
      <c r="J709" s="209"/>
      <c r="K709" s="520"/>
      <c r="L709" s="154"/>
      <c r="M709" s="154"/>
      <c r="N709" s="154"/>
      <c r="O709" s="246"/>
      <c r="P709" s="1597"/>
      <c r="R709" s="1598"/>
      <c r="S709" s="557"/>
      <c r="T709" s="1768"/>
      <c r="V709" s="1769"/>
      <c r="X709" s="1768"/>
      <c r="Z709" s="1769"/>
      <c r="AA709" s="557"/>
      <c r="AK709" s="246"/>
    </row>
    <row r="710" spans="2:37" ht="18" customHeight="1">
      <c r="B710" s="199"/>
      <c r="D710" s="154"/>
      <c r="F710" s="154"/>
      <c r="G710" s="217"/>
      <c r="I710" s="673"/>
      <c r="J710" s="209"/>
      <c r="K710" s="520"/>
      <c r="L710" s="154"/>
      <c r="M710" s="154"/>
      <c r="N710" s="154"/>
      <c r="O710" s="246"/>
      <c r="P710" s="1597"/>
      <c r="R710" s="1598"/>
      <c r="S710" s="557"/>
      <c r="T710" s="1768"/>
      <c r="V710" s="1769"/>
      <c r="X710" s="1768"/>
      <c r="Z710" s="1769"/>
      <c r="AA710" s="557"/>
      <c r="AK710" s="246"/>
    </row>
    <row r="711" spans="2:37" ht="18" customHeight="1">
      <c r="B711" s="199"/>
      <c r="D711" s="154"/>
      <c r="F711" s="154"/>
      <c r="G711" s="217"/>
      <c r="I711" s="673"/>
      <c r="J711" s="209"/>
      <c r="K711" s="520"/>
      <c r="L711" s="154"/>
      <c r="M711" s="154"/>
      <c r="N711" s="154"/>
      <c r="O711" s="246"/>
      <c r="P711" s="1597"/>
      <c r="R711" s="1598"/>
      <c r="S711" s="557"/>
      <c r="T711" s="1768"/>
      <c r="V711" s="1769"/>
      <c r="X711" s="1768"/>
      <c r="Z711" s="1769"/>
      <c r="AA711" s="557"/>
      <c r="AK711" s="246"/>
    </row>
    <row r="712" spans="2:37" ht="18" customHeight="1">
      <c r="B712" s="199"/>
      <c r="D712" s="154"/>
      <c r="F712" s="154"/>
      <c r="G712" s="217"/>
      <c r="I712" s="673"/>
      <c r="J712" s="209"/>
      <c r="K712" s="520"/>
      <c r="L712" s="154"/>
      <c r="M712" s="154"/>
      <c r="N712" s="154"/>
      <c r="O712" s="246"/>
      <c r="P712" s="1597"/>
      <c r="R712" s="1598"/>
      <c r="S712" s="557"/>
      <c r="T712" s="1768"/>
      <c r="V712" s="1769"/>
      <c r="X712" s="1768"/>
      <c r="Z712" s="1769"/>
      <c r="AA712" s="557"/>
      <c r="AK712" s="246"/>
    </row>
    <row r="713" spans="2:37" ht="18" customHeight="1">
      <c r="B713" s="199"/>
      <c r="D713" s="154"/>
      <c r="F713" s="154"/>
      <c r="G713" s="217"/>
      <c r="I713" s="673"/>
      <c r="J713" s="209"/>
      <c r="K713" s="520"/>
      <c r="L713" s="154"/>
      <c r="M713" s="154"/>
      <c r="N713" s="154"/>
      <c r="O713" s="246"/>
      <c r="P713" s="1597"/>
      <c r="R713" s="1598"/>
      <c r="S713" s="557"/>
      <c r="T713" s="1768"/>
      <c r="V713" s="1769"/>
      <c r="X713" s="1768"/>
      <c r="Z713" s="1769"/>
      <c r="AA713" s="557"/>
      <c r="AK713" s="246"/>
    </row>
    <row r="714" spans="2:37" ht="18" customHeight="1">
      <c r="B714" s="199"/>
      <c r="D714" s="154"/>
      <c r="F714" s="154"/>
      <c r="G714" s="217"/>
      <c r="I714" s="673"/>
      <c r="J714" s="209"/>
      <c r="K714" s="520"/>
      <c r="L714" s="154"/>
      <c r="M714" s="154"/>
      <c r="N714" s="154"/>
      <c r="O714" s="246"/>
      <c r="P714" s="1597"/>
      <c r="R714" s="1598"/>
      <c r="S714" s="557"/>
      <c r="T714" s="1768"/>
      <c r="V714" s="1769"/>
      <c r="X714" s="1768"/>
      <c r="Z714" s="1769"/>
      <c r="AA714" s="557"/>
      <c r="AK714" s="246"/>
    </row>
    <row r="715" spans="2:37" ht="18" customHeight="1">
      <c r="B715" s="199"/>
      <c r="D715" s="154"/>
      <c r="F715" s="154"/>
      <c r="G715" s="217"/>
      <c r="I715" s="673"/>
      <c r="J715" s="209"/>
      <c r="K715" s="520"/>
      <c r="L715" s="154"/>
      <c r="M715" s="154"/>
      <c r="N715" s="154"/>
      <c r="O715" s="246"/>
      <c r="P715" s="1597"/>
      <c r="R715" s="1598"/>
      <c r="S715" s="557"/>
      <c r="T715" s="1768"/>
      <c r="V715" s="1769"/>
      <c r="X715" s="1768"/>
      <c r="Z715" s="1769"/>
      <c r="AA715" s="557"/>
      <c r="AK715" s="246"/>
    </row>
    <row r="716" spans="2:37" ht="18" customHeight="1">
      <c r="B716" s="199"/>
      <c r="D716" s="154"/>
      <c r="F716" s="154"/>
      <c r="G716" s="217"/>
      <c r="I716" s="673"/>
      <c r="J716" s="209"/>
      <c r="K716" s="520"/>
      <c r="L716" s="154"/>
      <c r="M716" s="154"/>
      <c r="N716" s="154"/>
      <c r="O716" s="246"/>
      <c r="P716" s="1597"/>
      <c r="R716" s="1598"/>
      <c r="S716" s="557"/>
      <c r="T716" s="1768"/>
      <c r="V716" s="1769"/>
      <c r="X716" s="1768"/>
      <c r="Z716" s="1769"/>
      <c r="AA716" s="557"/>
      <c r="AK716" s="246"/>
    </row>
    <row r="717" spans="2:37" ht="18" customHeight="1">
      <c r="B717" s="199"/>
      <c r="D717" s="154"/>
      <c r="F717" s="154"/>
      <c r="G717" s="217"/>
      <c r="I717" s="673"/>
      <c r="J717" s="209"/>
      <c r="K717" s="520"/>
      <c r="L717" s="154"/>
      <c r="M717" s="154"/>
      <c r="N717" s="154"/>
      <c r="O717" s="246"/>
      <c r="P717" s="1597"/>
      <c r="R717" s="1598"/>
      <c r="S717" s="557"/>
      <c r="T717" s="1768"/>
      <c r="V717" s="1769"/>
      <c r="X717" s="1768"/>
      <c r="Z717" s="1769"/>
      <c r="AA717" s="557"/>
      <c r="AK717" s="246"/>
    </row>
    <row r="718" spans="2:37" ht="18" customHeight="1">
      <c r="B718" s="199"/>
      <c r="D718" s="154"/>
      <c r="F718" s="154"/>
      <c r="G718" s="217"/>
      <c r="I718" s="673"/>
      <c r="J718" s="209"/>
      <c r="K718" s="520"/>
      <c r="L718" s="154"/>
      <c r="M718" s="154"/>
      <c r="N718" s="154"/>
      <c r="O718" s="246"/>
      <c r="P718" s="1597"/>
      <c r="R718" s="1598"/>
      <c r="S718" s="557"/>
      <c r="T718" s="1768"/>
      <c r="V718" s="1769"/>
      <c r="X718" s="1768"/>
      <c r="Z718" s="1769"/>
      <c r="AA718" s="557"/>
      <c r="AK718" s="246"/>
    </row>
    <row r="719" spans="2:37" ht="18" customHeight="1">
      <c r="B719" s="199"/>
      <c r="D719" s="154"/>
      <c r="F719" s="154"/>
      <c r="G719" s="217"/>
      <c r="I719" s="673"/>
      <c r="J719" s="209"/>
      <c r="K719" s="520"/>
      <c r="L719" s="154"/>
      <c r="M719" s="154"/>
      <c r="N719" s="154"/>
      <c r="O719" s="246"/>
      <c r="P719" s="1597"/>
      <c r="R719" s="1598"/>
      <c r="S719" s="557"/>
      <c r="T719" s="1768"/>
      <c r="V719" s="1769"/>
      <c r="X719" s="1768"/>
      <c r="Z719" s="1769"/>
      <c r="AA719" s="557"/>
      <c r="AK719" s="246"/>
    </row>
    <row r="720" spans="2:37" ht="18" customHeight="1">
      <c r="B720" s="199"/>
      <c r="D720" s="154"/>
      <c r="F720" s="154"/>
      <c r="G720" s="217"/>
      <c r="I720" s="673"/>
      <c r="J720" s="209"/>
      <c r="K720" s="520"/>
      <c r="L720" s="154"/>
      <c r="M720" s="154"/>
      <c r="N720" s="154"/>
      <c r="O720" s="246"/>
      <c r="P720" s="1597"/>
      <c r="R720" s="1598"/>
      <c r="S720" s="557"/>
      <c r="T720" s="1768"/>
      <c r="V720" s="1769"/>
      <c r="X720" s="1768"/>
      <c r="Z720" s="1769"/>
      <c r="AA720" s="557"/>
      <c r="AK720" s="246"/>
    </row>
    <row r="721" spans="2:37" ht="18" customHeight="1">
      <c r="B721" s="199"/>
      <c r="D721" s="154"/>
      <c r="F721" s="154"/>
      <c r="G721" s="217"/>
      <c r="I721" s="673"/>
      <c r="J721" s="209"/>
      <c r="K721" s="520"/>
      <c r="L721" s="154"/>
      <c r="M721" s="154"/>
      <c r="N721" s="154"/>
      <c r="O721" s="246"/>
      <c r="P721" s="1597"/>
      <c r="R721" s="1598"/>
      <c r="S721" s="557"/>
      <c r="T721" s="1768"/>
      <c r="V721" s="1769"/>
      <c r="X721" s="1768"/>
      <c r="Z721" s="1769"/>
      <c r="AA721" s="557"/>
      <c r="AK721" s="246"/>
    </row>
    <row r="722" spans="2:37" ht="18" customHeight="1">
      <c r="B722" s="199"/>
      <c r="D722" s="154"/>
      <c r="F722" s="154"/>
      <c r="G722" s="217"/>
      <c r="I722" s="673"/>
      <c r="J722" s="209"/>
      <c r="K722" s="520"/>
      <c r="L722" s="154"/>
      <c r="M722" s="154"/>
      <c r="N722" s="154"/>
      <c r="O722" s="246"/>
      <c r="P722" s="1597"/>
      <c r="R722" s="1598"/>
      <c r="S722" s="557"/>
      <c r="T722" s="1768"/>
      <c r="V722" s="1769"/>
      <c r="X722" s="1768"/>
      <c r="Z722" s="1769"/>
      <c r="AA722" s="557"/>
      <c r="AK722" s="246"/>
    </row>
    <row r="723" spans="2:37" ht="18" customHeight="1">
      <c r="B723" s="199"/>
      <c r="D723" s="154"/>
      <c r="F723" s="154"/>
      <c r="G723" s="217"/>
      <c r="I723" s="673"/>
      <c r="J723" s="209"/>
      <c r="K723" s="520"/>
      <c r="L723" s="154"/>
      <c r="M723" s="154"/>
      <c r="N723" s="154"/>
      <c r="O723" s="246"/>
      <c r="P723" s="1597"/>
      <c r="R723" s="1598"/>
      <c r="S723" s="557"/>
      <c r="T723" s="1768"/>
      <c r="V723" s="1769"/>
      <c r="X723" s="1768"/>
      <c r="Z723" s="1769"/>
      <c r="AA723" s="557"/>
      <c r="AK723" s="246"/>
    </row>
    <row r="724" spans="2:37" ht="18" customHeight="1">
      <c r="B724" s="199"/>
      <c r="D724" s="154"/>
      <c r="F724" s="154"/>
      <c r="G724" s="217"/>
      <c r="I724" s="673"/>
      <c r="J724" s="209"/>
      <c r="K724" s="520"/>
      <c r="L724" s="154"/>
      <c r="M724" s="154"/>
      <c r="N724" s="154"/>
      <c r="O724" s="246"/>
      <c r="P724" s="1597"/>
      <c r="R724" s="1598"/>
      <c r="S724" s="557"/>
      <c r="T724" s="1768"/>
      <c r="V724" s="1769"/>
      <c r="X724" s="1768"/>
      <c r="Z724" s="1769"/>
      <c r="AA724" s="557"/>
      <c r="AK724" s="246"/>
    </row>
    <row r="725" spans="2:37" ht="18" customHeight="1">
      <c r="B725" s="199"/>
      <c r="D725" s="154"/>
      <c r="F725" s="154"/>
      <c r="G725" s="217"/>
      <c r="I725" s="673"/>
      <c r="J725" s="209"/>
      <c r="K725" s="520"/>
      <c r="L725" s="154"/>
      <c r="M725" s="154"/>
      <c r="N725" s="154"/>
      <c r="O725" s="246"/>
      <c r="P725" s="1597"/>
      <c r="R725" s="1598"/>
      <c r="S725" s="557"/>
      <c r="T725" s="1768"/>
      <c r="V725" s="1769"/>
      <c r="X725" s="1768"/>
      <c r="Z725" s="1769"/>
      <c r="AA725" s="557"/>
      <c r="AK725" s="246"/>
    </row>
    <row r="726" spans="2:37" ht="18" customHeight="1">
      <c r="B726" s="199"/>
      <c r="D726" s="154"/>
      <c r="F726" s="154"/>
      <c r="G726" s="217"/>
      <c r="I726" s="673"/>
      <c r="J726" s="209"/>
      <c r="K726" s="520"/>
      <c r="L726" s="154"/>
      <c r="M726" s="154"/>
      <c r="N726" s="154"/>
      <c r="O726" s="246"/>
      <c r="P726" s="1597"/>
      <c r="R726" s="1598"/>
      <c r="S726" s="557"/>
      <c r="T726" s="1768"/>
      <c r="V726" s="1769"/>
      <c r="X726" s="1768"/>
      <c r="Z726" s="1769"/>
      <c r="AA726" s="557"/>
      <c r="AK726" s="246"/>
    </row>
    <row r="727" spans="2:37" ht="18" customHeight="1">
      <c r="B727" s="199"/>
      <c r="D727" s="154"/>
      <c r="F727" s="154"/>
      <c r="G727" s="217"/>
      <c r="I727" s="673"/>
      <c r="J727" s="209"/>
      <c r="K727" s="520"/>
      <c r="L727" s="154"/>
      <c r="M727" s="154"/>
      <c r="N727" s="154"/>
      <c r="O727" s="246"/>
      <c r="P727" s="1597"/>
      <c r="R727" s="1598"/>
      <c r="S727" s="557"/>
      <c r="T727" s="1768"/>
      <c r="V727" s="1769"/>
      <c r="X727" s="1768"/>
      <c r="Z727" s="1769"/>
      <c r="AA727" s="557"/>
      <c r="AK727" s="246"/>
    </row>
    <row r="728" spans="2:37" ht="18" customHeight="1">
      <c r="B728" s="199"/>
      <c r="D728" s="154"/>
      <c r="F728" s="154"/>
      <c r="G728" s="217"/>
      <c r="I728" s="673"/>
      <c r="J728" s="209"/>
      <c r="K728" s="520"/>
      <c r="L728" s="154"/>
      <c r="M728" s="154"/>
      <c r="N728" s="154"/>
      <c r="O728" s="246"/>
      <c r="P728" s="1597"/>
      <c r="R728" s="1598"/>
      <c r="S728" s="557"/>
      <c r="T728" s="1768"/>
      <c r="V728" s="1769"/>
      <c r="X728" s="1768"/>
      <c r="Z728" s="1769"/>
      <c r="AA728" s="557"/>
      <c r="AK728" s="246"/>
    </row>
    <row r="729" spans="2:37" ht="18" customHeight="1">
      <c r="B729" s="199"/>
      <c r="D729" s="154"/>
      <c r="F729" s="154"/>
      <c r="G729" s="217"/>
      <c r="I729" s="673"/>
      <c r="J729" s="209"/>
      <c r="K729" s="520"/>
      <c r="L729" s="154"/>
      <c r="M729" s="154"/>
      <c r="N729" s="154"/>
      <c r="O729" s="246"/>
      <c r="P729" s="1597"/>
      <c r="R729" s="1598"/>
      <c r="S729" s="557"/>
      <c r="T729" s="1768"/>
      <c r="V729" s="1769"/>
      <c r="X729" s="1768"/>
      <c r="Z729" s="1769"/>
      <c r="AA729" s="557"/>
      <c r="AK729" s="246"/>
    </row>
    <row r="730" spans="2:37" ht="18" customHeight="1">
      <c r="B730" s="199"/>
      <c r="D730" s="154"/>
      <c r="F730" s="154"/>
      <c r="G730" s="217"/>
      <c r="I730" s="673"/>
      <c r="J730" s="209"/>
      <c r="K730" s="520"/>
      <c r="L730" s="154"/>
      <c r="M730" s="154"/>
      <c r="N730" s="154"/>
      <c r="O730" s="246"/>
      <c r="P730" s="1597"/>
      <c r="R730" s="1598"/>
      <c r="S730" s="557"/>
      <c r="T730" s="1768"/>
      <c r="V730" s="1769"/>
      <c r="X730" s="1768"/>
      <c r="Z730" s="1769"/>
      <c r="AA730" s="557"/>
      <c r="AK730" s="246"/>
    </row>
    <row r="731" spans="2:37" ht="18" customHeight="1">
      <c r="B731" s="199"/>
      <c r="D731" s="154"/>
      <c r="F731" s="154"/>
      <c r="G731" s="217"/>
      <c r="I731" s="673"/>
      <c r="J731" s="209"/>
      <c r="K731" s="520"/>
      <c r="L731" s="154"/>
      <c r="M731" s="154"/>
      <c r="N731" s="154"/>
      <c r="O731" s="246"/>
      <c r="P731" s="1597"/>
      <c r="R731" s="1598"/>
      <c r="S731" s="557"/>
      <c r="T731" s="1768"/>
      <c r="V731" s="1769"/>
      <c r="X731" s="1768"/>
      <c r="Z731" s="1769"/>
      <c r="AA731" s="557"/>
      <c r="AK731" s="246"/>
    </row>
    <row r="732" spans="2:37" ht="18" customHeight="1">
      <c r="B732" s="199"/>
      <c r="D732" s="154"/>
      <c r="F732" s="154"/>
      <c r="G732" s="217"/>
      <c r="I732" s="673"/>
      <c r="J732" s="209"/>
      <c r="K732" s="520"/>
      <c r="L732" s="154"/>
      <c r="M732" s="154"/>
      <c r="N732" s="154"/>
      <c r="O732" s="246"/>
      <c r="P732" s="1597"/>
      <c r="R732" s="1598"/>
      <c r="S732" s="557"/>
      <c r="T732" s="1768"/>
      <c r="V732" s="1769"/>
      <c r="X732" s="1768"/>
      <c r="Z732" s="1769"/>
      <c r="AA732" s="557"/>
      <c r="AK732" s="246"/>
    </row>
    <row r="733" spans="2:37" ht="18" customHeight="1">
      <c r="B733" s="199"/>
      <c r="D733" s="154"/>
      <c r="F733" s="154"/>
      <c r="G733" s="217"/>
      <c r="I733" s="673"/>
      <c r="J733" s="209"/>
      <c r="K733" s="520"/>
      <c r="L733" s="154"/>
      <c r="M733" s="154"/>
      <c r="N733" s="154"/>
      <c r="O733" s="246"/>
      <c r="P733" s="1597"/>
      <c r="R733" s="1598"/>
      <c r="S733" s="557"/>
      <c r="T733" s="1768"/>
      <c r="V733" s="1769"/>
      <c r="X733" s="1768"/>
      <c r="Z733" s="1769"/>
      <c r="AA733" s="557"/>
      <c r="AK733" s="246"/>
    </row>
    <row r="734" spans="2:37" ht="18" customHeight="1">
      <c r="B734" s="199"/>
      <c r="D734" s="154"/>
      <c r="F734" s="154"/>
      <c r="G734" s="217"/>
      <c r="I734" s="673"/>
      <c r="J734" s="209"/>
      <c r="K734" s="520"/>
      <c r="L734" s="154"/>
      <c r="M734" s="154"/>
      <c r="N734" s="154"/>
      <c r="O734" s="246"/>
      <c r="P734" s="1597"/>
      <c r="R734" s="1598"/>
      <c r="S734" s="557"/>
      <c r="T734" s="1768"/>
      <c r="V734" s="1769"/>
      <c r="X734" s="1768"/>
      <c r="Z734" s="1769"/>
      <c r="AA734" s="557"/>
      <c r="AK734" s="246"/>
    </row>
    <row r="735" spans="2:37" ht="18" customHeight="1">
      <c r="B735" s="199"/>
      <c r="D735" s="154"/>
      <c r="F735" s="154"/>
      <c r="G735" s="217"/>
      <c r="I735" s="673"/>
      <c r="J735" s="209"/>
      <c r="K735" s="520"/>
      <c r="L735" s="154"/>
      <c r="M735" s="154"/>
      <c r="N735" s="154"/>
      <c r="O735" s="246"/>
      <c r="P735" s="1597"/>
      <c r="R735" s="1598"/>
      <c r="S735" s="557"/>
      <c r="T735" s="1768"/>
      <c r="V735" s="1769"/>
      <c r="X735" s="1768"/>
      <c r="Z735" s="1769"/>
      <c r="AA735" s="557"/>
      <c r="AK735" s="246"/>
    </row>
    <row r="736" spans="2:37" ht="18" customHeight="1">
      <c r="B736" s="199"/>
      <c r="D736" s="154"/>
      <c r="F736" s="154"/>
      <c r="G736" s="217"/>
      <c r="I736" s="673"/>
      <c r="J736" s="209"/>
      <c r="K736" s="520"/>
      <c r="L736" s="154"/>
      <c r="M736" s="154"/>
      <c r="N736" s="154"/>
      <c r="O736" s="246"/>
      <c r="P736" s="1597"/>
      <c r="R736" s="1598"/>
      <c r="S736" s="557"/>
      <c r="T736" s="1768"/>
      <c r="V736" s="1769"/>
      <c r="X736" s="1768"/>
      <c r="Z736" s="1769"/>
      <c r="AA736" s="557"/>
      <c r="AK736" s="246"/>
    </row>
    <row r="737" spans="2:37" ht="18" customHeight="1">
      <c r="B737" s="199"/>
      <c r="D737" s="154"/>
      <c r="F737" s="154"/>
      <c r="G737" s="217"/>
      <c r="I737" s="673"/>
      <c r="J737" s="209"/>
      <c r="K737" s="520"/>
      <c r="L737" s="154"/>
      <c r="M737" s="154"/>
      <c r="N737" s="154"/>
      <c r="O737" s="246"/>
      <c r="P737" s="1597"/>
      <c r="R737" s="1598"/>
      <c r="S737" s="557"/>
      <c r="T737" s="1768"/>
      <c r="V737" s="1769"/>
      <c r="X737" s="1768"/>
      <c r="Z737" s="1769"/>
      <c r="AA737" s="557"/>
      <c r="AK737" s="246"/>
    </row>
    <row r="738" spans="2:37" ht="18" customHeight="1">
      <c r="B738" s="199"/>
      <c r="D738" s="154"/>
      <c r="F738" s="154"/>
      <c r="G738" s="217"/>
      <c r="I738" s="673"/>
      <c r="J738" s="209"/>
      <c r="K738" s="520"/>
      <c r="L738" s="154"/>
      <c r="M738" s="154"/>
      <c r="N738" s="154"/>
      <c r="O738" s="246"/>
      <c r="P738" s="1597"/>
      <c r="R738" s="1598"/>
      <c r="S738" s="557"/>
      <c r="T738" s="1768"/>
      <c r="V738" s="1769"/>
      <c r="X738" s="1768"/>
      <c r="Z738" s="1769"/>
      <c r="AA738" s="557"/>
      <c r="AK738" s="246"/>
    </row>
    <row r="739" spans="2:37" ht="18" customHeight="1">
      <c r="B739" s="199"/>
      <c r="D739" s="154"/>
      <c r="F739" s="154"/>
      <c r="G739" s="217"/>
      <c r="I739" s="673"/>
      <c r="J739" s="209"/>
      <c r="K739" s="520"/>
      <c r="L739" s="154"/>
      <c r="M739" s="154"/>
      <c r="N739" s="154"/>
      <c r="O739" s="246"/>
      <c r="P739" s="1597"/>
      <c r="R739" s="1598"/>
      <c r="S739" s="557"/>
      <c r="T739" s="1768"/>
      <c r="V739" s="1769"/>
      <c r="X739" s="1768"/>
      <c r="Z739" s="1769"/>
      <c r="AA739" s="557"/>
      <c r="AK739" s="246"/>
    </row>
    <row r="740" spans="2:37" ht="18" customHeight="1">
      <c r="B740" s="199"/>
      <c r="D740" s="154"/>
      <c r="F740" s="154"/>
      <c r="G740" s="217"/>
      <c r="I740" s="673"/>
      <c r="J740" s="209"/>
      <c r="K740" s="520"/>
      <c r="L740" s="154"/>
      <c r="M740" s="154"/>
      <c r="N740" s="154"/>
      <c r="O740" s="246"/>
      <c r="P740" s="1597"/>
      <c r="R740" s="1598"/>
      <c r="S740" s="557"/>
      <c r="T740" s="1768"/>
      <c r="V740" s="1769"/>
      <c r="X740" s="1768"/>
      <c r="Z740" s="1769"/>
      <c r="AA740" s="557"/>
      <c r="AK740" s="246"/>
    </row>
    <row r="741" spans="2:37" ht="18" customHeight="1">
      <c r="B741" s="199"/>
      <c r="D741" s="154"/>
      <c r="F741" s="154"/>
      <c r="G741" s="217"/>
      <c r="I741" s="673"/>
      <c r="J741" s="209"/>
      <c r="K741" s="520"/>
      <c r="L741" s="154"/>
      <c r="M741" s="154"/>
      <c r="N741" s="154"/>
      <c r="O741" s="246"/>
      <c r="P741" s="1597"/>
      <c r="R741" s="1598"/>
      <c r="S741" s="557"/>
      <c r="T741" s="1768"/>
      <c r="V741" s="1769"/>
      <c r="X741" s="1768"/>
      <c r="Z741" s="1769"/>
      <c r="AA741" s="557"/>
      <c r="AK741" s="246"/>
    </row>
    <row r="742" spans="2:37" ht="18" customHeight="1">
      <c r="B742" s="199"/>
      <c r="D742" s="154"/>
      <c r="F742" s="154"/>
      <c r="G742" s="217"/>
      <c r="I742" s="673"/>
      <c r="J742" s="209"/>
      <c r="K742" s="520"/>
      <c r="L742" s="154"/>
      <c r="M742" s="154"/>
      <c r="N742" s="154"/>
      <c r="O742" s="246"/>
      <c r="P742" s="1597"/>
      <c r="R742" s="1598"/>
      <c r="S742" s="557"/>
      <c r="T742" s="1768"/>
      <c r="V742" s="1769"/>
      <c r="X742" s="1768"/>
      <c r="Z742" s="1769"/>
      <c r="AA742" s="557"/>
      <c r="AK742" s="246"/>
    </row>
    <row r="743" spans="2:37" ht="18" customHeight="1">
      <c r="B743" s="199"/>
      <c r="D743" s="154"/>
      <c r="F743" s="154"/>
      <c r="G743" s="217"/>
      <c r="I743" s="673"/>
      <c r="J743" s="209"/>
      <c r="K743" s="520"/>
      <c r="L743" s="154"/>
      <c r="M743" s="154"/>
      <c r="N743" s="154"/>
      <c r="O743" s="246"/>
      <c r="P743" s="1597"/>
      <c r="R743" s="1598"/>
      <c r="S743" s="557"/>
      <c r="T743" s="1768"/>
      <c r="V743" s="1769"/>
      <c r="X743" s="1768"/>
      <c r="Z743" s="1769"/>
      <c r="AA743" s="557"/>
      <c r="AK743" s="246"/>
    </row>
    <row r="744" spans="2:37" ht="18" customHeight="1">
      <c r="B744" s="199"/>
      <c r="D744" s="154"/>
      <c r="F744" s="154"/>
      <c r="G744" s="217"/>
      <c r="I744" s="673"/>
      <c r="J744" s="209"/>
      <c r="K744" s="520"/>
      <c r="L744" s="154"/>
      <c r="M744" s="154"/>
      <c r="N744" s="154"/>
      <c r="O744" s="246"/>
      <c r="P744" s="1597"/>
      <c r="R744" s="1598"/>
      <c r="S744" s="557"/>
      <c r="T744" s="1768"/>
      <c r="V744" s="1769"/>
      <c r="X744" s="1768"/>
      <c r="Z744" s="1769"/>
      <c r="AA744" s="557"/>
      <c r="AK744" s="246"/>
    </row>
    <row r="745" spans="2:37" ht="18" customHeight="1">
      <c r="B745" s="199"/>
      <c r="D745" s="154"/>
      <c r="F745" s="154"/>
      <c r="G745" s="217"/>
      <c r="I745" s="673"/>
      <c r="J745" s="209"/>
      <c r="K745" s="520"/>
      <c r="L745" s="154"/>
      <c r="M745" s="154"/>
      <c r="N745" s="154"/>
      <c r="O745" s="246"/>
      <c r="P745" s="1597"/>
      <c r="R745" s="1598"/>
      <c r="S745" s="557"/>
      <c r="T745" s="1768"/>
      <c r="V745" s="1769"/>
      <c r="X745" s="1768"/>
      <c r="Z745" s="1769"/>
      <c r="AA745" s="557"/>
      <c r="AK745" s="246"/>
    </row>
    <row r="746" spans="2:37" ht="18" customHeight="1">
      <c r="B746" s="199"/>
      <c r="D746" s="154"/>
      <c r="F746" s="154"/>
      <c r="G746" s="217"/>
      <c r="I746" s="673"/>
      <c r="J746" s="209"/>
      <c r="K746" s="520"/>
      <c r="L746" s="154"/>
      <c r="M746" s="154"/>
      <c r="N746" s="154"/>
      <c r="O746" s="246"/>
      <c r="P746" s="1597"/>
      <c r="R746" s="1598"/>
      <c r="S746" s="557"/>
      <c r="T746" s="1768"/>
      <c r="V746" s="1769"/>
      <c r="X746" s="1768"/>
      <c r="Z746" s="1769"/>
      <c r="AA746" s="557"/>
      <c r="AK746" s="246"/>
    </row>
    <row r="747" spans="2:37" ht="18" customHeight="1">
      <c r="B747" s="199"/>
      <c r="D747" s="154"/>
      <c r="F747" s="154"/>
      <c r="G747" s="217"/>
      <c r="I747" s="673"/>
      <c r="J747" s="209"/>
      <c r="K747" s="520"/>
      <c r="L747" s="154"/>
      <c r="M747" s="154"/>
      <c r="N747" s="154"/>
      <c r="O747" s="246"/>
      <c r="P747" s="1597"/>
      <c r="R747" s="1598"/>
      <c r="S747" s="557"/>
      <c r="T747" s="1768"/>
      <c r="V747" s="1769"/>
      <c r="X747" s="1768"/>
      <c r="Z747" s="1769"/>
      <c r="AA747" s="557"/>
      <c r="AK747" s="246"/>
    </row>
    <row r="748" spans="2:37" ht="18" customHeight="1">
      <c r="B748" s="199"/>
      <c r="D748" s="154"/>
      <c r="F748" s="154"/>
      <c r="G748" s="217"/>
      <c r="I748" s="673"/>
      <c r="J748" s="209"/>
      <c r="K748" s="520"/>
      <c r="L748" s="154"/>
      <c r="M748" s="154"/>
      <c r="N748" s="154"/>
      <c r="O748" s="246"/>
      <c r="P748" s="1597"/>
      <c r="R748" s="1598"/>
      <c r="S748" s="557"/>
      <c r="T748" s="1768"/>
      <c r="V748" s="1769"/>
      <c r="X748" s="1768"/>
      <c r="Z748" s="1769"/>
      <c r="AA748" s="557"/>
      <c r="AK748" s="246"/>
    </row>
    <row r="749" spans="2:37" ht="18" customHeight="1">
      <c r="B749" s="199"/>
      <c r="D749" s="154"/>
      <c r="F749" s="154"/>
      <c r="G749" s="217"/>
      <c r="I749" s="673"/>
      <c r="J749" s="209"/>
      <c r="K749" s="520"/>
      <c r="L749" s="154"/>
      <c r="M749" s="154"/>
      <c r="N749" s="154"/>
      <c r="O749" s="246"/>
      <c r="P749" s="1597"/>
      <c r="R749" s="1598"/>
      <c r="S749" s="557"/>
      <c r="T749" s="1768"/>
      <c r="V749" s="1769"/>
      <c r="X749" s="1768"/>
      <c r="Z749" s="1769"/>
      <c r="AA749" s="557"/>
      <c r="AK749" s="246"/>
    </row>
    <row r="750" spans="2:37" ht="18" customHeight="1">
      <c r="B750" s="199"/>
      <c r="D750" s="154"/>
      <c r="F750" s="154"/>
      <c r="G750" s="217"/>
      <c r="I750" s="673"/>
      <c r="J750" s="209"/>
      <c r="K750" s="520"/>
      <c r="L750" s="154"/>
      <c r="M750" s="154"/>
      <c r="N750" s="154"/>
      <c r="O750" s="246"/>
      <c r="P750" s="1597"/>
      <c r="R750" s="1598"/>
      <c r="S750" s="557"/>
      <c r="T750" s="1768"/>
      <c r="V750" s="1769"/>
      <c r="X750" s="1768"/>
      <c r="Z750" s="1769"/>
      <c r="AA750" s="557"/>
      <c r="AK750" s="246"/>
    </row>
    <row r="751" spans="2:37" ht="18" customHeight="1">
      <c r="B751" s="199"/>
      <c r="D751" s="154"/>
      <c r="F751" s="154"/>
      <c r="G751" s="217"/>
      <c r="I751" s="673"/>
      <c r="J751" s="209"/>
      <c r="K751" s="520"/>
      <c r="L751" s="154"/>
      <c r="M751" s="154"/>
      <c r="N751" s="154"/>
      <c r="O751" s="246"/>
      <c r="P751" s="1597"/>
      <c r="R751" s="1598"/>
      <c r="S751" s="557"/>
      <c r="T751" s="1768"/>
      <c r="V751" s="1769"/>
      <c r="X751" s="1768"/>
      <c r="Z751" s="1769"/>
      <c r="AA751" s="557"/>
      <c r="AK751" s="246"/>
    </row>
    <row r="752" spans="2:37" ht="18" customHeight="1">
      <c r="B752" s="199"/>
      <c r="D752" s="154"/>
      <c r="F752" s="154"/>
      <c r="G752" s="217"/>
      <c r="I752" s="673"/>
      <c r="J752" s="209"/>
      <c r="K752" s="520"/>
      <c r="L752" s="154"/>
      <c r="M752" s="154"/>
      <c r="N752" s="154"/>
      <c r="O752" s="246"/>
      <c r="P752" s="1597"/>
      <c r="R752" s="1598"/>
      <c r="S752" s="557"/>
      <c r="T752" s="1768"/>
      <c r="V752" s="1769"/>
      <c r="X752" s="1768"/>
      <c r="Z752" s="1769"/>
      <c r="AA752" s="557"/>
      <c r="AK752" s="246"/>
    </row>
    <row r="753" spans="2:37" ht="18" customHeight="1">
      <c r="B753" s="199"/>
      <c r="D753" s="154"/>
      <c r="F753" s="154"/>
      <c r="G753" s="217"/>
      <c r="I753" s="673"/>
      <c r="J753" s="209"/>
      <c r="K753" s="520"/>
      <c r="L753" s="154"/>
      <c r="M753" s="154"/>
      <c r="N753" s="154"/>
      <c r="O753" s="246"/>
      <c r="P753" s="1597"/>
      <c r="R753" s="1598"/>
      <c r="S753" s="557"/>
      <c r="T753" s="1768"/>
      <c r="V753" s="1769"/>
      <c r="X753" s="1768"/>
      <c r="Z753" s="1769"/>
      <c r="AA753" s="557"/>
      <c r="AK753" s="246"/>
    </row>
    <row r="754" spans="2:37" ht="18" customHeight="1">
      <c r="B754" s="199"/>
      <c r="D754" s="154"/>
      <c r="F754" s="154"/>
      <c r="G754" s="217"/>
      <c r="I754" s="673"/>
      <c r="J754" s="209"/>
      <c r="K754" s="520"/>
      <c r="L754" s="154"/>
      <c r="M754" s="154"/>
      <c r="N754" s="154"/>
      <c r="O754" s="246"/>
      <c r="P754" s="1597"/>
      <c r="R754" s="1598"/>
      <c r="S754" s="557"/>
      <c r="T754" s="1768"/>
      <c r="V754" s="1769"/>
      <c r="X754" s="1768"/>
      <c r="Z754" s="1769"/>
      <c r="AA754" s="557"/>
      <c r="AK754" s="246"/>
    </row>
    <row r="755" spans="2:37" ht="18" customHeight="1">
      <c r="B755" s="199"/>
      <c r="D755" s="154"/>
      <c r="F755" s="154"/>
      <c r="G755" s="217"/>
      <c r="I755" s="673"/>
      <c r="J755" s="209"/>
      <c r="K755" s="520"/>
      <c r="L755" s="154"/>
      <c r="M755" s="154"/>
      <c r="N755" s="154"/>
      <c r="O755" s="246"/>
      <c r="P755" s="1597"/>
      <c r="R755" s="1598"/>
      <c r="S755" s="557"/>
      <c r="T755" s="1768"/>
      <c r="V755" s="1769"/>
      <c r="X755" s="1768"/>
      <c r="Z755" s="1769"/>
      <c r="AA755" s="557"/>
      <c r="AK755" s="246"/>
    </row>
    <row r="756" spans="2:37" ht="18" customHeight="1">
      <c r="B756" s="199"/>
      <c r="D756" s="154"/>
      <c r="F756" s="154"/>
      <c r="G756" s="217"/>
      <c r="I756" s="673"/>
      <c r="J756" s="209"/>
      <c r="K756" s="520"/>
      <c r="L756" s="154"/>
      <c r="M756" s="154"/>
      <c r="N756" s="154"/>
      <c r="O756" s="246"/>
      <c r="P756" s="1597"/>
      <c r="R756" s="1598"/>
      <c r="S756" s="557"/>
      <c r="T756" s="1768"/>
      <c r="V756" s="1769"/>
      <c r="X756" s="1768"/>
      <c r="Z756" s="1769"/>
      <c r="AA756" s="557"/>
      <c r="AK756" s="246"/>
    </row>
    <row r="757" spans="2:37" ht="18" customHeight="1">
      <c r="B757" s="199"/>
      <c r="D757" s="154"/>
      <c r="F757" s="154"/>
      <c r="G757" s="217"/>
      <c r="I757" s="673"/>
      <c r="J757" s="209"/>
      <c r="K757" s="520"/>
      <c r="L757" s="154"/>
      <c r="M757" s="154"/>
      <c r="N757" s="154"/>
      <c r="O757" s="246"/>
      <c r="P757" s="1597"/>
      <c r="R757" s="1598"/>
      <c r="S757" s="557"/>
      <c r="T757" s="1768"/>
      <c r="V757" s="1769"/>
      <c r="X757" s="1768"/>
      <c r="Z757" s="1769"/>
      <c r="AA757" s="557"/>
      <c r="AK757" s="246"/>
    </row>
    <row r="758" spans="2:37" ht="18" customHeight="1">
      <c r="B758" s="199"/>
      <c r="D758" s="154"/>
      <c r="F758" s="154"/>
      <c r="G758" s="217"/>
      <c r="I758" s="673"/>
      <c r="J758" s="209"/>
      <c r="K758" s="520"/>
      <c r="L758" s="154"/>
      <c r="M758" s="154"/>
      <c r="N758" s="154"/>
      <c r="O758" s="246"/>
      <c r="P758" s="1597"/>
      <c r="R758" s="1598"/>
      <c r="S758" s="557"/>
      <c r="T758" s="1768"/>
      <c r="V758" s="1769"/>
      <c r="X758" s="1768"/>
      <c r="Z758" s="1769"/>
      <c r="AA758" s="557"/>
      <c r="AK758" s="246"/>
    </row>
    <row r="759" spans="2:37" ht="18" customHeight="1">
      <c r="B759" s="199"/>
      <c r="D759" s="154"/>
      <c r="F759" s="154"/>
      <c r="G759" s="217"/>
      <c r="I759" s="673"/>
      <c r="J759" s="209"/>
      <c r="K759" s="520"/>
      <c r="L759" s="154"/>
      <c r="M759" s="154"/>
      <c r="N759" s="154"/>
      <c r="O759" s="246"/>
      <c r="P759" s="1597"/>
      <c r="R759" s="1598"/>
      <c r="S759" s="557"/>
      <c r="T759" s="1768"/>
      <c r="V759" s="1769"/>
      <c r="X759" s="1768"/>
      <c r="Z759" s="1769"/>
      <c r="AA759" s="557"/>
      <c r="AK759" s="246"/>
    </row>
    <row r="760" spans="2:37" ht="18" customHeight="1">
      <c r="B760" s="199"/>
      <c r="D760" s="154"/>
      <c r="F760" s="154"/>
      <c r="G760" s="217"/>
      <c r="I760" s="673"/>
      <c r="J760" s="209"/>
      <c r="K760" s="520"/>
      <c r="L760" s="154"/>
      <c r="M760" s="154"/>
      <c r="N760" s="154"/>
      <c r="O760" s="246"/>
      <c r="P760" s="1597"/>
      <c r="R760" s="1598"/>
      <c r="S760" s="557"/>
      <c r="T760" s="1768"/>
      <c r="V760" s="1769"/>
      <c r="X760" s="1768"/>
      <c r="Z760" s="1769"/>
      <c r="AA760" s="557"/>
      <c r="AK760" s="246"/>
    </row>
    <row r="761" spans="2:37" ht="18" customHeight="1">
      <c r="B761" s="199"/>
      <c r="D761" s="154"/>
      <c r="F761" s="154"/>
      <c r="G761" s="217"/>
      <c r="I761" s="673"/>
      <c r="J761" s="209"/>
      <c r="K761" s="520"/>
      <c r="L761" s="154"/>
      <c r="M761" s="154"/>
      <c r="N761" s="154"/>
      <c r="O761" s="246"/>
      <c r="P761" s="1597"/>
      <c r="R761" s="1598"/>
      <c r="S761" s="557"/>
      <c r="T761" s="1768"/>
      <c r="V761" s="1769"/>
      <c r="X761" s="1768"/>
      <c r="Z761" s="1769"/>
      <c r="AA761" s="557"/>
      <c r="AK761" s="246"/>
    </row>
    <row r="762" spans="2:37" ht="18" customHeight="1">
      <c r="B762" s="199"/>
      <c r="D762" s="154"/>
      <c r="F762" s="154"/>
      <c r="G762" s="217"/>
      <c r="I762" s="673"/>
      <c r="J762" s="209"/>
      <c r="K762" s="520"/>
      <c r="L762" s="154"/>
      <c r="M762" s="154"/>
      <c r="N762" s="154"/>
      <c r="O762" s="246"/>
      <c r="P762" s="1597"/>
      <c r="R762" s="1598"/>
      <c r="S762" s="557"/>
      <c r="T762" s="1768"/>
      <c r="V762" s="1769"/>
      <c r="X762" s="1768"/>
      <c r="Z762" s="1769"/>
      <c r="AA762" s="557"/>
      <c r="AK762" s="246"/>
    </row>
    <row r="763" spans="2:37" ht="18" customHeight="1">
      <c r="B763" s="199"/>
      <c r="D763" s="154"/>
      <c r="F763" s="154"/>
      <c r="G763" s="217"/>
      <c r="I763" s="673"/>
      <c r="J763" s="209"/>
      <c r="K763" s="520"/>
      <c r="L763" s="154"/>
      <c r="M763" s="154"/>
      <c r="N763" s="154"/>
      <c r="O763" s="246"/>
      <c r="P763" s="1597"/>
      <c r="R763" s="1598"/>
      <c r="S763" s="557"/>
      <c r="T763" s="1768"/>
      <c r="V763" s="1769"/>
      <c r="X763" s="1768"/>
      <c r="Z763" s="1769"/>
      <c r="AA763" s="557"/>
      <c r="AK763" s="246"/>
    </row>
    <row r="764" spans="2:37" ht="18" customHeight="1">
      <c r="B764" s="199"/>
      <c r="D764" s="154"/>
      <c r="F764" s="154"/>
      <c r="G764" s="217"/>
      <c r="I764" s="673"/>
      <c r="J764" s="209"/>
      <c r="K764" s="520"/>
      <c r="L764" s="154"/>
      <c r="M764" s="154"/>
      <c r="N764" s="154"/>
      <c r="O764" s="246"/>
      <c r="P764" s="1597"/>
      <c r="R764" s="1598"/>
      <c r="S764" s="557"/>
      <c r="T764" s="1768"/>
      <c r="V764" s="1769"/>
      <c r="X764" s="1768"/>
      <c r="Z764" s="1769"/>
      <c r="AA764" s="557"/>
      <c r="AK764" s="246"/>
    </row>
    <row r="765" spans="2:37" ht="18" customHeight="1">
      <c r="B765" s="199"/>
      <c r="D765" s="154"/>
      <c r="F765" s="154"/>
      <c r="G765" s="217"/>
      <c r="I765" s="673"/>
      <c r="J765" s="209"/>
      <c r="K765" s="520"/>
      <c r="L765" s="154"/>
      <c r="M765" s="154"/>
      <c r="N765" s="154"/>
      <c r="O765" s="246"/>
      <c r="P765" s="1597"/>
      <c r="R765" s="1598"/>
      <c r="S765" s="557"/>
      <c r="T765" s="1768"/>
      <c r="V765" s="1769"/>
      <c r="X765" s="1768"/>
      <c r="Z765" s="1769"/>
      <c r="AA765" s="557"/>
      <c r="AK765" s="246"/>
    </row>
    <row r="766" spans="2:37" ht="18" customHeight="1">
      <c r="B766" s="199"/>
      <c r="D766" s="154"/>
      <c r="F766" s="154"/>
      <c r="G766" s="217"/>
      <c r="I766" s="673"/>
      <c r="J766" s="209"/>
      <c r="K766" s="520"/>
      <c r="L766" s="154"/>
      <c r="M766" s="154"/>
      <c r="N766" s="154"/>
      <c r="O766" s="246"/>
      <c r="P766" s="1597"/>
      <c r="R766" s="1598"/>
      <c r="S766" s="557"/>
      <c r="T766" s="1768"/>
      <c r="V766" s="1769"/>
      <c r="X766" s="1768"/>
      <c r="Z766" s="1769"/>
      <c r="AA766" s="557"/>
      <c r="AK766" s="246"/>
    </row>
    <row r="767" spans="2:37" ht="18" customHeight="1">
      <c r="B767" s="199"/>
      <c r="D767" s="154"/>
      <c r="F767" s="154"/>
      <c r="G767" s="217"/>
      <c r="I767" s="673"/>
      <c r="J767" s="209"/>
      <c r="K767" s="520"/>
      <c r="L767" s="154"/>
      <c r="M767" s="154"/>
      <c r="N767" s="154"/>
      <c r="O767" s="246"/>
      <c r="P767" s="1597"/>
      <c r="R767" s="1598"/>
      <c r="S767" s="557"/>
      <c r="T767" s="1768"/>
      <c r="V767" s="1769"/>
      <c r="X767" s="1768"/>
      <c r="Z767" s="1769"/>
      <c r="AA767" s="557"/>
      <c r="AK767" s="246"/>
    </row>
    <row r="768" spans="2:37" ht="18" customHeight="1">
      <c r="B768" s="199"/>
      <c r="D768" s="154"/>
      <c r="F768" s="154"/>
      <c r="G768" s="217"/>
      <c r="I768" s="673"/>
      <c r="J768" s="209"/>
      <c r="K768" s="520"/>
      <c r="L768" s="154"/>
      <c r="M768" s="154"/>
      <c r="N768" s="154"/>
      <c r="O768" s="246"/>
      <c r="P768" s="1597"/>
      <c r="R768" s="1598"/>
      <c r="S768" s="557"/>
      <c r="T768" s="1768"/>
      <c r="V768" s="1769"/>
      <c r="X768" s="1768"/>
      <c r="Z768" s="1769"/>
      <c r="AA768" s="557"/>
      <c r="AK768" s="246"/>
    </row>
    <row r="769" spans="2:37" ht="18" customHeight="1">
      <c r="B769" s="199"/>
      <c r="D769" s="154"/>
      <c r="F769" s="154"/>
      <c r="G769" s="217"/>
      <c r="I769" s="673"/>
      <c r="J769" s="209"/>
      <c r="K769" s="520"/>
      <c r="L769" s="154"/>
      <c r="M769" s="154"/>
      <c r="N769" s="154"/>
      <c r="O769" s="246"/>
      <c r="P769" s="1597"/>
      <c r="R769" s="1598"/>
      <c r="S769" s="557"/>
      <c r="T769" s="1768"/>
      <c r="V769" s="1769"/>
      <c r="X769" s="1768"/>
      <c r="Z769" s="1769"/>
      <c r="AA769" s="557"/>
      <c r="AK769" s="246"/>
    </row>
    <row r="770" spans="2:37" ht="18" customHeight="1">
      <c r="B770" s="199"/>
      <c r="D770" s="154"/>
      <c r="F770" s="154"/>
      <c r="G770" s="217"/>
      <c r="I770" s="673"/>
      <c r="J770" s="209"/>
      <c r="K770" s="520"/>
      <c r="L770" s="154"/>
      <c r="M770" s="154"/>
      <c r="N770" s="154"/>
      <c r="O770" s="246"/>
      <c r="P770" s="1597"/>
      <c r="R770" s="1598"/>
      <c r="S770" s="557"/>
      <c r="T770" s="1768"/>
      <c r="V770" s="1769"/>
      <c r="X770" s="1768"/>
      <c r="Z770" s="1769"/>
      <c r="AA770" s="557"/>
      <c r="AK770" s="246"/>
    </row>
    <row r="771" spans="2:37" ht="18" customHeight="1">
      <c r="B771" s="199"/>
      <c r="D771" s="154"/>
      <c r="F771" s="154"/>
      <c r="G771" s="217"/>
      <c r="I771" s="673"/>
      <c r="J771" s="209"/>
      <c r="K771" s="520"/>
      <c r="L771" s="154"/>
      <c r="M771" s="154"/>
      <c r="N771" s="154"/>
      <c r="O771" s="246"/>
      <c r="P771" s="1597"/>
      <c r="R771" s="1598"/>
      <c r="S771" s="557"/>
      <c r="T771" s="1768"/>
      <c r="V771" s="1769"/>
      <c r="X771" s="1768"/>
      <c r="Z771" s="1769"/>
      <c r="AA771" s="557"/>
      <c r="AK771" s="246"/>
    </row>
    <row r="772" spans="2:37" ht="18" customHeight="1">
      <c r="B772" s="199"/>
      <c r="D772" s="154"/>
      <c r="F772" s="154"/>
      <c r="G772" s="217"/>
      <c r="I772" s="673"/>
      <c r="J772" s="209"/>
      <c r="K772" s="520"/>
      <c r="L772" s="154"/>
      <c r="M772" s="154"/>
      <c r="N772" s="154"/>
      <c r="O772" s="246"/>
      <c r="P772" s="1597"/>
      <c r="R772" s="1598"/>
      <c r="S772" s="557"/>
      <c r="T772" s="1768"/>
      <c r="V772" s="1769"/>
      <c r="X772" s="1768"/>
      <c r="Z772" s="1769"/>
      <c r="AA772" s="557"/>
      <c r="AK772" s="246"/>
    </row>
    <row r="773" spans="2:37" ht="18" customHeight="1">
      <c r="B773" s="199"/>
      <c r="D773" s="154"/>
      <c r="F773" s="154"/>
      <c r="G773" s="217"/>
      <c r="I773" s="673"/>
      <c r="J773" s="209"/>
      <c r="K773" s="520"/>
      <c r="L773" s="154"/>
      <c r="M773" s="154"/>
      <c r="N773" s="154"/>
      <c r="O773" s="246"/>
      <c r="P773" s="1597"/>
      <c r="R773" s="1598"/>
      <c r="S773" s="557"/>
      <c r="T773" s="1768"/>
      <c r="V773" s="1769"/>
      <c r="X773" s="1768"/>
      <c r="Z773" s="1769"/>
      <c r="AA773" s="557"/>
      <c r="AK773" s="246"/>
    </row>
    <row r="774" spans="2:37" ht="18" customHeight="1">
      <c r="B774" s="199"/>
      <c r="D774" s="154"/>
      <c r="F774" s="154"/>
      <c r="G774" s="217"/>
      <c r="I774" s="673"/>
      <c r="J774" s="209"/>
      <c r="K774" s="520"/>
      <c r="L774" s="154"/>
      <c r="M774" s="154"/>
      <c r="N774" s="154"/>
      <c r="O774" s="246"/>
      <c r="P774" s="1597"/>
      <c r="R774" s="1598"/>
      <c r="S774" s="557"/>
      <c r="T774" s="1768"/>
      <c r="V774" s="1769"/>
      <c r="X774" s="1768"/>
      <c r="Z774" s="1769"/>
      <c r="AA774" s="557"/>
      <c r="AK774" s="246"/>
    </row>
    <row r="775" spans="2:37" ht="18" customHeight="1">
      <c r="B775" s="199"/>
      <c r="D775" s="154"/>
      <c r="F775" s="154"/>
      <c r="G775" s="217"/>
      <c r="I775" s="673"/>
      <c r="J775" s="209"/>
      <c r="K775" s="520"/>
      <c r="L775" s="154"/>
      <c r="M775" s="154"/>
      <c r="N775" s="154"/>
      <c r="O775" s="246"/>
      <c r="P775" s="1597"/>
      <c r="R775" s="1598"/>
      <c r="S775" s="557"/>
      <c r="T775" s="1768"/>
      <c r="V775" s="1769"/>
      <c r="X775" s="1768"/>
      <c r="Z775" s="1769"/>
      <c r="AA775" s="557"/>
      <c r="AK775" s="246"/>
    </row>
    <row r="776" spans="2:37" ht="18" customHeight="1">
      <c r="B776" s="199"/>
      <c r="D776" s="154"/>
      <c r="F776" s="154"/>
      <c r="G776" s="217"/>
      <c r="I776" s="673"/>
      <c r="J776" s="209"/>
      <c r="K776" s="520"/>
      <c r="L776" s="154"/>
      <c r="M776" s="154"/>
      <c r="N776" s="154"/>
      <c r="O776" s="246"/>
      <c r="P776" s="1597"/>
      <c r="R776" s="1598"/>
      <c r="S776" s="557"/>
      <c r="T776" s="1768"/>
      <c r="V776" s="1769"/>
      <c r="X776" s="1768"/>
      <c r="Z776" s="1769"/>
      <c r="AA776" s="557"/>
      <c r="AK776" s="246"/>
    </row>
    <row r="777" spans="2:37" ht="18" customHeight="1">
      <c r="B777" s="199"/>
      <c r="D777" s="154"/>
      <c r="F777" s="154"/>
      <c r="G777" s="217"/>
      <c r="I777" s="673"/>
      <c r="J777" s="209"/>
      <c r="K777" s="520"/>
      <c r="L777" s="154"/>
      <c r="M777" s="154"/>
      <c r="N777" s="154"/>
      <c r="O777" s="246"/>
      <c r="P777" s="1597"/>
      <c r="R777" s="1598"/>
      <c r="S777" s="557"/>
      <c r="T777" s="1768"/>
      <c r="V777" s="1769"/>
      <c r="X777" s="1768"/>
      <c r="Z777" s="1769"/>
      <c r="AA777" s="557"/>
      <c r="AK777" s="246"/>
    </row>
    <row r="778" spans="2:37" ht="18" customHeight="1">
      <c r="B778" s="199"/>
      <c r="D778" s="154"/>
      <c r="F778" s="154"/>
      <c r="G778" s="217"/>
      <c r="I778" s="673"/>
      <c r="J778" s="209"/>
      <c r="K778" s="520"/>
      <c r="L778" s="154"/>
      <c r="M778" s="154"/>
      <c r="N778" s="154"/>
      <c r="O778" s="246"/>
      <c r="P778" s="1597"/>
      <c r="R778" s="1598"/>
      <c r="S778" s="557"/>
      <c r="T778" s="1768"/>
      <c r="V778" s="1769"/>
      <c r="X778" s="1768"/>
      <c r="Z778" s="1769"/>
      <c r="AA778" s="557"/>
      <c r="AK778" s="246"/>
    </row>
    <row r="779" spans="2:37" ht="18" customHeight="1">
      <c r="B779" s="199"/>
      <c r="D779" s="154"/>
      <c r="F779" s="154"/>
      <c r="G779" s="217"/>
      <c r="I779" s="673"/>
      <c r="J779" s="209"/>
      <c r="K779" s="520"/>
      <c r="L779" s="154"/>
      <c r="M779" s="154"/>
      <c r="N779" s="154"/>
      <c r="O779" s="246"/>
      <c r="P779" s="1597"/>
      <c r="R779" s="1598"/>
      <c r="S779" s="557"/>
      <c r="T779" s="1768"/>
      <c r="V779" s="1769"/>
      <c r="X779" s="1768"/>
      <c r="Z779" s="1769"/>
      <c r="AA779" s="557"/>
      <c r="AK779" s="246"/>
    </row>
    <row r="780" spans="2:37" ht="18" customHeight="1">
      <c r="B780" s="199"/>
      <c r="D780" s="154"/>
      <c r="F780" s="154"/>
      <c r="G780" s="217"/>
      <c r="I780" s="673"/>
      <c r="J780" s="209"/>
      <c r="K780" s="520"/>
      <c r="L780" s="154"/>
      <c r="M780" s="154"/>
      <c r="N780" s="154"/>
      <c r="O780" s="246"/>
      <c r="P780" s="1597"/>
      <c r="R780" s="1598"/>
      <c r="S780" s="557"/>
      <c r="T780" s="1768"/>
      <c r="V780" s="1769"/>
      <c r="X780" s="1768"/>
      <c r="Z780" s="1769"/>
      <c r="AA780" s="557"/>
      <c r="AK780" s="246"/>
    </row>
    <row r="781" spans="2:37" ht="18" customHeight="1">
      <c r="B781" s="199"/>
      <c r="D781" s="154"/>
      <c r="F781" s="154"/>
      <c r="G781" s="217"/>
      <c r="I781" s="673"/>
      <c r="J781" s="209"/>
      <c r="K781" s="520"/>
      <c r="L781" s="154"/>
      <c r="M781" s="154"/>
      <c r="N781" s="154"/>
      <c r="O781" s="246"/>
      <c r="P781" s="1597"/>
      <c r="R781" s="1598"/>
      <c r="S781" s="557"/>
      <c r="T781" s="1768"/>
      <c r="V781" s="1769"/>
      <c r="X781" s="1768"/>
      <c r="Z781" s="1769"/>
      <c r="AA781" s="557"/>
      <c r="AK781" s="246"/>
    </row>
    <row r="782" spans="2:37" ht="18" customHeight="1">
      <c r="B782" s="199"/>
      <c r="D782" s="154"/>
      <c r="F782" s="154"/>
      <c r="G782" s="217"/>
      <c r="I782" s="673"/>
      <c r="J782" s="209"/>
      <c r="K782" s="520"/>
      <c r="L782" s="154"/>
      <c r="M782" s="154"/>
      <c r="N782" s="154"/>
      <c r="O782" s="246"/>
      <c r="P782" s="1597"/>
      <c r="R782" s="1598"/>
      <c r="S782" s="557"/>
      <c r="T782" s="1768"/>
      <c r="V782" s="1769"/>
      <c r="X782" s="1768"/>
      <c r="Z782" s="1769"/>
      <c r="AA782" s="557"/>
      <c r="AK782" s="246"/>
    </row>
    <row r="783" spans="2:37" ht="18" customHeight="1">
      <c r="B783" s="199"/>
      <c r="D783" s="154"/>
      <c r="F783" s="154"/>
      <c r="G783" s="217"/>
      <c r="I783" s="673"/>
      <c r="J783" s="209"/>
      <c r="K783" s="520"/>
      <c r="L783" s="154"/>
      <c r="M783" s="154"/>
      <c r="N783" s="154"/>
      <c r="O783" s="246"/>
      <c r="P783" s="1597"/>
      <c r="R783" s="1598"/>
      <c r="S783" s="557"/>
      <c r="T783" s="1768"/>
      <c r="V783" s="1769"/>
      <c r="X783" s="1768"/>
      <c r="Z783" s="1769"/>
      <c r="AA783" s="557"/>
      <c r="AK783" s="246"/>
    </row>
    <row r="784" spans="2:37" ht="18" customHeight="1">
      <c r="B784" s="199"/>
      <c r="D784" s="154"/>
      <c r="F784" s="154"/>
      <c r="G784" s="217"/>
      <c r="I784" s="673"/>
      <c r="J784" s="209"/>
      <c r="K784" s="520"/>
      <c r="L784" s="154"/>
      <c r="M784" s="154"/>
      <c r="N784" s="154"/>
      <c r="O784" s="246"/>
      <c r="P784" s="1597"/>
      <c r="R784" s="1598"/>
      <c r="S784" s="557"/>
      <c r="T784" s="1768"/>
      <c r="V784" s="1769"/>
      <c r="X784" s="1768"/>
      <c r="Z784" s="1769"/>
      <c r="AA784" s="557"/>
      <c r="AK784" s="246"/>
    </row>
    <row r="785" spans="2:37" ht="18" customHeight="1">
      <c r="B785" s="199"/>
      <c r="D785" s="154"/>
      <c r="F785" s="154"/>
      <c r="G785" s="217"/>
      <c r="I785" s="673"/>
      <c r="J785" s="209"/>
      <c r="K785" s="520"/>
      <c r="L785" s="154"/>
      <c r="M785" s="154"/>
      <c r="N785" s="154"/>
      <c r="O785" s="246"/>
      <c r="P785" s="1597"/>
      <c r="R785" s="1598"/>
      <c r="S785" s="557"/>
      <c r="T785" s="1768"/>
      <c r="V785" s="1769"/>
      <c r="X785" s="1768"/>
      <c r="Z785" s="1769"/>
      <c r="AA785" s="557"/>
      <c r="AK785" s="246"/>
    </row>
    <row r="786" spans="2:37" ht="18" customHeight="1">
      <c r="B786" s="199"/>
      <c r="D786" s="154"/>
      <c r="F786" s="154"/>
      <c r="G786" s="217"/>
      <c r="I786" s="673"/>
      <c r="J786" s="209"/>
      <c r="K786" s="520"/>
      <c r="L786" s="154"/>
      <c r="M786" s="154"/>
      <c r="N786" s="154"/>
      <c r="O786" s="246"/>
      <c r="P786" s="1597"/>
      <c r="R786" s="1598"/>
      <c r="S786" s="557"/>
      <c r="T786" s="1768"/>
      <c r="V786" s="1769"/>
      <c r="X786" s="1768"/>
      <c r="Z786" s="1769"/>
      <c r="AA786" s="557"/>
      <c r="AK786" s="246"/>
    </row>
    <row r="787" spans="2:37" ht="18" customHeight="1">
      <c r="B787" s="199"/>
      <c r="D787" s="154"/>
      <c r="F787" s="154"/>
      <c r="G787" s="217"/>
      <c r="I787" s="673"/>
      <c r="J787" s="209"/>
      <c r="K787" s="520"/>
      <c r="L787" s="154"/>
      <c r="M787" s="154"/>
      <c r="N787" s="154"/>
      <c r="O787" s="246"/>
      <c r="P787" s="1597"/>
      <c r="R787" s="1598"/>
      <c r="S787" s="557"/>
      <c r="T787" s="1768"/>
      <c r="V787" s="1769"/>
      <c r="X787" s="1768"/>
      <c r="Z787" s="1769"/>
      <c r="AA787" s="557"/>
      <c r="AK787" s="246"/>
    </row>
    <row r="788" spans="2:37" ht="18" customHeight="1">
      <c r="B788" s="199"/>
      <c r="D788" s="154"/>
      <c r="F788" s="154"/>
      <c r="G788" s="217"/>
      <c r="I788" s="673"/>
      <c r="J788" s="209"/>
      <c r="K788" s="520"/>
      <c r="L788" s="154"/>
      <c r="M788" s="154"/>
      <c r="N788" s="154"/>
      <c r="O788" s="246"/>
      <c r="P788" s="1597"/>
      <c r="R788" s="1598"/>
      <c r="S788" s="557"/>
      <c r="T788" s="1768"/>
      <c r="V788" s="1769"/>
      <c r="X788" s="1768"/>
      <c r="Z788" s="1769"/>
      <c r="AA788" s="557"/>
      <c r="AK788" s="246"/>
    </row>
    <row r="789" spans="2:37" ht="18" customHeight="1">
      <c r="B789" s="199"/>
      <c r="D789" s="154"/>
      <c r="F789" s="154"/>
      <c r="G789" s="217"/>
      <c r="I789" s="673"/>
      <c r="J789" s="209"/>
      <c r="K789" s="520"/>
      <c r="L789" s="154"/>
      <c r="M789" s="154"/>
      <c r="N789" s="154"/>
      <c r="O789" s="246"/>
      <c r="P789" s="1597"/>
      <c r="R789" s="1598"/>
      <c r="S789" s="557"/>
      <c r="T789" s="1768"/>
      <c r="V789" s="1769"/>
      <c r="X789" s="1768"/>
      <c r="Z789" s="1769"/>
      <c r="AA789" s="557"/>
      <c r="AK789" s="246"/>
    </row>
    <row r="790" spans="2:37" ht="18" customHeight="1">
      <c r="B790" s="199"/>
      <c r="D790" s="154"/>
      <c r="F790" s="154"/>
      <c r="G790" s="217"/>
      <c r="I790" s="673"/>
      <c r="J790" s="209"/>
      <c r="K790" s="520"/>
      <c r="L790" s="154"/>
      <c r="M790" s="154"/>
      <c r="N790" s="154"/>
      <c r="O790" s="246"/>
      <c r="P790" s="1597"/>
      <c r="R790" s="1598"/>
      <c r="S790" s="557"/>
      <c r="T790" s="1768"/>
      <c r="V790" s="1769"/>
      <c r="X790" s="1768"/>
      <c r="Z790" s="1769"/>
      <c r="AA790" s="557"/>
      <c r="AK790" s="246"/>
    </row>
    <row r="791" spans="2:37" ht="18" customHeight="1">
      <c r="B791" s="199"/>
      <c r="D791" s="154"/>
      <c r="F791" s="154"/>
      <c r="G791" s="217"/>
      <c r="I791" s="673"/>
      <c r="J791" s="209"/>
      <c r="K791" s="520"/>
      <c r="L791" s="154"/>
      <c r="M791" s="154"/>
      <c r="N791" s="154"/>
      <c r="O791" s="246"/>
      <c r="P791" s="1597"/>
      <c r="R791" s="1598"/>
      <c r="S791" s="557"/>
      <c r="T791" s="1768"/>
      <c r="V791" s="1769"/>
      <c r="X791" s="1768"/>
      <c r="Z791" s="1769"/>
      <c r="AA791" s="557"/>
      <c r="AK791" s="246"/>
    </row>
    <row r="792" spans="2:37" ht="18" customHeight="1">
      <c r="B792" s="199"/>
      <c r="D792" s="154"/>
      <c r="F792" s="154"/>
      <c r="G792" s="217"/>
      <c r="I792" s="673"/>
      <c r="J792" s="209"/>
      <c r="K792" s="520"/>
      <c r="L792" s="154"/>
      <c r="M792" s="154"/>
      <c r="N792" s="154"/>
      <c r="O792" s="246"/>
      <c r="P792" s="1597"/>
      <c r="R792" s="1598"/>
      <c r="S792" s="557"/>
      <c r="T792" s="1768"/>
      <c r="V792" s="1769"/>
      <c r="X792" s="1768"/>
      <c r="Z792" s="1769"/>
      <c r="AA792" s="557"/>
      <c r="AK792" s="246"/>
    </row>
    <row r="793" spans="2:37" ht="18" customHeight="1">
      <c r="B793" s="199"/>
      <c r="D793" s="154"/>
      <c r="F793" s="154"/>
      <c r="G793" s="217"/>
      <c r="I793" s="673"/>
      <c r="J793" s="209"/>
      <c r="K793" s="520"/>
      <c r="L793" s="154"/>
      <c r="M793" s="154"/>
      <c r="N793" s="154"/>
      <c r="O793" s="246"/>
      <c r="P793" s="1597"/>
      <c r="R793" s="1598"/>
      <c r="S793" s="557"/>
      <c r="T793" s="1768"/>
      <c r="V793" s="1769"/>
      <c r="X793" s="1768"/>
      <c r="Z793" s="1769"/>
      <c r="AA793" s="557"/>
      <c r="AK793" s="246"/>
    </row>
    <row r="794" spans="2:37" ht="18" customHeight="1">
      <c r="B794" s="199"/>
      <c r="D794" s="154"/>
      <c r="F794" s="154"/>
      <c r="G794" s="217"/>
      <c r="I794" s="673"/>
      <c r="J794" s="209"/>
      <c r="K794" s="520"/>
      <c r="L794" s="154"/>
      <c r="M794" s="154"/>
      <c r="N794" s="154"/>
      <c r="O794" s="246"/>
      <c r="P794" s="1597"/>
      <c r="R794" s="1598"/>
      <c r="S794" s="557"/>
      <c r="T794" s="1768"/>
      <c r="V794" s="1769"/>
      <c r="X794" s="1768"/>
      <c r="Z794" s="1769"/>
      <c r="AA794" s="557"/>
      <c r="AK794" s="246"/>
    </row>
    <row r="795" spans="2:37" ht="18" customHeight="1">
      <c r="B795" s="199"/>
      <c r="D795" s="154"/>
      <c r="F795" s="154"/>
      <c r="G795" s="217"/>
      <c r="I795" s="673"/>
      <c r="J795" s="209"/>
      <c r="K795" s="520"/>
      <c r="L795" s="154"/>
      <c r="M795" s="154"/>
      <c r="N795" s="154"/>
      <c r="O795" s="246"/>
      <c r="P795" s="1597"/>
      <c r="R795" s="1598"/>
      <c r="S795" s="557"/>
      <c r="T795" s="1768"/>
      <c r="V795" s="1769"/>
      <c r="X795" s="1768"/>
      <c r="Z795" s="1769"/>
      <c r="AA795" s="557"/>
      <c r="AK795" s="246"/>
    </row>
    <row r="796" spans="2:37" ht="18" customHeight="1">
      <c r="B796" s="199"/>
      <c r="D796" s="154"/>
      <c r="F796" s="154"/>
      <c r="G796" s="217"/>
      <c r="I796" s="673"/>
      <c r="J796" s="209"/>
      <c r="K796" s="520"/>
      <c r="L796" s="154"/>
      <c r="M796" s="154"/>
      <c r="N796" s="154"/>
      <c r="O796" s="246"/>
      <c r="P796" s="1597"/>
      <c r="R796" s="1598"/>
      <c r="S796" s="557"/>
      <c r="T796" s="1768"/>
      <c r="V796" s="1769"/>
      <c r="X796" s="1768"/>
      <c r="Z796" s="1769"/>
      <c r="AA796" s="557"/>
      <c r="AK796" s="246"/>
    </row>
    <row r="797" spans="2:37" ht="18" customHeight="1">
      <c r="B797" s="199"/>
      <c r="D797" s="154"/>
      <c r="F797" s="154"/>
      <c r="G797" s="217"/>
      <c r="I797" s="673"/>
      <c r="J797" s="209"/>
      <c r="K797" s="520"/>
      <c r="L797" s="154"/>
      <c r="M797" s="154"/>
      <c r="N797" s="154"/>
      <c r="O797" s="246"/>
      <c r="P797" s="1597"/>
      <c r="R797" s="1598"/>
      <c r="S797" s="557"/>
      <c r="T797" s="1768"/>
      <c r="V797" s="1769"/>
      <c r="X797" s="1768"/>
      <c r="Z797" s="1769"/>
      <c r="AA797" s="557"/>
      <c r="AK797" s="246"/>
    </row>
    <row r="798" spans="2:37" ht="18" customHeight="1">
      <c r="B798" s="199"/>
      <c r="D798" s="154"/>
      <c r="F798" s="154"/>
      <c r="G798" s="217"/>
      <c r="I798" s="673"/>
      <c r="J798" s="209"/>
      <c r="K798" s="520"/>
      <c r="L798" s="154"/>
      <c r="M798" s="154"/>
      <c r="N798" s="154"/>
      <c r="O798" s="246"/>
      <c r="P798" s="1597"/>
      <c r="R798" s="1598"/>
      <c r="S798" s="557"/>
      <c r="T798" s="1768"/>
      <c r="V798" s="1769"/>
      <c r="X798" s="1768"/>
      <c r="Z798" s="1769"/>
      <c r="AA798" s="557"/>
      <c r="AK798" s="246"/>
    </row>
    <row r="799" spans="2:37" ht="18" customHeight="1">
      <c r="B799" s="199"/>
      <c r="D799" s="154"/>
      <c r="F799" s="154"/>
      <c r="G799" s="217"/>
      <c r="I799" s="673"/>
      <c r="J799" s="209"/>
      <c r="K799" s="520"/>
      <c r="L799" s="154"/>
      <c r="M799" s="154"/>
      <c r="N799" s="154"/>
      <c r="O799" s="246"/>
      <c r="P799" s="1597"/>
      <c r="R799" s="1598"/>
      <c r="S799" s="557"/>
      <c r="T799" s="1768"/>
      <c r="V799" s="1769"/>
      <c r="X799" s="1768"/>
      <c r="Z799" s="1769"/>
      <c r="AA799" s="557"/>
      <c r="AK799" s="246"/>
    </row>
    <row r="800" spans="2:37" ht="18" customHeight="1">
      <c r="B800" s="199"/>
      <c r="D800" s="154"/>
      <c r="F800" s="154"/>
      <c r="G800" s="217"/>
      <c r="I800" s="673"/>
      <c r="J800" s="209"/>
      <c r="K800" s="520"/>
      <c r="L800" s="154"/>
      <c r="M800" s="154"/>
      <c r="N800" s="154"/>
      <c r="O800" s="246"/>
      <c r="P800" s="1597"/>
      <c r="R800" s="1598"/>
      <c r="S800" s="557"/>
      <c r="T800" s="1768"/>
      <c r="V800" s="1769"/>
      <c r="X800" s="1768"/>
      <c r="Z800" s="1769"/>
      <c r="AA800" s="557"/>
      <c r="AK800" s="246"/>
    </row>
    <row r="801" spans="2:37" ht="18" customHeight="1">
      <c r="B801" s="199"/>
      <c r="D801" s="154"/>
      <c r="F801" s="154"/>
      <c r="G801" s="217"/>
      <c r="I801" s="673"/>
      <c r="J801" s="209"/>
      <c r="K801" s="520"/>
      <c r="L801" s="154"/>
      <c r="M801" s="154"/>
      <c r="N801" s="154"/>
      <c r="O801" s="246"/>
      <c r="P801" s="1597"/>
      <c r="R801" s="1598"/>
      <c r="S801" s="557"/>
      <c r="T801" s="1768"/>
      <c r="V801" s="1769"/>
      <c r="X801" s="1768"/>
      <c r="Z801" s="1769"/>
      <c r="AA801" s="557"/>
      <c r="AK801" s="246"/>
    </row>
    <row r="802" spans="2:37" ht="18" customHeight="1">
      <c r="B802" s="199"/>
      <c r="D802" s="154"/>
      <c r="F802" s="154"/>
      <c r="G802" s="217"/>
      <c r="I802" s="673"/>
      <c r="J802" s="209"/>
      <c r="K802" s="520"/>
      <c r="L802" s="154"/>
      <c r="M802" s="154"/>
      <c r="N802" s="154"/>
      <c r="O802" s="246"/>
      <c r="P802" s="1597"/>
      <c r="R802" s="1598"/>
      <c r="S802" s="557"/>
      <c r="T802" s="1768"/>
      <c r="V802" s="1769"/>
      <c r="X802" s="1768"/>
      <c r="Z802" s="1769"/>
      <c r="AA802" s="557"/>
      <c r="AK802" s="246"/>
    </row>
    <row r="803" spans="2:37" ht="18" customHeight="1">
      <c r="B803" s="199"/>
      <c r="D803" s="154"/>
      <c r="F803" s="154"/>
      <c r="G803" s="217"/>
      <c r="I803" s="673"/>
      <c r="J803" s="209"/>
      <c r="K803" s="520"/>
      <c r="L803" s="154"/>
      <c r="M803" s="154"/>
      <c r="N803" s="154"/>
      <c r="O803" s="246"/>
      <c r="P803" s="1597"/>
      <c r="R803" s="1598"/>
      <c r="S803" s="557"/>
      <c r="T803" s="1768"/>
      <c r="V803" s="1769"/>
      <c r="X803" s="1768"/>
      <c r="Z803" s="1769"/>
      <c r="AA803" s="557"/>
      <c r="AK803" s="246"/>
    </row>
    <row r="804" spans="2:37" ht="18" customHeight="1">
      <c r="B804" s="199"/>
      <c r="D804" s="154"/>
      <c r="F804" s="154"/>
      <c r="G804" s="217"/>
      <c r="I804" s="673"/>
      <c r="J804" s="209"/>
      <c r="K804" s="520"/>
      <c r="L804" s="154"/>
      <c r="M804" s="154"/>
      <c r="N804" s="154"/>
      <c r="O804" s="246"/>
      <c r="P804" s="1597"/>
      <c r="R804" s="1598"/>
      <c r="S804" s="557"/>
      <c r="T804" s="1768"/>
      <c r="V804" s="1769"/>
      <c r="X804" s="1768"/>
      <c r="Z804" s="1769"/>
      <c r="AA804" s="557"/>
      <c r="AK804" s="246"/>
    </row>
    <row r="805" spans="2:37" ht="18" customHeight="1">
      <c r="B805" s="199"/>
      <c r="D805" s="154"/>
      <c r="F805" s="154"/>
      <c r="G805" s="217"/>
      <c r="I805" s="673"/>
      <c r="J805" s="209"/>
      <c r="K805" s="520"/>
      <c r="L805" s="154"/>
      <c r="M805" s="154"/>
      <c r="N805" s="154"/>
      <c r="O805" s="246"/>
      <c r="P805" s="1597"/>
      <c r="R805" s="1598"/>
      <c r="S805" s="557"/>
      <c r="T805" s="1768"/>
      <c r="V805" s="1769"/>
      <c r="X805" s="1768"/>
      <c r="Z805" s="1769"/>
      <c r="AA805" s="557"/>
      <c r="AK805" s="246"/>
    </row>
    <row r="806" spans="2:37" ht="18" customHeight="1">
      <c r="B806" s="199"/>
      <c r="D806" s="154"/>
      <c r="F806" s="154"/>
      <c r="G806" s="217"/>
      <c r="I806" s="673"/>
      <c r="J806" s="209"/>
      <c r="K806" s="520"/>
      <c r="L806" s="154"/>
      <c r="M806" s="154"/>
      <c r="N806" s="154"/>
      <c r="O806" s="246"/>
      <c r="P806" s="1597"/>
      <c r="R806" s="1598"/>
      <c r="S806" s="557"/>
      <c r="T806" s="1768"/>
      <c r="V806" s="1769"/>
      <c r="X806" s="1768"/>
      <c r="Z806" s="1769"/>
      <c r="AA806" s="557"/>
      <c r="AK806" s="246"/>
    </row>
    <row r="807" spans="2:37" ht="18" customHeight="1">
      <c r="B807" s="199"/>
      <c r="D807" s="154"/>
      <c r="F807" s="154"/>
      <c r="G807" s="217"/>
      <c r="I807" s="673"/>
      <c r="J807" s="209"/>
      <c r="K807" s="520"/>
      <c r="L807" s="154"/>
      <c r="M807" s="154"/>
      <c r="N807" s="154"/>
      <c r="O807" s="246"/>
      <c r="P807" s="1597"/>
      <c r="R807" s="1598"/>
      <c r="S807" s="557"/>
      <c r="T807" s="1768"/>
      <c r="V807" s="1769"/>
      <c r="X807" s="1768"/>
      <c r="Z807" s="1769"/>
      <c r="AA807" s="557"/>
      <c r="AK807" s="246"/>
    </row>
    <row r="808" spans="2:37" ht="18" customHeight="1">
      <c r="B808" s="199"/>
      <c r="D808" s="154"/>
      <c r="F808" s="154"/>
      <c r="G808" s="217"/>
      <c r="I808" s="673"/>
      <c r="J808" s="209"/>
      <c r="K808" s="520"/>
      <c r="L808" s="154"/>
      <c r="M808" s="154"/>
      <c r="N808" s="154"/>
      <c r="O808" s="246"/>
      <c r="P808" s="1597"/>
      <c r="R808" s="1598"/>
      <c r="S808" s="557"/>
      <c r="T808" s="1768"/>
      <c r="V808" s="1769"/>
      <c r="X808" s="1768"/>
      <c r="Z808" s="1769"/>
      <c r="AA808" s="557"/>
      <c r="AK808" s="246"/>
    </row>
    <row r="809" spans="2:37" ht="18" customHeight="1">
      <c r="B809" s="199"/>
      <c r="D809" s="154"/>
      <c r="F809" s="154"/>
      <c r="G809" s="217"/>
      <c r="I809" s="673"/>
      <c r="J809" s="209"/>
      <c r="K809" s="520"/>
      <c r="L809" s="154"/>
      <c r="M809" s="154"/>
      <c r="N809" s="154"/>
      <c r="O809" s="246"/>
      <c r="P809" s="1597"/>
      <c r="R809" s="1598"/>
      <c r="S809" s="557"/>
      <c r="T809" s="1768"/>
      <c r="V809" s="1769"/>
      <c r="X809" s="1768"/>
      <c r="Z809" s="1769"/>
      <c r="AA809" s="557"/>
      <c r="AK809" s="246"/>
    </row>
    <row r="810" spans="2:37" ht="18" customHeight="1">
      <c r="B810" s="199"/>
      <c r="D810" s="154"/>
      <c r="F810" s="154"/>
      <c r="G810" s="217"/>
      <c r="I810" s="673"/>
      <c r="J810" s="209"/>
      <c r="K810" s="520"/>
      <c r="L810" s="154"/>
      <c r="M810" s="154"/>
      <c r="N810" s="154"/>
      <c r="O810" s="246"/>
      <c r="P810" s="1597"/>
      <c r="R810" s="1598"/>
      <c r="S810" s="557"/>
      <c r="T810" s="1768"/>
      <c r="V810" s="1769"/>
      <c r="X810" s="1768"/>
      <c r="Z810" s="1769"/>
      <c r="AA810" s="557"/>
      <c r="AK810" s="246"/>
    </row>
    <row r="811" spans="2:37" ht="18" customHeight="1">
      <c r="B811" s="199"/>
      <c r="D811" s="154"/>
      <c r="F811" s="154"/>
      <c r="G811" s="217"/>
      <c r="I811" s="673"/>
      <c r="J811" s="209"/>
      <c r="K811" s="520"/>
      <c r="L811" s="154"/>
      <c r="M811" s="154"/>
      <c r="N811" s="154"/>
      <c r="O811" s="246"/>
      <c r="P811" s="1597"/>
      <c r="R811" s="1598"/>
      <c r="S811" s="557"/>
      <c r="T811" s="1768"/>
      <c r="V811" s="1769"/>
      <c r="X811" s="1768"/>
      <c r="Z811" s="1769"/>
      <c r="AA811" s="557"/>
      <c r="AK811" s="246"/>
    </row>
    <row r="812" spans="2:37" ht="18" customHeight="1">
      <c r="B812" s="199"/>
      <c r="D812" s="154"/>
      <c r="F812" s="154"/>
      <c r="G812" s="217"/>
      <c r="I812" s="673"/>
      <c r="J812" s="209"/>
      <c r="K812" s="520"/>
      <c r="L812" s="154"/>
      <c r="M812" s="154"/>
      <c r="N812" s="154"/>
      <c r="O812" s="246"/>
      <c r="P812" s="1597"/>
      <c r="R812" s="1598"/>
      <c r="S812" s="557"/>
      <c r="T812" s="1768"/>
      <c r="V812" s="1769"/>
      <c r="X812" s="1768"/>
      <c r="Z812" s="1769"/>
      <c r="AA812" s="557"/>
      <c r="AK812" s="246"/>
    </row>
    <row r="813" spans="2:37" ht="18" customHeight="1">
      <c r="B813" s="199"/>
      <c r="D813" s="154"/>
      <c r="F813" s="154"/>
      <c r="G813" s="217"/>
      <c r="I813" s="673"/>
      <c r="J813" s="209"/>
      <c r="K813" s="520"/>
      <c r="L813" s="154"/>
      <c r="M813" s="154"/>
      <c r="N813" s="154"/>
      <c r="O813" s="246"/>
      <c r="P813" s="1597"/>
      <c r="R813" s="1598"/>
      <c r="S813" s="557"/>
      <c r="T813" s="1768"/>
      <c r="V813" s="1769"/>
      <c r="X813" s="1768"/>
      <c r="Z813" s="1769"/>
      <c r="AA813" s="557"/>
      <c r="AK813" s="246"/>
    </row>
    <row r="814" spans="2:37" ht="18" customHeight="1">
      <c r="B814" s="199"/>
      <c r="D814" s="154"/>
      <c r="F814" s="154"/>
      <c r="G814" s="217"/>
      <c r="I814" s="673"/>
      <c r="J814" s="209"/>
      <c r="K814" s="520"/>
      <c r="L814" s="154"/>
      <c r="M814" s="154"/>
      <c r="N814" s="154"/>
      <c r="O814" s="246"/>
      <c r="P814" s="1597"/>
      <c r="R814" s="1598"/>
      <c r="S814" s="557"/>
      <c r="T814" s="1768"/>
      <c r="V814" s="1769"/>
      <c r="X814" s="1768"/>
      <c r="Z814" s="1769"/>
      <c r="AA814" s="557"/>
      <c r="AK814" s="246"/>
    </row>
    <row r="815" spans="2:37" ht="18" customHeight="1">
      <c r="B815" s="199"/>
      <c r="D815" s="154"/>
      <c r="F815" s="154"/>
      <c r="G815" s="217"/>
      <c r="I815" s="673"/>
      <c r="J815" s="209"/>
      <c r="K815" s="520"/>
      <c r="L815" s="154"/>
      <c r="M815" s="154"/>
      <c r="N815" s="154"/>
      <c r="O815" s="246"/>
      <c r="P815" s="1597"/>
      <c r="R815" s="1598"/>
      <c r="S815" s="557"/>
      <c r="T815" s="1768"/>
      <c r="V815" s="1769"/>
      <c r="X815" s="1768"/>
      <c r="Z815" s="1769"/>
      <c r="AA815" s="557"/>
      <c r="AK815" s="246"/>
    </row>
    <row r="816" spans="2:37" ht="18" customHeight="1">
      <c r="B816" s="199"/>
      <c r="D816" s="154"/>
      <c r="F816" s="154"/>
      <c r="G816" s="217"/>
      <c r="I816" s="673"/>
      <c r="J816" s="209"/>
      <c r="K816" s="520"/>
      <c r="L816" s="154"/>
      <c r="M816" s="154"/>
      <c r="N816" s="154"/>
      <c r="O816" s="246"/>
      <c r="P816" s="1597"/>
      <c r="R816" s="1598"/>
      <c r="S816" s="557"/>
      <c r="T816" s="1768"/>
      <c r="V816" s="1769"/>
      <c r="X816" s="1768"/>
      <c r="Z816" s="1769"/>
      <c r="AA816" s="557"/>
      <c r="AK816" s="246"/>
    </row>
    <row r="817" spans="2:37" ht="18" customHeight="1">
      <c r="B817" s="199"/>
      <c r="D817" s="154"/>
      <c r="F817" s="154"/>
      <c r="G817" s="217"/>
      <c r="I817" s="673"/>
      <c r="J817" s="209"/>
      <c r="K817" s="520"/>
      <c r="L817" s="154"/>
      <c r="M817" s="154"/>
      <c r="N817" s="154"/>
      <c r="O817" s="246"/>
      <c r="P817" s="1597"/>
      <c r="R817" s="1598"/>
      <c r="S817" s="557"/>
      <c r="T817" s="1768"/>
      <c r="V817" s="1769"/>
      <c r="X817" s="1768"/>
      <c r="Z817" s="1769"/>
      <c r="AA817" s="557"/>
      <c r="AK817" s="246"/>
    </row>
    <row r="818" spans="2:37" ht="18" customHeight="1">
      <c r="B818" s="199"/>
      <c r="D818" s="154"/>
      <c r="F818" s="154"/>
      <c r="G818" s="217"/>
      <c r="I818" s="673"/>
      <c r="J818" s="209"/>
      <c r="K818" s="520"/>
      <c r="L818" s="154"/>
      <c r="M818" s="154"/>
      <c r="N818" s="154"/>
      <c r="O818" s="246"/>
      <c r="P818" s="1597"/>
      <c r="R818" s="1598"/>
      <c r="S818" s="557"/>
      <c r="T818" s="1768"/>
      <c r="V818" s="1769"/>
      <c r="X818" s="1768"/>
      <c r="Z818" s="1769"/>
      <c r="AA818" s="557"/>
      <c r="AK818" s="246"/>
    </row>
    <row r="819" spans="2:37" ht="18" customHeight="1">
      <c r="B819" s="199"/>
      <c r="D819" s="154"/>
      <c r="F819" s="154"/>
      <c r="G819" s="217"/>
      <c r="I819" s="673"/>
      <c r="J819" s="209"/>
      <c r="K819" s="520"/>
      <c r="L819" s="154"/>
      <c r="M819" s="154"/>
      <c r="N819" s="154"/>
      <c r="O819" s="246"/>
      <c r="P819" s="1597"/>
      <c r="R819" s="1598"/>
      <c r="S819" s="557"/>
      <c r="T819" s="1768"/>
      <c r="V819" s="1769"/>
      <c r="X819" s="1768"/>
      <c r="Z819" s="1769"/>
      <c r="AA819" s="557"/>
      <c r="AK819" s="246"/>
    </row>
    <row r="820" spans="2:37" ht="18" customHeight="1">
      <c r="B820" s="199"/>
      <c r="D820" s="154"/>
      <c r="F820" s="154"/>
      <c r="G820" s="217"/>
      <c r="I820" s="673"/>
      <c r="J820" s="209"/>
      <c r="K820" s="520"/>
      <c r="L820" s="154"/>
      <c r="M820" s="154"/>
      <c r="N820" s="154"/>
      <c r="O820" s="246"/>
      <c r="P820" s="1597"/>
      <c r="R820" s="1598"/>
      <c r="S820" s="557"/>
      <c r="T820" s="1768"/>
      <c r="V820" s="1769"/>
      <c r="X820" s="1768"/>
      <c r="Z820" s="1769"/>
      <c r="AA820" s="557"/>
      <c r="AK820" s="246"/>
    </row>
    <row r="821" spans="2:37" ht="18" customHeight="1">
      <c r="B821" s="199"/>
      <c r="D821" s="154"/>
      <c r="F821" s="154"/>
      <c r="G821" s="217"/>
      <c r="I821" s="673"/>
      <c r="J821" s="209"/>
      <c r="K821" s="520"/>
      <c r="L821" s="154"/>
      <c r="M821" s="154"/>
      <c r="N821" s="154"/>
      <c r="O821" s="246"/>
      <c r="P821" s="1597"/>
      <c r="R821" s="1598"/>
      <c r="S821" s="557"/>
      <c r="T821" s="1768"/>
      <c r="V821" s="1769"/>
      <c r="X821" s="1768"/>
      <c r="Z821" s="1769"/>
      <c r="AA821" s="557"/>
      <c r="AK821" s="246"/>
    </row>
    <row r="822" spans="2:37" ht="18" customHeight="1">
      <c r="B822" s="199"/>
      <c r="D822" s="154"/>
      <c r="F822" s="154"/>
      <c r="G822" s="217"/>
      <c r="I822" s="673"/>
      <c r="J822" s="209"/>
      <c r="K822" s="520"/>
      <c r="L822" s="154"/>
      <c r="M822" s="154"/>
      <c r="N822" s="154"/>
      <c r="O822" s="246"/>
      <c r="P822" s="1597"/>
      <c r="R822" s="1598"/>
      <c r="S822" s="557"/>
      <c r="T822" s="1768"/>
      <c r="V822" s="1769"/>
      <c r="X822" s="1768"/>
      <c r="Z822" s="1769"/>
      <c r="AA822" s="557"/>
      <c r="AK822" s="246"/>
    </row>
    <row r="823" spans="2:37" ht="18" customHeight="1">
      <c r="B823" s="199"/>
      <c r="D823" s="154"/>
      <c r="F823" s="154"/>
      <c r="G823" s="217"/>
      <c r="I823" s="673"/>
      <c r="J823" s="209"/>
      <c r="K823" s="520"/>
      <c r="L823" s="154"/>
      <c r="M823" s="154"/>
      <c r="N823" s="154"/>
      <c r="O823" s="246"/>
      <c r="P823" s="1597"/>
      <c r="R823" s="1598"/>
      <c r="S823" s="557"/>
      <c r="T823" s="1768"/>
      <c r="V823" s="1769"/>
      <c r="X823" s="1768"/>
      <c r="Z823" s="1769"/>
      <c r="AA823" s="557"/>
      <c r="AK823" s="246"/>
    </row>
    <row r="824" spans="2:37" ht="18" customHeight="1">
      <c r="B824" s="199"/>
      <c r="D824" s="154"/>
      <c r="F824" s="154"/>
      <c r="G824" s="217"/>
      <c r="I824" s="673"/>
      <c r="J824" s="209"/>
      <c r="K824" s="520"/>
      <c r="L824" s="154"/>
      <c r="M824" s="154"/>
      <c r="N824" s="154"/>
      <c r="O824" s="246"/>
      <c r="P824" s="1597"/>
      <c r="R824" s="1598"/>
      <c r="S824" s="557"/>
      <c r="T824" s="1768"/>
      <c r="V824" s="1769"/>
      <c r="X824" s="1768"/>
      <c r="Z824" s="1769"/>
      <c r="AA824" s="557"/>
      <c r="AK824" s="246"/>
    </row>
    <row r="825" spans="2:37" ht="18" customHeight="1">
      <c r="B825" s="199"/>
      <c r="D825" s="154"/>
      <c r="F825" s="154"/>
      <c r="G825" s="217"/>
      <c r="I825" s="673"/>
      <c r="J825" s="209"/>
      <c r="K825" s="520"/>
      <c r="L825" s="154"/>
      <c r="M825" s="154"/>
      <c r="N825" s="154"/>
      <c r="O825" s="246"/>
      <c r="P825" s="1597"/>
      <c r="R825" s="1598"/>
      <c r="S825" s="557"/>
      <c r="T825" s="1768"/>
      <c r="V825" s="1769"/>
      <c r="X825" s="1768"/>
      <c r="Z825" s="1769"/>
      <c r="AA825" s="557"/>
      <c r="AK825" s="246"/>
    </row>
    <row r="826" spans="2:37" ht="18" customHeight="1">
      <c r="B826" s="199"/>
      <c r="D826" s="154"/>
      <c r="F826" s="154"/>
      <c r="G826" s="217"/>
      <c r="I826" s="673"/>
      <c r="J826" s="209"/>
      <c r="K826" s="520"/>
      <c r="L826" s="154"/>
      <c r="M826" s="154"/>
      <c r="N826" s="154"/>
      <c r="O826" s="246"/>
      <c r="P826" s="1597"/>
      <c r="R826" s="1598"/>
      <c r="S826" s="557"/>
      <c r="T826" s="1768"/>
      <c r="V826" s="1769"/>
      <c r="X826" s="1768"/>
      <c r="Z826" s="1769"/>
      <c r="AA826" s="557"/>
      <c r="AK826" s="246"/>
    </row>
    <row r="827" spans="2:37" ht="18" customHeight="1">
      <c r="B827" s="199"/>
      <c r="D827" s="154"/>
      <c r="F827" s="154"/>
      <c r="G827" s="217"/>
      <c r="I827" s="673"/>
      <c r="J827" s="209"/>
      <c r="K827" s="520"/>
      <c r="L827" s="154"/>
      <c r="M827" s="154"/>
      <c r="N827" s="154"/>
      <c r="O827" s="246"/>
      <c r="P827" s="1597"/>
      <c r="R827" s="1598"/>
      <c r="S827" s="557"/>
      <c r="T827" s="1768"/>
      <c r="V827" s="1769"/>
      <c r="X827" s="1768"/>
      <c r="Z827" s="1769"/>
      <c r="AA827" s="557"/>
      <c r="AK827" s="246"/>
    </row>
    <row r="828" spans="2:37" ht="18" customHeight="1">
      <c r="B828" s="199"/>
      <c r="D828" s="154"/>
      <c r="F828" s="154"/>
      <c r="G828" s="217"/>
      <c r="I828" s="673"/>
      <c r="J828" s="209"/>
      <c r="K828" s="520"/>
      <c r="L828" s="154"/>
      <c r="M828" s="154"/>
      <c r="N828" s="154"/>
      <c r="O828" s="246"/>
      <c r="P828" s="1597"/>
      <c r="R828" s="1598"/>
      <c r="S828" s="557"/>
      <c r="T828" s="1768"/>
      <c r="V828" s="1769"/>
      <c r="X828" s="1768"/>
      <c r="Z828" s="1769"/>
      <c r="AA828" s="557"/>
      <c r="AK828" s="246"/>
    </row>
    <row r="829" spans="2:37" ht="18" customHeight="1">
      <c r="B829" s="199"/>
      <c r="D829" s="154"/>
      <c r="F829" s="154"/>
      <c r="G829" s="217"/>
      <c r="I829" s="673"/>
      <c r="J829" s="209"/>
      <c r="K829" s="520"/>
      <c r="L829" s="154"/>
      <c r="M829" s="154"/>
      <c r="N829" s="154"/>
      <c r="O829" s="246"/>
      <c r="P829" s="1597"/>
      <c r="R829" s="1598"/>
      <c r="S829" s="557"/>
      <c r="T829" s="1768"/>
      <c r="V829" s="1769"/>
      <c r="X829" s="1768"/>
      <c r="Z829" s="1769"/>
      <c r="AA829" s="557"/>
      <c r="AK829" s="246"/>
    </row>
    <row r="830" spans="2:37" ht="18" customHeight="1">
      <c r="B830" s="199"/>
      <c r="D830" s="154"/>
      <c r="F830" s="154"/>
      <c r="G830" s="217"/>
      <c r="I830" s="673"/>
      <c r="J830" s="209"/>
      <c r="K830" s="520"/>
      <c r="L830" s="154"/>
      <c r="M830" s="154"/>
      <c r="N830" s="154"/>
      <c r="O830" s="246"/>
      <c r="P830" s="1597"/>
      <c r="R830" s="1598"/>
      <c r="S830" s="557"/>
      <c r="T830" s="1768"/>
      <c r="V830" s="1769"/>
      <c r="X830" s="1768"/>
      <c r="Z830" s="1769"/>
      <c r="AA830" s="557"/>
      <c r="AK830" s="246"/>
    </row>
    <row r="831" spans="2:37" ht="18" customHeight="1">
      <c r="B831" s="199"/>
      <c r="D831" s="154"/>
      <c r="F831" s="154"/>
      <c r="G831" s="217"/>
      <c r="I831" s="673"/>
      <c r="J831" s="209"/>
      <c r="K831" s="520"/>
      <c r="L831" s="154"/>
      <c r="M831" s="154"/>
      <c r="N831" s="154"/>
      <c r="O831" s="246"/>
      <c r="P831" s="1597"/>
      <c r="R831" s="1598"/>
      <c r="S831" s="557"/>
      <c r="T831" s="1768"/>
      <c r="V831" s="1769"/>
      <c r="X831" s="1768"/>
      <c r="Z831" s="1769"/>
      <c r="AA831" s="557"/>
      <c r="AK831" s="246"/>
    </row>
    <row r="832" spans="2:37" ht="18" customHeight="1">
      <c r="B832" s="199"/>
      <c r="D832" s="154"/>
      <c r="F832" s="154"/>
      <c r="G832" s="217"/>
      <c r="I832" s="673"/>
      <c r="J832" s="209"/>
      <c r="K832" s="520"/>
      <c r="L832" s="154"/>
      <c r="M832" s="154"/>
      <c r="N832" s="154"/>
      <c r="O832" s="246"/>
      <c r="P832" s="1597"/>
      <c r="R832" s="1598"/>
      <c r="S832" s="557"/>
      <c r="T832" s="1768"/>
      <c r="V832" s="1769"/>
      <c r="X832" s="1768"/>
      <c r="Z832" s="1769"/>
      <c r="AA832" s="557"/>
      <c r="AK832" s="246"/>
    </row>
    <row r="833" spans="2:37" ht="18" customHeight="1">
      <c r="B833" s="199"/>
      <c r="D833" s="154"/>
      <c r="F833" s="154"/>
      <c r="G833" s="217"/>
      <c r="I833" s="673"/>
      <c r="J833" s="209"/>
      <c r="K833" s="520"/>
      <c r="L833" s="154"/>
      <c r="M833" s="154"/>
      <c r="N833" s="154"/>
      <c r="O833" s="246"/>
      <c r="P833" s="1597"/>
      <c r="R833" s="1598"/>
      <c r="S833" s="557"/>
      <c r="T833" s="1768"/>
      <c r="V833" s="1769"/>
      <c r="X833" s="1768"/>
      <c r="Z833" s="1769"/>
      <c r="AA833" s="557"/>
      <c r="AK833" s="246"/>
    </row>
    <row r="834" spans="2:37" ht="18" customHeight="1">
      <c r="B834" s="199"/>
      <c r="D834" s="154"/>
      <c r="F834" s="154"/>
      <c r="G834" s="217"/>
      <c r="I834" s="673"/>
      <c r="J834" s="209"/>
      <c r="K834" s="520"/>
      <c r="L834" s="154"/>
      <c r="M834" s="154"/>
      <c r="N834" s="154"/>
      <c r="O834" s="246"/>
      <c r="P834" s="1597"/>
      <c r="R834" s="1598"/>
      <c r="S834" s="557"/>
      <c r="T834" s="1768"/>
      <c r="V834" s="1769"/>
      <c r="X834" s="1768"/>
      <c r="Z834" s="1769"/>
      <c r="AA834" s="557"/>
      <c r="AK834" s="246"/>
    </row>
    <row r="835" spans="2:37" ht="18" customHeight="1">
      <c r="B835" s="199"/>
      <c r="D835" s="154"/>
      <c r="F835" s="154"/>
      <c r="G835" s="217"/>
      <c r="I835" s="673"/>
      <c r="J835" s="209"/>
      <c r="K835" s="520"/>
      <c r="L835" s="154"/>
      <c r="M835" s="154"/>
      <c r="N835" s="154"/>
      <c r="O835" s="246"/>
      <c r="P835" s="1597"/>
      <c r="R835" s="1598"/>
      <c r="S835" s="557"/>
      <c r="T835" s="1768"/>
      <c r="V835" s="1769"/>
      <c r="X835" s="1768"/>
      <c r="Z835" s="1769"/>
      <c r="AA835" s="557"/>
      <c r="AK835" s="246"/>
    </row>
    <row r="836" spans="2:37" ht="18" customHeight="1">
      <c r="B836" s="199"/>
      <c r="D836" s="154"/>
      <c r="F836" s="154"/>
      <c r="G836" s="217"/>
      <c r="I836" s="673"/>
      <c r="J836" s="209"/>
      <c r="K836" s="520"/>
      <c r="L836" s="154"/>
      <c r="M836" s="154"/>
      <c r="N836" s="154"/>
      <c r="O836" s="246"/>
      <c r="P836" s="1597"/>
      <c r="R836" s="1598"/>
      <c r="S836" s="557"/>
      <c r="T836" s="1768"/>
      <c r="V836" s="1769"/>
      <c r="X836" s="1768"/>
      <c r="Z836" s="1769"/>
      <c r="AA836" s="557"/>
      <c r="AK836" s="246"/>
    </row>
    <row r="837" spans="2:37" ht="18" customHeight="1">
      <c r="B837" s="199"/>
      <c r="D837" s="154"/>
      <c r="F837" s="154"/>
      <c r="G837" s="217"/>
      <c r="I837" s="673"/>
      <c r="J837" s="209"/>
      <c r="K837" s="520"/>
      <c r="L837" s="154"/>
      <c r="M837" s="154"/>
      <c r="N837" s="154"/>
      <c r="O837" s="246"/>
      <c r="P837" s="1597"/>
      <c r="R837" s="1598"/>
      <c r="S837" s="557"/>
      <c r="T837" s="1768"/>
      <c r="V837" s="1769"/>
      <c r="X837" s="1768"/>
      <c r="Z837" s="1769"/>
      <c r="AA837" s="557"/>
      <c r="AK837" s="246"/>
    </row>
    <row r="838" spans="2:37" ht="18" customHeight="1">
      <c r="B838" s="199"/>
      <c r="D838" s="154"/>
      <c r="F838" s="154"/>
      <c r="G838" s="217"/>
      <c r="I838" s="673"/>
      <c r="J838" s="209"/>
      <c r="K838" s="520"/>
      <c r="L838" s="154"/>
      <c r="M838" s="154"/>
      <c r="N838" s="154"/>
      <c r="O838" s="246"/>
      <c r="P838" s="1597"/>
      <c r="R838" s="1598"/>
      <c r="S838" s="557"/>
      <c r="T838" s="1768"/>
      <c r="V838" s="1769"/>
      <c r="X838" s="1768"/>
      <c r="Z838" s="1769"/>
      <c r="AA838" s="557"/>
      <c r="AK838" s="246"/>
    </row>
    <row r="839" spans="2:37" ht="18" customHeight="1">
      <c r="B839" s="199"/>
      <c r="D839" s="154"/>
      <c r="F839" s="154"/>
      <c r="G839" s="217"/>
      <c r="I839" s="673"/>
      <c r="J839" s="209"/>
      <c r="K839" s="520"/>
      <c r="L839" s="154"/>
      <c r="M839" s="154"/>
      <c r="N839" s="154"/>
      <c r="O839" s="246"/>
      <c r="P839" s="1597"/>
      <c r="R839" s="1598"/>
      <c r="S839" s="557"/>
      <c r="T839" s="1768"/>
      <c r="V839" s="1769"/>
      <c r="X839" s="1768"/>
      <c r="Z839" s="1769"/>
      <c r="AA839" s="557"/>
      <c r="AK839" s="246"/>
    </row>
    <row r="840" spans="2:37" ht="18" customHeight="1">
      <c r="B840" s="199"/>
      <c r="D840" s="154"/>
      <c r="F840" s="154"/>
      <c r="G840" s="217"/>
      <c r="I840" s="673"/>
      <c r="J840" s="209"/>
      <c r="K840" s="520"/>
      <c r="L840" s="154"/>
      <c r="M840" s="154"/>
      <c r="N840" s="154"/>
      <c r="O840" s="246"/>
      <c r="P840" s="1597"/>
      <c r="R840" s="1598"/>
      <c r="S840" s="557"/>
      <c r="T840" s="1768"/>
      <c r="V840" s="1769"/>
      <c r="X840" s="1768"/>
      <c r="Z840" s="1769"/>
      <c r="AA840" s="557"/>
      <c r="AK840" s="246"/>
    </row>
    <row r="841" spans="2:37" ht="18" customHeight="1">
      <c r="B841" s="199"/>
      <c r="D841" s="154"/>
      <c r="F841" s="154"/>
      <c r="G841" s="217"/>
      <c r="I841" s="673"/>
      <c r="J841" s="209"/>
      <c r="K841" s="520"/>
      <c r="L841" s="154"/>
      <c r="M841" s="154"/>
      <c r="N841" s="154"/>
      <c r="O841" s="246"/>
      <c r="P841" s="1597"/>
      <c r="R841" s="1598"/>
      <c r="S841" s="557"/>
      <c r="T841" s="1768"/>
      <c r="V841" s="1769"/>
      <c r="X841" s="1768"/>
      <c r="Z841" s="1769"/>
      <c r="AA841" s="557"/>
      <c r="AK841" s="246"/>
    </row>
    <row r="842" spans="2:37" ht="18" customHeight="1">
      <c r="B842" s="199"/>
      <c r="D842" s="154"/>
      <c r="F842" s="154"/>
      <c r="G842" s="217"/>
      <c r="I842" s="673"/>
      <c r="J842" s="209"/>
      <c r="K842" s="520"/>
      <c r="L842" s="154"/>
      <c r="M842" s="154"/>
      <c r="N842" s="154"/>
      <c r="O842" s="246"/>
      <c r="P842" s="1597"/>
      <c r="R842" s="1598"/>
      <c r="S842" s="557"/>
      <c r="T842" s="1768"/>
      <c r="V842" s="1769"/>
      <c r="X842" s="1768"/>
      <c r="Z842" s="1769"/>
      <c r="AA842" s="557"/>
      <c r="AK842" s="246"/>
    </row>
    <row r="843" spans="2:37" ht="18" customHeight="1">
      <c r="B843" s="199"/>
      <c r="D843" s="154"/>
      <c r="F843" s="154"/>
      <c r="G843" s="217"/>
      <c r="I843" s="673"/>
      <c r="J843" s="209"/>
      <c r="K843" s="520"/>
      <c r="L843" s="154"/>
      <c r="M843" s="154"/>
      <c r="N843" s="154"/>
      <c r="O843" s="246"/>
      <c r="P843" s="1597"/>
      <c r="R843" s="1598"/>
      <c r="S843" s="557"/>
      <c r="T843" s="1768"/>
      <c r="V843" s="1769"/>
      <c r="X843" s="1768"/>
      <c r="Z843" s="1769"/>
      <c r="AA843" s="557"/>
      <c r="AK843" s="246"/>
    </row>
    <row r="844" spans="2:37" ht="18" customHeight="1">
      <c r="B844" s="199"/>
      <c r="D844" s="154"/>
      <c r="F844" s="154"/>
      <c r="G844" s="217"/>
      <c r="I844" s="673"/>
      <c r="J844" s="209"/>
      <c r="K844" s="520"/>
      <c r="L844" s="154"/>
      <c r="M844" s="154"/>
      <c r="N844" s="154"/>
      <c r="O844" s="246"/>
      <c r="P844" s="1597"/>
      <c r="R844" s="1598"/>
      <c r="S844" s="557"/>
      <c r="T844" s="1768"/>
      <c r="V844" s="1769"/>
      <c r="X844" s="1768"/>
      <c r="Z844" s="1769"/>
      <c r="AA844" s="557"/>
      <c r="AK844" s="246"/>
    </row>
    <row r="845" spans="2:37" ht="18" customHeight="1">
      <c r="B845" s="199"/>
      <c r="D845" s="154"/>
      <c r="F845" s="154"/>
      <c r="G845" s="217"/>
      <c r="I845" s="673"/>
      <c r="J845" s="209"/>
      <c r="K845" s="520"/>
      <c r="L845" s="154"/>
      <c r="M845" s="154"/>
      <c r="N845" s="154"/>
      <c r="O845" s="246"/>
      <c r="P845" s="1597"/>
      <c r="R845" s="1598"/>
      <c r="S845" s="557"/>
      <c r="T845" s="1768"/>
      <c r="V845" s="1769"/>
      <c r="X845" s="1768"/>
      <c r="Z845" s="1769"/>
      <c r="AA845" s="557"/>
      <c r="AK845" s="246"/>
    </row>
    <row r="846" spans="2:37" ht="18" customHeight="1">
      <c r="B846" s="199"/>
      <c r="D846" s="154"/>
      <c r="F846" s="154"/>
      <c r="G846" s="217"/>
      <c r="I846" s="673"/>
      <c r="J846" s="209"/>
      <c r="K846" s="520"/>
      <c r="L846" s="154"/>
      <c r="M846" s="154"/>
      <c r="N846" s="154"/>
      <c r="O846" s="246"/>
      <c r="P846" s="1597"/>
      <c r="R846" s="1598"/>
      <c r="S846" s="557"/>
      <c r="T846" s="1768"/>
      <c r="V846" s="1769"/>
      <c r="X846" s="1768"/>
      <c r="Z846" s="1769"/>
      <c r="AA846" s="557"/>
      <c r="AK846" s="246"/>
    </row>
    <row r="847" spans="2:37" ht="18" customHeight="1">
      <c r="B847" s="199"/>
      <c r="D847" s="154"/>
      <c r="F847" s="154"/>
      <c r="G847" s="217"/>
      <c r="I847" s="673"/>
      <c r="J847" s="209"/>
      <c r="K847" s="520"/>
      <c r="L847" s="154"/>
      <c r="M847" s="154"/>
      <c r="N847" s="154"/>
      <c r="O847" s="246"/>
      <c r="P847" s="1597"/>
      <c r="R847" s="1598"/>
      <c r="S847" s="557"/>
      <c r="T847" s="1768"/>
      <c r="V847" s="1769"/>
      <c r="X847" s="1768"/>
      <c r="Z847" s="1769"/>
      <c r="AA847" s="557"/>
      <c r="AK847" s="246"/>
    </row>
    <row r="848" spans="2:37" ht="18" customHeight="1">
      <c r="B848" s="199"/>
      <c r="D848" s="154"/>
      <c r="F848" s="154"/>
      <c r="G848" s="217"/>
      <c r="I848" s="673"/>
      <c r="J848" s="209"/>
      <c r="K848" s="520"/>
      <c r="L848" s="154"/>
      <c r="M848" s="154"/>
      <c r="N848" s="154"/>
      <c r="O848" s="246"/>
      <c r="P848" s="1597"/>
      <c r="R848" s="1598"/>
      <c r="S848" s="557"/>
      <c r="T848" s="1768"/>
      <c r="V848" s="1769"/>
      <c r="X848" s="1768"/>
      <c r="Z848" s="1769"/>
      <c r="AA848" s="557"/>
      <c r="AK848" s="246"/>
    </row>
    <row r="849" spans="2:37" ht="18" customHeight="1">
      <c r="B849" s="199"/>
      <c r="D849" s="154"/>
      <c r="F849" s="154"/>
      <c r="G849" s="217"/>
      <c r="I849" s="673"/>
      <c r="J849" s="209"/>
      <c r="K849" s="520"/>
      <c r="L849" s="154"/>
      <c r="M849" s="154"/>
      <c r="N849" s="154"/>
      <c r="O849" s="246"/>
      <c r="P849" s="1597"/>
      <c r="R849" s="1598"/>
      <c r="S849" s="557"/>
      <c r="T849" s="1768"/>
      <c r="V849" s="1769"/>
      <c r="X849" s="1768"/>
      <c r="Z849" s="1769"/>
      <c r="AA849" s="557"/>
      <c r="AK849" s="246"/>
    </row>
    <row r="850" spans="2:37" ht="18" customHeight="1">
      <c r="B850" s="199"/>
      <c r="D850" s="154"/>
      <c r="F850" s="154"/>
      <c r="G850" s="217"/>
      <c r="I850" s="673"/>
      <c r="J850" s="209"/>
      <c r="K850" s="520"/>
      <c r="L850" s="154"/>
      <c r="M850" s="154"/>
      <c r="N850" s="154"/>
      <c r="O850" s="246"/>
      <c r="P850" s="1597"/>
      <c r="R850" s="1598"/>
      <c r="S850" s="557"/>
      <c r="T850" s="1768"/>
      <c r="V850" s="1769"/>
      <c r="X850" s="1768"/>
      <c r="Z850" s="1769"/>
      <c r="AA850" s="557"/>
      <c r="AK850" s="246"/>
    </row>
    <row r="851" spans="2:37" ht="18" customHeight="1">
      <c r="B851" s="199"/>
      <c r="D851" s="154"/>
      <c r="F851" s="154"/>
      <c r="G851" s="217"/>
      <c r="I851" s="673"/>
      <c r="J851" s="209"/>
      <c r="K851" s="520"/>
      <c r="L851" s="154"/>
      <c r="M851" s="154"/>
      <c r="N851" s="154"/>
      <c r="O851" s="246"/>
      <c r="P851" s="1597"/>
      <c r="R851" s="1598"/>
      <c r="S851" s="557"/>
      <c r="T851" s="1768"/>
      <c r="V851" s="1769"/>
      <c r="X851" s="1768"/>
      <c r="Z851" s="1769"/>
      <c r="AA851" s="557"/>
      <c r="AK851" s="246"/>
    </row>
    <row r="852" spans="2:37" ht="18" customHeight="1">
      <c r="B852" s="199"/>
      <c r="D852" s="154"/>
      <c r="F852" s="154"/>
      <c r="G852" s="217"/>
      <c r="I852" s="673"/>
      <c r="J852" s="209"/>
      <c r="K852" s="520"/>
      <c r="L852" s="154"/>
      <c r="M852" s="154"/>
      <c r="N852" s="154"/>
      <c r="O852" s="246"/>
      <c r="P852" s="1597"/>
      <c r="R852" s="1598"/>
      <c r="S852" s="557"/>
      <c r="T852" s="1768"/>
      <c r="V852" s="1769"/>
      <c r="X852" s="1768"/>
      <c r="Z852" s="1769"/>
      <c r="AA852" s="557"/>
      <c r="AK852" s="246"/>
    </row>
    <row r="853" spans="2:37" ht="18" customHeight="1">
      <c r="B853" s="199"/>
      <c r="D853" s="154"/>
      <c r="F853" s="154"/>
      <c r="G853" s="217"/>
      <c r="I853" s="673"/>
      <c r="J853" s="209"/>
      <c r="K853" s="520"/>
      <c r="L853" s="154"/>
      <c r="M853" s="154"/>
      <c r="N853" s="154"/>
      <c r="O853" s="246"/>
      <c r="P853" s="1597"/>
      <c r="R853" s="1598"/>
      <c r="S853" s="557"/>
      <c r="T853" s="1768"/>
      <c r="V853" s="1769"/>
      <c r="X853" s="1768"/>
      <c r="Z853" s="1769"/>
      <c r="AA853" s="557"/>
      <c r="AK853" s="246"/>
    </row>
    <row r="854" spans="2:37" ht="18" customHeight="1">
      <c r="B854" s="199"/>
      <c r="D854" s="154"/>
      <c r="F854" s="154"/>
      <c r="G854" s="217"/>
      <c r="I854" s="673"/>
      <c r="J854" s="209"/>
      <c r="K854" s="520"/>
      <c r="L854" s="154"/>
      <c r="M854" s="154"/>
      <c r="N854" s="154"/>
      <c r="O854" s="246"/>
      <c r="P854" s="1597"/>
      <c r="R854" s="1598"/>
      <c r="S854" s="557"/>
      <c r="T854" s="1768"/>
      <c r="V854" s="1769"/>
      <c r="X854" s="1768"/>
      <c r="Z854" s="1769"/>
      <c r="AA854" s="557"/>
      <c r="AK854" s="246"/>
    </row>
    <row r="855" spans="2:37" ht="18" customHeight="1">
      <c r="B855" s="199"/>
      <c r="D855" s="154"/>
      <c r="F855" s="154"/>
      <c r="G855" s="217"/>
      <c r="I855" s="673"/>
      <c r="J855" s="209"/>
      <c r="K855" s="520"/>
      <c r="L855" s="154"/>
      <c r="M855" s="154"/>
      <c r="N855" s="154"/>
      <c r="O855" s="246"/>
      <c r="P855" s="1597"/>
      <c r="R855" s="1598"/>
      <c r="S855" s="557"/>
      <c r="T855" s="1768"/>
      <c r="V855" s="1769"/>
      <c r="X855" s="1768"/>
      <c r="Z855" s="1769"/>
      <c r="AA855" s="557"/>
      <c r="AK855" s="246"/>
    </row>
    <row r="856" spans="2:37" ht="18" customHeight="1">
      <c r="B856" s="199"/>
      <c r="D856" s="154"/>
      <c r="F856" s="154"/>
      <c r="G856" s="217"/>
      <c r="I856" s="673"/>
      <c r="J856" s="209"/>
      <c r="K856" s="520"/>
      <c r="L856" s="154"/>
      <c r="M856" s="154"/>
      <c r="N856" s="154"/>
      <c r="O856" s="246"/>
      <c r="P856" s="1597"/>
      <c r="R856" s="1598"/>
      <c r="S856" s="557"/>
      <c r="T856" s="1768"/>
      <c r="V856" s="1769"/>
      <c r="X856" s="1768"/>
      <c r="Z856" s="1769"/>
      <c r="AA856" s="557"/>
      <c r="AK856" s="246"/>
    </row>
    <row r="857" spans="2:37" ht="18" customHeight="1">
      <c r="B857" s="199"/>
      <c r="D857" s="154"/>
      <c r="F857" s="154"/>
      <c r="G857" s="217"/>
      <c r="I857" s="673"/>
      <c r="J857" s="209"/>
      <c r="K857" s="520"/>
      <c r="L857" s="154"/>
      <c r="M857" s="154"/>
      <c r="N857" s="154"/>
      <c r="O857" s="246"/>
      <c r="P857" s="1597"/>
      <c r="R857" s="1598"/>
      <c r="S857" s="557"/>
      <c r="T857" s="1768"/>
      <c r="V857" s="1769"/>
      <c r="X857" s="1768"/>
      <c r="Z857" s="1769"/>
      <c r="AA857" s="557"/>
      <c r="AK857" s="246"/>
    </row>
    <row r="858" spans="2:37" ht="18" customHeight="1">
      <c r="B858" s="199"/>
      <c r="D858" s="154"/>
      <c r="F858" s="154"/>
      <c r="G858" s="217"/>
      <c r="I858" s="673"/>
      <c r="J858" s="209"/>
      <c r="K858" s="520"/>
      <c r="L858" s="154"/>
      <c r="M858" s="154"/>
      <c r="N858" s="154"/>
      <c r="O858" s="246"/>
      <c r="P858" s="1597"/>
      <c r="R858" s="1598"/>
      <c r="S858" s="557"/>
      <c r="T858" s="1768"/>
      <c r="V858" s="1769"/>
      <c r="X858" s="1768"/>
      <c r="Z858" s="1769"/>
      <c r="AA858" s="557"/>
      <c r="AK858" s="246"/>
    </row>
    <row r="859" spans="2:37" ht="18" customHeight="1">
      <c r="B859" s="199"/>
      <c r="D859" s="154"/>
      <c r="F859" s="154"/>
      <c r="G859" s="217"/>
      <c r="I859" s="673"/>
      <c r="J859" s="209"/>
      <c r="K859" s="520"/>
      <c r="L859" s="154"/>
      <c r="M859" s="154"/>
      <c r="N859" s="154"/>
      <c r="O859" s="246"/>
      <c r="P859" s="1597"/>
      <c r="R859" s="1598"/>
      <c r="S859" s="557"/>
      <c r="T859" s="1768"/>
      <c r="V859" s="1769"/>
      <c r="X859" s="1768"/>
      <c r="Z859" s="1769"/>
      <c r="AA859" s="557"/>
      <c r="AK859" s="246"/>
    </row>
    <row r="860" spans="2:37" ht="18" customHeight="1">
      <c r="B860" s="199"/>
      <c r="D860" s="154"/>
      <c r="F860" s="154"/>
      <c r="G860" s="217"/>
      <c r="I860" s="673"/>
      <c r="J860" s="209"/>
      <c r="K860" s="520"/>
      <c r="L860" s="154"/>
      <c r="M860" s="154"/>
      <c r="N860" s="154"/>
      <c r="O860" s="246"/>
      <c r="P860" s="1597"/>
      <c r="R860" s="1598"/>
      <c r="S860" s="557"/>
      <c r="T860" s="1768"/>
      <c r="V860" s="1769"/>
      <c r="X860" s="1768"/>
      <c r="Z860" s="1769"/>
      <c r="AA860" s="557"/>
      <c r="AK860" s="246"/>
    </row>
    <row r="861" spans="2:37" ht="18" customHeight="1">
      <c r="B861" s="199"/>
      <c r="D861" s="154"/>
      <c r="F861" s="154"/>
      <c r="G861" s="217"/>
      <c r="I861" s="673"/>
      <c r="J861" s="209"/>
      <c r="K861" s="520"/>
      <c r="L861" s="154"/>
      <c r="M861" s="154"/>
      <c r="N861" s="154"/>
      <c r="O861" s="246"/>
      <c r="P861" s="1597"/>
      <c r="R861" s="1598"/>
      <c r="S861" s="557"/>
      <c r="T861" s="1768"/>
      <c r="V861" s="1769"/>
      <c r="X861" s="1768"/>
      <c r="Z861" s="1769"/>
      <c r="AA861" s="557"/>
      <c r="AK861" s="246"/>
    </row>
    <row r="862" spans="2:37" ht="18" customHeight="1">
      <c r="B862" s="199"/>
      <c r="D862" s="154"/>
      <c r="F862" s="154"/>
      <c r="G862" s="217"/>
      <c r="I862" s="673"/>
      <c r="J862" s="209"/>
      <c r="K862" s="520"/>
      <c r="L862" s="154"/>
      <c r="M862" s="154"/>
      <c r="N862" s="154"/>
      <c r="O862" s="246"/>
      <c r="P862" s="1597"/>
      <c r="R862" s="1598"/>
      <c r="S862" s="557"/>
      <c r="T862" s="1768"/>
      <c r="V862" s="1769"/>
      <c r="X862" s="1768"/>
      <c r="Z862" s="1769"/>
      <c r="AA862" s="557"/>
      <c r="AK862" s="246"/>
    </row>
    <row r="863" spans="2:37" ht="18" customHeight="1">
      <c r="B863" s="199"/>
      <c r="D863" s="154"/>
      <c r="F863" s="154"/>
      <c r="G863" s="217"/>
      <c r="I863" s="673"/>
      <c r="J863" s="209"/>
      <c r="K863" s="520"/>
      <c r="L863" s="154"/>
      <c r="M863" s="154"/>
      <c r="N863" s="154"/>
      <c r="O863" s="246"/>
      <c r="P863" s="1597"/>
      <c r="R863" s="1598"/>
      <c r="S863" s="557"/>
      <c r="T863" s="1768"/>
      <c r="V863" s="1769"/>
      <c r="X863" s="1768"/>
      <c r="Z863" s="1769"/>
      <c r="AA863" s="557"/>
      <c r="AK863" s="246"/>
    </row>
    <row r="864" spans="2:37" ht="18" customHeight="1">
      <c r="B864" s="199"/>
      <c r="D864" s="154"/>
      <c r="F864" s="154"/>
      <c r="G864" s="217"/>
      <c r="I864" s="673"/>
      <c r="J864" s="209"/>
      <c r="K864" s="520"/>
      <c r="L864" s="154"/>
      <c r="M864" s="154"/>
      <c r="N864" s="154"/>
      <c r="O864" s="246"/>
      <c r="P864" s="1597"/>
      <c r="R864" s="1598"/>
      <c r="S864" s="557"/>
      <c r="T864" s="1768"/>
      <c r="V864" s="1769"/>
      <c r="X864" s="1768"/>
      <c r="Z864" s="1769"/>
      <c r="AA864" s="557"/>
      <c r="AK864" s="246"/>
    </row>
    <row r="865" spans="2:37" ht="18" customHeight="1">
      <c r="B865" s="199"/>
      <c r="D865" s="154"/>
      <c r="F865" s="154"/>
      <c r="G865" s="217"/>
      <c r="I865" s="673"/>
      <c r="J865" s="209"/>
      <c r="K865" s="520"/>
      <c r="L865" s="154"/>
      <c r="M865" s="154"/>
      <c r="N865" s="154"/>
      <c r="O865" s="246"/>
      <c r="P865" s="1597"/>
      <c r="R865" s="1598"/>
      <c r="S865" s="557"/>
      <c r="T865" s="1768"/>
      <c r="V865" s="1769"/>
      <c r="X865" s="1768"/>
      <c r="Z865" s="1769"/>
      <c r="AA865" s="557"/>
      <c r="AK865" s="246"/>
    </row>
    <row r="866" spans="2:37" ht="18" customHeight="1">
      <c r="B866" s="199"/>
      <c r="D866" s="154"/>
      <c r="F866" s="154"/>
      <c r="G866" s="217"/>
      <c r="I866" s="673"/>
      <c r="J866" s="209"/>
      <c r="K866" s="520"/>
      <c r="L866" s="154"/>
      <c r="M866" s="154"/>
      <c r="N866" s="154"/>
      <c r="O866" s="246"/>
      <c r="P866" s="1597"/>
      <c r="R866" s="1598"/>
      <c r="S866" s="557"/>
      <c r="T866" s="1768"/>
      <c r="V866" s="1769"/>
      <c r="X866" s="1768"/>
      <c r="Z866" s="1769"/>
      <c r="AA866" s="557"/>
      <c r="AK866" s="246"/>
    </row>
    <row r="867" spans="2:37" ht="18" customHeight="1">
      <c r="B867" s="199"/>
      <c r="D867" s="154"/>
      <c r="F867" s="154"/>
      <c r="G867" s="217"/>
      <c r="I867" s="673"/>
      <c r="J867" s="209"/>
      <c r="K867" s="520"/>
      <c r="L867" s="154"/>
      <c r="M867" s="154"/>
      <c r="N867" s="154"/>
      <c r="O867" s="246"/>
      <c r="P867" s="1597"/>
      <c r="R867" s="1598"/>
      <c r="S867" s="557"/>
      <c r="T867" s="1768"/>
      <c r="V867" s="1769"/>
      <c r="X867" s="1768"/>
      <c r="Z867" s="1769"/>
      <c r="AA867" s="557"/>
      <c r="AK867" s="246"/>
    </row>
    <row r="868" spans="2:37" ht="18" customHeight="1">
      <c r="B868" s="199"/>
      <c r="D868" s="154"/>
      <c r="F868" s="154"/>
      <c r="G868" s="217"/>
      <c r="I868" s="673"/>
      <c r="J868" s="209"/>
      <c r="K868" s="520"/>
      <c r="L868" s="154"/>
      <c r="M868" s="154"/>
      <c r="N868" s="154"/>
      <c r="O868" s="246"/>
      <c r="P868" s="1597"/>
      <c r="R868" s="1598"/>
      <c r="S868" s="557"/>
      <c r="T868" s="1768"/>
      <c r="V868" s="1769"/>
      <c r="X868" s="1768"/>
      <c r="Z868" s="1769"/>
      <c r="AA868" s="557"/>
      <c r="AK868" s="246"/>
    </row>
    <row r="869" spans="2:37" ht="18" customHeight="1">
      <c r="B869" s="199"/>
      <c r="D869" s="154"/>
      <c r="F869" s="154"/>
      <c r="G869" s="217"/>
      <c r="I869" s="673"/>
      <c r="J869" s="209"/>
      <c r="K869" s="520"/>
      <c r="L869" s="154"/>
      <c r="M869" s="154"/>
      <c r="N869" s="154"/>
      <c r="O869" s="246"/>
      <c r="P869" s="1597"/>
      <c r="R869" s="1598"/>
      <c r="S869" s="557"/>
      <c r="T869" s="1768"/>
      <c r="V869" s="1769"/>
      <c r="X869" s="1768"/>
      <c r="Z869" s="1769"/>
      <c r="AA869" s="557"/>
      <c r="AK869" s="246"/>
    </row>
    <row r="870" spans="2:37" ht="18" customHeight="1">
      <c r="B870" s="199"/>
      <c r="D870" s="154"/>
      <c r="F870" s="154"/>
      <c r="G870" s="217"/>
      <c r="I870" s="673"/>
      <c r="J870" s="209"/>
      <c r="K870" s="520"/>
      <c r="L870" s="154"/>
      <c r="M870" s="154"/>
      <c r="N870" s="154"/>
      <c r="O870" s="246"/>
      <c r="P870" s="1597"/>
      <c r="R870" s="1598"/>
      <c r="S870" s="557"/>
      <c r="T870" s="1768"/>
      <c r="V870" s="1769"/>
      <c r="X870" s="1768"/>
      <c r="Z870" s="1769"/>
      <c r="AA870" s="557"/>
      <c r="AK870" s="246"/>
    </row>
    <row r="871" spans="2:37" ht="18" customHeight="1">
      <c r="B871" s="199"/>
      <c r="D871" s="154"/>
      <c r="F871" s="154"/>
      <c r="G871" s="217"/>
      <c r="I871" s="673"/>
      <c r="J871" s="209"/>
      <c r="K871" s="520"/>
      <c r="L871" s="154"/>
      <c r="M871" s="154"/>
      <c r="N871" s="154"/>
      <c r="O871" s="246"/>
      <c r="P871" s="1597"/>
      <c r="R871" s="1598"/>
      <c r="S871" s="557"/>
      <c r="T871" s="1768"/>
      <c r="V871" s="1769"/>
      <c r="X871" s="1768"/>
      <c r="Z871" s="1769"/>
      <c r="AA871" s="557"/>
      <c r="AK871" s="246"/>
    </row>
    <row r="872" spans="2:37" ht="18" customHeight="1">
      <c r="B872" s="199"/>
      <c r="D872" s="154"/>
      <c r="F872" s="154"/>
      <c r="G872" s="217"/>
      <c r="I872" s="673"/>
      <c r="J872" s="209"/>
      <c r="K872" s="520"/>
      <c r="L872" s="154"/>
      <c r="M872" s="154"/>
      <c r="N872" s="154"/>
      <c r="O872" s="246"/>
      <c r="P872" s="1597"/>
      <c r="R872" s="1598"/>
      <c r="S872" s="557"/>
      <c r="T872" s="1768"/>
      <c r="V872" s="1769"/>
      <c r="X872" s="1768"/>
      <c r="Z872" s="1769"/>
      <c r="AA872" s="557"/>
      <c r="AK872" s="246"/>
    </row>
    <row r="873" spans="2:37" ht="18" customHeight="1">
      <c r="B873" s="199"/>
      <c r="D873" s="154"/>
      <c r="F873" s="154"/>
      <c r="G873" s="217"/>
      <c r="I873" s="673"/>
      <c r="J873" s="209"/>
      <c r="K873" s="520"/>
      <c r="L873" s="154"/>
      <c r="M873" s="154"/>
      <c r="N873" s="154"/>
      <c r="O873" s="246"/>
      <c r="P873" s="1597"/>
      <c r="R873" s="1598"/>
      <c r="S873" s="557"/>
      <c r="T873" s="1768"/>
      <c r="V873" s="1769"/>
      <c r="X873" s="1768"/>
      <c r="Z873" s="1769"/>
      <c r="AA873" s="557"/>
      <c r="AK873" s="246"/>
    </row>
    <row r="874" spans="2:37" ht="18" customHeight="1">
      <c r="B874" s="199"/>
      <c r="D874" s="154"/>
      <c r="F874" s="154"/>
      <c r="G874" s="217"/>
      <c r="I874" s="673"/>
      <c r="J874" s="209"/>
      <c r="K874" s="520"/>
      <c r="L874" s="154"/>
      <c r="M874" s="154"/>
      <c r="N874" s="154"/>
      <c r="O874" s="246"/>
      <c r="P874" s="1597"/>
      <c r="R874" s="1598"/>
      <c r="S874" s="557"/>
      <c r="T874" s="1768"/>
      <c r="V874" s="1769"/>
      <c r="X874" s="1768"/>
      <c r="Z874" s="1769"/>
      <c r="AA874" s="557"/>
      <c r="AK874" s="246"/>
    </row>
    <row r="875" spans="2:37" ht="18" customHeight="1">
      <c r="B875" s="199"/>
      <c r="D875" s="154"/>
      <c r="F875" s="154"/>
      <c r="G875" s="217"/>
      <c r="I875" s="673"/>
      <c r="J875" s="209"/>
      <c r="K875" s="520"/>
      <c r="L875" s="154"/>
      <c r="M875" s="154"/>
      <c r="N875" s="154"/>
      <c r="O875" s="246"/>
      <c r="P875" s="1597"/>
      <c r="R875" s="1598"/>
      <c r="S875" s="557"/>
      <c r="T875" s="1768"/>
      <c r="V875" s="1769"/>
      <c r="X875" s="1768"/>
      <c r="Z875" s="1769"/>
      <c r="AA875" s="557"/>
      <c r="AK875" s="246"/>
    </row>
    <row r="876" spans="2:37" ht="18" customHeight="1">
      <c r="B876" s="199"/>
      <c r="D876" s="154"/>
      <c r="F876" s="154"/>
      <c r="G876" s="217"/>
      <c r="I876" s="673"/>
      <c r="J876" s="209"/>
      <c r="K876" s="520"/>
      <c r="L876" s="154"/>
      <c r="M876" s="154"/>
      <c r="N876" s="154"/>
      <c r="O876" s="246"/>
      <c r="P876" s="1597"/>
      <c r="R876" s="1598"/>
      <c r="S876" s="557"/>
      <c r="T876" s="1768"/>
      <c r="V876" s="1769"/>
      <c r="X876" s="1768"/>
      <c r="Z876" s="1769"/>
      <c r="AA876" s="557"/>
      <c r="AK876" s="246"/>
    </row>
    <row r="877" spans="2:37" ht="18" customHeight="1">
      <c r="B877" s="199"/>
      <c r="D877" s="154"/>
      <c r="F877" s="154"/>
      <c r="G877" s="217"/>
      <c r="I877" s="673"/>
      <c r="J877" s="209"/>
      <c r="K877" s="520"/>
      <c r="L877" s="154"/>
      <c r="M877" s="154"/>
      <c r="N877" s="154"/>
      <c r="O877" s="246"/>
      <c r="P877" s="1597"/>
      <c r="R877" s="1598"/>
      <c r="S877" s="557"/>
      <c r="T877" s="1768"/>
      <c r="V877" s="1769"/>
      <c r="X877" s="1768"/>
      <c r="Z877" s="1769"/>
      <c r="AA877" s="557"/>
      <c r="AK877" s="246"/>
    </row>
    <row r="878" spans="2:37" ht="18" customHeight="1">
      <c r="B878" s="199"/>
      <c r="D878" s="154"/>
      <c r="F878" s="154"/>
      <c r="G878" s="217"/>
      <c r="I878" s="673"/>
      <c r="J878" s="209"/>
      <c r="K878" s="520"/>
      <c r="L878" s="154"/>
      <c r="M878" s="154"/>
      <c r="N878" s="154"/>
      <c r="O878" s="246"/>
      <c r="P878" s="1597"/>
      <c r="R878" s="1598"/>
      <c r="S878" s="557"/>
      <c r="T878" s="1768"/>
      <c r="V878" s="1769"/>
      <c r="X878" s="1768"/>
      <c r="Z878" s="1769"/>
      <c r="AA878" s="557"/>
      <c r="AK878" s="246"/>
    </row>
    <row r="879" spans="2:37" ht="18" customHeight="1">
      <c r="B879" s="199"/>
      <c r="D879" s="154"/>
      <c r="F879" s="154"/>
      <c r="G879" s="217"/>
      <c r="I879" s="673"/>
      <c r="J879" s="209"/>
      <c r="K879" s="520"/>
      <c r="L879" s="154"/>
      <c r="M879" s="154"/>
      <c r="N879" s="154"/>
      <c r="O879" s="246"/>
      <c r="P879" s="1597"/>
      <c r="R879" s="1598"/>
      <c r="S879" s="557"/>
      <c r="T879" s="1768"/>
      <c r="V879" s="1769"/>
      <c r="X879" s="1768"/>
      <c r="Z879" s="1769"/>
      <c r="AA879" s="557"/>
      <c r="AK879" s="246"/>
    </row>
    <row r="880" spans="2:37" ht="18" customHeight="1">
      <c r="B880" s="199"/>
      <c r="D880" s="154"/>
      <c r="F880" s="154"/>
      <c r="G880" s="217"/>
      <c r="I880" s="673"/>
      <c r="J880" s="209"/>
      <c r="K880" s="520"/>
      <c r="L880" s="154"/>
      <c r="M880" s="154"/>
      <c r="N880" s="154"/>
      <c r="O880" s="246"/>
      <c r="P880" s="1597"/>
      <c r="R880" s="1598"/>
      <c r="S880" s="557"/>
      <c r="T880" s="1768"/>
      <c r="V880" s="1769"/>
      <c r="X880" s="1768"/>
      <c r="Z880" s="1769"/>
      <c r="AA880" s="557"/>
      <c r="AK880" s="246"/>
    </row>
    <row r="881" spans="2:37" ht="18" customHeight="1">
      <c r="B881" s="199"/>
      <c r="D881" s="154"/>
      <c r="F881" s="154"/>
      <c r="G881" s="217"/>
      <c r="I881" s="673"/>
      <c r="J881" s="209"/>
      <c r="K881" s="520"/>
      <c r="L881" s="154"/>
      <c r="M881" s="154"/>
      <c r="N881" s="154"/>
      <c r="O881" s="246"/>
      <c r="P881" s="1597"/>
      <c r="R881" s="1598"/>
      <c r="S881" s="557"/>
      <c r="T881" s="1768"/>
      <c r="V881" s="1769"/>
      <c r="X881" s="1768"/>
      <c r="Z881" s="1769"/>
      <c r="AA881" s="557"/>
      <c r="AK881" s="246"/>
    </row>
    <row r="882" spans="2:37" ht="18" customHeight="1">
      <c r="B882" s="199"/>
      <c r="D882" s="154"/>
      <c r="F882" s="154"/>
      <c r="G882" s="217"/>
      <c r="I882" s="673"/>
      <c r="J882" s="209"/>
      <c r="K882" s="520"/>
      <c r="L882" s="154"/>
      <c r="M882" s="154"/>
      <c r="N882" s="154"/>
      <c r="O882" s="246"/>
      <c r="P882" s="1597"/>
      <c r="R882" s="1598"/>
      <c r="S882" s="557"/>
      <c r="T882" s="1768"/>
      <c r="V882" s="1769"/>
      <c r="X882" s="1768"/>
      <c r="Z882" s="1769"/>
      <c r="AA882" s="557"/>
      <c r="AK882" s="246"/>
    </row>
    <row r="883" spans="2:37" ht="18" customHeight="1">
      <c r="B883" s="199"/>
      <c r="D883" s="154"/>
      <c r="F883" s="154"/>
      <c r="G883" s="217"/>
      <c r="I883" s="673"/>
      <c r="J883" s="209"/>
      <c r="K883" s="520"/>
      <c r="L883" s="154"/>
      <c r="M883" s="154"/>
      <c r="N883" s="154"/>
      <c r="O883" s="246"/>
      <c r="P883" s="1597"/>
      <c r="R883" s="1598"/>
      <c r="S883" s="557"/>
      <c r="T883" s="1768"/>
      <c r="V883" s="1769"/>
      <c r="X883" s="1768"/>
      <c r="Z883" s="1769"/>
      <c r="AA883" s="557"/>
      <c r="AK883" s="246"/>
    </row>
    <row r="884" spans="2:37" ht="18" customHeight="1">
      <c r="B884" s="199"/>
      <c r="D884" s="154"/>
      <c r="F884" s="154"/>
      <c r="G884" s="217"/>
      <c r="I884" s="673"/>
      <c r="J884" s="209"/>
      <c r="K884" s="520"/>
      <c r="L884" s="154"/>
      <c r="M884" s="154"/>
      <c r="N884" s="154"/>
      <c r="O884" s="246"/>
      <c r="P884" s="1597"/>
      <c r="R884" s="1598"/>
      <c r="S884" s="557"/>
      <c r="T884" s="1768"/>
      <c r="V884" s="1769"/>
      <c r="X884" s="1768"/>
      <c r="Z884" s="1769"/>
      <c r="AA884" s="557"/>
      <c r="AK884" s="246"/>
    </row>
    <row r="885" spans="2:37" ht="18" customHeight="1">
      <c r="B885" s="199"/>
      <c r="D885" s="154"/>
      <c r="F885" s="154"/>
      <c r="G885" s="217"/>
      <c r="I885" s="673"/>
      <c r="J885" s="209"/>
      <c r="K885" s="520"/>
      <c r="L885" s="154"/>
      <c r="M885" s="154"/>
      <c r="N885" s="154"/>
      <c r="O885" s="246"/>
      <c r="P885" s="1597"/>
      <c r="R885" s="1598"/>
      <c r="S885" s="557"/>
      <c r="T885" s="1768"/>
      <c r="V885" s="1769"/>
      <c r="X885" s="1768"/>
      <c r="Z885" s="1769"/>
      <c r="AA885" s="557"/>
      <c r="AK885" s="246"/>
    </row>
    <row r="886" spans="2:37" ht="18" customHeight="1">
      <c r="B886" s="199"/>
      <c r="D886" s="154"/>
      <c r="F886" s="154"/>
      <c r="G886" s="217"/>
      <c r="I886" s="673"/>
      <c r="J886" s="209"/>
      <c r="K886" s="520"/>
      <c r="L886" s="154"/>
      <c r="M886" s="154"/>
      <c r="N886" s="154"/>
      <c r="O886" s="246"/>
      <c r="P886" s="1597"/>
      <c r="R886" s="1598"/>
      <c r="S886" s="557"/>
      <c r="T886" s="1768"/>
      <c r="V886" s="1769"/>
      <c r="X886" s="1768"/>
      <c r="Z886" s="1769"/>
      <c r="AA886" s="557"/>
      <c r="AK886" s="246"/>
    </row>
    <row r="887" spans="2:37" ht="18" customHeight="1">
      <c r="B887" s="199"/>
      <c r="D887" s="154"/>
      <c r="F887" s="154"/>
      <c r="G887" s="217"/>
      <c r="I887" s="673"/>
      <c r="J887" s="209"/>
      <c r="K887" s="520"/>
      <c r="L887" s="154"/>
      <c r="M887" s="154"/>
      <c r="N887" s="154"/>
      <c r="O887" s="246"/>
      <c r="P887" s="1597"/>
      <c r="R887" s="1598"/>
      <c r="S887" s="557"/>
      <c r="T887" s="1768"/>
      <c r="V887" s="1769"/>
      <c r="X887" s="1768"/>
      <c r="Z887" s="1769"/>
      <c r="AA887" s="557"/>
      <c r="AK887" s="246"/>
    </row>
    <row r="888" spans="2:37" ht="18" customHeight="1">
      <c r="B888" s="199"/>
      <c r="D888" s="154"/>
      <c r="F888" s="154"/>
      <c r="G888" s="217"/>
      <c r="I888" s="673"/>
      <c r="J888" s="209"/>
      <c r="K888" s="520"/>
      <c r="L888" s="154"/>
      <c r="M888" s="154"/>
      <c r="N888" s="154"/>
      <c r="O888" s="246"/>
      <c r="P888" s="1597"/>
      <c r="R888" s="1598"/>
      <c r="S888" s="557"/>
      <c r="T888" s="1768"/>
      <c r="V888" s="1769"/>
      <c r="X888" s="1768"/>
      <c r="Z888" s="1769"/>
      <c r="AA888" s="557"/>
      <c r="AK888" s="246"/>
    </row>
    <row r="889" spans="2:37" ht="18" customHeight="1">
      <c r="B889" s="199"/>
      <c r="D889" s="154"/>
      <c r="F889" s="154"/>
      <c r="G889" s="217"/>
      <c r="I889" s="673"/>
      <c r="J889" s="209"/>
      <c r="K889" s="520"/>
      <c r="L889" s="154"/>
      <c r="M889" s="154"/>
      <c r="N889" s="154"/>
      <c r="O889" s="246"/>
      <c r="P889" s="1597"/>
      <c r="R889" s="1598"/>
      <c r="S889" s="557"/>
      <c r="T889" s="1768"/>
      <c r="V889" s="1769"/>
      <c r="X889" s="1768"/>
      <c r="Z889" s="1769"/>
      <c r="AA889" s="557"/>
      <c r="AK889" s="246"/>
    </row>
    <row r="890" spans="2:37" ht="18" customHeight="1">
      <c r="B890" s="199"/>
      <c r="D890" s="154"/>
      <c r="F890" s="154"/>
      <c r="G890" s="217"/>
      <c r="I890" s="673"/>
      <c r="J890" s="209"/>
      <c r="K890" s="520"/>
      <c r="L890" s="154"/>
      <c r="M890" s="154"/>
      <c r="N890" s="154"/>
      <c r="O890" s="246"/>
      <c r="P890" s="1597"/>
      <c r="R890" s="1598"/>
      <c r="S890" s="557"/>
      <c r="T890" s="1768"/>
      <c r="V890" s="1769"/>
      <c r="X890" s="1768"/>
      <c r="Z890" s="1769"/>
      <c r="AA890" s="557"/>
      <c r="AK890" s="246"/>
    </row>
    <row r="891" spans="2:37" ht="18" customHeight="1">
      <c r="B891" s="199"/>
      <c r="D891" s="154"/>
      <c r="F891" s="154"/>
      <c r="G891" s="217"/>
      <c r="I891" s="673"/>
      <c r="J891" s="209"/>
      <c r="K891" s="520"/>
      <c r="L891" s="154"/>
      <c r="M891" s="154"/>
      <c r="N891" s="154"/>
      <c r="O891" s="246"/>
      <c r="P891" s="1597"/>
      <c r="R891" s="1598"/>
      <c r="S891" s="557"/>
      <c r="T891" s="1768"/>
      <c r="V891" s="1769"/>
      <c r="X891" s="1768"/>
      <c r="Z891" s="1769"/>
      <c r="AA891" s="557"/>
      <c r="AK891" s="246"/>
    </row>
    <row r="892" spans="2:37" ht="18" customHeight="1">
      <c r="B892" s="199"/>
      <c r="D892" s="154"/>
      <c r="F892" s="154"/>
      <c r="G892" s="217"/>
      <c r="I892" s="673"/>
      <c r="J892" s="209"/>
      <c r="K892" s="520"/>
      <c r="L892" s="154"/>
      <c r="M892" s="154"/>
      <c r="N892" s="154"/>
      <c r="O892" s="246"/>
      <c r="P892" s="1597"/>
      <c r="R892" s="1598"/>
      <c r="S892" s="557"/>
      <c r="T892" s="1768"/>
      <c r="V892" s="1769"/>
      <c r="X892" s="1768"/>
      <c r="Z892" s="1769"/>
      <c r="AA892" s="557"/>
      <c r="AK892" s="246"/>
    </row>
    <row r="893" spans="2:37" ht="18" customHeight="1">
      <c r="B893" s="199"/>
      <c r="D893" s="154"/>
      <c r="F893" s="154"/>
      <c r="G893" s="217"/>
      <c r="I893" s="673"/>
      <c r="J893" s="209"/>
      <c r="K893" s="520"/>
      <c r="L893" s="154"/>
      <c r="M893" s="154"/>
      <c r="N893" s="154"/>
      <c r="O893" s="246"/>
      <c r="P893" s="1597"/>
      <c r="R893" s="1598"/>
      <c r="S893" s="557"/>
      <c r="T893" s="1768"/>
      <c r="V893" s="1769"/>
      <c r="X893" s="1768"/>
      <c r="Z893" s="1769"/>
      <c r="AA893" s="557"/>
      <c r="AK893" s="246"/>
    </row>
    <row r="894" spans="2:37" ht="18" customHeight="1">
      <c r="B894" s="199"/>
      <c r="D894" s="154"/>
      <c r="F894" s="154"/>
      <c r="G894" s="217"/>
      <c r="I894" s="673"/>
      <c r="J894" s="209"/>
      <c r="K894" s="520"/>
      <c r="L894" s="154"/>
      <c r="M894" s="154"/>
      <c r="N894" s="154"/>
      <c r="O894" s="246"/>
      <c r="P894" s="1597"/>
      <c r="R894" s="1598"/>
      <c r="S894" s="557"/>
      <c r="T894" s="1768"/>
      <c r="V894" s="1769"/>
      <c r="X894" s="1768"/>
      <c r="Z894" s="1769"/>
      <c r="AA894" s="557"/>
      <c r="AK894" s="246"/>
    </row>
    <row r="895" spans="2:37" ht="18" customHeight="1">
      <c r="B895" s="199"/>
      <c r="D895" s="154"/>
      <c r="F895" s="154"/>
      <c r="G895" s="217"/>
      <c r="I895" s="673"/>
      <c r="J895" s="209"/>
      <c r="K895" s="520"/>
      <c r="L895" s="154"/>
      <c r="M895" s="154"/>
      <c r="N895" s="154"/>
      <c r="O895" s="246"/>
      <c r="P895" s="1597"/>
      <c r="R895" s="1598"/>
      <c r="S895" s="557"/>
      <c r="T895" s="1768"/>
      <c r="V895" s="1769"/>
      <c r="X895" s="1768"/>
      <c r="Z895" s="1769"/>
      <c r="AA895" s="557"/>
      <c r="AK895" s="246"/>
    </row>
    <row r="896" spans="2:37" ht="18" customHeight="1">
      <c r="B896" s="199"/>
      <c r="D896" s="154"/>
      <c r="F896" s="154"/>
      <c r="G896" s="217"/>
      <c r="I896" s="673"/>
      <c r="J896" s="209"/>
      <c r="K896" s="520"/>
      <c r="L896" s="154"/>
      <c r="M896" s="154"/>
      <c r="N896" s="154"/>
      <c r="O896" s="246"/>
      <c r="P896" s="1597"/>
      <c r="R896" s="1598"/>
      <c r="S896" s="557"/>
      <c r="T896" s="1768"/>
      <c r="V896" s="1769"/>
      <c r="X896" s="1768"/>
      <c r="Z896" s="1769"/>
      <c r="AA896" s="557"/>
      <c r="AK896" s="246"/>
    </row>
    <row r="897" spans="2:37" ht="18" customHeight="1">
      <c r="B897" s="199"/>
      <c r="D897" s="154"/>
      <c r="F897" s="154"/>
      <c r="G897" s="217"/>
      <c r="I897" s="673"/>
      <c r="J897" s="209"/>
      <c r="K897" s="520"/>
      <c r="L897" s="154"/>
      <c r="M897" s="154"/>
      <c r="N897" s="154"/>
      <c r="O897" s="246"/>
      <c r="P897" s="1597"/>
      <c r="R897" s="1598"/>
      <c r="S897" s="557"/>
      <c r="T897" s="1768"/>
      <c r="V897" s="1769"/>
      <c r="X897" s="1768"/>
      <c r="Z897" s="1769"/>
      <c r="AA897" s="557"/>
      <c r="AK897" s="246"/>
    </row>
    <row r="898" spans="2:37" ht="18" customHeight="1">
      <c r="B898" s="199"/>
      <c r="D898" s="154"/>
      <c r="F898" s="154"/>
      <c r="G898" s="217"/>
      <c r="I898" s="673"/>
      <c r="J898" s="209"/>
      <c r="K898" s="520"/>
      <c r="L898" s="154"/>
      <c r="M898" s="154"/>
      <c r="N898" s="154"/>
      <c r="O898" s="246"/>
      <c r="P898" s="1597"/>
      <c r="R898" s="1598"/>
      <c r="S898" s="557"/>
      <c r="T898" s="1768"/>
      <c r="V898" s="1769"/>
      <c r="X898" s="1768"/>
      <c r="Z898" s="1769"/>
      <c r="AA898" s="557"/>
      <c r="AK898" s="246"/>
    </row>
    <row r="899" spans="2:37" ht="18" customHeight="1">
      <c r="B899" s="199"/>
      <c r="D899" s="154"/>
      <c r="F899" s="154"/>
      <c r="G899" s="217"/>
      <c r="I899" s="673"/>
      <c r="J899" s="209"/>
      <c r="K899" s="520"/>
      <c r="L899" s="154"/>
      <c r="M899" s="154"/>
      <c r="N899" s="154"/>
      <c r="O899" s="246"/>
      <c r="P899" s="1597"/>
      <c r="R899" s="1598"/>
      <c r="S899" s="557"/>
      <c r="T899" s="1768"/>
      <c r="V899" s="1769"/>
      <c r="X899" s="1768"/>
      <c r="Z899" s="1769"/>
      <c r="AA899" s="557"/>
      <c r="AK899" s="246"/>
    </row>
    <row r="900" spans="2:37" ht="18" customHeight="1">
      <c r="B900" s="199"/>
      <c r="D900" s="154"/>
      <c r="F900" s="154"/>
      <c r="G900" s="217"/>
      <c r="I900" s="673"/>
      <c r="J900" s="209"/>
      <c r="K900" s="520"/>
      <c r="L900" s="154"/>
      <c r="M900" s="154"/>
      <c r="N900" s="154"/>
      <c r="O900" s="246"/>
      <c r="P900" s="1597"/>
      <c r="R900" s="1598"/>
      <c r="S900" s="557"/>
      <c r="T900" s="1768"/>
      <c r="V900" s="1769"/>
      <c r="X900" s="1768"/>
      <c r="Z900" s="1769"/>
      <c r="AA900" s="557"/>
      <c r="AK900" s="246"/>
    </row>
    <row r="901" spans="2:37" ht="18" customHeight="1">
      <c r="B901" s="199"/>
      <c r="D901" s="154"/>
      <c r="F901" s="154"/>
      <c r="G901" s="217"/>
      <c r="I901" s="673"/>
      <c r="J901" s="209"/>
      <c r="K901" s="520"/>
      <c r="L901" s="154"/>
      <c r="M901" s="154"/>
      <c r="N901" s="154"/>
      <c r="O901" s="246"/>
      <c r="P901" s="1597"/>
      <c r="R901" s="1598"/>
      <c r="S901" s="557"/>
      <c r="T901" s="1768"/>
      <c r="V901" s="1769"/>
      <c r="X901" s="1768"/>
      <c r="Z901" s="1769"/>
      <c r="AA901" s="557"/>
      <c r="AK901" s="246"/>
    </row>
    <row r="902" spans="2:37" ht="18" customHeight="1">
      <c r="B902" s="199"/>
      <c r="D902" s="154"/>
      <c r="F902" s="154"/>
      <c r="G902" s="217"/>
      <c r="I902" s="673"/>
      <c r="J902" s="209"/>
      <c r="K902" s="520"/>
      <c r="L902" s="154"/>
      <c r="M902" s="154"/>
      <c r="N902" s="154"/>
      <c r="O902" s="246"/>
      <c r="P902" s="1597"/>
      <c r="R902" s="1598"/>
      <c r="S902" s="557"/>
      <c r="T902" s="1768"/>
      <c r="V902" s="1769"/>
      <c r="X902" s="1768"/>
      <c r="Z902" s="1769"/>
      <c r="AA902" s="557"/>
      <c r="AK902" s="246"/>
    </row>
    <row r="903" spans="2:37" ht="18" customHeight="1">
      <c r="B903" s="199"/>
      <c r="D903" s="154"/>
      <c r="F903" s="154"/>
      <c r="G903" s="217"/>
      <c r="I903" s="673"/>
      <c r="J903" s="209"/>
      <c r="K903" s="520"/>
      <c r="L903" s="154"/>
      <c r="M903" s="154"/>
      <c r="N903" s="154"/>
      <c r="O903" s="246"/>
      <c r="P903" s="1597"/>
      <c r="R903" s="1598"/>
      <c r="S903" s="557"/>
      <c r="T903" s="1768"/>
      <c r="V903" s="1769"/>
      <c r="X903" s="1768"/>
      <c r="Z903" s="1769"/>
      <c r="AA903" s="557"/>
      <c r="AK903" s="246"/>
    </row>
    <row r="904" spans="2:37" ht="18" customHeight="1">
      <c r="B904" s="199"/>
      <c r="D904" s="154"/>
      <c r="F904" s="154"/>
      <c r="G904" s="217"/>
      <c r="I904" s="673"/>
      <c r="J904" s="209"/>
      <c r="K904" s="520"/>
      <c r="L904" s="154"/>
      <c r="M904" s="154"/>
      <c r="N904" s="154"/>
      <c r="O904" s="246"/>
      <c r="P904" s="1597"/>
      <c r="R904" s="1598"/>
      <c r="S904" s="557"/>
      <c r="T904" s="1768"/>
      <c r="V904" s="1769"/>
      <c r="X904" s="1768"/>
      <c r="Z904" s="1769"/>
      <c r="AA904" s="557"/>
      <c r="AK904" s="246"/>
    </row>
    <row r="905" spans="2:37" ht="18" customHeight="1">
      <c r="B905" s="199"/>
      <c r="D905" s="154"/>
      <c r="F905" s="154"/>
      <c r="G905" s="217"/>
      <c r="I905" s="673"/>
      <c r="J905" s="209"/>
      <c r="K905" s="520"/>
      <c r="L905" s="154"/>
      <c r="M905" s="154"/>
      <c r="N905" s="154"/>
      <c r="O905" s="246"/>
      <c r="P905" s="1597"/>
      <c r="R905" s="1598"/>
      <c r="S905" s="557"/>
      <c r="T905" s="1768"/>
      <c r="V905" s="1769"/>
      <c r="X905" s="1768"/>
      <c r="Z905" s="1769"/>
      <c r="AA905" s="557"/>
      <c r="AK905" s="246"/>
    </row>
    <row r="906" spans="2:37" ht="18" customHeight="1">
      <c r="B906" s="199"/>
      <c r="D906" s="154"/>
      <c r="F906" s="154"/>
      <c r="G906" s="217"/>
      <c r="I906" s="673"/>
      <c r="J906" s="209"/>
      <c r="K906" s="520"/>
      <c r="L906" s="154"/>
      <c r="M906" s="154"/>
      <c r="N906" s="154"/>
      <c r="O906" s="246"/>
      <c r="P906" s="1597"/>
      <c r="R906" s="1598"/>
      <c r="S906" s="557"/>
      <c r="T906" s="1768"/>
      <c r="V906" s="1769"/>
      <c r="X906" s="1768"/>
      <c r="Z906" s="1769"/>
      <c r="AA906" s="557"/>
      <c r="AK906" s="246"/>
    </row>
    <row r="907" spans="2:37" ht="18" customHeight="1">
      <c r="B907" s="199"/>
      <c r="D907" s="154"/>
      <c r="F907" s="154"/>
      <c r="G907" s="217"/>
      <c r="I907" s="673"/>
      <c r="J907" s="209"/>
      <c r="K907" s="520"/>
      <c r="L907" s="154"/>
      <c r="M907" s="154"/>
      <c r="N907" s="154"/>
      <c r="O907" s="246"/>
      <c r="P907" s="1597"/>
      <c r="R907" s="1598"/>
      <c r="S907" s="557"/>
      <c r="T907" s="1768"/>
      <c r="V907" s="1769"/>
      <c r="X907" s="1768"/>
      <c r="Z907" s="1769"/>
      <c r="AA907" s="557"/>
      <c r="AK907" s="246"/>
    </row>
    <row r="908" spans="2:37" ht="18" customHeight="1">
      <c r="B908" s="199"/>
      <c r="D908" s="154"/>
      <c r="F908" s="154"/>
      <c r="G908" s="217"/>
      <c r="I908" s="673"/>
      <c r="J908" s="209"/>
      <c r="K908" s="520"/>
      <c r="L908" s="154"/>
      <c r="M908" s="154"/>
      <c r="N908" s="154"/>
      <c r="O908" s="246"/>
      <c r="P908" s="1597"/>
      <c r="R908" s="1598"/>
      <c r="S908" s="557"/>
      <c r="T908" s="1768"/>
      <c r="V908" s="1769"/>
      <c r="X908" s="1768"/>
      <c r="Z908" s="1769"/>
      <c r="AA908" s="557"/>
      <c r="AK908" s="246"/>
    </row>
    <row r="909" spans="2:37" ht="18" customHeight="1">
      <c r="B909" s="199"/>
      <c r="D909" s="154"/>
      <c r="F909" s="154"/>
      <c r="G909" s="217"/>
      <c r="I909" s="673"/>
      <c r="J909" s="209"/>
      <c r="K909" s="520"/>
      <c r="L909" s="154"/>
      <c r="M909" s="154"/>
      <c r="N909" s="154"/>
      <c r="O909" s="246"/>
      <c r="P909" s="1597"/>
      <c r="R909" s="1598"/>
      <c r="S909" s="557"/>
      <c r="T909" s="1768"/>
      <c r="V909" s="1769"/>
      <c r="X909" s="1768"/>
      <c r="Z909" s="1769"/>
      <c r="AA909" s="557"/>
      <c r="AK909" s="246"/>
    </row>
    <row r="910" spans="2:37" ht="18" customHeight="1">
      <c r="B910" s="199"/>
      <c r="D910" s="154"/>
      <c r="F910" s="154"/>
      <c r="G910" s="217"/>
      <c r="I910" s="673"/>
      <c r="J910" s="209"/>
      <c r="K910" s="520"/>
      <c r="L910" s="154"/>
      <c r="M910" s="154"/>
      <c r="N910" s="154"/>
      <c r="O910" s="246"/>
      <c r="P910" s="1597"/>
      <c r="R910" s="1598"/>
      <c r="S910" s="557"/>
      <c r="T910" s="1768"/>
      <c r="V910" s="1769"/>
      <c r="X910" s="1768"/>
      <c r="Z910" s="1769"/>
      <c r="AA910" s="557"/>
      <c r="AK910" s="246"/>
    </row>
    <row r="911" spans="2:37" ht="18" customHeight="1">
      <c r="B911" s="199"/>
      <c r="D911" s="154"/>
      <c r="F911" s="154"/>
      <c r="G911" s="217"/>
      <c r="I911" s="673"/>
      <c r="J911" s="209"/>
      <c r="K911" s="520"/>
      <c r="L911" s="154"/>
      <c r="M911" s="154"/>
      <c r="N911" s="154"/>
      <c r="O911" s="246"/>
      <c r="P911" s="1597"/>
      <c r="R911" s="1598"/>
      <c r="S911" s="557"/>
      <c r="T911" s="1768"/>
      <c r="V911" s="1769"/>
      <c r="X911" s="1768"/>
      <c r="Z911" s="1769"/>
      <c r="AA911" s="557"/>
      <c r="AK911" s="246"/>
    </row>
    <row r="912" spans="2:37" ht="18" customHeight="1">
      <c r="B912" s="199"/>
      <c r="D912" s="154"/>
      <c r="F912" s="154"/>
      <c r="G912" s="217"/>
      <c r="I912" s="673"/>
      <c r="J912" s="209"/>
      <c r="K912" s="520"/>
      <c r="L912" s="154"/>
      <c r="M912" s="154"/>
      <c r="N912" s="154"/>
      <c r="O912" s="246"/>
      <c r="P912" s="1597"/>
      <c r="R912" s="1598"/>
      <c r="S912" s="557"/>
      <c r="T912" s="1768"/>
      <c r="V912" s="1769"/>
      <c r="X912" s="1768"/>
      <c r="Z912" s="1769"/>
      <c r="AA912" s="557"/>
      <c r="AK912" s="246"/>
    </row>
    <row r="913" spans="2:37" ht="18" customHeight="1">
      <c r="B913" s="199"/>
      <c r="D913" s="154"/>
      <c r="F913" s="154"/>
      <c r="G913" s="217"/>
      <c r="I913" s="673"/>
      <c r="J913" s="209"/>
      <c r="K913" s="520"/>
      <c r="L913" s="154"/>
      <c r="M913" s="154"/>
      <c r="N913" s="154"/>
      <c r="O913" s="246"/>
      <c r="P913" s="1597"/>
      <c r="R913" s="1598"/>
      <c r="S913" s="557"/>
      <c r="T913" s="1768"/>
      <c r="V913" s="1769"/>
      <c r="X913" s="1768"/>
      <c r="Z913" s="1769"/>
      <c r="AA913" s="557"/>
      <c r="AK913" s="246"/>
    </row>
    <row r="914" spans="2:37" ht="18" customHeight="1">
      <c r="B914" s="199"/>
      <c r="D914" s="154"/>
      <c r="F914" s="154"/>
      <c r="G914" s="217"/>
      <c r="I914" s="673"/>
      <c r="J914" s="209"/>
      <c r="K914" s="520"/>
      <c r="L914" s="154"/>
      <c r="M914" s="154"/>
      <c r="N914" s="154"/>
      <c r="O914" s="246"/>
      <c r="P914" s="1597"/>
      <c r="R914" s="1598"/>
      <c r="S914" s="557"/>
      <c r="T914" s="1768"/>
      <c r="V914" s="1769"/>
      <c r="X914" s="1768"/>
      <c r="Z914" s="1769"/>
      <c r="AA914" s="557"/>
      <c r="AK914" s="246"/>
    </row>
    <row r="915" spans="2:37" ht="18" customHeight="1">
      <c r="B915" s="199"/>
      <c r="D915" s="154"/>
      <c r="F915" s="154"/>
      <c r="G915" s="217"/>
      <c r="I915" s="673"/>
      <c r="J915" s="209"/>
      <c r="K915" s="520"/>
      <c r="L915" s="154"/>
      <c r="M915" s="154"/>
      <c r="N915" s="154"/>
      <c r="O915" s="246"/>
      <c r="P915" s="1597"/>
      <c r="R915" s="1598"/>
      <c r="S915" s="557"/>
      <c r="T915" s="1768"/>
      <c r="V915" s="1769"/>
      <c r="X915" s="1768"/>
      <c r="Z915" s="1769"/>
      <c r="AA915" s="557"/>
      <c r="AK915" s="246"/>
    </row>
    <row r="916" spans="2:37" ht="18" customHeight="1">
      <c r="B916" s="199"/>
      <c r="D916" s="154"/>
      <c r="F916" s="154"/>
      <c r="G916" s="217"/>
      <c r="I916" s="673"/>
      <c r="J916" s="209"/>
      <c r="K916" s="520"/>
      <c r="L916" s="154"/>
      <c r="M916" s="154"/>
      <c r="N916" s="154"/>
      <c r="O916" s="246"/>
      <c r="P916" s="1597"/>
      <c r="R916" s="1598"/>
      <c r="S916" s="557"/>
      <c r="T916" s="1768"/>
      <c r="V916" s="1769"/>
      <c r="X916" s="1768"/>
      <c r="Z916" s="1769"/>
      <c r="AA916" s="557"/>
      <c r="AK916" s="246"/>
    </row>
    <row r="917" spans="2:37" ht="18" customHeight="1">
      <c r="B917" s="199"/>
      <c r="D917" s="154"/>
      <c r="F917" s="154"/>
      <c r="G917" s="217"/>
      <c r="I917" s="673"/>
      <c r="J917" s="209"/>
      <c r="K917" s="520"/>
      <c r="L917" s="154"/>
      <c r="M917" s="154"/>
      <c r="N917" s="154"/>
      <c r="O917" s="246"/>
      <c r="P917" s="1597"/>
      <c r="R917" s="1598"/>
      <c r="S917" s="557"/>
      <c r="T917" s="1768"/>
      <c r="V917" s="1769"/>
      <c r="X917" s="1768"/>
      <c r="Z917" s="1769"/>
      <c r="AA917" s="557"/>
      <c r="AK917" s="246"/>
    </row>
    <row r="918" spans="2:37" ht="18" customHeight="1">
      <c r="B918" s="199"/>
      <c r="D918" s="154"/>
      <c r="F918" s="154"/>
      <c r="G918" s="217"/>
      <c r="I918" s="673"/>
      <c r="J918" s="209"/>
      <c r="K918" s="520"/>
      <c r="L918" s="154"/>
      <c r="M918" s="154"/>
      <c r="N918" s="154"/>
      <c r="O918" s="246"/>
      <c r="P918" s="1597"/>
      <c r="R918" s="1598"/>
      <c r="S918" s="557"/>
      <c r="T918" s="1768"/>
      <c r="V918" s="1769"/>
      <c r="X918" s="1768"/>
      <c r="Z918" s="1769"/>
      <c r="AA918" s="557"/>
      <c r="AK918" s="246"/>
    </row>
    <row r="919" spans="2:37" ht="18" customHeight="1">
      <c r="B919" s="199"/>
      <c r="D919" s="154"/>
      <c r="F919" s="154"/>
      <c r="G919" s="217"/>
      <c r="I919" s="673"/>
      <c r="J919" s="209"/>
      <c r="K919" s="520"/>
      <c r="L919" s="154"/>
      <c r="M919" s="154"/>
      <c r="N919" s="154"/>
      <c r="O919" s="246"/>
      <c r="P919" s="1597"/>
      <c r="R919" s="1598"/>
      <c r="S919" s="557"/>
      <c r="T919" s="1768"/>
      <c r="V919" s="1769"/>
      <c r="X919" s="1768"/>
      <c r="Z919" s="1769"/>
      <c r="AA919" s="557"/>
      <c r="AK919" s="246"/>
    </row>
    <row r="920" spans="2:37" ht="18" customHeight="1">
      <c r="B920" s="199"/>
      <c r="D920" s="154"/>
      <c r="F920" s="154"/>
      <c r="G920" s="217"/>
      <c r="I920" s="673"/>
      <c r="J920" s="209"/>
      <c r="K920" s="520"/>
      <c r="L920" s="154"/>
      <c r="M920" s="154"/>
      <c r="N920" s="154"/>
      <c r="O920" s="246"/>
      <c r="P920" s="1597"/>
      <c r="R920" s="1598"/>
      <c r="S920" s="557"/>
      <c r="T920" s="1768"/>
      <c r="V920" s="1769"/>
      <c r="X920" s="1768"/>
      <c r="Z920" s="1769"/>
      <c r="AA920" s="557"/>
      <c r="AK920" s="246"/>
    </row>
    <row r="921" spans="2:37" ht="18" customHeight="1">
      <c r="B921" s="199"/>
      <c r="D921" s="154"/>
      <c r="F921" s="154"/>
      <c r="G921" s="217"/>
      <c r="I921" s="673"/>
      <c r="J921" s="209"/>
      <c r="K921" s="520"/>
      <c r="L921" s="154"/>
      <c r="M921" s="154"/>
      <c r="N921" s="154"/>
      <c r="O921" s="246"/>
      <c r="P921" s="1597"/>
      <c r="R921" s="1598"/>
      <c r="S921" s="557"/>
      <c r="T921" s="1768"/>
      <c r="V921" s="1769"/>
      <c r="X921" s="1768"/>
      <c r="Z921" s="1769"/>
      <c r="AA921" s="557"/>
      <c r="AK921" s="246"/>
    </row>
    <row r="922" spans="2:37" ht="18" customHeight="1">
      <c r="B922" s="199"/>
      <c r="D922" s="154"/>
      <c r="F922" s="154"/>
      <c r="G922" s="217"/>
      <c r="I922" s="673"/>
      <c r="J922" s="209"/>
      <c r="K922" s="520"/>
      <c r="L922" s="154"/>
      <c r="M922" s="154"/>
      <c r="N922" s="154"/>
      <c r="O922" s="246"/>
      <c r="P922" s="1597"/>
      <c r="R922" s="1598"/>
      <c r="S922" s="557"/>
      <c r="T922" s="1768"/>
      <c r="V922" s="1769"/>
      <c r="X922" s="1768"/>
      <c r="Z922" s="1769"/>
      <c r="AA922" s="557"/>
      <c r="AK922" s="246"/>
    </row>
    <row r="923" spans="2:37" ht="18" customHeight="1">
      <c r="B923" s="199"/>
      <c r="D923" s="154"/>
      <c r="F923" s="154"/>
      <c r="G923" s="217"/>
      <c r="I923" s="673"/>
      <c r="J923" s="209"/>
      <c r="K923" s="520"/>
      <c r="L923" s="154"/>
      <c r="M923" s="154"/>
      <c r="N923" s="154"/>
      <c r="O923" s="246"/>
      <c r="P923" s="1597"/>
      <c r="R923" s="1598"/>
      <c r="S923" s="557"/>
      <c r="T923" s="1768"/>
      <c r="V923" s="1769"/>
      <c r="X923" s="1768"/>
      <c r="Z923" s="1769"/>
      <c r="AA923" s="557"/>
      <c r="AK923" s="246"/>
    </row>
    <row r="924" spans="2:37" ht="18" customHeight="1">
      <c r="B924" s="199"/>
      <c r="D924" s="154"/>
      <c r="F924" s="154"/>
      <c r="G924" s="217"/>
      <c r="I924" s="673"/>
      <c r="J924" s="209"/>
      <c r="K924" s="520"/>
      <c r="L924" s="154"/>
      <c r="M924" s="154"/>
      <c r="N924" s="154"/>
      <c r="O924" s="246"/>
      <c r="P924" s="1597"/>
      <c r="R924" s="1598"/>
      <c r="S924" s="557"/>
      <c r="T924" s="1768"/>
      <c r="V924" s="1769"/>
      <c r="X924" s="1768"/>
      <c r="Z924" s="1769"/>
      <c r="AA924" s="557"/>
      <c r="AK924" s="246"/>
    </row>
    <row r="925" spans="2:37" ht="18" customHeight="1">
      <c r="B925" s="199"/>
      <c r="D925" s="154"/>
      <c r="F925" s="154"/>
      <c r="G925" s="217"/>
      <c r="I925" s="673"/>
      <c r="J925" s="209"/>
      <c r="K925" s="520"/>
      <c r="L925" s="154"/>
      <c r="M925" s="154"/>
      <c r="N925" s="154"/>
      <c r="O925" s="246"/>
      <c r="P925" s="1597"/>
      <c r="R925" s="1598"/>
      <c r="S925" s="557"/>
      <c r="T925" s="1768"/>
      <c r="V925" s="1769"/>
      <c r="X925" s="1768"/>
      <c r="Z925" s="1769"/>
      <c r="AA925" s="557"/>
      <c r="AK925" s="246"/>
    </row>
    <row r="926" spans="2:37" ht="18" customHeight="1">
      <c r="B926" s="199"/>
      <c r="D926" s="154"/>
      <c r="F926" s="154"/>
      <c r="G926" s="217"/>
      <c r="I926" s="673"/>
      <c r="J926" s="209"/>
      <c r="K926" s="520"/>
      <c r="L926" s="154"/>
      <c r="M926" s="154"/>
      <c r="N926" s="154"/>
      <c r="O926" s="246"/>
      <c r="P926" s="1597"/>
      <c r="R926" s="1598"/>
      <c r="S926" s="557"/>
      <c r="T926" s="1768"/>
      <c r="V926" s="1769"/>
      <c r="X926" s="1768"/>
      <c r="Z926" s="1769"/>
      <c r="AA926" s="557"/>
      <c r="AK926" s="246"/>
    </row>
    <row r="927" spans="2:37" ht="18" customHeight="1">
      <c r="B927" s="199"/>
      <c r="D927" s="154"/>
      <c r="F927" s="154"/>
      <c r="G927" s="217"/>
      <c r="I927" s="673"/>
      <c r="J927" s="209"/>
      <c r="K927" s="520"/>
      <c r="L927" s="154"/>
      <c r="M927" s="154"/>
      <c r="N927" s="154"/>
      <c r="O927" s="246"/>
      <c r="P927" s="1597"/>
      <c r="R927" s="1598"/>
      <c r="S927" s="557"/>
      <c r="T927" s="1768"/>
      <c r="V927" s="1769"/>
      <c r="X927" s="1768"/>
      <c r="Z927" s="1769"/>
      <c r="AA927" s="557"/>
      <c r="AK927" s="246"/>
    </row>
    <row r="928" spans="2:37" ht="18" customHeight="1">
      <c r="B928" s="199"/>
      <c r="D928" s="154"/>
      <c r="F928" s="154"/>
      <c r="G928" s="217"/>
      <c r="I928" s="673"/>
      <c r="J928" s="209"/>
      <c r="K928" s="520"/>
      <c r="L928" s="154"/>
      <c r="M928" s="154"/>
      <c r="N928" s="154"/>
      <c r="O928" s="246"/>
      <c r="P928" s="1597"/>
      <c r="R928" s="1598"/>
      <c r="S928" s="557"/>
      <c r="T928" s="1768"/>
      <c r="V928" s="1769"/>
      <c r="X928" s="1768"/>
      <c r="Z928" s="1769"/>
      <c r="AA928" s="557"/>
      <c r="AK928" s="246"/>
    </row>
    <row r="929" spans="2:37" ht="18" customHeight="1">
      <c r="B929" s="199"/>
      <c r="D929" s="154"/>
      <c r="F929" s="154"/>
      <c r="G929" s="217"/>
      <c r="I929" s="673"/>
      <c r="J929" s="209"/>
      <c r="K929" s="520"/>
      <c r="L929" s="154"/>
      <c r="M929" s="154"/>
      <c r="N929" s="154"/>
      <c r="O929" s="246"/>
      <c r="P929" s="1597"/>
      <c r="R929" s="1598"/>
      <c r="S929" s="557"/>
      <c r="T929" s="1768"/>
      <c r="V929" s="1769"/>
      <c r="X929" s="1768"/>
      <c r="Z929" s="1769"/>
      <c r="AA929" s="557"/>
      <c r="AK929" s="246"/>
    </row>
    <row r="930" spans="2:37" ht="18" customHeight="1">
      <c r="B930" s="199"/>
      <c r="D930" s="154"/>
      <c r="F930" s="154"/>
      <c r="G930" s="217"/>
      <c r="I930" s="673"/>
      <c r="J930" s="209"/>
      <c r="K930" s="520"/>
      <c r="L930" s="154"/>
      <c r="M930" s="154"/>
      <c r="N930" s="154"/>
      <c r="O930" s="246"/>
      <c r="P930" s="1597"/>
      <c r="R930" s="1598"/>
      <c r="S930" s="557"/>
      <c r="T930" s="1768"/>
      <c r="V930" s="1769"/>
      <c r="X930" s="1768"/>
      <c r="Z930" s="1769"/>
      <c r="AA930" s="557"/>
      <c r="AK930" s="246"/>
    </row>
    <row r="931" spans="2:37" ht="18" customHeight="1">
      <c r="B931" s="199"/>
      <c r="D931" s="154"/>
      <c r="F931" s="154"/>
      <c r="G931" s="217"/>
      <c r="I931" s="673"/>
      <c r="J931" s="209"/>
      <c r="K931" s="520"/>
      <c r="L931" s="154"/>
      <c r="M931" s="154"/>
      <c r="N931" s="154"/>
      <c r="O931" s="246"/>
      <c r="P931" s="1597"/>
      <c r="R931" s="1598"/>
      <c r="S931" s="557"/>
      <c r="T931" s="1768"/>
      <c r="V931" s="1769"/>
      <c r="X931" s="1768"/>
      <c r="Z931" s="1769"/>
      <c r="AA931" s="557"/>
      <c r="AK931" s="246"/>
    </row>
    <row r="932" spans="2:37" ht="18" customHeight="1">
      <c r="B932" s="199"/>
      <c r="D932" s="154"/>
      <c r="F932" s="154"/>
      <c r="G932" s="217"/>
      <c r="I932" s="673"/>
      <c r="J932" s="209"/>
      <c r="K932" s="520"/>
      <c r="L932" s="154"/>
      <c r="M932" s="154"/>
      <c r="N932" s="154"/>
      <c r="O932" s="246"/>
      <c r="P932" s="1597"/>
      <c r="R932" s="1598"/>
      <c r="S932" s="557"/>
      <c r="T932" s="1768"/>
      <c r="V932" s="1769"/>
      <c r="X932" s="1768"/>
      <c r="Z932" s="1769"/>
      <c r="AA932" s="557"/>
      <c r="AK932" s="246"/>
    </row>
    <row r="933" spans="2:37" ht="18" customHeight="1">
      <c r="B933" s="199"/>
      <c r="D933" s="154"/>
      <c r="F933" s="154"/>
      <c r="G933" s="217"/>
      <c r="I933" s="673"/>
      <c r="J933" s="209"/>
      <c r="K933" s="520"/>
      <c r="L933" s="154"/>
      <c r="M933" s="154"/>
      <c r="N933" s="154"/>
      <c r="O933" s="246"/>
      <c r="P933" s="1597"/>
      <c r="R933" s="1598"/>
      <c r="S933" s="557"/>
      <c r="T933" s="1768"/>
      <c r="V933" s="1769"/>
      <c r="X933" s="1768"/>
      <c r="Z933" s="1769"/>
      <c r="AA933" s="557"/>
      <c r="AK933" s="246"/>
    </row>
    <row r="934" spans="2:37" ht="18" customHeight="1">
      <c r="B934" s="199"/>
      <c r="D934" s="154"/>
      <c r="F934" s="154"/>
      <c r="G934" s="217"/>
      <c r="I934" s="673"/>
      <c r="J934" s="209"/>
      <c r="K934" s="520"/>
      <c r="L934" s="154"/>
      <c r="M934" s="154"/>
      <c r="N934" s="154"/>
      <c r="O934" s="246"/>
      <c r="P934" s="1597"/>
      <c r="R934" s="1598"/>
      <c r="S934" s="557"/>
      <c r="T934" s="1768"/>
      <c r="V934" s="1769"/>
      <c r="X934" s="1768"/>
      <c r="Z934" s="1769"/>
      <c r="AA934" s="557"/>
      <c r="AK934" s="246"/>
    </row>
    <row r="935" spans="2:37" ht="18" customHeight="1">
      <c r="B935" s="199"/>
      <c r="D935" s="154"/>
      <c r="F935" s="154"/>
      <c r="G935" s="217"/>
      <c r="I935" s="673"/>
      <c r="J935" s="209"/>
      <c r="K935" s="520"/>
      <c r="L935" s="154"/>
      <c r="M935" s="154"/>
      <c r="N935" s="154"/>
      <c r="O935" s="246"/>
      <c r="P935" s="1597"/>
      <c r="R935" s="1598"/>
      <c r="S935" s="557"/>
      <c r="T935" s="1768"/>
      <c r="V935" s="1769"/>
      <c r="X935" s="1768"/>
      <c r="Z935" s="1769"/>
      <c r="AA935" s="557"/>
      <c r="AK935" s="246"/>
    </row>
    <row r="936" spans="2:37" ht="18" customHeight="1">
      <c r="B936" s="199"/>
      <c r="D936" s="154"/>
      <c r="F936" s="154"/>
      <c r="G936" s="217"/>
      <c r="I936" s="673"/>
      <c r="J936" s="209"/>
      <c r="K936" s="520"/>
      <c r="L936" s="154"/>
      <c r="M936" s="154"/>
      <c r="N936" s="154"/>
      <c r="O936" s="246"/>
      <c r="P936" s="1597"/>
      <c r="R936" s="1598"/>
      <c r="S936" s="557"/>
      <c r="T936" s="1768"/>
      <c r="V936" s="1769"/>
      <c r="X936" s="1768"/>
      <c r="Z936" s="1769"/>
      <c r="AA936" s="557"/>
      <c r="AK936" s="246"/>
    </row>
    <row r="937" spans="2:37" ht="18" customHeight="1">
      <c r="B937" s="199"/>
      <c r="D937" s="154"/>
      <c r="F937" s="154"/>
      <c r="G937" s="217"/>
      <c r="I937" s="673"/>
      <c r="J937" s="209"/>
      <c r="K937" s="520"/>
      <c r="L937" s="154"/>
      <c r="M937" s="154"/>
      <c r="N937" s="154"/>
      <c r="O937" s="246"/>
      <c r="P937" s="1597"/>
      <c r="R937" s="1598"/>
      <c r="S937" s="557"/>
      <c r="T937" s="1768"/>
      <c r="V937" s="1769"/>
      <c r="X937" s="1768"/>
      <c r="Z937" s="1769"/>
      <c r="AA937" s="557"/>
      <c r="AK937" s="246"/>
    </row>
    <row r="938" spans="2:37" ht="18" customHeight="1">
      <c r="B938" s="199"/>
      <c r="D938" s="154"/>
      <c r="F938" s="154"/>
      <c r="G938" s="217"/>
      <c r="I938" s="673"/>
      <c r="J938" s="209"/>
      <c r="K938" s="520"/>
      <c r="L938" s="154"/>
      <c r="M938" s="154"/>
      <c r="N938" s="154"/>
      <c r="O938" s="246"/>
      <c r="P938" s="1597"/>
      <c r="R938" s="1598"/>
      <c r="S938" s="557"/>
      <c r="T938" s="1768"/>
      <c r="V938" s="1769"/>
      <c r="X938" s="1768"/>
      <c r="Z938" s="1769"/>
      <c r="AA938" s="557"/>
      <c r="AK938" s="246"/>
    </row>
    <row r="939" spans="2:37" ht="18" customHeight="1">
      <c r="B939" s="199"/>
      <c r="D939" s="154"/>
      <c r="F939" s="154"/>
      <c r="G939" s="217"/>
      <c r="I939" s="673"/>
      <c r="J939" s="209"/>
      <c r="K939" s="520"/>
      <c r="L939" s="154"/>
      <c r="M939" s="154"/>
      <c r="N939" s="154"/>
      <c r="O939" s="246"/>
      <c r="P939" s="1597"/>
      <c r="R939" s="1598"/>
      <c r="S939" s="557"/>
      <c r="T939" s="1768"/>
      <c r="V939" s="1769"/>
      <c r="X939" s="1768"/>
      <c r="Z939" s="1769"/>
      <c r="AA939" s="557"/>
      <c r="AK939" s="246"/>
    </row>
    <row r="940" spans="2:37" ht="18" customHeight="1">
      <c r="B940" s="199"/>
      <c r="D940" s="154"/>
      <c r="F940" s="154"/>
      <c r="G940" s="217"/>
      <c r="I940" s="673"/>
      <c r="J940" s="209"/>
      <c r="K940" s="520"/>
      <c r="L940" s="154"/>
      <c r="M940" s="154"/>
      <c r="N940" s="154"/>
      <c r="O940" s="246"/>
      <c r="P940" s="1597"/>
      <c r="R940" s="1598"/>
      <c r="S940" s="557"/>
      <c r="T940" s="1768"/>
      <c r="V940" s="1769"/>
      <c r="X940" s="1768"/>
      <c r="Z940" s="1769"/>
      <c r="AA940" s="557"/>
      <c r="AK940" s="246"/>
    </row>
    <row r="941" spans="2:37" ht="18" customHeight="1">
      <c r="B941" s="199"/>
      <c r="D941" s="154"/>
      <c r="F941" s="154"/>
      <c r="G941" s="217"/>
      <c r="I941" s="673"/>
      <c r="J941" s="209"/>
      <c r="K941" s="520"/>
      <c r="L941" s="154"/>
      <c r="M941" s="154"/>
      <c r="N941" s="154"/>
      <c r="O941" s="246"/>
      <c r="P941" s="1597"/>
      <c r="R941" s="1598"/>
      <c r="S941" s="557"/>
      <c r="T941" s="1768"/>
      <c r="V941" s="1769"/>
      <c r="X941" s="1768"/>
      <c r="Z941" s="1769"/>
      <c r="AA941" s="557"/>
      <c r="AK941" s="246"/>
    </row>
    <row r="942" spans="2:37" ht="18" customHeight="1">
      <c r="B942" s="199"/>
      <c r="D942" s="154"/>
      <c r="F942" s="154"/>
      <c r="G942" s="217"/>
      <c r="I942" s="673"/>
      <c r="J942" s="209"/>
      <c r="K942" s="520"/>
      <c r="L942" s="154"/>
      <c r="M942" s="154"/>
      <c r="N942" s="154"/>
      <c r="O942" s="246"/>
      <c r="P942" s="1597"/>
      <c r="R942" s="1598"/>
      <c r="S942" s="557"/>
      <c r="T942" s="1768"/>
      <c r="V942" s="1769"/>
      <c r="X942" s="1768"/>
      <c r="Z942" s="1769"/>
      <c r="AA942" s="557"/>
      <c r="AK942" s="246"/>
    </row>
    <row r="943" spans="2:37" ht="18" customHeight="1">
      <c r="B943" s="199"/>
      <c r="D943" s="154"/>
      <c r="F943" s="154"/>
      <c r="G943" s="217"/>
      <c r="I943" s="673"/>
      <c r="J943" s="209"/>
      <c r="K943" s="520"/>
      <c r="L943" s="154"/>
      <c r="M943" s="154"/>
      <c r="N943" s="154"/>
      <c r="O943" s="246"/>
      <c r="P943" s="1597"/>
      <c r="R943" s="1598"/>
      <c r="S943" s="557"/>
      <c r="T943" s="1768"/>
      <c r="V943" s="1769"/>
      <c r="X943" s="1768"/>
      <c r="Z943" s="1769"/>
      <c r="AA943" s="557"/>
      <c r="AK943" s="246"/>
    </row>
    <row r="944" spans="2:37" ht="18" customHeight="1">
      <c r="B944" s="199"/>
      <c r="D944" s="154"/>
      <c r="F944" s="154"/>
      <c r="G944" s="217"/>
      <c r="I944" s="673"/>
      <c r="J944" s="209"/>
      <c r="K944" s="520"/>
      <c r="L944" s="154"/>
      <c r="M944" s="154"/>
      <c r="N944" s="154"/>
      <c r="O944" s="246"/>
      <c r="P944" s="1597"/>
      <c r="R944" s="1598"/>
      <c r="S944" s="557"/>
      <c r="T944" s="1768"/>
      <c r="V944" s="1769"/>
      <c r="X944" s="1768"/>
      <c r="Z944" s="1769"/>
      <c r="AA944" s="557"/>
      <c r="AK944" s="246"/>
    </row>
    <row r="945" spans="2:37" ht="18" customHeight="1">
      <c r="B945" s="199"/>
      <c r="D945" s="154"/>
      <c r="F945" s="154"/>
      <c r="G945" s="217"/>
      <c r="I945" s="673"/>
      <c r="J945" s="209"/>
      <c r="K945" s="520"/>
      <c r="L945" s="154"/>
      <c r="M945" s="154"/>
      <c r="N945" s="154"/>
      <c r="O945" s="246"/>
      <c r="P945" s="1597"/>
      <c r="R945" s="1598"/>
      <c r="S945" s="557"/>
      <c r="T945" s="1768"/>
      <c r="V945" s="1769"/>
      <c r="X945" s="1768"/>
      <c r="Z945" s="1769"/>
      <c r="AA945" s="557"/>
      <c r="AK945" s="246"/>
    </row>
    <row r="946" spans="2:37" ht="18" customHeight="1">
      <c r="B946" s="199"/>
      <c r="D946" s="154"/>
      <c r="F946" s="154"/>
      <c r="G946" s="217"/>
      <c r="I946" s="673"/>
      <c r="J946" s="209"/>
      <c r="K946" s="520"/>
      <c r="L946" s="154"/>
      <c r="M946" s="154"/>
      <c r="N946" s="154"/>
      <c r="O946" s="246"/>
      <c r="P946" s="1597"/>
      <c r="R946" s="1598"/>
      <c r="S946" s="557"/>
      <c r="T946" s="1768"/>
      <c r="V946" s="1769"/>
      <c r="X946" s="1768"/>
      <c r="Z946" s="1769"/>
      <c r="AA946" s="557"/>
      <c r="AK946" s="246"/>
    </row>
    <row r="947" spans="2:37" ht="18" customHeight="1">
      <c r="B947" s="199"/>
      <c r="D947" s="154"/>
      <c r="F947" s="154"/>
      <c r="G947" s="217"/>
      <c r="I947" s="673"/>
      <c r="J947" s="209"/>
      <c r="K947" s="520"/>
      <c r="L947" s="154"/>
      <c r="M947" s="154"/>
      <c r="N947" s="154"/>
      <c r="O947" s="246"/>
      <c r="P947" s="1597"/>
      <c r="R947" s="1598"/>
      <c r="S947" s="557"/>
      <c r="T947" s="1768"/>
      <c r="V947" s="1769"/>
      <c r="X947" s="1768"/>
      <c r="Z947" s="1769"/>
      <c r="AA947" s="557"/>
      <c r="AK947" s="246"/>
    </row>
    <row r="948" spans="2:37" ht="18" customHeight="1">
      <c r="B948" s="199"/>
      <c r="D948" s="154"/>
      <c r="F948" s="154"/>
      <c r="G948" s="217"/>
      <c r="I948" s="673"/>
      <c r="J948" s="209"/>
      <c r="K948" s="520"/>
      <c r="L948" s="154"/>
      <c r="M948" s="154"/>
      <c r="N948" s="154"/>
      <c r="O948" s="246"/>
      <c r="P948" s="1597"/>
      <c r="R948" s="1598"/>
      <c r="S948" s="557"/>
      <c r="T948" s="1768"/>
      <c r="V948" s="1769"/>
      <c r="X948" s="1768"/>
      <c r="Z948" s="1769"/>
      <c r="AA948" s="557"/>
      <c r="AK948" s="246"/>
    </row>
    <row r="949" spans="2:37" ht="18" customHeight="1">
      <c r="B949" s="199"/>
      <c r="D949" s="154"/>
      <c r="F949" s="154"/>
      <c r="G949" s="217"/>
      <c r="I949" s="673"/>
      <c r="J949" s="209"/>
      <c r="K949" s="520"/>
      <c r="L949" s="154"/>
      <c r="M949" s="154"/>
      <c r="N949" s="154"/>
      <c r="O949" s="246"/>
      <c r="P949" s="1597"/>
      <c r="R949" s="1598"/>
      <c r="S949" s="557"/>
      <c r="T949" s="1768"/>
      <c r="V949" s="1769"/>
      <c r="X949" s="1768"/>
      <c r="Z949" s="1769"/>
      <c r="AA949" s="557"/>
      <c r="AK949" s="246"/>
    </row>
    <row r="950" spans="2:37" ht="18" customHeight="1">
      <c r="B950" s="199"/>
      <c r="D950" s="154"/>
      <c r="F950" s="154"/>
      <c r="G950" s="217"/>
      <c r="I950" s="673"/>
      <c r="J950" s="209"/>
      <c r="K950" s="520"/>
      <c r="L950" s="154"/>
      <c r="M950" s="154"/>
      <c r="N950" s="154"/>
      <c r="O950" s="246"/>
      <c r="P950" s="1597"/>
      <c r="R950" s="1598"/>
      <c r="S950" s="557"/>
      <c r="T950" s="1768"/>
      <c r="V950" s="1769"/>
      <c r="X950" s="1768"/>
      <c r="Z950" s="1769"/>
      <c r="AA950" s="557"/>
      <c r="AK950" s="246"/>
    </row>
    <row r="951" spans="2:37" ht="18" customHeight="1">
      <c r="B951" s="199"/>
      <c r="D951" s="154"/>
      <c r="F951" s="154"/>
      <c r="G951" s="217"/>
      <c r="I951" s="673"/>
      <c r="J951" s="209"/>
      <c r="K951" s="520"/>
      <c r="L951" s="154"/>
      <c r="M951" s="154"/>
      <c r="N951" s="154"/>
      <c r="O951" s="246"/>
      <c r="P951" s="1597"/>
      <c r="R951" s="1598"/>
      <c r="S951" s="557"/>
      <c r="T951" s="1768"/>
      <c r="V951" s="1769"/>
      <c r="X951" s="1768"/>
      <c r="Z951" s="1769"/>
      <c r="AA951" s="557"/>
      <c r="AK951" s="246"/>
    </row>
    <row r="952" spans="2:37" ht="18" customHeight="1">
      <c r="B952" s="199"/>
      <c r="D952" s="154"/>
      <c r="F952" s="154"/>
      <c r="G952" s="217"/>
      <c r="I952" s="673"/>
      <c r="J952" s="209"/>
      <c r="K952" s="520"/>
      <c r="L952" s="154"/>
      <c r="M952" s="154"/>
      <c r="N952" s="154"/>
      <c r="O952" s="246"/>
      <c r="P952" s="1597"/>
      <c r="R952" s="1598"/>
      <c r="S952" s="557"/>
      <c r="T952" s="1768"/>
      <c r="V952" s="1769"/>
      <c r="X952" s="1768"/>
      <c r="Z952" s="1769"/>
      <c r="AA952" s="557"/>
      <c r="AK952" s="246"/>
    </row>
    <row r="953" spans="2:37" ht="18" customHeight="1">
      <c r="B953" s="199"/>
      <c r="D953" s="154"/>
      <c r="F953" s="154"/>
      <c r="G953" s="217"/>
      <c r="I953" s="673"/>
      <c r="J953" s="209"/>
      <c r="K953" s="520"/>
      <c r="L953" s="154"/>
      <c r="M953" s="154"/>
      <c r="N953" s="154"/>
      <c r="O953" s="246"/>
      <c r="P953" s="1597"/>
      <c r="R953" s="1598"/>
      <c r="S953" s="557"/>
      <c r="T953" s="1768"/>
      <c r="V953" s="1769"/>
      <c r="X953" s="1768"/>
      <c r="Z953" s="1769"/>
      <c r="AA953" s="557"/>
      <c r="AK953" s="246"/>
    </row>
    <row r="954" spans="2:37" ht="18" customHeight="1">
      <c r="B954" s="199"/>
      <c r="D954" s="154"/>
      <c r="F954" s="154"/>
      <c r="G954" s="217"/>
      <c r="I954" s="673"/>
      <c r="J954" s="209"/>
      <c r="K954" s="520"/>
      <c r="L954" s="154"/>
      <c r="M954" s="154"/>
      <c r="N954" s="154"/>
      <c r="O954" s="246"/>
      <c r="P954" s="1597"/>
      <c r="R954" s="1598"/>
      <c r="S954" s="557"/>
      <c r="T954" s="1768"/>
      <c r="V954" s="1769"/>
      <c r="X954" s="1768"/>
      <c r="Z954" s="1769"/>
      <c r="AA954" s="557"/>
      <c r="AK954" s="246"/>
    </row>
    <row r="955" spans="2:37" ht="18" customHeight="1">
      <c r="B955" s="199"/>
      <c r="D955" s="154"/>
      <c r="F955" s="154"/>
      <c r="G955" s="217"/>
      <c r="I955" s="673"/>
      <c r="J955" s="209"/>
      <c r="K955" s="520"/>
      <c r="L955" s="154"/>
      <c r="M955" s="154"/>
      <c r="N955" s="154"/>
      <c r="O955" s="246"/>
      <c r="P955" s="1597"/>
      <c r="R955" s="1598"/>
      <c r="S955" s="557"/>
      <c r="T955" s="1768"/>
      <c r="V955" s="1769"/>
      <c r="X955" s="1768"/>
      <c r="Z955" s="1769"/>
      <c r="AA955" s="557"/>
      <c r="AK955" s="246"/>
    </row>
    <row r="956" spans="2:37" ht="18" customHeight="1">
      <c r="B956" s="199"/>
      <c r="D956" s="154"/>
      <c r="F956" s="154"/>
      <c r="G956" s="217"/>
      <c r="I956" s="673"/>
      <c r="J956" s="209"/>
      <c r="K956" s="520"/>
      <c r="L956" s="154"/>
      <c r="M956" s="154"/>
      <c r="N956" s="154"/>
      <c r="O956" s="246"/>
      <c r="P956" s="1597"/>
      <c r="R956" s="1598"/>
      <c r="S956" s="557"/>
      <c r="T956" s="1768"/>
      <c r="V956" s="1769"/>
      <c r="X956" s="1768"/>
      <c r="Z956" s="1769"/>
      <c r="AA956" s="557"/>
      <c r="AK956" s="246"/>
    </row>
    <row r="957" spans="2:37" ht="18" customHeight="1">
      <c r="B957" s="199"/>
      <c r="D957" s="154"/>
      <c r="F957" s="154"/>
      <c r="G957" s="217"/>
      <c r="I957" s="673"/>
      <c r="J957" s="209"/>
      <c r="K957" s="520"/>
      <c r="L957" s="154"/>
      <c r="M957" s="154"/>
      <c r="N957" s="154"/>
      <c r="O957" s="246"/>
      <c r="P957" s="1597"/>
      <c r="R957" s="1598"/>
      <c r="S957" s="557"/>
      <c r="T957" s="1768"/>
      <c r="V957" s="1769"/>
      <c r="X957" s="1768"/>
      <c r="Z957" s="1769"/>
      <c r="AA957" s="557"/>
      <c r="AK957" s="246"/>
    </row>
    <row r="958" spans="2:37" ht="18" customHeight="1">
      <c r="B958" s="199"/>
      <c r="D958" s="154"/>
      <c r="F958" s="154"/>
      <c r="G958" s="217"/>
      <c r="I958" s="673"/>
      <c r="J958" s="209"/>
      <c r="K958" s="520"/>
      <c r="L958" s="154"/>
      <c r="M958" s="154"/>
      <c r="N958" s="154"/>
      <c r="O958" s="246"/>
      <c r="P958" s="1597"/>
      <c r="R958" s="1598"/>
      <c r="S958" s="557"/>
      <c r="T958" s="1768"/>
      <c r="V958" s="1769"/>
      <c r="X958" s="1768"/>
      <c r="Z958" s="1769"/>
      <c r="AA958" s="557"/>
      <c r="AK958" s="246"/>
    </row>
    <row r="959" spans="2:37" ht="18" customHeight="1">
      <c r="B959" s="199"/>
      <c r="D959" s="154"/>
      <c r="F959" s="154"/>
      <c r="G959" s="217"/>
      <c r="I959" s="673"/>
      <c r="J959" s="209"/>
      <c r="K959" s="520"/>
      <c r="L959" s="154"/>
      <c r="M959" s="154"/>
      <c r="N959" s="154"/>
      <c r="O959" s="246"/>
      <c r="P959" s="1597"/>
      <c r="R959" s="1598"/>
      <c r="S959" s="557"/>
      <c r="T959" s="1768"/>
      <c r="V959" s="1769"/>
      <c r="X959" s="1768"/>
      <c r="Z959" s="1769"/>
      <c r="AA959" s="557"/>
      <c r="AK959" s="246"/>
    </row>
    <row r="960" spans="2:37" ht="18" customHeight="1">
      <c r="B960" s="199"/>
      <c r="D960" s="154"/>
      <c r="F960" s="154"/>
      <c r="G960" s="217"/>
      <c r="I960" s="673"/>
      <c r="J960" s="209"/>
      <c r="K960" s="520"/>
      <c r="L960" s="154"/>
      <c r="M960" s="154"/>
      <c r="N960" s="154"/>
      <c r="O960" s="246"/>
      <c r="P960" s="1597"/>
      <c r="R960" s="1598"/>
      <c r="S960" s="557"/>
      <c r="T960" s="1768"/>
      <c r="V960" s="1769"/>
      <c r="X960" s="1768"/>
      <c r="Z960" s="1769"/>
      <c r="AA960" s="557"/>
      <c r="AK960" s="246"/>
    </row>
    <row r="961" spans="2:37" ht="18" customHeight="1">
      <c r="B961" s="199"/>
      <c r="D961" s="154"/>
      <c r="F961" s="154"/>
      <c r="G961" s="217"/>
      <c r="I961" s="673"/>
      <c r="J961" s="209"/>
      <c r="K961" s="520"/>
      <c r="L961" s="154"/>
      <c r="M961" s="154"/>
      <c r="N961" s="154"/>
      <c r="O961" s="246"/>
      <c r="P961" s="1597"/>
      <c r="R961" s="1598"/>
      <c r="S961" s="557"/>
      <c r="T961" s="1768"/>
      <c r="V961" s="1769"/>
      <c r="X961" s="1768"/>
      <c r="Z961" s="1769"/>
      <c r="AA961" s="557"/>
      <c r="AK961" s="246"/>
    </row>
    <row r="962" spans="2:37" ht="18" customHeight="1">
      <c r="B962" s="199"/>
      <c r="D962" s="154"/>
      <c r="F962" s="154"/>
      <c r="G962" s="217"/>
      <c r="I962" s="673"/>
      <c r="J962" s="209"/>
      <c r="K962" s="520"/>
      <c r="L962" s="154"/>
      <c r="M962" s="154"/>
      <c r="N962" s="154"/>
      <c r="O962" s="246"/>
      <c r="P962" s="1597"/>
      <c r="R962" s="1598"/>
      <c r="S962" s="557"/>
      <c r="T962" s="1768"/>
      <c r="V962" s="1769"/>
      <c r="X962" s="1768"/>
      <c r="Z962" s="1769"/>
      <c r="AA962" s="557"/>
      <c r="AK962" s="246"/>
    </row>
    <row r="963" spans="2:37" ht="18" customHeight="1">
      <c r="B963" s="199"/>
      <c r="D963" s="154"/>
      <c r="F963" s="154"/>
      <c r="G963" s="217"/>
      <c r="I963" s="673"/>
      <c r="J963" s="209"/>
      <c r="K963" s="520"/>
      <c r="L963" s="154"/>
      <c r="M963" s="154"/>
      <c r="N963" s="154"/>
      <c r="O963" s="246"/>
      <c r="P963" s="1597"/>
      <c r="R963" s="1598"/>
      <c r="S963" s="557"/>
      <c r="T963" s="1768"/>
      <c r="V963" s="1769"/>
      <c r="X963" s="1768"/>
      <c r="Z963" s="1769"/>
      <c r="AA963" s="557"/>
      <c r="AK963" s="246"/>
    </row>
    <row r="964" spans="2:37" ht="18" customHeight="1">
      <c r="B964" s="199"/>
      <c r="D964" s="154"/>
      <c r="F964" s="154"/>
      <c r="G964" s="217"/>
      <c r="I964" s="673"/>
      <c r="J964" s="209"/>
      <c r="K964" s="520"/>
      <c r="L964" s="154"/>
      <c r="M964" s="154"/>
      <c r="N964" s="154"/>
      <c r="O964" s="246"/>
      <c r="P964" s="1597"/>
      <c r="R964" s="1598"/>
      <c r="S964" s="557"/>
      <c r="T964" s="1768"/>
      <c r="V964" s="1769"/>
      <c r="X964" s="1768"/>
      <c r="Z964" s="1769"/>
      <c r="AA964" s="557"/>
      <c r="AK964" s="246"/>
    </row>
    <row r="965" spans="2:37" ht="18" customHeight="1">
      <c r="B965" s="199"/>
      <c r="D965" s="154"/>
      <c r="F965" s="154"/>
      <c r="G965" s="217"/>
      <c r="I965" s="673"/>
      <c r="J965" s="209"/>
      <c r="K965" s="520"/>
      <c r="L965" s="154"/>
      <c r="M965" s="154"/>
      <c r="N965" s="154"/>
      <c r="O965" s="246"/>
      <c r="P965" s="1597"/>
      <c r="R965" s="1598"/>
      <c r="S965" s="557"/>
      <c r="T965" s="1768"/>
      <c r="V965" s="1769"/>
      <c r="X965" s="1768"/>
      <c r="Z965" s="1769"/>
      <c r="AA965" s="557"/>
      <c r="AK965" s="246"/>
    </row>
    <row r="966" spans="2:37" ht="18" customHeight="1">
      <c r="B966" s="199"/>
      <c r="D966" s="154"/>
      <c r="F966" s="154"/>
      <c r="G966" s="217"/>
      <c r="I966" s="673"/>
      <c r="J966" s="209"/>
      <c r="K966" s="520"/>
      <c r="L966" s="154"/>
      <c r="M966" s="154"/>
      <c r="N966" s="154"/>
      <c r="O966" s="246"/>
      <c r="P966" s="1597"/>
      <c r="R966" s="1598"/>
      <c r="S966" s="557"/>
      <c r="T966" s="1768"/>
      <c r="V966" s="1769"/>
      <c r="X966" s="1768"/>
      <c r="Z966" s="1769"/>
      <c r="AA966" s="557"/>
      <c r="AK966" s="246"/>
    </row>
    <row r="967" spans="2:37" ht="18" customHeight="1">
      <c r="B967" s="199"/>
      <c r="D967" s="154"/>
      <c r="F967" s="154"/>
      <c r="G967" s="217"/>
      <c r="I967" s="673"/>
      <c r="J967" s="209"/>
      <c r="K967" s="520"/>
      <c r="L967" s="154"/>
      <c r="M967" s="154"/>
      <c r="N967" s="154"/>
      <c r="O967" s="246"/>
      <c r="P967" s="1597"/>
      <c r="R967" s="1598"/>
      <c r="S967" s="557"/>
      <c r="T967" s="1768"/>
      <c r="V967" s="1769"/>
      <c r="X967" s="1768"/>
      <c r="Z967" s="1769"/>
      <c r="AA967" s="557"/>
      <c r="AK967" s="246"/>
    </row>
    <row r="968" spans="2:37" ht="18" customHeight="1">
      <c r="B968" s="199"/>
      <c r="D968" s="154"/>
      <c r="F968" s="154"/>
      <c r="G968" s="217"/>
      <c r="I968" s="673"/>
      <c r="J968" s="209"/>
      <c r="K968" s="520"/>
      <c r="L968" s="154"/>
      <c r="M968" s="154"/>
      <c r="N968" s="154"/>
      <c r="O968" s="246"/>
      <c r="P968" s="1597"/>
      <c r="R968" s="1598"/>
      <c r="S968" s="557"/>
      <c r="T968" s="1768"/>
      <c r="V968" s="1769"/>
      <c r="X968" s="1768"/>
      <c r="Z968" s="1769"/>
      <c r="AA968" s="557"/>
      <c r="AK968" s="246"/>
    </row>
    <row r="969" spans="2:37" ht="18" customHeight="1">
      <c r="B969" s="199"/>
      <c r="D969" s="154"/>
      <c r="F969" s="154"/>
      <c r="G969" s="217"/>
      <c r="I969" s="673"/>
      <c r="J969" s="209"/>
      <c r="K969" s="520"/>
      <c r="L969" s="154"/>
      <c r="M969" s="154"/>
      <c r="N969" s="154"/>
      <c r="O969" s="246"/>
      <c r="P969" s="1597"/>
      <c r="R969" s="1598"/>
      <c r="S969" s="557"/>
      <c r="T969" s="1768"/>
      <c r="V969" s="1769"/>
      <c r="X969" s="1768"/>
      <c r="Z969" s="1769"/>
      <c r="AA969" s="557"/>
      <c r="AK969" s="246"/>
    </row>
    <row r="970" spans="2:37" ht="18" customHeight="1">
      <c r="B970" s="199"/>
      <c r="D970" s="154"/>
      <c r="F970" s="154"/>
      <c r="G970" s="217"/>
      <c r="I970" s="673"/>
      <c r="J970" s="209"/>
      <c r="K970" s="520"/>
      <c r="L970" s="154"/>
      <c r="M970" s="154"/>
      <c r="N970" s="154"/>
      <c r="O970" s="246"/>
      <c r="P970" s="1597"/>
      <c r="R970" s="1598"/>
      <c r="S970" s="557"/>
      <c r="T970" s="1768"/>
      <c r="V970" s="1769"/>
      <c r="X970" s="1768"/>
      <c r="Z970" s="1769"/>
      <c r="AA970" s="557"/>
      <c r="AK970" s="246"/>
    </row>
    <row r="971" spans="2:37" ht="18" customHeight="1">
      <c r="B971" s="199"/>
      <c r="D971" s="154"/>
      <c r="F971" s="154"/>
      <c r="G971" s="217"/>
      <c r="I971" s="673"/>
      <c r="J971" s="209"/>
      <c r="K971" s="520"/>
      <c r="L971" s="154"/>
      <c r="M971" s="154"/>
      <c r="N971" s="154"/>
      <c r="O971" s="246"/>
      <c r="P971" s="1597"/>
      <c r="R971" s="1598"/>
      <c r="S971" s="557"/>
      <c r="T971" s="1768"/>
      <c r="V971" s="1769"/>
      <c r="X971" s="1768"/>
      <c r="Z971" s="1769"/>
      <c r="AA971" s="557"/>
      <c r="AK971" s="246"/>
    </row>
    <row r="972" spans="2:37" ht="18" customHeight="1">
      <c r="B972" s="199"/>
      <c r="D972" s="154"/>
      <c r="F972" s="154"/>
      <c r="G972" s="217"/>
      <c r="I972" s="673"/>
      <c r="J972" s="209"/>
      <c r="K972" s="520"/>
      <c r="L972" s="154"/>
      <c r="M972" s="154"/>
      <c r="N972" s="154"/>
      <c r="O972" s="246"/>
      <c r="P972" s="1597"/>
      <c r="R972" s="1598"/>
      <c r="S972" s="557"/>
      <c r="T972" s="1768"/>
      <c r="V972" s="1769"/>
      <c r="X972" s="1768"/>
      <c r="Z972" s="1769"/>
      <c r="AA972" s="557"/>
      <c r="AK972" s="246"/>
    </row>
    <row r="973" spans="2:37" ht="18" customHeight="1">
      <c r="B973" s="199"/>
      <c r="D973" s="154"/>
      <c r="F973" s="154"/>
      <c r="G973" s="217"/>
      <c r="I973" s="673"/>
      <c r="J973" s="209"/>
      <c r="K973" s="520"/>
      <c r="L973" s="154"/>
      <c r="M973" s="154"/>
      <c r="N973" s="154"/>
      <c r="O973" s="246"/>
      <c r="P973" s="1597"/>
      <c r="R973" s="1598"/>
      <c r="S973" s="557"/>
      <c r="T973" s="1768"/>
      <c r="V973" s="1769"/>
      <c r="X973" s="1768"/>
      <c r="Z973" s="1769"/>
      <c r="AA973" s="557"/>
      <c r="AK973" s="246"/>
    </row>
    <row r="974" spans="2:37" ht="18" customHeight="1">
      <c r="B974" s="199"/>
      <c r="D974" s="154"/>
      <c r="F974" s="154"/>
      <c r="G974" s="217"/>
      <c r="I974" s="673"/>
      <c r="J974" s="209"/>
      <c r="K974" s="520"/>
      <c r="L974" s="154"/>
      <c r="M974" s="154"/>
      <c r="N974" s="154"/>
      <c r="O974" s="246"/>
      <c r="P974" s="1597"/>
      <c r="R974" s="1598"/>
      <c r="S974" s="557"/>
      <c r="T974" s="1768"/>
      <c r="V974" s="1769"/>
      <c r="X974" s="1768"/>
      <c r="Z974" s="1769"/>
      <c r="AA974" s="557"/>
      <c r="AK974" s="246"/>
    </row>
    <row r="975" spans="2:37" ht="18" customHeight="1">
      <c r="B975" s="199"/>
      <c r="D975" s="154"/>
      <c r="F975" s="154"/>
      <c r="G975" s="217"/>
      <c r="I975" s="673"/>
      <c r="J975" s="209"/>
      <c r="K975" s="520"/>
      <c r="L975" s="154"/>
      <c r="M975" s="154"/>
      <c r="N975" s="154"/>
      <c r="O975" s="246"/>
      <c r="P975" s="1597"/>
      <c r="R975" s="1598"/>
      <c r="S975" s="557"/>
      <c r="T975" s="1768"/>
      <c r="V975" s="1769"/>
      <c r="X975" s="1768"/>
      <c r="Z975" s="1769"/>
      <c r="AA975" s="557"/>
      <c r="AK975" s="246"/>
    </row>
    <row r="976" spans="2:37" ht="18" customHeight="1">
      <c r="B976" s="199"/>
      <c r="D976" s="154"/>
      <c r="F976" s="154"/>
      <c r="G976" s="217"/>
      <c r="I976" s="673"/>
      <c r="J976" s="209"/>
      <c r="K976" s="520"/>
      <c r="L976" s="154"/>
      <c r="M976" s="154"/>
      <c r="N976" s="154"/>
      <c r="O976" s="246"/>
      <c r="P976" s="1597"/>
      <c r="R976" s="1598"/>
      <c r="S976" s="557"/>
      <c r="T976" s="1768"/>
      <c r="V976" s="1769"/>
      <c r="X976" s="1768"/>
      <c r="Z976" s="1769"/>
      <c r="AA976" s="557"/>
      <c r="AK976" s="246"/>
    </row>
    <row r="977" spans="2:37" ht="18" customHeight="1">
      <c r="B977" s="199"/>
      <c r="D977" s="154"/>
      <c r="F977" s="154"/>
      <c r="G977" s="217"/>
      <c r="I977" s="673"/>
      <c r="J977" s="209"/>
      <c r="K977" s="520"/>
      <c r="L977" s="154"/>
      <c r="M977" s="154"/>
      <c r="N977" s="154"/>
      <c r="O977" s="246"/>
      <c r="P977" s="1597"/>
      <c r="R977" s="1598"/>
      <c r="S977" s="557"/>
      <c r="T977" s="1768"/>
      <c r="V977" s="1769"/>
      <c r="X977" s="1768"/>
      <c r="Z977" s="1769"/>
      <c r="AA977" s="557"/>
      <c r="AK977" s="246"/>
    </row>
    <row r="978" spans="2:37" ht="18" customHeight="1">
      <c r="B978" s="199"/>
      <c r="D978" s="154"/>
      <c r="F978" s="154"/>
      <c r="G978" s="217"/>
      <c r="I978" s="673"/>
      <c r="J978" s="209"/>
      <c r="K978" s="520"/>
      <c r="L978" s="154"/>
      <c r="M978" s="154"/>
      <c r="N978" s="154"/>
      <c r="O978" s="246"/>
      <c r="P978" s="1597"/>
      <c r="R978" s="1598"/>
      <c r="S978" s="557"/>
      <c r="T978" s="1768"/>
      <c r="V978" s="1769"/>
      <c r="X978" s="1768"/>
      <c r="Z978" s="1769"/>
      <c r="AA978" s="557"/>
      <c r="AK978" s="246"/>
    </row>
    <row r="979" spans="2:37" ht="18" customHeight="1">
      <c r="B979" s="199"/>
      <c r="D979" s="154"/>
      <c r="F979" s="154"/>
      <c r="G979" s="217"/>
      <c r="I979" s="673"/>
      <c r="J979" s="209"/>
      <c r="K979" s="520"/>
      <c r="L979" s="154"/>
      <c r="M979" s="154"/>
      <c r="N979" s="154"/>
      <c r="O979" s="246"/>
      <c r="P979" s="1597"/>
      <c r="R979" s="1598"/>
      <c r="S979" s="557"/>
      <c r="T979" s="1768"/>
      <c r="V979" s="1769"/>
      <c r="X979" s="1768"/>
      <c r="Z979" s="1769"/>
      <c r="AA979" s="557"/>
      <c r="AK979" s="246"/>
    </row>
    <row r="980" spans="2:37" ht="18" customHeight="1">
      <c r="B980" s="199"/>
      <c r="D980" s="154"/>
      <c r="F980" s="154"/>
      <c r="G980" s="217"/>
      <c r="I980" s="673"/>
      <c r="J980" s="209"/>
      <c r="K980" s="520"/>
      <c r="L980" s="154"/>
      <c r="M980" s="154"/>
      <c r="N980" s="154"/>
      <c r="O980" s="246"/>
      <c r="P980" s="1597"/>
      <c r="R980" s="1598"/>
      <c r="S980" s="557"/>
      <c r="T980" s="1768"/>
      <c r="V980" s="1769"/>
      <c r="X980" s="1768"/>
      <c r="Z980" s="1769"/>
      <c r="AA980" s="557"/>
      <c r="AK980" s="246"/>
    </row>
    <row r="981" spans="2:37" ht="18" customHeight="1">
      <c r="B981" s="199"/>
      <c r="D981" s="154"/>
      <c r="F981" s="154"/>
      <c r="G981" s="217"/>
      <c r="I981" s="673"/>
      <c r="J981" s="209"/>
      <c r="K981" s="520"/>
      <c r="L981" s="154"/>
      <c r="M981" s="154"/>
      <c r="N981" s="154"/>
      <c r="O981" s="246"/>
      <c r="P981" s="1597"/>
      <c r="R981" s="1598"/>
      <c r="S981" s="557"/>
      <c r="T981" s="1768"/>
      <c r="V981" s="1769"/>
      <c r="X981" s="1768"/>
      <c r="Z981" s="1769"/>
      <c r="AA981" s="557"/>
      <c r="AK981" s="246"/>
    </row>
    <row r="982" spans="2:37" ht="18" customHeight="1">
      <c r="B982" s="199"/>
      <c r="D982" s="154"/>
      <c r="F982" s="154"/>
      <c r="G982" s="217"/>
      <c r="I982" s="673"/>
      <c r="J982" s="209"/>
      <c r="K982" s="520"/>
      <c r="L982" s="154"/>
      <c r="M982" s="154"/>
      <c r="N982" s="154"/>
      <c r="O982" s="246"/>
      <c r="P982" s="1597"/>
      <c r="R982" s="1598"/>
      <c r="S982" s="557"/>
      <c r="T982" s="1768"/>
      <c r="V982" s="1769"/>
      <c r="X982" s="1768"/>
      <c r="Z982" s="1769"/>
      <c r="AA982" s="557"/>
      <c r="AK982" s="246"/>
    </row>
    <row r="983" spans="2:37" ht="18" customHeight="1">
      <c r="B983" s="199"/>
      <c r="D983" s="154"/>
      <c r="F983" s="154"/>
      <c r="G983" s="217"/>
      <c r="I983" s="673"/>
      <c r="J983" s="209"/>
      <c r="K983" s="520"/>
      <c r="L983" s="154"/>
      <c r="M983" s="154"/>
      <c r="N983" s="154"/>
      <c r="O983" s="246"/>
      <c r="P983" s="1597"/>
      <c r="R983" s="1598"/>
      <c r="S983" s="557"/>
      <c r="T983" s="1768"/>
      <c r="V983" s="1769"/>
      <c r="X983" s="1768"/>
      <c r="Z983" s="1769"/>
      <c r="AA983" s="557"/>
      <c r="AK983" s="246"/>
    </row>
    <row r="984" spans="2:37" ht="18" customHeight="1">
      <c r="B984" s="199"/>
      <c r="D984" s="154"/>
      <c r="F984" s="154"/>
      <c r="G984" s="217"/>
      <c r="I984" s="673"/>
      <c r="J984" s="209"/>
      <c r="K984" s="520"/>
      <c r="L984" s="154"/>
      <c r="M984" s="154"/>
      <c r="N984" s="154"/>
      <c r="O984" s="246"/>
      <c r="P984" s="1597"/>
      <c r="R984" s="1598"/>
      <c r="S984" s="557"/>
      <c r="T984" s="1768"/>
      <c r="V984" s="1769"/>
      <c r="X984" s="1768"/>
      <c r="Z984" s="1769"/>
      <c r="AA984" s="557"/>
      <c r="AK984" s="246"/>
    </row>
    <row r="985" spans="2:37" ht="18" customHeight="1">
      <c r="B985" s="199"/>
      <c r="D985" s="154"/>
      <c r="F985" s="154"/>
      <c r="G985" s="217"/>
      <c r="I985" s="673"/>
      <c r="J985" s="209"/>
      <c r="K985" s="520"/>
      <c r="L985" s="154"/>
      <c r="M985" s="154"/>
      <c r="N985" s="154"/>
      <c r="O985" s="246"/>
      <c r="P985" s="1597"/>
      <c r="R985" s="1598"/>
      <c r="S985" s="557"/>
      <c r="T985" s="1768"/>
      <c r="V985" s="1769"/>
      <c r="X985" s="1768"/>
      <c r="Z985" s="1769"/>
      <c r="AA985" s="557"/>
      <c r="AK985" s="246"/>
    </row>
    <row r="986" spans="2:37" ht="18" customHeight="1">
      <c r="B986" s="199"/>
      <c r="D986" s="154"/>
      <c r="F986" s="154"/>
      <c r="G986" s="217"/>
      <c r="I986" s="673"/>
      <c r="J986" s="209"/>
      <c r="K986" s="520"/>
      <c r="L986" s="154"/>
      <c r="M986" s="154"/>
      <c r="N986" s="154"/>
      <c r="O986" s="246"/>
      <c r="P986" s="1597"/>
      <c r="R986" s="1598"/>
      <c r="S986" s="557"/>
      <c r="T986" s="1768"/>
      <c r="V986" s="1769"/>
      <c r="X986" s="1768"/>
      <c r="Z986" s="1769"/>
      <c r="AA986" s="557"/>
      <c r="AK986" s="246"/>
    </row>
    <row r="987" spans="2:37" ht="18" customHeight="1">
      <c r="B987" s="199"/>
      <c r="D987" s="154"/>
      <c r="F987" s="154"/>
      <c r="G987" s="217"/>
      <c r="I987" s="673"/>
      <c r="J987" s="209"/>
      <c r="K987" s="520"/>
      <c r="L987" s="154"/>
      <c r="M987" s="154"/>
      <c r="N987" s="154"/>
      <c r="O987" s="246"/>
      <c r="P987" s="1597"/>
      <c r="R987" s="1598"/>
      <c r="S987" s="557"/>
      <c r="T987" s="1768"/>
      <c r="V987" s="1769"/>
      <c r="X987" s="1768"/>
      <c r="Z987" s="1769"/>
      <c r="AA987" s="557"/>
      <c r="AK987" s="246"/>
    </row>
    <row r="988" spans="2:37" ht="18" customHeight="1">
      <c r="B988" s="199"/>
      <c r="D988" s="154"/>
      <c r="F988" s="154"/>
      <c r="G988" s="217"/>
      <c r="I988" s="673"/>
      <c r="J988" s="209"/>
      <c r="K988" s="520"/>
      <c r="L988" s="154"/>
      <c r="M988" s="154"/>
      <c r="N988" s="154"/>
      <c r="O988" s="246"/>
      <c r="P988" s="1597"/>
      <c r="R988" s="1598"/>
      <c r="S988" s="557"/>
      <c r="T988" s="1768"/>
      <c r="V988" s="1769"/>
      <c r="X988" s="1768"/>
      <c r="Z988" s="1769"/>
      <c r="AA988" s="557"/>
      <c r="AK988" s="246"/>
    </row>
    <row r="989" spans="2:37" ht="18" customHeight="1">
      <c r="B989" s="199"/>
      <c r="D989" s="154"/>
      <c r="F989" s="154"/>
      <c r="G989" s="217"/>
      <c r="I989" s="673"/>
      <c r="J989" s="209"/>
      <c r="K989" s="520"/>
      <c r="L989" s="154"/>
      <c r="M989" s="154"/>
      <c r="N989" s="154"/>
      <c r="O989" s="246"/>
      <c r="P989" s="1597"/>
      <c r="R989" s="1598"/>
      <c r="S989" s="557"/>
      <c r="T989" s="1768"/>
      <c r="V989" s="1769"/>
      <c r="X989" s="1768"/>
      <c r="Z989" s="1769"/>
      <c r="AA989" s="557"/>
      <c r="AK989" s="246"/>
    </row>
    <row r="990" spans="2:37" ht="18" customHeight="1">
      <c r="B990" s="199"/>
      <c r="D990" s="154"/>
      <c r="F990" s="154"/>
      <c r="G990" s="217"/>
      <c r="I990" s="673"/>
      <c r="J990" s="209"/>
      <c r="K990" s="520"/>
      <c r="L990" s="154"/>
      <c r="M990" s="154"/>
      <c r="N990" s="154"/>
      <c r="O990" s="246"/>
      <c r="P990" s="1597"/>
      <c r="R990" s="1598"/>
      <c r="S990" s="557"/>
      <c r="T990" s="1768"/>
      <c r="V990" s="1769"/>
      <c r="X990" s="1768"/>
      <c r="Z990" s="1769"/>
      <c r="AA990" s="557"/>
      <c r="AK990" s="246"/>
    </row>
    <row r="991" spans="2:37" ht="18" customHeight="1">
      <c r="B991" s="199"/>
      <c r="D991" s="154"/>
      <c r="F991" s="154"/>
      <c r="G991" s="217"/>
      <c r="I991" s="673"/>
      <c r="J991" s="209"/>
      <c r="K991" s="520"/>
      <c r="L991" s="154"/>
      <c r="M991" s="154"/>
      <c r="N991" s="154"/>
      <c r="O991" s="246"/>
      <c r="P991" s="1597"/>
      <c r="R991" s="1598"/>
      <c r="S991" s="557"/>
      <c r="T991" s="1768"/>
      <c r="V991" s="1769"/>
      <c r="X991" s="1768"/>
      <c r="Z991" s="1769"/>
      <c r="AA991" s="557"/>
      <c r="AK991" s="246"/>
    </row>
    <row r="992" spans="2:37" ht="18" customHeight="1">
      <c r="B992" s="199"/>
      <c r="D992" s="154"/>
      <c r="F992" s="154"/>
      <c r="G992" s="217"/>
      <c r="I992" s="673"/>
      <c r="J992" s="209"/>
      <c r="K992" s="520"/>
      <c r="L992" s="154"/>
      <c r="M992" s="154"/>
      <c r="N992" s="154"/>
      <c r="O992" s="246"/>
      <c r="P992" s="1597"/>
      <c r="R992" s="1598"/>
      <c r="S992" s="557"/>
      <c r="T992" s="1768"/>
      <c r="V992" s="1769"/>
      <c r="X992" s="1768"/>
      <c r="Z992" s="1769"/>
      <c r="AA992" s="557"/>
      <c r="AK992" s="246"/>
    </row>
    <row r="993" spans="2:37" ht="18" customHeight="1">
      <c r="B993" s="199"/>
      <c r="D993" s="154"/>
      <c r="F993" s="154"/>
      <c r="G993" s="217"/>
      <c r="I993" s="673"/>
      <c r="J993" s="209"/>
      <c r="K993" s="520"/>
      <c r="L993" s="154"/>
      <c r="M993" s="154"/>
      <c r="N993" s="154"/>
      <c r="O993" s="246"/>
      <c r="P993" s="1597"/>
      <c r="R993" s="1598"/>
      <c r="S993" s="557"/>
      <c r="T993" s="1768"/>
      <c r="V993" s="1769"/>
      <c r="X993" s="1768"/>
      <c r="Z993" s="1769"/>
      <c r="AA993" s="557"/>
      <c r="AK993" s="246"/>
    </row>
    <row r="994" spans="2:37" ht="18" customHeight="1">
      <c r="B994" s="199"/>
      <c r="D994" s="154"/>
      <c r="F994" s="154"/>
      <c r="G994" s="217"/>
      <c r="I994" s="673"/>
      <c r="J994" s="209"/>
      <c r="K994" s="520"/>
      <c r="L994" s="154"/>
      <c r="M994" s="154"/>
      <c r="N994" s="154"/>
      <c r="O994" s="246"/>
      <c r="P994" s="1597"/>
      <c r="R994" s="1598"/>
      <c r="S994" s="557"/>
      <c r="T994" s="1768"/>
      <c r="V994" s="1769"/>
      <c r="X994" s="1768"/>
      <c r="Z994" s="1769"/>
      <c r="AA994" s="557"/>
      <c r="AK994" s="246"/>
    </row>
    <row r="995" spans="2:37" ht="18" customHeight="1">
      <c r="B995" s="199"/>
      <c r="D995" s="154"/>
      <c r="F995" s="154"/>
      <c r="G995" s="217"/>
      <c r="I995" s="673"/>
      <c r="J995" s="209"/>
      <c r="K995" s="520"/>
      <c r="L995" s="154"/>
      <c r="M995" s="154"/>
      <c r="N995" s="154"/>
      <c r="O995" s="246"/>
      <c r="P995" s="1597"/>
      <c r="R995" s="1598"/>
      <c r="S995" s="557"/>
      <c r="T995" s="1768"/>
      <c r="V995" s="1769"/>
      <c r="X995" s="1768"/>
      <c r="Z995" s="1769"/>
      <c r="AA995" s="557"/>
      <c r="AK995" s="246"/>
    </row>
    <row r="996" spans="2:37" ht="18" customHeight="1">
      <c r="B996" s="199"/>
      <c r="D996" s="154"/>
      <c r="F996" s="154"/>
      <c r="G996" s="217"/>
      <c r="I996" s="673"/>
      <c r="J996" s="209"/>
      <c r="K996" s="520"/>
      <c r="L996" s="154"/>
      <c r="M996" s="154"/>
      <c r="N996" s="154"/>
      <c r="O996" s="246"/>
      <c r="P996" s="1597"/>
      <c r="R996" s="1598"/>
      <c r="S996" s="557"/>
      <c r="T996" s="1768"/>
      <c r="V996" s="1769"/>
      <c r="X996" s="1768"/>
      <c r="Z996" s="1769"/>
      <c r="AA996" s="557"/>
      <c r="AK996" s="246"/>
    </row>
    <row r="997" spans="2:37" ht="18" customHeight="1">
      <c r="B997" s="199"/>
      <c r="D997" s="154"/>
      <c r="F997" s="154"/>
      <c r="G997" s="217"/>
      <c r="I997" s="673"/>
      <c r="J997" s="209"/>
      <c r="K997" s="520"/>
      <c r="L997" s="154"/>
      <c r="M997" s="154"/>
      <c r="N997" s="154"/>
      <c r="O997" s="246"/>
      <c r="P997" s="1597"/>
      <c r="R997" s="1598"/>
      <c r="S997" s="557"/>
      <c r="T997" s="1768"/>
      <c r="V997" s="1769"/>
      <c r="X997" s="1768"/>
      <c r="Z997" s="1769"/>
      <c r="AA997" s="557"/>
      <c r="AK997" s="246"/>
    </row>
    <row r="998" spans="2:37" ht="18" customHeight="1">
      <c r="B998" s="199"/>
      <c r="D998" s="154"/>
      <c r="F998" s="154"/>
      <c r="G998" s="217"/>
      <c r="I998" s="673"/>
      <c r="J998" s="209"/>
      <c r="K998" s="520"/>
      <c r="L998" s="154"/>
      <c r="M998" s="154"/>
      <c r="N998" s="154"/>
      <c r="O998" s="246"/>
      <c r="P998" s="1597"/>
      <c r="R998" s="1598"/>
      <c r="S998" s="557"/>
      <c r="T998" s="1768"/>
      <c r="V998" s="1769"/>
      <c r="X998" s="1768"/>
      <c r="Z998" s="1769"/>
      <c r="AA998" s="557"/>
      <c r="AK998" s="246"/>
    </row>
    <row r="999" spans="2:37" ht="18" customHeight="1">
      <c r="B999" s="199"/>
      <c r="D999" s="154"/>
      <c r="F999" s="154"/>
      <c r="G999" s="217"/>
      <c r="I999" s="673"/>
      <c r="J999" s="209"/>
      <c r="K999" s="520"/>
      <c r="L999" s="154"/>
      <c r="M999" s="154"/>
      <c r="N999" s="154"/>
      <c r="O999" s="246"/>
      <c r="P999" s="1597"/>
      <c r="R999" s="1598"/>
      <c r="S999" s="557"/>
      <c r="T999" s="1768"/>
      <c r="V999" s="1769"/>
      <c r="X999" s="1768"/>
      <c r="Z999" s="1769"/>
      <c r="AA999" s="557"/>
      <c r="AK999" s="246"/>
    </row>
    <row r="1000" spans="2:37" ht="18" customHeight="1">
      <c r="B1000" s="199"/>
      <c r="D1000" s="154"/>
      <c r="F1000" s="154"/>
      <c r="G1000" s="217"/>
      <c r="I1000" s="673"/>
      <c r="J1000" s="209"/>
      <c r="K1000" s="520"/>
      <c r="L1000" s="154"/>
      <c r="M1000" s="154"/>
      <c r="N1000" s="154"/>
      <c r="O1000" s="246"/>
      <c r="P1000" s="1597"/>
      <c r="R1000" s="1598"/>
      <c r="S1000" s="557"/>
      <c r="T1000" s="1768"/>
      <c r="V1000" s="1769"/>
      <c r="X1000" s="1768"/>
      <c r="Z1000" s="1769"/>
      <c r="AA1000" s="557"/>
      <c r="AK1000" s="246"/>
    </row>
    <row r="1001" spans="2:37" ht="18" customHeight="1">
      <c r="B1001" s="199"/>
      <c r="D1001" s="154"/>
      <c r="F1001" s="154"/>
      <c r="G1001" s="217"/>
      <c r="I1001" s="673"/>
      <c r="J1001" s="209"/>
      <c r="K1001" s="520"/>
      <c r="L1001" s="154"/>
      <c r="M1001" s="154"/>
      <c r="N1001" s="154"/>
      <c r="O1001" s="246"/>
      <c r="P1001" s="1597"/>
      <c r="R1001" s="1598"/>
      <c r="S1001" s="557"/>
      <c r="T1001" s="1768"/>
      <c r="V1001" s="1769"/>
      <c r="X1001" s="1768"/>
      <c r="Z1001" s="1769"/>
      <c r="AA1001" s="557"/>
      <c r="AK1001" s="246"/>
    </row>
    <row r="1002" spans="2:37" ht="18" customHeight="1">
      <c r="B1002" s="199"/>
      <c r="D1002" s="154"/>
      <c r="F1002" s="154"/>
      <c r="G1002" s="217"/>
      <c r="I1002" s="673"/>
      <c r="J1002" s="209"/>
      <c r="K1002" s="520"/>
      <c r="L1002" s="154"/>
      <c r="M1002" s="154"/>
      <c r="N1002" s="154"/>
      <c r="O1002" s="246"/>
      <c r="P1002" s="1597"/>
      <c r="R1002" s="1598"/>
      <c r="S1002" s="557"/>
      <c r="T1002" s="1768"/>
      <c r="V1002" s="1769"/>
      <c r="X1002" s="1768"/>
      <c r="Z1002" s="1769"/>
      <c r="AA1002" s="557"/>
      <c r="AK1002" s="246"/>
    </row>
    <row r="1003" spans="2:37" ht="18" customHeight="1">
      <c r="B1003" s="199"/>
      <c r="D1003" s="154"/>
      <c r="F1003" s="154"/>
      <c r="G1003" s="217"/>
      <c r="I1003" s="673"/>
      <c r="J1003" s="209"/>
      <c r="K1003" s="520"/>
      <c r="L1003" s="154"/>
      <c r="M1003" s="154"/>
      <c r="N1003" s="154"/>
      <c r="O1003" s="246"/>
      <c r="P1003" s="1597"/>
      <c r="R1003" s="1598"/>
      <c r="S1003" s="557"/>
      <c r="T1003" s="1768"/>
      <c r="V1003" s="1769"/>
      <c r="X1003" s="1768"/>
      <c r="Z1003" s="1769"/>
      <c r="AA1003" s="557"/>
      <c r="AK1003" s="246"/>
    </row>
    <row r="1004" spans="2:37" ht="18" customHeight="1">
      <c r="B1004" s="199"/>
      <c r="D1004" s="154"/>
      <c r="F1004" s="154"/>
      <c r="G1004" s="217"/>
      <c r="I1004" s="673"/>
      <c r="J1004" s="209"/>
      <c r="K1004" s="520"/>
      <c r="L1004" s="154"/>
      <c r="M1004" s="154"/>
      <c r="N1004" s="154"/>
      <c r="O1004" s="246"/>
      <c r="P1004" s="1597"/>
      <c r="R1004" s="1598"/>
      <c r="S1004" s="557"/>
      <c r="T1004" s="1768"/>
      <c r="V1004" s="1769"/>
      <c r="X1004" s="1768"/>
      <c r="Z1004" s="1769"/>
      <c r="AA1004" s="557"/>
      <c r="AK1004" s="246"/>
    </row>
    <row r="1005" spans="2:37" ht="18" customHeight="1">
      <c r="B1005" s="199"/>
      <c r="D1005" s="154"/>
      <c r="F1005" s="154"/>
      <c r="G1005" s="217"/>
      <c r="I1005" s="673"/>
      <c r="J1005" s="209"/>
      <c r="K1005" s="520"/>
      <c r="L1005" s="154"/>
      <c r="M1005" s="154"/>
      <c r="N1005" s="154"/>
      <c r="O1005" s="246"/>
      <c r="P1005" s="1597"/>
      <c r="R1005" s="1598"/>
      <c r="S1005" s="557"/>
      <c r="T1005" s="1768"/>
      <c r="V1005" s="1769"/>
      <c r="X1005" s="1768"/>
      <c r="Z1005" s="1769"/>
      <c r="AA1005" s="557"/>
      <c r="AK1005" s="246"/>
    </row>
    <row r="1006" spans="2:37" ht="18" customHeight="1">
      <c r="B1006" s="199"/>
      <c r="D1006" s="154"/>
      <c r="F1006" s="154"/>
      <c r="G1006" s="217"/>
      <c r="I1006" s="673"/>
      <c r="J1006" s="209"/>
      <c r="K1006" s="520"/>
      <c r="L1006" s="154"/>
      <c r="M1006" s="154"/>
      <c r="N1006" s="154"/>
      <c r="O1006" s="246"/>
      <c r="P1006" s="1597"/>
      <c r="R1006" s="1598"/>
      <c r="S1006" s="557"/>
      <c r="T1006" s="1768"/>
      <c r="V1006" s="1769"/>
      <c r="X1006" s="1768"/>
      <c r="Z1006" s="1769"/>
      <c r="AA1006" s="557"/>
      <c r="AK1006" s="246"/>
    </row>
    <row r="1007" spans="2:37" ht="18" customHeight="1">
      <c r="B1007" s="199"/>
      <c r="D1007" s="154"/>
      <c r="F1007" s="154"/>
      <c r="G1007" s="217"/>
      <c r="I1007" s="673"/>
      <c r="J1007" s="209"/>
      <c r="K1007" s="520"/>
      <c r="L1007" s="154"/>
      <c r="M1007" s="154"/>
      <c r="N1007" s="154"/>
      <c r="O1007" s="246"/>
      <c r="P1007" s="1597"/>
      <c r="R1007" s="1598"/>
      <c r="S1007" s="557"/>
      <c r="T1007" s="1768"/>
      <c r="V1007" s="1769"/>
      <c r="X1007" s="1768"/>
      <c r="Z1007" s="1769"/>
      <c r="AA1007" s="557"/>
      <c r="AK1007" s="246"/>
    </row>
    <row r="1008" spans="2:37" ht="18" customHeight="1">
      <c r="B1008" s="199"/>
      <c r="D1008" s="154"/>
      <c r="F1008" s="154"/>
      <c r="G1008" s="217"/>
      <c r="I1008" s="673"/>
      <c r="J1008" s="209"/>
      <c r="K1008" s="520"/>
      <c r="L1008" s="154"/>
      <c r="M1008" s="154"/>
      <c r="N1008" s="154"/>
      <c r="O1008" s="246"/>
      <c r="P1008" s="1597"/>
      <c r="R1008" s="1598"/>
      <c r="S1008" s="557"/>
      <c r="T1008" s="1768"/>
      <c r="V1008" s="1769"/>
      <c r="X1008" s="1768"/>
      <c r="Z1008" s="1769"/>
      <c r="AA1008" s="557"/>
      <c r="AK1008" s="246"/>
    </row>
    <row r="1009" spans="2:37" ht="18" customHeight="1">
      <c r="B1009" s="199"/>
      <c r="D1009" s="154"/>
      <c r="F1009" s="154"/>
      <c r="G1009" s="217"/>
      <c r="I1009" s="673"/>
      <c r="J1009" s="209"/>
      <c r="K1009" s="520"/>
      <c r="L1009" s="154"/>
      <c r="M1009" s="154"/>
      <c r="N1009" s="154"/>
      <c r="O1009" s="246"/>
      <c r="P1009" s="1597"/>
      <c r="R1009" s="1598"/>
      <c r="S1009" s="557"/>
      <c r="T1009" s="1768"/>
      <c r="V1009" s="1769"/>
      <c r="X1009" s="1768"/>
      <c r="Z1009" s="1769"/>
      <c r="AA1009" s="557"/>
      <c r="AK1009" s="246"/>
    </row>
    <row r="1010" spans="2:37" ht="18" customHeight="1">
      <c r="B1010" s="199"/>
      <c r="D1010" s="154"/>
      <c r="F1010" s="154"/>
      <c r="G1010" s="217"/>
      <c r="I1010" s="673"/>
      <c r="J1010" s="209"/>
      <c r="K1010" s="520"/>
      <c r="L1010" s="154"/>
      <c r="M1010" s="154"/>
      <c r="N1010" s="154"/>
      <c r="O1010" s="246"/>
      <c r="P1010" s="1597"/>
      <c r="R1010" s="1598"/>
      <c r="S1010" s="557"/>
      <c r="T1010" s="1768"/>
      <c r="V1010" s="1769"/>
      <c r="X1010" s="1768"/>
      <c r="Z1010" s="1769"/>
      <c r="AA1010" s="557"/>
      <c r="AK1010" s="246"/>
    </row>
    <row r="1011" spans="2:37" ht="18" customHeight="1">
      <c r="B1011" s="199"/>
      <c r="D1011" s="154"/>
      <c r="F1011" s="154"/>
      <c r="G1011" s="217"/>
      <c r="I1011" s="673"/>
      <c r="J1011" s="209"/>
      <c r="K1011" s="520"/>
      <c r="L1011" s="154"/>
      <c r="M1011" s="154"/>
      <c r="N1011" s="154"/>
      <c r="O1011" s="246"/>
      <c r="P1011" s="1597"/>
      <c r="R1011" s="1598"/>
      <c r="S1011" s="557"/>
      <c r="T1011" s="1768"/>
      <c r="V1011" s="1769"/>
      <c r="X1011" s="1768"/>
      <c r="Z1011" s="1769"/>
      <c r="AA1011" s="557"/>
      <c r="AK1011" s="246"/>
    </row>
    <row r="1012" spans="2:37" ht="18" customHeight="1">
      <c r="B1012" s="199"/>
      <c r="D1012" s="154"/>
      <c r="F1012" s="154"/>
      <c r="G1012" s="217"/>
      <c r="I1012" s="673"/>
      <c r="J1012" s="209"/>
      <c r="K1012" s="520"/>
      <c r="L1012" s="154"/>
      <c r="M1012" s="154"/>
      <c r="N1012" s="154"/>
      <c r="O1012" s="246"/>
      <c r="P1012" s="1597"/>
      <c r="R1012" s="1598"/>
      <c r="S1012" s="557"/>
      <c r="T1012" s="1768"/>
      <c r="V1012" s="1769"/>
      <c r="X1012" s="1768"/>
      <c r="Z1012" s="1769"/>
      <c r="AA1012" s="557"/>
      <c r="AK1012" s="246"/>
    </row>
    <row r="1013" spans="2:37" ht="18" customHeight="1">
      <c r="B1013" s="199"/>
      <c r="D1013" s="154"/>
      <c r="F1013" s="154"/>
      <c r="G1013" s="217"/>
      <c r="I1013" s="673"/>
      <c r="J1013" s="209"/>
      <c r="K1013" s="520"/>
      <c r="L1013" s="154"/>
      <c r="M1013" s="154"/>
      <c r="N1013" s="154"/>
      <c r="O1013" s="246"/>
      <c r="P1013" s="1597"/>
      <c r="R1013" s="1598"/>
      <c r="S1013" s="557"/>
      <c r="T1013" s="1768"/>
      <c r="V1013" s="1769"/>
      <c r="X1013" s="1768"/>
      <c r="Z1013" s="1769"/>
      <c r="AA1013" s="557"/>
      <c r="AK1013" s="246"/>
    </row>
    <row r="1014" spans="2:37" ht="18" customHeight="1">
      <c r="B1014" s="199"/>
      <c r="D1014" s="154"/>
      <c r="F1014" s="154"/>
      <c r="G1014" s="217"/>
      <c r="I1014" s="673"/>
      <c r="J1014" s="209"/>
      <c r="K1014" s="520"/>
      <c r="L1014" s="154"/>
      <c r="M1014" s="154"/>
      <c r="N1014" s="154"/>
      <c r="O1014" s="246"/>
      <c r="P1014" s="1597"/>
      <c r="R1014" s="1598"/>
      <c r="S1014" s="557"/>
      <c r="T1014" s="1768"/>
      <c r="V1014" s="1769"/>
      <c r="X1014" s="1768"/>
      <c r="Z1014" s="1769"/>
      <c r="AA1014" s="557"/>
      <c r="AK1014" s="246"/>
    </row>
    <row r="1015" spans="2:37" ht="18" customHeight="1">
      <c r="B1015" s="199"/>
      <c r="D1015" s="154"/>
      <c r="F1015" s="154"/>
      <c r="G1015" s="217"/>
      <c r="I1015" s="673"/>
      <c r="J1015" s="209"/>
      <c r="K1015" s="520"/>
      <c r="L1015" s="154"/>
      <c r="M1015" s="154"/>
      <c r="N1015" s="154"/>
      <c r="O1015" s="246"/>
      <c r="P1015" s="1597"/>
      <c r="R1015" s="1598"/>
      <c r="S1015" s="557"/>
      <c r="T1015" s="1768"/>
      <c r="V1015" s="1769"/>
      <c r="X1015" s="1768"/>
      <c r="Z1015" s="1769"/>
      <c r="AA1015" s="557"/>
      <c r="AK1015" s="246"/>
    </row>
    <row r="1016" spans="2:37" ht="18" customHeight="1">
      <c r="B1016" s="199"/>
      <c r="D1016" s="154"/>
      <c r="F1016" s="154"/>
      <c r="G1016" s="217"/>
      <c r="I1016" s="673"/>
      <c r="J1016" s="209"/>
      <c r="K1016" s="520"/>
      <c r="L1016" s="154"/>
      <c r="M1016" s="154"/>
      <c r="N1016" s="154"/>
      <c r="O1016" s="246"/>
      <c r="P1016" s="1597"/>
      <c r="R1016" s="1598"/>
      <c r="S1016" s="557"/>
      <c r="T1016" s="1768"/>
      <c r="V1016" s="1769"/>
      <c r="X1016" s="1768"/>
      <c r="Z1016" s="1769"/>
      <c r="AA1016" s="557"/>
      <c r="AK1016" s="246"/>
    </row>
    <row r="1017" spans="2:37" ht="18" customHeight="1">
      <c r="B1017" s="199"/>
      <c r="D1017" s="154"/>
      <c r="F1017" s="154"/>
      <c r="G1017" s="217"/>
      <c r="I1017" s="673"/>
      <c r="J1017" s="209"/>
      <c r="K1017" s="520"/>
      <c r="L1017" s="154"/>
      <c r="M1017" s="154"/>
      <c r="N1017" s="154"/>
      <c r="O1017" s="246"/>
      <c r="P1017" s="1597"/>
      <c r="R1017" s="1598"/>
      <c r="S1017" s="557"/>
      <c r="T1017" s="1768"/>
      <c r="V1017" s="1769"/>
      <c r="X1017" s="1768"/>
      <c r="Z1017" s="1769"/>
      <c r="AA1017" s="557"/>
      <c r="AK1017" s="246"/>
    </row>
    <row r="1018" spans="2:37" ht="18" customHeight="1">
      <c r="B1018" s="199"/>
      <c r="D1018" s="154"/>
      <c r="F1018" s="154"/>
      <c r="G1018" s="217"/>
      <c r="I1018" s="673"/>
      <c r="J1018" s="209"/>
      <c r="K1018" s="520"/>
      <c r="L1018" s="154"/>
      <c r="M1018" s="154"/>
      <c r="N1018" s="154"/>
      <c r="O1018" s="246"/>
      <c r="P1018" s="1597"/>
      <c r="R1018" s="1598"/>
      <c r="S1018" s="557"/>
      <c r="T1018" s="1768"/>
      <c r="V1018" s="1769"/>
      <c r="X1018" s="1768"/>
      <c r="Z1018" s="1769"/>
      <c r="AA1018" s="557"/>
      <c r="AK1018" s="246"/>
    </row>
    <row r="1019" spans="2:37" ht="18" customHeight="1">
      <c r="B1019" s="199"/>
      <c r="D1019" s="154"/>
      <c r="F1019" s="154"/>
      <c r="G1019" s="217"/>
      <c r="I1019" s="673"/>
      <c r="J1019" s="209"/>
      <c r="K1019" s="520"/>
      <c r="L1019" s="154"/>
      <c r="M1019" s="154"/>
      <c r="N1019" s="154"/>
      <c r="O1019" s="246"/>
      <c r="P1019" s="1597"/>
      <c r="R1019" s="1598"/>
      <c r="S1019" s="557"/>
      <c r="T1019" s="1768"/>
      <c r="V1019" s="1769"/>
      <c r="X1019" s="1768"/>
      <c r="Z1019" s="1769"/>
      <c r="AA1019" s="557"/>
      <c r="AK1019" s="246"/>
    </row>
    <row r="1020" spans="2:37" ht="18" customHeight="1">
      <c r="B1020" s="199"/>
      <c r="D1020" s="154"/>
      <c r="F1020" s="154"/>
      <c r="G1020" s="217"/>
      <c r="I1020" s="673"/>
      <c r="J1020" s="209"/>
      <c r="K1020" s="520"/>
      <c r="L1020" s="154"/>
      <c r="M1020" s="154"/>
      <c r="N1020" s="154"/>
      <c r="O1020" s="246"/>
      <c r="P1020" s="1597"/>
      <c r="R1020" s="1598"/>
      <c r="S1020" s="557"/>
      <c r="T1020" s="1768"/>
      <c r="V1020" s="1769"/>
      <c r="X1020" s="1768"/>
      <c r="Z1020" s="1769"/>
      <c r="AA1020" s="557"/>
      <c r="AK1020" s="246"/>
    </row>
    <row r="1021" spans="2:37" ht="18" customHeight="1">
      <c r="B1021" s="199"/>
      <c r="D1021" s="154"/>
      <c r="F1021" s="154"/>
      <c r="G1021" s="217"/>
      <c r="I1021" s="673"/>
      <c r="J1021" s="209"/>
      <c r="K1021" s="520"/>
      <c r="L1021" s="154"/>
      <c r="M1021" s="154"/>
      <c r="N1021" s="154"/>
      <c r="O1021" s="246"/>
      <c r="P1021" s="1597"/>
      <c r="R1021" s="1598"/>
      <c r="S1021" s="557"/>
      <c r="T1021" s="1768"/>
      <c r="V1021" s="1769"/>
      <c r="X1021" s="1768"/>
      <c r="Z1021" s="1769"/>
      <c r="AA1021" s="557"/>
      <c r="AK1021" s="246"/>
    </row>
    <row r="1022" spans="2:37" ht="18" customHeight="1">
      <c r="B1022" s="199"/>
      <c r="D1022" s="154"/>
      <c r="F1022" s="154"/>
      <c r="G1022" s="217"/>
      <c r="I1022" s="673"/>
      <c r="J1022" s="209"/>
      <c r="K1022" s="520"/>
      <c r="L1022" s="154"/>
      <c r="M1022" s="154"/>
      <c r="N1022" s="154"/>
      <c r="O1022" s="246"/>
      <c r="P1022" s="1597"/>
      <c r="R1022" s="1598"/>
      <c r="S1022" s="557"/>
      <c r="T1022" s="1768"/>
      <c r="V1022" s="1769"/>
      <c r="X1022" s="1768"/>
      <c r="Z1022" s="1769"/>
      <c r="AA1022" s="557"/>
      <c r="AK1022" s="246"/>
    </row>
    <row r="1023" spans="2:37" ht="18" customHeight="1">
      <c r="B1023" s="199"/>
      <c r="D1023" s="154"/>
      <c r="F1023" s="154"/>
      <c r="G1023" s="217"/>
      <c r="I1023" s="673"/>
      <c r="J1023" s="209"/>
      <c r="K1023" s="520"/>
      <c r="L1023" s="154"/>
      <c r="M1023" s="154"/>
      <c r="N1023" s="154"/>
      <c r="O1023" s="246"/>
      <c r="P1023" s="1597"/>
      <c r="R1023" s="1598"/>
      <c r="S1023" s="557"/>
      <c r="T1023" s="1768"/>
      <c r="V1023" s="1769"/>
      <c r="X1023" s="1768"/>
      <c r="Z1023" s="1769"/>
      <c r="AA1023" s="557"/>
      <c r="AK1023" s="246"/>
    </row>
    <row r="1024" spans="2:37" ht="18" customHeight="1">
      <c r="B1024" s="199"/>
      <c r="D1024" s="154"/>
      <c r="F1024" s="154"/>
      <c r="G1024" s="217"/>
      <c r="I1024" s="673"/>
      <c r="J1024" s="209"/>
      <c r="K1024" s="520"/>
      <c r="L1024" s="154"/>
      <c r="M1024" s="154"/>
      <c r="N1024" s="154"/>
      <c r="O1024" s="246"/>
      <c r="P1024" s="1597"/>
      <c r="R1024" s="1598"/>
      <c r="S1024" s="557"/>
      <c r="T1024" s="1768"/>
      <c r="V1024" s="1769"/>
      <c r="X1024" s="1768"/>
      <c r="Z1024" s="1769"/>
      <c r="AA1024" s="557"/>
      <c r="AK1024" s="246"/>
    </row>
    <row r="1025" spans="2:37" ht="18" customHeight="1">
      <c r="B1025" s="199"/>
      <c r="D1025" s="154"/>
      <c r="F1025" s="154"/>
      <c r="G1025" s="217"/>
      <c r="I1025" s="673"/>
      <c r="J1025" s="209"/>
      <c r="K1025" s="520"/>
      <c r="L1025" s="154"/>
      <c r="M1025" s="154"/>
      <c r="N1025" s="154"/>
      <c r="O1025" s="246"/>
      <c r="P1025" s="1597"/>
      <c r="R1025" s="1598"/>
      <c r="S1025" s="557"/>
      <c r="T1025" s="1768"/>
      <c r="V1025" s="1769"/>
      <c r="X1025" s="1768"/>
      <c r="Z1025" s="1769"/>
      <c r="AA1025" s="557"/>
      <c r="AK1025" s="246"/>
    </row>
    <row r="1026" spans="2:37" ht="18" customHeight="1">
      <c r="B1026" s="199"/>
      <c r="D1026" s="154"/>
      <c r="F1026" s="154"/>
      <c r="G1026" s="217"/>
      <c r="I1026" s="673"/>
      <c r="J1026" s="209"/>
      <c r="K1026" s="520"/>
      <c r="L1026" s="154"/>
      <c r="M1026" s="154"/>
      <c r="N1026" s="154"/>
      <c r="O1026" s="246"/>
      <c r="P1026" s="1597"/>
      <c r="R1026" s="1598"/>
      <c r="S1026" s="557"/>
      <c r="T1026" s="1768"/>
      <c r="V1026" s="1769"/>
      <c r="X1026" s="1768"/>
      <c r="Z1026" s="1769"/>
      <c r="AA1026" s="557"/>
      <c r="AK1026" s="246"/>
    </row>
    <row r="1027" spans="2:37" ht="18" customHeight="1">
      <c r="B1027" s="199"/>
      <c r="D1027" s="154"/>
      <c r="F1027" s="154"/>
      <c r="G1027" s="217"/>
      <c r="I1027" s="673"/>
      <c r="J1027" s="209"/>
      <c r="K1027" s="520"/>
      <c r="L1027" s="154"/>
      <c r="M1027" s="154"/>
      <c r="N1027" s="154"/>
      <c r="O1027" s="246"/>
      <c r="P1027" s="1597"/>
      <c r="R1027" s="1598"/>
      <c r="S1027" s="557"/>
      <c r="T1027" s="1768"/>
      <c r="V1027" s="1769"/>
      <c r="X1027" s="1768"/>
      <c r="Z1027" s="1769"/>
      <c r="AA1027" s="557"/>
      <c r="AK1027" s="246"/>
    </row>
    <row r="1028" spans="2:37" ht="18" customHeight="1">
      <c r="B1028" s="199"/>
      <c r="D1028" s="154"/>
      <c r="F1028" s="154"/>
      <c r="G1028" s="217"/>
      <c r="I1028" s="673"/>
      <c r="J1028" s="209"/>
      <c r="K1028" s="520"/>
      <c r="L1028" s="154"/>
      <c r="M1028" s="154"/>
      <c r="N1028" s="154"/>
      <c r="O1028" s="246"/>
      <c r="P1028" s="1597"/>
      <c r="R1028" s="1598"/>
      <c r="S1028" s="557"/>
      <c r="T1028" s="1768"/>
      <c r="V1028" s="1769"/>
      <c r="X1028" s="1768"/>
      <c r="Z1028" s="1769"/>
      <c r="AA1028" s="557"/>
      <c r="AK1028" s="246"/>
    </row>
    <row r="1029" spans="2:37" ht="18" customHeight="1">
      <c r="B1029" s="199"/>
      <c r="D1029" s="154"/>
      <c r="F1029" s="154"/>
      <c r="G1029" s="217"/>
      <c r="I1029" s="673"/>
      <c r="J1029" s="209"/>
      <c r="K1029" s="520"/>
      <c r="L1029" s="154"/>
      <c r="M1029" s="154"/>
      <c r="N1029" s="154"/>
      <c r="O1029" s="246"/>
      <c r="P1029" s="1597"/>
      <c r="R1029" s="1598"/>
      <c r="S1029" s="557"/>
      <c r="T1029" s="1768"/>
      <c r="V1029" s="1769"/>
      <c r="X1029" s="1768"/>
      <c r="Z1029" s="1769"/>
      <c r="AA1029" s="557"/>
      <c r="AK1029" s="246"/>
    </row>
    <row r="1030" spans="2:37" ht="18" customHeight="1">
      <c r="B1030" s="199"/>
      <c r="D1030" s="154"/>
      <c r="F1030" s="154"/>
      <c r="G1030" s="217"/>
      <c r="I1030" s="673"/>
      <c r="J1030" s="209"/>
      <c r="K1030" s="520"/>
      <c r="L1030" s="154"/>
      <c r="M1030" s="154"/>
      <c r="N1030" s="154"/>
      <c r="O1030" s="246"/>
      <c r="P1030" s="1597"/>
      <c r="R1030" s="1598"/>
      <c r="S1030" s="557"/>
      <c r="T1030" s="1768"/>
      <c r="V1030" s="1769"/>
      <c r="X1030" s="1768"/>
      <c r="Z1030" s="1769"/>
      <c r="AA1030" s="557"/>
      <c r="AK1030" s="246"/>
    </row>
    <row r="1031" spans="2:37" ht="18" customHeight="1">
      <c r="B1031" s="199"/>
      <c r="D1031" s="154"/>
      <c r="F1031" s="154"/>
      <c r="G1031" s="217"/>
      <c r="I1031" s="673"/>
      <c r="J1031" s="209"/>
      <c r="K1031" s="520"/>
      <c r="L1031" s="154"/>
      <c r="M1031" s="154"/>
      <c r="N1031" s="154"/>
      <c r="O1031" s="246"/>
      <c r="P1031" s="1597"/>
      <c r="R1031" s="1598"/>
      <c r="S1031" s="557"/>
      <c r="T1031" s="1768"/>
      <c r="V1031" s="1769"/>
      <c r="X1031" s="1768"/>
      <c r="Z1031" s="1769"/>
      <c r="AA1031" s="557"/>
      <c r="AK1031" s="246"/>
    </row>
    <row r="1032" spans="2:37" ht="18" customHeight="1">
      <c r="B1032" s="199"/>
      <c r="D1032" s="154"/>
      <c r="F1032" s="154"/>
      <c r="G1032" s="217"/>
      <c r="I1032" s="673"/>
      <c r="J1032" s="209"/>
      <c r="K1032" s="520"/>
      <c r="L1032" s="154"/>
      <c r="M1032" s="154"/>
      <c r="N1032" s="154"/>
      <c r="O1032" s="246"/>
      <c r="P1032" s="1597"/>
      <c r="R1032" s="1598"/>
      <c r="S1032" s="557"/>
      <c r="T1032" s="1768"/>
      <c r="V1032" s="1769"/>
      <c r="X1032" s="1768"/>
      <c r="Z1032" s="1769"/>
      <c r="AA1032" s="557"/>
      <c r="AK1032" s="246"/>
    </row>
    <row r="1033" spans="2:37" ht="18" customHeight="1">
      <c r="B1033" s="199"/>
      <c r="D1033" s="154"/>
      <c r="F1033" s="154"/>
      <c r="G1033" s="217"/>
      <c r="I1033" s="673"/>
      <c r="J1033" s="209"/>
      <c r="K1033" s="520"/>
      <c r="L1033" s="154"/>
      <c r="M1033" s="154"/>
      <c r="N1033" s="154"/>
      <c r="O1033" s="246"/>
      <c r="P1033" s="1597"/>
      <c r="R1033" s="1598"/>
      <c r="S1033" s="557"/>
      <c r="T1033" s="1768"/>
      <c r="V1033" s="1769"/>
      <c r="X1033" s="1768"/>
      <c r="Z1033" s="1769"/>
      <c r="AA1033" s="557"/>
      <c r="AK1033" s="246"/>
    </row>
    <row r="1034" spans="2:37" ht="18" customHeight="1">
      <c r="B1034" s="199"/>
      <c r="D1034" s="154"/>
      <c r="F1034" s="154"/>
      <c r="G1034" s="217"/>
      <c r="I1034" s="673"/>
      <c r="J1034" s="209"/>
      <c r="K1034" s="520"/>
      <c r="L1034" s="154"/>
      <c r="M1034" s="154"/>
      <c r="N1034" s="154"/>
      <c r="O1034" s="246"/>
      <c r="P1034" s="1597"/>
      <c r="R1034" s="1598"/>
      <c r="S1034" s="557"/>
      <c r="T1034" s="1768"/>
      <c r="V1034" s="1769"/>
      <c r="X1034" s="1768"/>
      <c r="Z1034" s="1769"/>
      <c r="AA1034" s="557"/>
      <c r="AK1034" s="246"/>
    </row>
    <row r="1035" spans="2:37" ht="18" customHeight="1">
      <c r="B1035" s="199"/>
      <c r="D1035" s="154"/>
      <c r="F1035" s="154"/>
      <c r="G1035" s="217"/>
      <c r="I1035" s="673"/>
      <c r="J1035" s="209"/>
      <c r="K1035" s="520"/>
      <c r="L1035" s="154"/>
      <c r="M1035" s="154"/>
      <c r="N1035" s="154"/>
      <c r="O1035" s="246"/>
      <c r="P1035" s="1597"/>
      <c r="R1035" s="1598"/>
      <c r="S1035" s="557"/>
      <c r="T1035" s="1768"/>
      <c r="V1035" s="1769"/>
      <c r="X1035" s="1768"/>
      <c r="Z1035" s="1769"/>
      <c r="AA1035" s="557"/>
      <c r="AK1035" s="246"/>
    </row>
    <row r="1036" spans="2:37" ht="18" customHeight="1">
      <c r="B1036" s="199"/>
      <c r="D1036" s="154"/>
      <c r="F1036" s="154"/>
      <c r="G1036" s="217"/>
      <c r="I1036" s="673"/>
      <c r="J1036" s="209"/>
      <c r="K1036" s="520"/>
      <c r="L1036" s="154"/>
      <c r="M1036" s="154"/>
      <c r="N1036" s="154"/>
      <c r="O1036" s="246"/>
      <c r="P1036" s="1597"/>
      <c r="R1036" s="1598"/>
      <c r="S1036" s="557"/>
      <c r="T1036" s="1768"/>
      <c r="V1036" s="1769"/>
      <c r="X1036" s="1768"/>
      <c r="Z1036" s="1769"/>
      <c r="AA1036" s="557"/>
      <c r="AK1036" s="246"/>
    </row>
    <row r="1037" spans="2:37" ht="18" customHeight="1">
      <c r="B1037" s="199"/>
      <c r="D1037" s="154"/>
      <c r="F1037" s="154"/>
      <c r="G1037" s="217"/>
      <c r="I1037" s="673"/>
      <c r="J1037" s="209"/>
      <c r="K1037" s="520"/>
      <c r="L1037" s="154"/>
      <c r="M1037" s="154"/>
      <c r="N1037" s="154"/>
      <c r="O1037" s="246"/>
      <c r="P1037" s="1597"/>
      <c r="R1037" s="1598"/>
      <c r="S1037" s="557"/>
      <c r="T1037" s="1768"/>
      <c r="V1037" s="1769"/>
      <c r="X1037" s="1768"/>
      <c r="Z1037" s="1769"/>
      <c r="AA1037" s="557"/>
      <c r="AK1037" s="246"/>
    </row>
    <row r="1038" spans="2:37" ht="18" customHeight="1">
      <c r="B1038" s="199"/>
      <c r="D1038" s="154"/>
      <c r="F1038" s="154"/>
      <c r="G1038" s="217"/>
      <c r="I1038" s="673"/>
      <c r="J1038" s="209"/>
      <c r="K1038" s="520"/>
      <c r="L1038" s="154"/>
      <c r="M1038" s="154"/>
      <c r="N1038" s="154"/>
      <c r="O1038" s="246"/>
      <c r="P1038" s="1597"/>
      <c r="R1038" s="1598"/>
      <c r="S1038" s="557"/>
      <c r="T1038" s="1768"/>
      <c r="V1038" s="1769"/>
      <c r="X1038" s="1768"/>
      <c r="Z1038" s="1769"/>
      <c r="AA1038" s="557"/>
      <c r="AK1038" s="246"/>
    </row>
    <row r="1039" spans="2:37" ht="18" customHeight="1">
      <c r="B1039" s="199"/>
      <c r="D1039" s="154"/>
      <c r="F1039" s="154"/>
      <c r="G1039" s="217"/>
      <c r="I1039" s="673"/>
      <c r="J1039" s="209"/>
      <c r="K1039" s="520"/>
      <c r="L1039" s="154"/>
      <c r="M1039" s="154"/>
      <c r="N1039" s="154"/>
      <c r="O1039" s="246"/>
      <c r="P1039" s="1597"/>
      <c r="R1039" s="1598"/>
      <c r="S1039" s="557"/>
      <c r="T1039" s="1768"/>
      <c r="V1039" s="1769"/>
      <c r="X1039" s="1768"/>
      <c r="Z1039" s="1769"/>
      <c r="AA1039" s="557"/>
      <c r="AK1039" s="246"/>
    </row>
    <row r="1040" spans="2:37" ht="18" customHeight="1">
      <c r="B1040" s="199"/>
      <c r="D1040" s="154"/>
      <c r="F1040" s="154"/>
      <c r="G1040" s="217"/>
      <c r="I1040" s="673"/>
      <c r="J1040" s="209"/>
      <c r="K1040" s="520"/>
      <c r="L1040" s="154"/>
      <c r="M1040" s="154"/>
      <c r="N1040" s="154"/>
      <c r="O1040" s="246"/>
      <c r="P1040" s="1597"/>
      <c r="R1040" s="1598"/>
      <c r="S1040" s="557"/>
      <c r="T1040" s="1768"/>
      <c r="V1040" s="1769"/>
      <c r="X1040" s="1768"/>
      <c r="Z1040" s="1769"/>
      <c r="AA1040" s="557"/>
      <c r="AK1040" s="246"/>
    </row>
    <row r="1041" spans="2:37" ht="18" customHeight="1">
      <c r="B1041" s="199"/>
      <c r="D1041" s="154"/>
      <c r="F1041" s="154"/>
      <c r="G1041" s="217"/>
      <c r="I1041" s="673"/>
      <c r="J1041" s="209"/>
      <c r="K1041" s="520"/>
      <c r="L1041" s="154"/>
      <c r="M1041" s="154"/>
      <c r="N1041" s="154"/>
      <c r="O1041" s="246"/>
      <c r="P1041" s="1597"/>
      <c r="R1041" s="1598"/>
      <c r="S1041" s="557"/>
      <c r="T1041" s="1768"/>
      <c r="V1041" s="1769"/>
      <c r="X1041" s="1768"/>
      <c r="Z1041" s="1769"/>
      <c r="AA1041" s="557"/>
      <c r="AK1041" s="246"/>
    </row>
    <row r="1042" spans="2:37" ht="18" customHeight="1">
      <c r="B1042" s="199"/>
      <c r="D1042" s="154"/>
      <c r="F1042" s="154"/>
      <c r="G1042" s="217"/>
      <c r="I1042" s="673"/>
      <c r="J1042" s="209"/>
      <c r="K1042" s="520"/>
      <c r="L1042" s="154"/>
      <c r="M1042" s="154"/>
      <c r="N1042" s="154"/>
      <c r="O1042" s="246"/>
      <c r="P1042" s="1597"/>
      <c r="R1042" s="1598"/>
      <c r="S1042" s="557"/>
      <c r="T1042" s="1768"/>
      <c r="V1042" s="1769"/>
      <c r="X1042" s="1768"/>
      <c r="Z1042" s="1769"/>
      <c r="AA1042" s="557"/>
      <c r="AK1042" s="246"/>
    </row>
    <row r="1043" spans="2:37" ht="18" customHeight="1">
      <c r="B1043" s="199"/>
      <c r="D1043" s="154"/>
      <c r="F1043" s="154"/>
      <c r="G1043" s="217"/>
      <c r="I1043" s="673"/>
      <c r="J1043" s="209"/>
      <c r="K1043" s="520"/>
      <c r="L1043" s="154"/>
      <c r="M1043" s="154"/>
      <c r="N1043" s="154"/>
      <c r="O1043" s="246"/>
      <c r="P1043" s="1597"/>
      <c r="R1043" s="1598"/>
      <c r="S1043" s="557"/>
      <c r="T1043" s="1768"/>
      <c r="V1043" s="1769"/>
      <c r="X1043" s="1768"/>
      <c r="Z1043" s="1769"/>
      <c r="AA1043" s="557"/>
      <c r="AK1043" s="246"/>
    </row>
    <row r="1044" spans="2:37" ht="18" customHeight="1">
      <c r="B1044" s="199"/>
      <c r="D1044" s="154"/>
      <c r="F1044" s="154"/>
      <c r="G1044" s="217"/>
      <c r="I1044" s="673"/>
      <c r="J1044" s="209"/>
      <c r="K1044" s="520"/>
      <c r="L1044" s="154"/>
      <c r="M1044" s="154"/>
      <c r="N1044" s="154"/>
      <c r="O1044" s="246"/>
      <c r="P1044" s="1597"/>
      <c r="R1044" s="1598"/>
      <c r="S1044" s="557"/>
      <c r="T1044" s="1768"/>
      <c r="V1044" s="1769"/>
      <c r="X1044" s="1768"/>
      <c r="Z1044" s="1769"/>
      <c r="AA1044" s="557"/>
      <c r="AK1044" s="246"/>
    </row>
    <row r="1045" spans="2:37" ht="18" customHeight="1">
      <c r="B1045" s="199"/>
      <c r="D1045" s="154"/>
      <c r="F1045" s="154"/>
      <c r="G1045" s="217"/>
      <c r="I1045" s="673"/>
      <c r="J1045" s="209"/>
      <c r="K1045" s="520"/>
      <c r="L1045" s="154"/>
      <c r="M1045" s="154"/>
      <c r="N1045" s="154"/>
      <c r="O1045" s="246"/>
      <c r="P1045" s="1597"/>
      <c r="R1045" s="1598"/>
      <c r="S1045" s="557"/>
      <c r="T1045" s="1768"/>
      <c r="V1045" s="1769"/>
      <c r="X1045" s="1768"/>
      <c r="Z1045" s="1769"/>
      <c r="AA1045" s="557"/>
      <c r="AK1045" s="246"/>
    </row>
    <row r="1046" spans="2:37" ht="18" customHeight="1">
      <c r="B1046" s="199"/>
      <c r="D1046" s="154"/>
      <c r="F1046" s="154"/>
      <c r="G1046" s="217"/>
      <c r="I1046" s="673"/>
      <c r="J1046" s="209"/>
      <c r="K1046" s="520"/>
      <c r="L1046" s="154"/>
      <c r="M1046" s="154"/>
      <c r="N1046" s="154"/>
      <c r="O1046" s="246"/>
      <c r="P1046" s="1597"/>
      <c r="R1046" s="1598"/>
      <c r="S1046" s="557"/>
      <c r="T1046" s="1768"/>
      <c r="V1046" s="1769"/>
      <c r="X1046" s="1768"/>
      <c r="Z1046" s="1769"/>
      <c r="AA1046" s="557"/>
      <c r="AK1046" s="246"/>
    </row>
    <row r="1047" spans="2:37" ht="18" customHeight="1">
      <c r="B1047" s="199"/>
      <c r="D1047" s="154"/>
      <c r="F1047" s="154"/>
      <c r="G1047" s="217"/>
      <c r="I1047" s="673"/>
      <c r="J1047" s="209"/>
      <c r="K1047" s="520"/>
      <c r="L1047" s="154"/>
      <c r="M1047" s="154"/>
      <c r="N1047" s="154"/>
      <c r="O1047" s="246"/>
      <c r="P1047" s="1597"/>
      <c r="R1047" s="1598"/>
      <c r="S1047" s="557"/>
      <c r="T1047" s="1768"/>
      <c r="V1047" s="1769"/>
      <c r="X1047" s="1768"/>
      <c r="Z1047" s="1769"/>
      <c r="AA1047" s="557"/>
      <c r="AK1047" s="246"/>
    </row>
    <row r="1048" spans="2:37" ht="18" customHeight="1">
      <c r="B1048" s="199"/>
      <c r="D1048" s="154"/>
      <c r="F1048" s="154"/>
      <c r="G1048" s="217"/>
      <c r="I1048" s="673"/>
      <c r="J1048" s="209"/>
      <c r="K1048" s="520"/>
      <c r="L1048" s="154"/>
      <c r="M1048" s="154"/>
      <c r="N1048" s="154"/>
      <c r="O1048" s="246"/>
      <c r="P1048" s="1597"/>
      <c r="R1048" s="1598"/>
      <c r="S1048" s="557"/>
      <c r="T1048" s="1768"/>
      <c r="V1048" s="1769"/>
      <c r="X1048" s="1768"/>
      <c r="Z1048" s="1769"/>
      <c r="AA1048" s="557"/>
      <c r="AK1048" s="246"/>
    </row>
    <row r="1049" spans="2:37" ht="18" customHeight="1">
      <c r="B1049" s="199"/>
      <c r="D1049" s="154"/>
      <c r="F1049" s="154"/>
      <c r="G1049" s="217"/>
      <c r="I1049" s="673"/>
      <c r="J1049" s="209"/>
      <c r="K1049" s="520"/>
      <c r="L1049" s="154"/>
      <c r="M1049" s="154"/>
      <c r="N1049" s="154"/>
      <c r="O1049" s="246"/>
      <c r="P1049" s="1597"/>
      <c r="R1049" s="1598"/>
      <c r="S1049" s="557"/>
      <c r="T1049" s="1768"/>
      <c r="V1049" s="1769"/>
      <c r="X1049" s="1768"/>
      <c r="Z1049" s="1769"/>
      <c r="AA1049" s="557"/>
      <c r="AK1049" s="246"/>
    </row>
    <row r="1050" spans="2:37" ht="18" customHeight="1">
      <c r="B1050" s="199"/>
      <c r="D1050" s="154"/>
      <c r="F1050" s="154"/>
      <c r="G1050" s="217"/>
      <c r="I1050" s="673"/>
      <c r="J1050" s="209"/>
      <c r="K1050" s="520"/>
      <c r="L1050" s="154"/>
      <c r="M1050" s="154"/>
      <c r="N1050" s="154"/>
      <c r="O1050" s="246"/>
      <c r="P1050" s="1597"/>
      <c r="R1050" s="1598"/>
      <c r="S1050" s="557"/>
      <c r="T1050" s="1768"/>
      <c r="V1050" s="1769"/>
      <c r="X1050" s="1768"/>
      <c r="Z1050" s="1769"/>
      <c r="AA1050" s="557"/>
      <c r="AK1050" s="246"/>
    </row>
    <row r="1051" spans="2:37" ht="18" customHeight="1">
      <c r="B1051" s="199"/>
      <c r="D1051" s="154"/>
      <c r="F1051" s="154"/>
      <c r="G1051" s="217"/>
      <c r="I1051" s="673"/>
      <c r="J1051" s="209"/>
      <c r="K1051" s="520"/>
      <c r="L1051" s="154"/>
      <c r="M1051" s="154"/>
      <c r="N1051" s="154"/>
      <c r="O1051" s="246"/>
      <c r="P1051" s="1597"/>
      <c r="R1051" s="1598"/>
      <c r="S1051" s="557"/>
      <c r="T1051" s="1768"/>
      <c r="V1051" s="1769"/>
      <c r="X1051" s="1768"/>
      <c r="Z1051" s="1769"/>
      <c r="AA1051" s="557"/>
      <c r="AK1051" s="246"/>
    </row>
    <row r="1052" spans="2:37" ht="18" customHeight="1">
      <c r="B1052" s="199"/>
      <c r="D1052" s="154"/>
      <c r="F1052" s="154"/>
      <c r="G1052" s="217"/>
      <c r="I1052" s="673"/>
      <c r="J1052" s="209"/>
      <c r="K1052" s="520"/>
      <c r="L1052" s="154"/>
      <c r="M1052" s="154"/>
      <c r="N1052" s="154"/>
      <c r="O1052" s="246"/>
      <c r="P1052" s="1597"/>
      <c r="R1052" s="1598"/>
      <c r="S1052" s="557"/>
      <c r="T1052" s="1768"/>
      <c r="V1052" s="1769"/>
      <c r="X1052" s="1768"/>
      <c r="Z1052" s="1769"/>
      <c r="AA1052" s="557"/>
      <c r="AK1052" s="246"/>
    </row>
    <row r="1053" spans="2:37" ht="18" customHeight="1">
      <c r="B1053" s="199"/>
      <c r="D1053" s="154"/>
      <c r="F1053" s="154"/>
      <c r="G1053" s="217"/>
      <c r="I1053" s="673"/>
      <c r="J1053" s="209"/>
      <c r="K1053" s="520"/>
      <c r="L1053" s="154"/>
      <c r="M1053" s="154"/>
      <c r="N1053" s="154"/>
      <c r="O1053" s="246"/>
      <c r="P1053" s="1597"/>
      <c r="R1053" s="1598"/>
      <c r="S1053" s="557"/>
      <c r="T1053" s="1768"/>
      <c r="V1053" s="1769"/>
      <c r="X1053" s="1768"/>
      <c r="Z1053" s="1769"/>
      <c r="AA1053" s="557"/>
      <c r="AK1053" s="246"/>
    </row>
    <row r="1054" spans="2:37" ht="18" customHeight="1">
      <c r="B1054" s="199"/>
      <c r="D1054" s="154"/>
      <c r="F1054" s="154"/>
      <c r="G1054" s="217"/>
      <c r="I1054" s="673"/>
      <c r="J1054" s="209"/>
      <c r="K1054" s="520"/>
      <c r="L1054" s="154"/>
      <c r="M1054" s="154"/>
      <c r="N1054" s="154"/>
      <c r="O1054" s="246"/>
      <c r="P1054" s="1597"/>
      <c r="R1054" s="1598"/>
      <c r="S1054" s="557"/>
      <c r="T1054" s="1768"/>
      <c r="V1054" s="1769"/>
      <c r="X1054" s="1768"/>
      <c r="Z1054" s="1769"/>
      <c r="AA1054" s="557"/>
      <c r="AK1054" s="246"/>
    </row>
    <row r="1055" spans="2:37" ht="18" customHeight="1">
      <c r="B1055" s="199"/>
      <c r="D1055" s="154"/>
      <c r="F1055" s="154"/>
      <c r="G1055" s="217"/>
      <c r="I1055" s="673"/>
      <c r="J1055" s="209"/>
      <c r="K1055" s="520"/>
      <c r="L1055" s="154"/>
      <c r="M1055" s="154"/>
      <c r="N1055" s="154"/>
      <c r="O1055" s="246"/>
      <c r="P1055" s="1597"/>
      <c r="R1055" s="1598"/>
      <c r="S1055" s="557"/>
      <c r="T1055" s="1768"/>
      <c r="V1055" s="1769"/>
      <c r="X1055" s="1768"/>
      <c r="Z1055" s="1769"/>
      <c r="AA1055" s="557"/>
      <c r="AK1055" s="246"/>
    </row>
    <row r="1056" spans="2:37" ht="18" customHeight="1">
      <c r="B1056" s="199"/>
      <c r="D1056" s="154"/>
      <c r="F1056" s="154"/>
      <c r="G1056" s="217"/>
      <c r="I1056" s="673"/>
      <c r="J1056" s="209"/>
      <c r="K1056" s="520"/>
      <c r="L1056" s="154"/>
      <c r="M1056" s="154"/>
      <c r="N1056" s="154"/>
      <c r="O1056" s="246"/>
      <c r="P1056" s="1597"/>
      <c r="R1056" s="1598"/>
      <c r="S1056" s="557"/>
      <c r="T1056" s="1768"/>
      <c r="V1056" s="1769"/>
      <c r="X1056" s="1768"/>
      <c r="Z1056" s="1769"/>
      <c r="AA1056" s="557"/>
      <c r="AK1056" s="246"/>
    </row>
    <row r="1057" spans="2:37" ht="18" customHeight="1">
      <c r="B1057" s="199"/>
      <c r="D1057" s="154"/>
      <c r="F1057" s="154"/>
      <c r="G1057" s="217"/>
      <c r="I1057" s="673"/>
      <c r="J1057" s="209"/>
      <c r="K1057" s="520"/>
      <c r="L1057" s="154"/>
      <c r="M1057" s="154"/>
      <c r="N1057" s="154"/>
      <c r="O1057" s="246"/>
      <c r="P1057" s="1597"/>
      <c r="R1057" s="1598"/>
      <c r="S1057" s="557"/>
      <c r="T1057" s="1768"/>
      <c r="V1057" s="1769"/>
      <c r="X1057" s="1768"/>
      <c r="Z1057" s="1769"/>
      <c r="AA1057" s="557"/>
      <c r="AK1057" s="246"/>
    </row>
    <row r="1058" spans="2:37" ht="18" customHeight="1">
      <c r="B1058" s="199"/>
      <c r="D1058" s="154"/>
      <c r="F1058" s="154"/>
      <c r="G1058" s="217"/>
      <c r="I1058" s="673"/>
      <c r="J1058" s="209"/>
      <c r="K1058" s="520"/>
      <c r="L1058" s="154"/>
      <c r="M1058" s="154"/>
      <c r="N1058" s="154"/>
      <c r="O1058" s="246"/>
      <c r="P1058" s="1597"/>
      <c r="R1058" s="1598"/>
      <c r="S1058" s="557"/>
      <c r="T1058" s="1768"/>
      <c r="V1058" s="1769"/>
      <c r="X1058" s="1768"/>
      <c r="Z1058" s="1769"/>
      <c r="AA1058" s="557"/>
      <c r="AK1058" s="246"/>
    </row>
    <row r="1059" spans="2:37" ht="18" customHeight="1">
      <c r="B1059" s="199"/>
      <c r="D1059" s="154"/>
      <c r="F1059" s="154"/>
      <c r="G1059" s="217"/>
      <c r="I1059" s="673"/>
      <c r="J1059" s="209"/>
      <c r="K1059" s="520"/>
      <c r="L1059" s="154"/>
      <c r="M1059" s="154"/>
      <c r="N1059" s="154"/>
      <c r="O1059" s="246"/>
      <c r="P1059" s="1597"/>
      <c r="R1059" s="1598"/>
      <c r="S1059" s="557"/>
      <c r="T1059" s="1768"/>
      <c r="V1059" s="1769"/>
      <c r="X1059" s="1768"/>
      <c r="Z1059" s="1769"/>
      <c r="AA1059" s="557"/>
      <c r="AK1059" s="246"/>
    </row>
    <row r="1060" spans="2:37" ht="18" customHeight="1">
      <c r="B1060" s="199"/>
      <c r="D1060" s="154"/>
      <c r="F1060" s="154"/>
      <c r="G1060" s="217"/>
      <c r="I1060" s="673"/>
      <c r="J1060" s="209"/>
      <c r="K1060" s="520"/>
      <c r="L1060" s="154"/>
      <c r="M1060" s="154"/>
      <c r="N1060" s="154"/>
      <c r="O1060" s="246"/>
      <c r="P1060" s="1597"/>
      <c r="R1060" s="1598"/>
      <c r="S1060" s="557"/>
      <c r="T1060" s="1768"/>
      <c r="V1060" s="1769"/>
      <c r="X1060" s="1768"/>
      <c r="Z1060" s="1769"/>
      <c r="AA1060" s="557"/>
      <c r="AK1060" s="246"/>
    </row>
    <row r="1061" spans="2:37" ht="18" customHeight="1">
      <c r="B1061" s="199"/>
      <c r="D1061" s="154"/>
      <c r="F1061" s="154"/>
      <c r="G1061" s="217"/>
      <c r="I1061" s="673"/>
      <c r="J1061" s="209"/>
      <c r="K1061" s="520"/>
      <c r="L1061" s="154"/>
      <c r="M1061" s="154"/>
      <c r="N1061" s="154"/>
      <c r="O1061" s="246"/>
      <c r="P1061" s="1597"/>
      <c r="R1061" s="1598"/>
      <c r="S1061" s="557"/>
      <c r="T1061" s="1768"/>
      <c r="V1061" s="1769"/>
      <c r="X1061" s="1768"/>
      <c r="Z1061" s="1769"/>
      <c r="AA1061" s="557"/>
      <c r="AK1061" s="246"/>
    </row>
    <row r="1062" spans="2:37" ht="18" customHeight="1">
      <c r="B1062" s="199"/>
      <c r="D1062" s="154"/>
      <c r="F1062" s="154"/>
      <c r="G1062" s="217"/>
      <c r="I1062" s="673"/>
      <c r="J1062" s="209"/>
      <c r="K1062" s="520"/>
      <c r="L1062" s="154"/>
      <c r="M1062" s="154"/>
      <c r="N1062" s="154"/>
      <c r="O1062" s="246"/>
      <c r="P1062" s="1597"/>
      <c r="R1062" s="1598"/>
      <c r="S1062" s="557"/>
      <c r="T1062" s="1768"/>
      <c r="V1062" s="1769"/>
      <c r="X1062" s="1768"/>
      <c r="Z1062" s="1769"/>
      <c r="AA1062" s="557"/>
      <c r="AK1062" s="246"/>
    </row>
    <row r="1063" spans="2:37" ht="18" customHeight="1">
      <c r="B1063" s="199"/>
      <c r="D1063" s="154"/>
      <c r="F1063" s="154"/>
      <c r="G1063" s="217"/>
      <c r="I1063" s="673"/>
      <c r="J1063" s="209"/>
      <c r="K1063" s="520"/>
      <c r="L1063" s="154"/>
      <c r="M1063" s="154"/>
      <c r="N1063" s="154"/>
      <c r="O1063" s="246"/>
      <c r="P1063" s="1597"/>
      <c r="R1063" s="1598"/>
      <c r="S1063" s="557"/>
      <c r="T1063" s="1768"/>
      <c r="V1063" s="1769"/>
      <c r="X1063" s="1768"/>
      <c r="Z1063" s="1769"/>
      <c r="AA1063" s="557"/>
      <c r="AK1063" s="246"/>
    </row>
    <row r="1064" spans="2:37" ht="18" customHeight="1">
      <c r="B1064" s="199"/>
      <c r="D1064" s="154"/>
      <c r="F1064" s="154"/>
      <c r="G1064" s="217"/>
      <c r="I1064" s="673"/>
      <c r="J1064" s="209"/>
      <c r="K1064" s="520"/>
      <c r="L1064" s="154"/>
      <c r="M1064" s="154"/>
      <c r="N1064" s="154"/>
      <c r="O1064" s="246"/>
      <c r="P1064" s="1597"/>
      <c r="R1064" s="1598"/>
      <c r="S1064" s="557"/>
      <c r="T1064" s="1768"/>
      <c r="V1064" s="1769"/>
      <c r="X1064" s="1768"/>
      <c r="Z1064" s="1769"/>
      <c r="AA1064" s="557"/>
      <c r="AK1064" s="246"/>
    </row>
    <row r="1065" spans="2:37" ht="18" customHeight="1">
      <c r="B1065" s="199"/>
      <c r="D1065" s="154"/>
      <c r="F1065" s="154"/>
      <c r="G1065" s="217"/>
      <c r="I1065" s="673"/>
      <c r="J1065" s="209"/>
      <c r="K1065" s="520"/>
      <c r="L1065" s="154"/>
      <c r="M1065" s="154"/>
      <c r="N1065" s="154"/>
      <c r="O1065" s="246"/>
      <c r="P1065" s="1597"/>
      <c r="R1065" s="1598"/>
      <c r="S1065" s="557"/>
      <c r="T1065" s="1768"/>
      <c r="V1065" s="1769"/>
      <c r="X1065" s="1768"/>
      <c r="Z1065" s="1769"/>
      <c r="AA1065" s="557"/>
      <c r="AK1065" s="246"/>
    </row>
    <row r="1066" spans="2:37" ht="18" customHeight="1">
      <c r="B1066" s="199"/>
      <c r="D1066" s="154"/>
      <c r="F1066" s="154"/>
      <c r="G1066" s="217"/>
      <c r="I1066" s="673"/>
      <c r="J1066" s="209"/>
      <c r="K1066" s="520"/>
      <c r="L1066" s="154"/>
      <c r="M1066" s="154"/>
      <c r="N1066" s="154"/>
      <c r="O1066" s="246"/>
      <c r="P1066" s="1597"/>
      <c r="R1066" s="1598"/>
      <c r="S1066" s="557"/>
      <c r="T1066" s="1768"/>
      <c r="V1066" s="1769"/>
      <c r="X1066" s="1768"/>
      <c r="Z1066" s="1769"/>
      <c r="AA1066" s="557"/>
      <c r="AK1066" s="246"/>
    </row>
    <row r="1067" spans="2:37" ht="18" customHeight="1">
      <c r="B1067" s="199"/>
      <c r="D1067" s="154"/>
      <c r="F1067" s="154"/>
      <c r="G1067" s="217"/>
      <c r="I1067" s="673"/>
      <c r="J1067" s="209"/>
      <c r="K1067" s="520"/>
      <c r="L1067" s="154"/>
      <c r="M1067" s="154"/>
      <c r="N1067" s="154"/>
      <c r="O1067" s="246"/>
      <c r="P1067" s="1597"/>
      <c r="R1067" s="1598"/>
      <c r="S1067" s="557"/>
      <c r="T1067" s="1768"/>
      <c r="V1067" s="1769"/>
      <c r="X1067" s="1768"/>
      <c r="Z1067" s="1769"/>
      <c r="AA1067" s="557"/>
      <c r="AK1067" s="246"/>
    </row>
    <row r="1068" spans="2:37" ht="18" customHeight="1">
      <c r="B1068" s="199"/>
      <c r="D1068" s="154"/>
      <c r="F1068" s="154"/>
      <c r="G1068" s="217"/>
      <c r="I1068" s="673"/>
      <c r="J1068" s="209"/>
      <c r="K1068" s="520"/>
      <c r="L1068" s="154"/>
      <c r="M1068" s="154"/>
      <c r="N1068" s="154"/>
      <c r="O1068" s="246"/>
      <c r="P1068" s="1597"/>
      <c r="R1068" s="1598"/>
      <c r="S1068" s="557"/>
      <c r="T1068" s="1768"/>
      <c r="V1068" s="1769"/>
      <c r="X1068" s="1768"/>
      <c r="Z1068" s="1769"/>
      <c r="AA1068" s="557"/>
      <c r="AK1068" s="246"/>
    </row>
    <row r="1069" spans="2:37" ht="18" customHeight="1">
      <c r="B1069" s="199"/>
      <c r="D1069" s="154"/>
      <c r="F1069" s="154"/>
      <c r="G1069" s="217"/>
      <c r="I1069" s="673"/>
      <c r="J1069" s="209"/>
      <c r="K1069" s="520"/>
      <c r="L1069" s="154"/>
      <c r="M1069" s="154"/>
      <c r="N1069" s="154"/>
      <c r="O1069" s="246"/>
      <c r="P1069" s="1597"/>
      <c r="R1069" s="1598"/>
      <c r="S1069" s="557"/>
      <c r="T1069" s="1768"/>
      <c r="V1069" s="1769"/>
      <c r="X1069" s="1768"/>
      <c r="Z1069" s="1769"/>
      <c r="AA1069" s="557"/>
      <c r="AK1069" s="246"/>
    </row>
    <row r="1070" spans="2:37" ht="18" customHeight="1">
      <c r="B1070" s="199"/>
      <c r="D1070" s="154"/>
      <c r="F1070" s="154"/>
      <c r="G1070" s="217"/>
      <c r="I1070" s="673"/>
      <c r="J1070" s="209"/>
      <c r="K1070" s="520"/>
      <c r="L1070" s="154"/>
      <c r="M1070" s="154"/>
      <c r="N1070" s="154"/>
      <c r="O1070" s="246"/>
      <c r="P1070" s="1597"/>
      <c r="R1070" s="1598"/>
      <c r="S1070" s="557"/>
      <c r="T1070" s="1768"/>
      <c r="V1070" s="1769"/>
      <c r="X1070" s="1768"/>
      <c r="Z1070" s="1769"/>
      <c r="AA1070" s="557"/>
      <c r="AK1070" s="246"/>
    </row>
    <row r="1071" spans="2:37" ht="18" customHeight="1">
      <c r="B1071" s="199"/>
      <c r="D1071" s="154"/>
      <c r="F1071" s="154"/>
      <c r="G1071" s="217"/>
      <c r="I1071" s="673"/>
      <c r="J1071" s="209"/>
      <c r="K1071" s="520"/>
      <c r="L1071" s="154"/>
      <c r="M1071" s="154"/>
      <c r="N1071" s="154"/>
      <c r="O1071" s="246"/>
      <c r="P1071" s="1597"/>
      <c r="R1071" s="1598"/>
      <c r="S1071" s="557"/>
      <c r="T1071" s="1768"/>
      <c r="V1071" s="1769"/>
      <c r="X1071" s="1768"/>
      <c r="Z1071" s="1769"/>
      <c r="AA1071" s="557"/>
      <c r="AK1071" s="246"/>
    </row>
    <row r="1072" spans="2:37" ht="18" customHeight="1">
      <c r="B1072" s="199"/>
      <c r="D1072" s="154"/>
      <c r="F1072" s="154"/>
      <c r="G1072" s="217"/>
      <c r="I1072" s="673"/>
      <c r="J1072" s="209"/>
      <c r="K1072" s="520"/>
      <c r="L1072" s="154"/>
      <c r="M1072" s="154"/>
      <c r="N1072" s="154"/>
      <c r="O1072" s="246"/>
      <c r="P1072" s="1597"/>
      <c r="R1072" s="1598"/>
      <c r="S1072" s="557"/>
      <c r="T1072" s="1768"/>
      <c r="V1072" s="1769"/>
      <c r="X1072" s="1768"/>
      <c r="Z1072" s="1769"/>
      <c r="AA1072" s="557"/>
      <c r="AK1072" s="246"/>
    </row>
    <row r="1073" spans="2:37" ht="18" customHeight="1">
      <c r="B1073" s="199"/>
      <c r="D1073" s="154"/>
      <c r="F1073" s="154"/>
      <c r="G1073" s="217"/>
      <c r="I1073" s="673"/>
      <c r="J1073" s="209"/>
      <c r="K1073" s="520"/>
      <c r="L1073" s="154"/>
      <c r="M1073" s="154"/>
      <c r="N1073" s="154"/>
      <c r="O1073" s="246"/>
      <c r="P1073" s="1597"/>
      <c r="R1073" s="1598"/>
      <c r="S1073" s="557"/>
      <c r="T1073" s="1768"/>
      <c r="V1073" s="1769"/>
      <c r="X1073" s="1768"/>
      <c r="Z1073" s="1769"/>
      <c r="AA1073" s="557"/>
      <c r="AK1073" s="246"/>
    </row>
    <row r="1074" spans="2:37" ht="18" customHeight="1">
      <c r="B1074" s="199"/>
      <c r="D1074" s="154"/>
      <c r="F1074" s="154"/>
      <c r="G1074" s="217"/>
      <c r="I1074" s="673"/>
      <c r="J1074" s="209"/>
      <c r="K1074" s="520"/>
      <c r="L1074" s="154"/>
      <c r="M1074" s="154"/>
      <c r="N1074" s="154"/>
      <c r="O1074" s="246"/>
      <c r="P1074" s="1597"/>
      <c r="R1074" s="1598"/>
      <c r="S1074" s="557"/>
      <c r="T1074" s="1768"/>
      <c r="V1074" s="1769"/>
      <c r="X1074" s="1768"/>
      <c r="Z1074" s="1769"/>
      <c r="AA1074" s="557"/>
      <c r="AK1074" s="246"/>
    </row>
    <row r="1075" spans="2:37" ht="18" customHeight="1">
      <c r="B1075" s="199"/>
      <c r="D1075" s="154"/>
      <c r="F1075" s="154"/>
      <c r="G1075" s="217"/>
      <c r="I1075" s="673"/>
      <c r="J1075" s="209"/>
      <c r="K1075" s="520"/>
      <c r="L1075" s="154"/>
      <c r="M1075" s="154"/>
      <c r="N1075" s="154"/>
      <c r="O1075" s="246"/>
      <c r="P1075" s="1597"/>
      <c r="R1075" s="1598"/>
      <c r="S1075" s="557"/>
      <c r="T1075" s="1768"/>
      <c r="V1075" s="1769"/>
      <c r="X1075" s="1768"/>
      <c r="Z1075" s="1769"/>
      <c r="AA1075" s="557"/>
      <c r="AK1075" s="246"/>
    </row>
    <row r="1076" spans="2:37" ht="18" customHeight="1">
      <c r="B1076" s="199"/>
      <c r="D1076" s="154"/>
      <c r="F1076" s="154"/>
      <c r="G1076" s="217"/>
      <c r="I1076" s="673"/>
      <c r="J1076" s="209"/>
      <c r="K1076" s="520"/>
      <c r="L1076" s="154"/>
      <c r="M1076" s="154"/>
      <c r="N1076" s="154"/>
      <c r="O1076" s="246"/>
      <c r="P1076" s="1597"/>
      <c r="R1076" s="1598"/>
      <c r="S1076" s="557"/>
      <c r="T1076" s="1768"/>
      <c r="V1076" s="1769"/>
      <c r="X1076" s="1768"/>
      <c r="Z1076" s="1769"/>
      <c r="AA1076" s="557"/>
      <c r="AK1076" s="246"/>
    </row>
    <row r="1077" spans="2:37" ht="18" customHeight="1">
      <c r="B1077" s="199"/>
      <c r="D1077" s="154"/>
      <c r="F1077" s="154"/>
      <c r="G1077" s="217"/>
      <c r="I1077" s="673"/>
      <c r="J1077" s="209"/>
      <c r="K1077" s="520"/>
      <c r="L1077" s="154"/>
      <c r="M1077" s="154"/>
      <c r="N1077" s="154"/>
      <c r="O1077" s="246"/>
      <c r="P1077" s="1597"/>
      <c r="R1077" s="1598"/>
      <c r="S1077" s="557"/>
      <c r="T1077" s="1768"/>
      <c r="V1077" s="1769"/>
      <c r="X1077" s="1768"/>
      <c r="Z1077" s="1769"/>
      <c r="AA1077" s="557"/>
      <c r="AK1077" s="246"/>
    </row>
    <row r="1078" spans="2:37" ht="18" customHeight="1">
      <c r="B1078" s="199"/>
      <c r="D1078" s="154"/>
      <c r="F1078" s="154"/>
      <c r="G1078" s="217"/>
      <c r="I1078" s="673"/>
      <c r="J1078" s="209"/>
      <c r="K1078" s="520"/>
      <c r="L1078" s="154"/>
      <c r="M1078" s="154"/>
      <c r="N1078" s="154"/>
      <c r="O1078" s="246"/>
      <c r="P1078" s="1597"/>
      <c r="R1078" s="1598"/>
      <c r="S1078" s="557"/>
      <c r="T1078" s="1768"/>
      <c r="V1078" s="1769"/>
      <c r="X1078" s="1768"/>
      <c r="Z1078" s="1769"/>
      <c r="AA1078" s="557"/>
      <c r="AK1078" s="246"/>
    </row>
    <row r="1079" spans="2:37" ht="18" customHeight="1">
      <c r="B1079" s="199"/>
      <c r="D1079" s="154"/>
      <c r="F1079" s="154"/>
      <c r="G1079" s="217"/>
      <c r="I1079" s="673"/>
      <c r="J1079" s="209"/>
      <c r="K1079" s="520"/>
      <c r="L1079" s="154"/>
      <c r="M1079" s="154"/>
      <c r="N1079" s="154"/>
      <c r="O1079" s="246"/>
      <c r="P1079" s="1597"/>
      <c r="R1079" s="1598"/>
      <c r="S1079" s="557"/>
      <c r="T1079" s="1768"/>
      <c r="V1079" s="1769"/>
      <c r="X1079" s="1768"/>
      <c r="Z1079" s="1769"/>
      <c r="AA1079" s="557"/>
      <c r="AK1079" s="246"/>
    </row>
    <row r="1080" spans="2:37" ht="18" customHeight="1">
      <c r="B1080" s="199"/>
      <c r="D1080" s="154"/>
      <c r="F1080" s="154"/>
      <c r="G1080" s="217"/>
      <c r="I1080" s="673"/>
      <c r="J1080" s="209"/>
      <c r="K1080" s="520"/>
      <c r="L1080" s="154"/>
      <c r="M1080" s="154"/>
      <c r="N1080" s="154"/>
      <c r="O1080" s="246"/>
      <c r="P1080" s="1597"/>
      <c r="R1080" s="1598"/>
      <c r="S1080" s="557"/>
      <c r="T1080" s="1768"/>
      <c r="V1080" s="1769"/>
      <c r="X1080" s="1768"/>
      <c r="Z1080" s="1769"/>
      <c r="AA1080" s="557"/>
      <c r="AK1080" s="246"/>
    </row>
    <row r="1081" spans="2:37" ht="18" customHeight="1">
      <c r="B1081" s="199"/>
      <c r="D1081" s="154"/>
      <c r="F1081" s="154"/>
      <c r="G1081" s="217"/>
      <c r="I1081" s="673"/>
      <c r="J1081" s="209"/>
      <c r="K1081" s="520"/>
      <c r="L1081" s="154"/>
      <c r="M1081" s="154"/>
      <c r="N1081" s="154"/>
      <c r="O1081" s="246"/>
      <c r="P1081" s="1597"/>
      <c r="R1081" s="1598"/>
      <c r="S1081" s="557"/>
      <c r="T1081" s="1768"/>
      <c r="V1081" s="1769"/>
      <c r="X1081" s="1768"/>
      <c r="Z1081" s="1769"/>
      <c r="AA1081" s="557"/>
      <c r="AK1081" s="246"/>
    </row>
    <row r="1082" spans="2:37" ht="18" customHeight="1">
      <c r="B1082" s="199"/>
      <c r="D1082" s="154"/>
      <c r="F1082" s="154"/>
      <c r="G1082" s="217"/>
      <c r="I1082" s="673"/>
      <c r="J1082" s="209"/>
      <c r="K1082" s="520"/>
      <c r="L1082" s="154"/>
      <c r="M1082" s="154"/>
      <c r="N1082" s="154"/>
      <c r="O1082" s="246"/>
      <c r="P1082" s="1597"/>
      <c r="R1082" s="1598"/>
      <c r="S1082" s="557"/>
      <c r="T1082" s="1768"/>
      <c r="V1082" s="1769"/>
      <c r="X1082" s="1768"/>
      <c r="Z1082" s="1769"/>
      <c r="AA1082" s="557"/>
      <c r="AK1082" s="246"/>
    </row>
    <row r="1083" spans="2:37" ht="18" customHeight="1">
      <c r="B1083" s="199"/>
      <c r="D1083" s="154"/>
      <c r="F1083" s="154"/>
      <c r="G1083" s="217"/>
      <c r="I1083" s="673"/>
      <c r="J1083" s="209"/>
      <c r="K1083" s="520"/>
      <c r="L1083" s="154"/>
      <c r="M1083" s="154"/>
      <c r="N1083" s="154"/>
      <c r="O1083" s="246"/>
      <c r="P1083" s="1597"/>
      <c r="R1083" s="1598"/>
      <c r="S1083" s="557"/>
      <c r="T1083" s="1768"/>
      <c r="V1083" s="1769"/>
      <c r="X1083" s="1768"/>
      <c r="Z1083" s="1769"/>
      <c r="AA1083" s="557"/>
      <c r="AK1083" s="246"/>
    </row>
    <row r="1084" spans="2:37" ht="18" customHeight="1">
      <c r="B1084" s="199"/>
      <c r="D1084" s="154"/>
      <c r="F1084" s="154"/>
      <c r="G1084" s="217"/>
      <c r="I1084" s="673"/>
      <c r="J1084" s="209"/>
      <c r="K1084" s="520"/>
      <c r="L1084" s="154"/>
      <c r="M1084" s="154"/>
      <c r="N1084" s="154"/>
      <c r="O1084" s="246"/>
      <c r="P1084" s="1597"/>
      <c r="R1084" s="1598"/>
      <c r="S1084" s="557"/>
      <c r="T1084" s="1768"/>
      <c r="V1084" s="1769"/>
      <c r="X1084" s="1768"/>
      <c r="Z1084" s="1769"/>
      <c r="AA1084" s="557"/>
      <c r="AK1084" s="246"/>
    </row>
    <row r="1085" spans="2:37" ht="18" customHeight="1">
      <c r="B1085" s="199"/>
      <c r="D1085" s="154"/>
      <c r="F1085" s="154"/>
      <c r="G1085" s="217"/>
      <c r="I1085" s="673"/>
      <c r="J1085" s="209"/>
      <c r="K1085" s="520"/>
      <c r="L1085" s="154"/>
      <c r="M1085" s="154"/>
      <c r="N1085" s="154"/>
      <c r="O1085" s="246"/>
      <c r="P1085" s="1597"/>
      <c r="R1085" s="1598"/>
      <c r="S1085" s="557"/>
      <c r="T1085" s="1768"/>
      <c r="V1085" s="1769"/>
      <c r="X1085" s="1768"/>
      <c r="Z1085" s="1769"/>
      <c r="AA1085" s="557"/>
      <c r="AK1085" s="246"/>
    </row>
    <row r="1086" spans="2:37" ht="18" customHeight="1">
      <c r="B1086" s="199"/>
      <c r="D1086" s="154"/>
      <c r="F1086" s="154"/>
      <c r="G1086" s="217"/>
      <c r="I1086" s="673"/>
      <c r="J1086" s="209"/>
      <c r="K1086" s="520"/>
      <c r="L1086" s="154"/>
      <c r="M1086" s="154"/>
      <c r="N1086" s="154"/>
      <c r="O1086" s="246"/>
      <c r="P1086" s="1597"/>
      <c r="R1086" s="1598"/>
      <c r="S1086" s="557"/>
      <c r="T1086" s="1768"/>
      <c r="V1086" s="1769"/>
      <c r="X1086" s="1768"/>
      <c r="Z1086" s="1769"/>
      <c r="AA1086" s="557"/>
      <c r="AK1086" s="246"/>
    </row>
    <row r="1087" spans="2:37" ht="18" customHeight="1">
      <c r="B1087" s="199"/>
      <c r="D1087" s="154"/>
      <c r="F1087" s="154"/>
      <c r="G1087" s="217"/>
      <c r="I1087" s="673"/>
      <c r="J1087" s="209"/>
      <c r="K1087" s="520"/>
      <c r="L1087" s="154"/>
      <c r="M1087" s="154"/>
      <c r="N1087" s="154"/>
      <c r="O1087" s="246"/>
      <c r="P1087" s="1597"/>
      <c r="R1087" s="1598"/>
      <c r="S1087" s="557"/>
      <c r="T1087" s="1768"/>
      <c r="V1087" s="1769"/>
      <c r="X1087" s="1768"/>
      <c r="Z1087" s="1769"/>
      <c r="AA1087" s="557"/>
      <c r="AK1087" s="246"/>
    </row>
    <row r="1088" spans="2:37" ht="18" customHeight="1">
      <c r="B1088" s="199"/>
      <c r="D1088" s="154"/>
      <c r="F1088" s="154"/>
      <c r="G1088" s="217"/>
      <c r="I1088" s="673"/>
      <c r="J1088" s="209"/>
      <c r="K1088" s="520"/>
      <c r="L1088" s="154"/>
      <c r="M1088" s="154"/>
      <c r="N1088" s="154"/>
      <c r="O1088" s="246"/>
      <c r="P1088" s="1597"/>
      <c r="R1088" s="1598"/>
      <c r="S1088" s="557"/>
      <c r="T1088" s="1768"/>
      <c r="V1088" s="1769"/>
      <c r="X1088" s="1768"/>
      <c r="Z1088" s="1769"/>
      <c r="AA1088" s="557"/>
      <c r="AK1088" s="246"/>
    </row>
    <row r="1089" spans="2:37" ht="18" customHeight="1">
      <c r="B1089" s="199"/>
      <c r="D1089" s="154"/>
      <c r="F1089" s="154"/>
      <c r="G1089" s="217"/>
      <c r="I1089" s="673"/>
      <c r="J1089" s="209"/>
      <c r="K1089" s="520"/>
      <c r="L1089" s="154"/>
      <c r="M1089" s="154"/>
      <c r="N1089" s="154"/>
      <c r="O1089" s="246"/>
      <c r="P1089" s="1597"/>
      <c r="R1089" s="1598"/>
      <c r="S1089" s="557"/>
      <c r="T1089" s="1768"/>
      <c r="V1089" s="1769"/>
      <c r="X1089" s="1768"/>
      <c r="Z1089" s="1769"/>
      <c r="AA1089" s="557"/>
      <c r="AK1089" s="246"/>
    </row>
    <row r="1090" spans="2:37" ht="18" customHeight="1">
      <c r="B1090" s="199"/>
      <c r="D1090" s="154"/>
      <c r="F1090" s="154"/>
      <c r="G1090" s="217"/>
      <c r="I1090" s="673"/>
      <c r="J1090" s="209"/>
      <c r="K1090" s="520"/>
      <c r="L1090" s="154"/>
      <c r="M1090" s="154"/>
      <c r="N1090" s="154"/>
      <c r="O1090" s="246"/>
      <c r="P1090" s="1597"/>
      <c r="R1090" s="1598"/>
      <c r="S1090" s="557"/>
      <c r="T1090" s="1768"/>
      <c r="V1090" s="1769"/>
      <c r="X1090" s="1768"/>
      <c r="Z1090" s="1769"/>
      <c r="AA1090" s="557"/>
      <c r="AK1090" s="246"/>
    </row>
    <row r="1091" spans="2:37" ht="18" customHeight="1">
      <c r="B1091" s="199"/>
      <c r="D1091" s="154"/>
      <c r="F1091" s="154"/>
      <c r="G1091" s="217"/>
      <c r="I1091" s="673"/>
      <c r="J1091" s="209"/>
      <c r="K1091" s="520"/>
      <c r="L1091" s="154"/>
      <c r="M1091" s="154"/>
      <c r="N1091" s="154"/>
      <c r="O1091" s="246"/>
      <c r="P1091" s="1597"/>
      <c r="R1091" s="1598"/>
      <c r="S1091" s="557"/>
      <c r="T1091" s="1768"/>
      <c r="V1091" s="1769"/>
      <c r="X1091" s="1768"/>
      <c r="Z1091" s="1769"/>
      <c r="AA1091" s="557"/>
      <c r="AK1091" s="246"/>
    </row>
    <row r="1092" spans="2:37" ht="18" customHeight="1">
      <c r="B1092" s="199"/>
      <c r="D1092" s="154"/>
      <c r="F1092" s="154"/>
      <c r="G1092" s="217"/>
      <c r="I1092" s="673"/>
      <c r="J1092" s="209"/>
      <c r="K1092" s="520"/>
      <c r="L1092" s="154"/>
      <c r="M1092" s="154"/>
      <c r="N1092" s="154"/>
      <c r="O1092" s="246"/>
      <c r="P1092" s="1597"/>
      <c r="R1092" s="1598"/>
      <c r="S1092" s="557"/>
      <c r="T1092" s="1768"/>
      <c r="V1092" s="1769"/>
      <c r="X1092" s="1768"/>
      <c r="Z1092" s="1769"/>
      <c r="AA1092" s="557"/>
      <c r="AK1092" s="246"/>
    </row>
    <row r="1093" spans="2:37" ht="18" customHeight="1">
      <c r="B1093" s="199"/>
      <c r="D1093" s="154"/>
      <c r="F1093" s="154"/>
      <c r="G1093" s="217"/>
      <c r="I1093" s="673"/>
      <c r="J1093" s="209"/>
      <c r="K1093" s="520"/>
      <c r="L1093" s="154"/>
      <c r="M1093" s="154"/>
      <c r="N1093" s="154"/>
      <c r="O1093" s="246"/>
      <c r="P1093" s="1597"/>
      <c r="R1093" s="1598"/>
      <c r="S1093" s="557"/>
      <c r="T1093" s="1768"/>
      <c r="V1093" s="1769"/>
      <c r="X1093" s="1768"/>
      <c r="Z1093" s="1769"/>
      <c r="AA1093" s="557"/>
      <c r="AK1093" s="246"/>
    </row>
    <row r="1094" spans="2:37" ht="18" customHeight="1">
      <c r="B1094" s="199"/>
      <c r="D1094" s="154"/>
      <c r="F1094" s="154"/>
      <c r="G1094" s="217"/>
      <c r="I1094" s="673"/>
      <c r="J1094" s="209"/>
      <c r="K1094" s="520"/>
      <c r="L1094" s="154"/>
      <c r="M1094" s="154"/>
      <c r="N1094" s="154"/>
      <c r="O1094" s="246"/>
      <c r="P1094" s="1597"/>
      <c r="R1094" s="1598"/>
      <c r="S1094" s="557"/>
      <c r="T1094" s="1768"/>
      <c r="V1094" s="1769"/>
      <c r="X1094" s="1768"/>
      <c r="Z1094" s="1769"/>
      <c r="AA1094" s="557"/>
      <c r="AK1094" s="246"/>
    </row>
    <row r="1095" spans="2:37" ht="18" customHeight="1">
      <c r="B1095" s="199"/>
      <c r="D1095" s="154"/>
      <c r="F1095" s="154"/>
      <c r="G1095" s="217"/>
      <c r="I1095" s="673"/>
      <c r="J1095" s="209"/>
      <c r="K1095" s="520"/>
      <c r="L1095" s="154"/>
      <c r="M1095" s="154"/>
      <c r="N1095" s="154"/>
      <c r="O1095" s="246"/>
      <c r="P1095" s="1597"/>
      <c r="R1095" s="1598"/>
      <c r="S1095" s="557"/>
      <c r="T1095" s="1768"/>
      <c r="V1095" s="1769"/>
      <c r="X1095" s="1768"/>
      <c r="Z1095" s="1769"/>
      <c r="AA1095" s="557"/>
      <c r="AK1095" s="246"/>
    </row>
    <row r="1096" spans="2:37" ht="18" customHeight="1">
      <c r="B1096" s="199"/>
      <c r="D1096" s="154"/>
      <c r="F1096" s="154"/>
      <c r="G1096" s="217"/>
      <c r="I1096" s="673"/>
      <c r="J1096" s="209"/>
      <c r="K1096" s="520"/>
      <c r="L1096" s="154"/>
      <c r="M1096" s="154"/>
      <c r="N1096" s="154"/>
      <c r="O1096" s="246"/>
      <c r="P1096" s="1597"/>
      <c r="R1096" s="1598"/>
      <c r="S1096" s="557"/>
      <c r="T1096" s="1768"/>
      <c r="V1096" s="1769"/>
      <c r="X1096" s="1768"/>
      <c r="Z1096" s="1769"/>
      <c r="AA1096" s="557"/>
      <c r="AK1096" s="246"/>
    </row>
    <row r="1097" spans="2:37" ht="18" customHeight="1">
      <c r="B1097" s="199"/>
      <c r="D1097" s="154"/>
      <c r="F1097" s="154"/>
      <c r="G1097" s="217"/>
      <c r="I1097" s="673"/>
      <c r="J1097" s="209"/>
      <c r="K1097" s="520"/>
      <c r="L1097" s="154"/>
      <c r="M1097" s="154"/>
      <c r="N1097" s="154"/>
      <c r="O1097" s="246"/>
      <c r="P1097" s="1597"/>
      <c r="R1097" s="1598"/>
      <c r="S1097" s="557"/>
      <c r="T1097" s="1768"/>
      <c r="V1097" s="1769"/>
      <c r="X1097" s="1768"/>
      <c r="Z1097" s="1769"/>
      <c r="AA1097" s="557"/>
      <c r="AK1097" s="246"/>
    </row>
    <row r="1098" spans="2:37" ht="18" customHeight="1">
      <c r="B1098" s="199"/>
      <c r="D1098" s="154"/>
      <c r="F1098" s="154"/>
      <c r="G1098" s="217"/>
      <c r="I1098" s="673"/>
      <c r="J1098" s="209"/>
      <c r="K1098" s="520"/>
      <c r="L1098" s="154"/>
      <c r="M1098" s="154"/>
      <c r="N1098" s="154"/>
      <c r="O1098" s="246"/>
      <c r="P1098" s="1597"/>
      <c r="R1098" s="1598"/>
      <c r="S1098" s="557"/>
      <c r="T1098" s="1768"/>
      <c r="V1098" s="1769"/>
      <c r="X1098" s="1768"/>
      <c r="Z1098" s="1769"/>
      <c r="AA1098" s="557"/>
      <c r="AK1098" s="246"/>
    </row>
    <row r="1099" spans="2:37" ht="18" customHeight="1">
      <c r="B1099" s="199"/>
      <c r="D1099" s="154"/>
      <c r="F1099" s="154"/>
      <c r="G1099" s="217"/>
      <c r="I1099" s="673"/>
      <c r="J1099" s="209"/>
      <c r="K1099" s="520"/>
      <c r="L1099" s="154"/>
      <c r="M1099" s="154"/>
      <c r="N1099" s="154"/>
      <c r="O1099" s="246"/>
      <c r="P1099" s="1597"/>
      <c r="R1099" s="1598"/>
      <c r="S1099" s="557"/>
      <c r="T1099" s="1768"/>
      <c r="V1099" s="1769"/>
      <c r="X1099" s="1768"/>
      <c r="Z1099" s="1769"/>
      <c r="AA1099" s="557"/>
      <c r="AK1099" s="246"/>
    </row>
    <row r="1100" spans="2:37" ht="18" customHeight="1">
      <c r="B1100" s="199"/>
      <c r="D1100" s="154"/>
      <c r="F1100" s="154"/>
      <c r="G1100" s="217"/>
      <c r="I1100" s="673"/>
      <c r="J1100" s="209"/>
      <c r="K1100" s="520"/>
      <c r="L1100" s="154"/>
      <c r="M1100" s="154"/>
      <c r="N1100" s="154"/>
      <c r="O1100" s="246"/>
      <c r="P1100" s="1597"/>
      <c r="R1100" s="1598"/>
      <c r="S1100" s="557"/>
      <c r="T1100" s="1768"/>
      <c r="V1100" s="1769"/>
      <c r="X1100" s="1768"/>
      <c r="Z1100" s="1769"/>
      <c r="AA1100" s="557"/>
      <c r="AK1100" s="246"/>
    </row>
    <row r="1101" spans="2:37" ht="18" customHeight="1">
      <c r="B1101" s="199"/>
      <c r="D1101" s="154"/>
      <c r="F1101" s="154"/>
      <c r="G1101" s="217"/>
      <c r="I1101" s="673"/>
      <c r="J1101" s="209"/>
      <c r="K1101" s="520"/>
      <c r="L1101" s="154"/>
      <c r="M1101" s="154"/>
      <c r="N1101" s="154"/>
      <c r="O1101" s="246"/>
      <c r="P1101" s="1597"/>
      <c r="R1101" s="1598"/>
      <c r="S1101" s="557"/>
      <c r="T1101" s="1768"/>
      <c r="V1101" s="1769"/>
      <c r="X1101" s="1768"/>
      <c r="Z1101" s="1769"/>
      <c r="AA1101" s="557"/>
      <c r="AK1101" s="246"/>
    </row>
    <row r="1102" spans="2:37" ht="18" customHeight="1">
      <c r="B1102" s="199"/>
      <c r="D1102" s="154"/>
      <c r="F1102" s="154"/>
      <c r="G1102" s="217"/>
      <c r="I1102" s="673"/>
      <c r="J1102" s="209"/>
      <c r="K1102" s="520"/>
      <c r="L1102" s="154"/>
      <c r="M1102" s="154"/>
      <c r="N1102" s="154"/>
      <c r="O1102" s="246"/>
      <c r="P1102" s="1597"/>
      <c r="R1102" s="1598"/>
      <c r="S1102" s="557"/>
      <c r="T1102" s="1768"/>
      <c r="V1102" s="1769"/>
      <c r="X1102" s="1768"/>
      <c r="Z1102" s="1769"/>
      <c r="AA1102" s="557"/>
      <c r="AK1102" s="246"/>
    </row>
    <row r="1103" spans="2:37" ht="18" customHeight="1">
      <c r="B1103" s="199"/>
      <c r="D1103" s="154"/>
      <c r="F1103" s="154"/>
      <c r="G1103" s="217"/>
      <c r="I1103" s="673"/>
      <c r="J1103" s="209"/>
      <c r="K1103" s="520"/>
      <c r="L1103" s="154"/>
      <c r="M1103" s="154"/>
      <c r="N1103" s="154"/>
      <c r="O1103" s="246"/>
      <c r="P1103" s="1597"/>
      <c r="R1103" s="1598"/>
      <c r="S1103" s="557"/>
      <c r="T1103" s="1768"/>
      <c r="V1103" s="1769"/>
      <c r="X1103" s="1768"/>
      <c r="Z1103" s="1769"/>
      <c r="AA1103" s="557"/>
      <c r="AK1103" s="246"/>
    </row>
    <row r="1104" spans="2:37" ht="18" customHeight="1">
      <c r="B1104" s="199"/>
      <c r="D1104" s="154"/>
      <c r="F1104" s="154"/>
      <c r="G1104" s="217"/>
      <c r="I1104" s="673"/>
      <c r="J1104" s="209"/>
      <c r="K1104" s="520"/>
      <c r="L1104" s="154"/>
      <c r="M1104" s="154"/>
      <c r="N1104" s="154"/>
      <c r="O1104" s="246"/>
      <c r="P1104" s="1597"/>
      <c r="R1104" s="1598"/>
      <c r="S1104" s="557"/>
      <c r="T1104" s="1768"/>
      <c r="V1104" s="1769"/>
      <c r="X1104" s="1768"/>
      <c r="Z1104" s="1769"/>
      <c r="AA1104" s="557"/>
      <c r="AK1104" s="246"/>
    </row>
    <row r="1105" spans="2:37" ht="18" customHeight="1">
      <c r="B1105" s="199"/>
      <c r="D1105" s="154"/>
      <c r="F1105" s="154"/>
      <c r="G1105" s="217"/>
      <c r="I1105" s="673"/>
      <c r="J1105" s="209"/>
      <c r="K1105" s="520"/>
      <c r="L1105" s="154"/>
      <c r="M1105" s="154"/>
      <c r="N1105" s="154"/>
      <c r="O1105" s="246"/>
      <c r="P1105" s="1597"/>
      <c r="R1105" s="1598"/>
      <c r="S1105" s="557"/>
      <c r="T1105" s="1768"/>
      <c r="V1105" s="1769"/>
      <c r="X1105" s="1768"/>
      <c r="Z1105" s="1769"/>
      <c r="AA1105" s="557"/>
      <c r="AK1105" s="246"/>
    </row>
    <row r="1106" spans="2:37" ht="18" customHeight="1">
      <c r="B1106" s="199"/>
      <c r="D1106" s="154"/>
      <c r="F1106" s="154"/>
      <c r="G1106" s="217"/>
      <c r="I1106" s="673"/>
      <c r="J1106" s="209"/>
      <c r="K1106" s="520"/>
      <c r="L1106" s="154"/>
      <c r="M1106" s="154"/>
      <c r="N1106" s="154"/>
      <c r="O1106" s="246"/>
      <c r="P1106" s="1597"/>
      <c r="R1106" s="1598"/>
      <c r="S1106" s="557"/>
      <c r="T1106" s="1768"/>
      <c r="V1106" s="1769"/>
      <c r="X1106" s="1768"/>
      <c r="Z1106" s="1769"/>
      <c r="AA1106" s="557"/>
      <c r="AK1106" s="246"/>
    </row>
    <row r="1107" spans="2:37" ht="18" customHeight="1">
      <c r="B1107" s="199"/>
      <c r="D1107" s="154"/>
      <c r="F1107" s="154"/>
      <c r="G1107" s="217"/>
      <c r="I1107" s="673"/>
      <c r="J1107" s="209"/>
      <c r="K1107" s="520"/>
      <c r="L1107" s="154"/>
      <c r="M1107" s="154"/>
      <c r="N1107" s="154"/>
      <c r="O1107" s="246"/>
      <c r="P1107" s="1597"/>
      <c r="R1107" s="1598"/>
      <c r="S1107" s="557"/>
      <c r="T1107" s="1768"/>
      <c r="V1107" s="1769"/>
      <c r="X1107" s="1768"/>
      <c r="Z1107" s="1769"/>
      <c r="AA1107" s="557"/>
      <c r="AK1107" s="246"/>
    </row>
    <row r="1108" spans="2:37" ht="18" customHeight="1">
      <c r="B1108" s="199"/>
      <c r="D1108" s="154"/>
      <c r="F1108" s="154"/>
      <c r="G1108" s="217"/>
      <c r="I1108" s="673"/>
      <c r="J1108" s="209"/>
      <c r="K1108" s="520"/>
      <c r="L1108" s="154"/>
      <c r="M1108" s="154"/>
      <c r="N1108" s="154"/>
      <c r="O1108" s="246"/>
      <c r="P1108" s="1597"/>
      <c r="R1108" s="1598"/>
      <c r="S1108" s="557"/>
      <c r="T1108" s="1768"/>
      <c r="V1108" s="1769"/>
      <c r="X1108" s="1768"/>
      <c r="Z1108" s="1769"/>
      <c r="AA1108" s="557"/>
      <c r="AK1108" s="246"/>
    </row>
    <row r="1109" spans="2:37" ht="18" customHeight="1">
      <c r="B1109" s="199"/>
      <c r="D1109" s="154"/>
      <c r="F1109" s="154"/>
      <c r="G1109" s="217"/>
      <c r="I1109" s="673"/>
      <c r="J1109" s="209"/>
      <c r="K1109" s="520"/>
      <c r="L1109" s="154"/>
      <c r="M1109" s="154"/>
      <c r="N1109" s="154"/>
      <c r="O1109" s="246"/>
      <c r="P1109" s="1597"/>
      <c r="R1109" s="1598"/>
      <c r="S1109" s="557"/>
      <c r="T1109" s="1768"/>
      <c r="V1109" s="1769"/>
      <c r="X1109" s="1768"/>
      <c r="Z1109" s="1769"/>
      <c r="AA1109" s="557"/>
      <c r="AK1109" s="246"/>
    </row>
    <row r="1110" spans="2:37" ht="18" customHeight="1">
      <c r="B1110" s="199"/>
      <c r="D1110" s="154"/>
      <c r="F1110" s="154"/>
      <c r="G1110" s="217"/>
      <c r="I1110" s="673"/>
      <c r="J1110" s="209"/>
      <c r="K1110" s="520"/>
      <c r="L1110" s="154"/>
      <c r="M1110" s="154"/>
      <c r="N1110" s="154"/>
      <c r="O1110" s="246"/>
      <c r="P1110" s="1597"/>
      <c r="R1110" s="1598"/>
      <c r="S1110" s="557"/>
      <c r="T1110" s="1768"/>
      <c r="V1110" s="1769"/>
      <c r="X1110" s="1768"/>
      <c r="Z1110" s="1769"/>
      <c r="AA1110" s="557"/>
      <c r="AK1110" s="246"/>
    </row>
    <row r="1111" spans="2:37" ht="18" customHeight="1">
      <c r="B1111" s="199"/>
      <c r="D1111" s="154"/>
      <c r="F1111" s="154"/>
      <c r="G1111" s="217"/>
      <c r="I1111" s="673"/>
      <c r="J1111" s="209"/>
      <c r="K1111" s="520"/>
      <c r="L1111" s="154"/>
      <c r="M1111" s="154"/>
      <c r="N1111" s="154"/>
      <c r="O1111" s="246"/>
      <c r="P1111" s="1597"/>
      <c r="R1111" s="1598"/>
      <c r="S1111" s="557"/>
      <c r="T1111" s="1768"/>
      <c r="V1111" s="1769"/>
      <c r="X1111" s="1768"/>
      <c r="Z1111" s="1769"/>
      <c r="AA1111" s="557"/>
      <c r="AK1111" s="246"/>
    </row>
    <row r="1112" spans="2:37" ht="18" customHeight="1">
      <c r="B1112" s="199"/>
      <c r="D1112" s="154"/>
      <c r="F1112" s="154"/>
      <c r="G1112" s="217"/>
      <c r="I1112" s="673"/>
      <c r="J1112" s="209"/>
      <c r="K1112" s="520"/>
      <c r="L1112" s="154"/>
      <c r="M1112" s="154"/>
      <c r="N1112" s="154"/>
      <c r="O1112" s="246"/>
      <c r="P1112" s="1597"/>
      <c r="R1112" s="1598"/>
      <c r="S1112" s="557"/>
      <c r="T1112" s="1768"/>
      <c r="V1112" s="1769"/>
      <c r="X1112" s="1768"/>
      <c r="Z1112" s="1769"/>
      <c r="AA1112" s="557"/>
      <c r="AK1112" s="246"/>
    </row>
    <row r="1113" spans="2:37" ht="18" customHeight="1">
      <c r="B1113" s="199"/>
      <c r="D1113" s="154"/>
      <c r="F1113" s="154"/>
      <c r="G1113" s="217"/>
      <c r="I1113" s="673"/>
      <c r="J1113" s="209"/>
      <c r="K1113" s="520"/>
      <c r="L1113" s="154"/>
      <c r="M1113" s="154"/>
      <c r="N1113" s="154"/>
      <c r="O1113" s="246"/>
      <c r="P1113" s="1597"/>
      <c r="R1113" s="1598"/>
      <c r="S1113" s="557"/>
      <c r="T1113" s="1768"/>
      <c r="V1113" s="1769"/>
      <c r="X1113" s="1768"/>
      <c r="Z1113" s="1769"/>
      <c r="AA1113" s="557"/>
      <c r="AK1113" s="246"/>
    </row>
    <row r="1114" spans="2:37" ht="18" customHeight="1">
      <c r="B1114" s="199"/>
      <c r="D1114" s="154"/>
      <c r="F1114" s="154"/>
      <c r="G1114" s="217"/>
      <c r="I1114" s="673"/>
      <c r="J1114" s="209"/>
      <c r="K1114" s="520"/>
      <c r="L1114" s="154"/>
      <c r="M1114" s="154"/>
      <c r="N1114" s="154"/>
      <c r="O1114" s="246"/>
      <c r="P1114" s="1597"/>
      <c r="R1114" s="1598"/>
      <c r="S1114" s="557"/>
      <c r="T1114" s="1768"/>
      <c r="V1114" s="1769"/>
      <c r="X1114" s="1768"/>
      <c r="Z1114" s="1769"/>
      <c r="AA1114" s="557"/>
      <c r="AK1114" s="246"/>
    </row>
    <row r="1115" spans="2:37" ht="18" customHeight="1">
      <c r="B1115" s="199"/>
      <c r="D1115" s="154"/>
      <c r="F1115" s="154"/>
      <c r="G1115" s="217"/>
      <c r="I1115" s="673"/>
      <c r="J1115" s="209"/>
      <c r="K1115" s="520"/>
      <c r="L1115" s="154"/>
      <c r="M1115" s="154"/>
      <c r="N1115" s="154"/>
      <c r="O1115" s="246"/>
      <c r="P1115" s="1597"/>
      <c r="R1115" s="1598"/>
      <c r="S1115" s="557"/>
      <c r="T1115" s="1768"/>
      <c r="V1115" s="1769"/>
      <c r="X1115" s="1768"/>
      <c r="Z1115" s="1769"/>
      <c r="AA1115" s="557"/>
      <c r="AK1115" s="246"/>
    </row>
    <row r="1116" spans="2:37" ht="18" customHeight="1">
      <c r="B1116" s="199"/>
      <c r="D1116" s="154"/>
      <c r="F1116" s="154"/>
      <c r="G1116" s="217"/>
      <c r="I1116" s="673"/>
      <c r="J1116" s="209"/>
      <c r="K1116" s="520"/>
      <c r="L1116" s="154"/>
      <c r="M1116" s="154"/>
      <c r="N1116" s="154"/>
      <c r="O1116" s="246"/>
      <c r="P1116" s="1597"/>
      <c r="R1116" s="1598"/>
      <c r="S1116" s="557"/>
      <c r="T1116" s="1768"/>
      <c r="V1116" s="1769"/>
      <c r="X1116" s="1768"/>
      <c r="Z1116" s="1769"/>
      <c r="AA1116" s="557"/>
      <c r="AK1116" s="246"/>
    </row>
    <row r="1117" spans="2:37" ht="18" customHeight="1">
      <c r="B1117" s="199"/>
      <c r="D1117" s="154"/>
      <c r="F1117" s="154"/>
      <c r="G1117" s="217"/>
      <c r="I1117" s="673"/>
      <c r="J1117" s="209"/>
      <c r="K1117" s="520"/>
      <c r="L1117" s="154"/>
      <c r="M1117" s="154"/>
      <c r="N1117" s="154"/>
      <c r="O1117" s="246"/>
      <c r="P1117" s="1597"/>
      <c r="R1117" s="1598"/>
      <c r="S1117" s="557"/>
      <c r="T1117" s="1768"/>
      <c r="V1117" s="1769"/>
      <c r="X1117" s="1768"/>
      <c r="Z1117" s="1769"/>
      <c r="AA1117" s="557"/>
      <c r="AK1117" s="246"/>
    </row>
    <row r="1118" spans="2:37" ht="18" customHeight="1">
      <c r="B1118" s="199"/>
      <c r="D1118" s="154"/>
      <c r="F1118" s="154"/>
      <c r="G1118" s="217"/>
      <c r="I1118" s="673"/>
      <c r="J1118" s="209"/>
      <c r="K1118" s="520"/>
      <c r="L1118" s="154"/>
      <c r="M1118" s="154"/>
      <c r="N1118" s="154"/>
      <c r="O1118" s="246"/>
      <c r="P1118" s="1597"/>
      <c r="R1118" s="1598"/>
      <c r="S1118" s="557"/>
      <c r="T1118" s="1768"/>
      <c r="V1118" s="1769"/>
      <c r="X1118" s="1768"/>
      <c r="Z1118" s="1769"/>
      <c r="AA1118" s="557"/>
      <c r="AK1118" s="246"/>
    </row>
    <row r="1119" spans="2:37" ht="18" customHeight="1">
      <c r="B1119" s="199"/>
      <c r="D1119" s="154"/>
      <c r="F1119" s="154"/>
      <c r="G1119" s="217"/>
      <c r="I1119" s="673"/>
      <c r="J1119" s="209"/>
      <c r="K1119" s="520"/>
      <c r="L1119" s="154"/>
      <c r="M1119" s="154"/>
      <c r="N1119" s="154"/>
      <c r="O1119" s="246"/>
      <c r="P1119" s="1597"/>
      <c r="R1119" s="1598"/>
      <c r="S1119" s="557"/>
      <c r="T1119" s="1768"/>
      <c r="V1119" s="1769"/>
      <c r="X1119" s="1768"/>
      <c r="Z1119" s="1769"/>
      <c r="AA1119" s="557"/>
      <c r="AK1119" s="246"/>
    </row>
    <row r="1120" spans="2:37" ht="18" customHeight="1">
      <c r="B1120" s="199"/>
      <c r="D1120" s="154"/>
      <c r="F1120" s="154"/>
      <c r="G1120" s="217"/>
      <c r="I1120" s="673"/>
      <c r="J1120" s="209"/>
      <c r="K1120" s="520"/>
      <c r="L1120" s="154"/>
      <c r="M1120" s="154"/>
      <c r="N1120" s="154"/>
      <c r="O1120" s="246"/>
      <c r="P1120" s="1597"/>
      <c r="R1120" s="1598"/>
      <c r="S1120" s="557"/>
      <c r="T1120" s="1768"/>
      <c r="V1120" s="1769"/>
      <c r="X1120" s="1768"/>
      <c r="Z1120" s="1769"/>
      <c r="AA1120" s="557"/>
      <c r="AK1120" s="246"/>
    </row>
    <row r="1121" spans="2:37" ht="18" customHeight="1">
      <c r="B1121" s="199"/>
      <c r="D1121" s="154"/>
      <c r="F1121" s="154"/>
      <c r="G1121" s="217"/>
      <c r="I1121" s="673"/>
      <c r="J1121" s="209"/>
      <c r="K1121" s="520"/>
      <c r="L1121" s="154"/>
      <c r="M1121" s="154"/>
      <c r="N1121" s="154"/>
      <c r="O1121" s="246"/>
      <c r="P1121" s="1597"/>
      <c r="R1121" s="1598"/>
      <c r="S1121" s="557"/>
      <c r="T1121" s="1768"/>
      <c r="V1121" s="1769"/>
      <c r="X1121" s="1768"/>
      <c r="Z1121" s="1769"/>
      <c r="AA1121" s="557"/>
      <c r="AK1121" s="246"/>
    </row>
    <row r="1122" spans="2:37" ht="18" customHeight="1">
      <c r="B1122" s="199"/>
      <c r="D1122" s="154"/>
      <c r="F1122" s="154"/>
      <c r="G1122" s="217"/>
      <c r="I1122" s="673"/>
      <c r="J1122" s="209"/>
      <c r="K1122" s="520"/>
      <c r="L1122" s="154"/>
      <c r="M1122" s="154"/>
      <c r="N1122" s="154"/>
      <c r="O1122" s="246"/>
      <c r="P1122" s="1597"/>
      <c r="R1122" s="1598"/>
      <c r="S1122" s="557"/>
      <c r="T1122" s="1768"/>
      <c r="V1122" s="1769"/>
      <c r="X1122" s="1768"/>
      <c r="Z1122" s="1769"/>
      <c r="AA1122" s="557"/>
      <c r="AK1122" s="246"/>
    </row>
    <row r="1123" spans="2:37" ht="18" customHeight="1">
      <c r="B1123" s="199"/>
      <c r="D1123" s="154"/>
      <c r="F1123" s="154"/>
      <c r="G1123" s="217"/>
      <c r="I1123" s="673"/>
      <c r="J1123" s="209"/>
      <c r="K1123" s="520"/>
      <c r="L1123" s="154"/>
      <c r="M1123" s="154"/>
      <c r="N1123" s="154"/>
      <c r="O1123" s="246"/>
      <c r="P1123" s="1597"/>
      <c r="R1123" s="1598"/>
      <c r="S1123" s="557"/>
      <c r="T1123" s="1768"/>
      <c r="V1123" s="1769"/>
      <c r="X1123" s="1768"/>
      <c r="Z1123" s="1769"/>
      <c r="AA1123" s="557"/>
      <c r="AK1123" s="246"/>
    </row>
    <row r="1124" spans="2:37" ht="18" customHeight="1">
      <c r="B1124" s="199"/>
      <c r="D1124" s="154"/>
      <c r="F1124" s="154"/>
      <c r="G1124" s="217"/>
      <c r="I1124" s="673"/>
      <c r="J1124" s="209"/>
      <c r="K1124" s="520"/>
      <c r="L1124" s="154"/>
      <c r="M1124" s="154"/>
      <c r="N1124" s="154"/>
      <c r="O1124" s="246"/>
      <c r="P1124" s="1597"/>
      <c r="R1124" s="1598"/>
      <c r="S1124" s="557"/>
      <c r="T1124" s="1768"/>
      <c r="V1124" s="1769"/>
      <c r="X1124" s="1768"/>
      <c r="Z1124" s="1769"/>
      <c r="AA1124" s="557"/>
      <c r="AK1124" s="246"/>
    </row>
    <row r="1125" spans="2:37" ht="18" customHeight="1">
      <c r="B1125" s="199"/>
      <c r="D1125" s="154"/>
      <c r="F1125" s="154"/>
      <c r="G1125" s="217"/>
      <c r="I1125" s="673"/>
      <c r="J1125" s="209"/>
      <c r="K1125" s="520"/>
      <c r="L1125" s="154"/>
      <c r="M1125" s="154"/>
      <c r="N1125" s="154"/>
      <c r="O1125" s="246"/>
      <c r="P1125" s="1597"/>
      <c r="R1125" s="1598"/>
      <c r="S1125" s="557"/>
      <c r="T1125" s="1768"/>
      <c r="V1125" s="1769"/>
      <c r="X1125" s="1768"/>
      <c r="Z1125" s="1769"/>
      <c r="AA1125" s="557"/>
      <c r="AK1125" s="246"/>
    </row>
    <row r="1126" spans="2:37" ht="18" customHeight="1">
      <c r="B1126" s="199"/>
      <c r="D1126" s="154"/>
      <c r="F1126" s="154"/>
      <c r="G1126" s="217"/>
      <c r="I1126" s="673"/>
      <c r="J1126" s="209"/>
      <c r="K1126" s="520"/>
      <c r="L1126" s="154"/>
      <c r="M1126" s="154"/>
      <c r="N1126" s="154"/>
      <c r="O1126" s="246"/>
      <c r="P1126" s="1597"/>
      <c r="R1126" s="1598"/>
      <c r="S1126" s="557"/>
      <c r="T1126" s="1768"/>
      <c r="V1126" s="1769"/>
      <c r="X1126" s="1768"/>
      <c r="Z1126" s="1769"/>
      <c r="AA1126" s="557"/>
      <c r="AK1126" s="246"/>
    </row>
    <row r="1127" spans="2:37" ht="18" customHeight="1">
      <c r="B1127" s="199"/>
      <c r="D1127" s="154"/>
      <c r="F1127" s="154"/>
      <c r="G1127" s="217"/>
      <c r="I1127" s="673"/>
      <c r="J1127" s="209"/>
      <c r="K1127" s="520"/>
      <c r="L1127" s="154"/>
      <c r="M1127" s="154"/>
      <c r="N1127" s="154"/>
      <c r="O1127" s="246"/>
      <c r="P1127" s="1597"/>
      <c r="R1127" s="1598"/>
      <c r="S1127" s="557"/>
      <c r="T1127" s="1768"/>
      <c r="V1127" s="1769"/>
      <c r="X1127" s="1768"/>
      <c r="Z1127" s="1769"/>
      <c r="AA1127" s="557"/>
      <c r="AK1127" s="246"/>
    </row>
    <row r="1128" spans="2:37" ht="18" customHeight="1">
      <c r="B1128" s="199"/>
      <c r="D1128" s="154"/>
      <c r="F1128" s="154"/>
      <c r="G1128" s="217"/>
      <c r="I1128" s="673"/>
      <c r="J1128" s="209"/>
      <c r="K1128" s="520"/>
      <c r="L1128" s="154"/>
      <c r="M1128" s="154"/>
      <c r="N1128" s="154"/>
      <c r="O1128" s="246"/>
      <c r="P1128" s="1597"/>
      <c r="R1128" s="1598"/>
      <c r="S1128" s="557"/>
      <c r="T1128" s="1768"/>
      <c r="V1128" s="1769"/>
      <c r="X1128" s="1768"/>
      <c r="Z1128" s="1769"/>
      <c r="AA1128" s="557"/>
      <c r="AK1128" s="246"/>
    </row>
    <row r="1129" spans="2:37" ht="18" customHeight="1">
      <c r="B1129" s="199"/>
      <c r="D1129" s="154"/>
      <c r="F1129" s="154"/>
      <c r="G1129" s="217"/>
      <c r="I1129" s="673"/>
      <c r="J1129" s="209"/>
      <c r="K1129" s="520"/>
      <c r="L1129" s="154"/>
      <c r="M1129" s="154"/>
      <c r="N1129" s="154"/>
      <c r="O1129" s="246"/>
      <c r="P1129" s="1597"/>
      <c r="R1129" s="1598"/>
      <c r="S1129" s="557"/>
      <c r="T1129" s="1768"/>
      <c r="V1129" s="1769"/>
      <c r="X1129" s="1768"/>
      <c r="Z1129" s="1769"/>
      <c r="AA1129" s="557"/>
      <c r="AK1129" s="246"/>
    </row>
    <row r="1130" spans="2:37" ht="18" customHeight="1">
      <c r="B1130" s="199"/>
      <c r="D1130" s="154"/>
      <c r="F1130" s="154"/>
      <c r="G1130" s="217"/>
      <c r="I1130" s="673"/>
      <c r="J1130" s="209"/>
      <c r="K1130" s="520"/>
      <c r="L1130" s="154"/>
      <c r="M1130" s="154"/>
      <c r="N1130" s="154"/>
      <c r="O1130" s="246"/>
      <c r="P1130" s="1597"/>
      <c r="R1130" s="1598"/>
      <c r="S1130" s="557"/>
      <c r="T1130" s="1768"/>
      <c r="V1130" s="1769"/>
      <c r="X1130" s="1768"/>
      <c r="Z1130" s="1769"/>
      <c r="AA1130" s="557"/>
      <c r="AK1130" s="246"/>
    </row>
    <row r="1131" spans="2:37" ht="18" customHeight="1">
      <c r="B1131" s="199"/>
      <c r="D1131" s="154"/>
      <c r="F1131" s="154"/>
      <c r="G1131" s="217"/>
      <c r="I1131" s="673"/>
      <c r="J1131" s="209"/>
      <c r="K1131" s="520"/>
      <c r="L1131" s="154"/>
      <c r="M1131" s="154"/>
      <c r="N1131" s="154"/>
      <c r="O1131" s="246"/>
      <c r="P1131" s="1597"/>
      <c r="R1131" s="1598"/>
      <c r="S1131" s="557"/>
      <c r="T1131" s="1768"/>
      <c r="V1131" s="1769"/>
      <c r="X1131" s="1768"/>
      <c r="Z1131" s="1769"/>
      <c r="AA1131" s="557"/>
      <c r="AK1131" s="246"/>
    </row>
    <row r="1132" spans="2:37" ht="18" customHeight="1">
      <c r="B1132" s="199"/>
      <c r="D1132" s="154"/>
      <c r="F1132" s="154"/>
      <c r="G1132" s="217"/>
      <c r="I1132" s="673"/>
      <c r="J1132" s="209"/>
      <c r="K1132" s="520"/>
      <c r="L1132" s="154"/>
      <c r="M1132" s="154"/>
      <c r="N1132" s="154"/>
      <c r="O1132" s="246"/>
      <c r="P1132" s="1597"/>
      <c r="R1132" s="1598"/>
      <c r="S1132" s="557"/>
      <c r="T1132" s="1768"/>
      <c r="V1132" s="1769"/>
      <c r="X1132" s="1768"/>
      <c r="Z1132" s="1769"/>
      <c r="AA1132" s="557"/>
      <c r="AK1132" s="246"/>
    </row>
    <row r="1133" spans="2:37" ht="18" customHeight="1">
      <c r="B1133" s="199"/>
      <c r="D1133" s="154"/>
      <c r="F1133" s="154"/>
      <c r="G1133" s="217"/>
      <c r="I1133" s="673"/>
      <c r="J1133" s="209"/>
      <c r="K1133" s="520"/>
      <c r="L1133" s="154"/>
      <c r="M1133" s="154"/>
      <c r="N1133" s="154"/>
      <c r="O1133" s="246"/>
      <c r="P1133" s="1597"/>
      <c r="R1133" s="1598"/>
      <c r="S1133" s="557"/>
      <c r="T1133" s="1768"/>
      <c r="V1133" s="1769"/>
      <c r="X1133" s="1768"/>
      <c r="Z1133" s="1769"/>
      <c r="AA1133" s="557"/>
      <c r="AK1133" s="246"/>
    </row>
    <row r="1134" spans="2:37" ht="18" customHeight="1">
      <c r="B1134" s="199"/>
      <c r="D1134" s="154"/>
      <c r="F1134" s="154"/>
      <c r="G1134" s="217"/>
      <c r="I1134" s="673"/>
      <c r="J1134" s="209"/>
      <c r="K1134" s="520"/>
      <c r="L1134" s="154"/>
      <c r="M1134" s="154"/>
      <c r="N1134" s="154"/>
      <c r="O1134" s="246"/>
      <c r="P1134" s="1597"/>
      <c r="R1134" s="1598"/>
      <c r="S1134" s="557"/>
      <c r="T1134" s="1768"/>
      <c r="V1134" s="1769"/>
      <c r="X1134" s="1768"/>
      <c r="Z1134" s="1769"/>
      <c r="AA1134" s="557"/>
      <c r="AK1134" s="246"/>
    </row>
    <row r="1135" spans="2:37" ht="18" customHeight="1">
      <c r="B1135" s="199"/>
      <c r="D1135" s="154"/>
      <c r="F1135" s="154"/>
      <c r="G1135" s="217"/>
      <c r="I1135" s="673"/>
      <c r="J1135" s="209"/>
      <c r="K1135" s="520"/>
      <c r="L1135" s="154"/>
      <c r="M1135" s="154"/>
      <c r="N1135" s="154"/>
      <c r="O1135" s="246"/>
      <c r="P1135" s="1597"/>
      <c r="R1135" s="1598"/>
      <c r="S1135" s="557"/>
      <c r="T1135" s="1768"/>
      <c r="V1135" s="1769"/>
      <c r="X1135" s="1768"/>
      <c r="Z1135" s="1769"/>
      <c r="AA1135" s="557"/>
      <c r="AK1135" s="246"/>
    </row>
    <row r="1136" spans="2:37" ht="18" customHeight="1">
      <c r="B1136" s="199"/>
      <c r="D1136" s="154"/>
      <c r="F1136" s="154"/>
      <c r="G1136" s="217"/>
      <c r="I1136" s="673"/>
      <c r="J1136" s="209"/>
      <c r="K1136" s="520"/>
      <c r="L1136" s="154"/>
      <c r="M1136" s="154"/>
      <c r="N1136" s="154"/>
      <c r="O1136" s="246"/>
      <c r="P1136" s="1597"/>
      <c r="R1136" s="1598"/>
      <c r="S1136" s="557"/>
      <c r="T1136" s="1768"/>
      <c r="V1136" s="1769"/>
      <c r="X1136" s="1768"/>
      <c r="Z1136" s="1769"/>
      <c r="AA1136" s="557"/>
      <c r="AK1136" s="246"/>
    </row>
    <row r="1137" spans="2:37" ht="18" customHeight="1">
      <c r="B1137" s="199"/>
      <c r="D1137" s="154"/>
      <c r="F1137" s="154"/>
      <c r="G1137" s="217"/>
      <c r="I1137" s="673"/>
      <c r="J1137" s="209"/>
      <c r="K1137" s="520"/>
      <c r="L1137" s="154"/>
      <c r="M1137" s="154"/>
      <c r="N1137" s="154"/>
      <c r="O1137" s="246"/>
      <c r="P1137" s="1597"/>
      <c r="R1137" s="1598"/>
      <c r="S1137" s="557"/>
      <c r="T1137" s="1768"/>
      <c r="V1137" s="1769"/>
      <c r="X1137" s="1768"/>
      <c r="Z1137" s="1769"/>
      <c r="AA1137" s="557"/>
      <c r="AK1137" s="246"/>
    </row>
    <row r="1138" spans="2:37" ht="18" customHeight="1">
      <c r="B1138" s="199"/>
      <c r="D1138" s="154"/>
      <c r="F1138" s="154"/>
      <c r="G1138" s="217"/>
      <c r="I1138" s="673"/>
      <c r="J1138" s="209"/>
      <c r="K1138" s="520"/>
      <c r="L1138" s="154"/>
      <c r="M1138" s="154"/>
      <c r="N1138" s="154"/>
      <c r="O1138" s="246"/>
      <c r="P1138" s="1597"/>
      <c r="R1138" s="1598"/>
      <c r="S1138" s="557"/>
      <c r="T1138" s="1768"/>
      <c r="V1138" s="1769"/>
      <c r="X1138" s="1768"/>
      <c r="Z1138" s="1769"/>
      <c r="AA1138" s="557"/>
      <c r="AK1138" s="246"/>
    </row>
    <row r="1139" spans="2:37" ht="18" customHeight="1">
      <c r="B1139" s="199"/>
      <c r="D1139" s="154"/>
      <c r="F1139" s="154"/>
      <c r="G1139" s="217"/>
      <c r="I1139" s="673"/>
      <c r="J1139" s="209"/>
      <c r="K1139" s="520"/>
      <c r="L1139" s="154"/>
      <c r="M1139" s="154"/>
      <c r="N1139" s="154"/>
      <c r="O1139" s="246"/>
      <c r="P1139" s="1597"/>
      <c r="R1139" s="1598"/>
      <c r="S1139" s="557"/>
      <c r="T1139" s="1768"/>
      <c r="V1139" s="1769"/>
      <c r="X1139" s="1768"/>
      <c r="Z1139" s="1769"/>
      <c r="AA1139" s="557"/>
      <c r="AK1139" s="246"/>
    </row>
    <row r="1140" spans="2:37" ht="18" customHeight="1">
      <c r="B1140" s="199"/>
      <c r="D1140" s="154"/>
      <c r="F1140" s="154"/>
      <c r="G1140" s="217"/>
      <c r="I1140" s="673"/>
      <c r="J1140" s="209"/>
      <c r="K1140" s="520"/>
      <c r="L1140" s="154"/>
      <c r="M1140" s="154"/>
      <c r="N1140" s="154"/>
      <c r="O1140" s="246"/>
      <c r="P1140" s="1597"/>
      <c r="R1140" s="1598"/>
      <c r="S1140" s="557"/>
      <c r="T1140" s="1768"/>
      <c r="V1140" s="1769"/>
      <c r="X1140" s="1768"/>
      <c r="Z1140" s="1769"/>
      <c r="AA1140" s="557"/>
      <c r="AK1140" s="246"/>
    </row>
    <row r="1141" spans="2:37" ht="18" customHeight="1">
      <c r="B1141" s="199"/>
      <c r="D1141" s="154"/>
      <c r="F1141" s="154"/>
      <c r="G1141" s="217"/>
      <c r="I1141" s="673"/>
      <c r="J1141" s="209"/>
      <c r="K1141" s="520"/>
      <c r="L1141" s="154"/>
      <c r="M1141" s="154"/>
      <c r="N1141" s="154"/>
      <c r="O1141" s="246"/>
      <c r="P1141" s="1597"/>
      <c r="R1141" s="1598"/>
      <c r="S1141" s="557"/>
      <c r="T1141" s="1768"/>
      <c r="V1141" s="1769"/>
      <c r="X1141" s="1768"/>
      <c r="Z1141" s="1769"/>
      <c r="AA1141" s="557"/>
      <c r="AK1141" s="246"/>
    </row>
    <row r="1142" spans="2:37" ht="18" customHeight="1">
      <c r="B1142" s="199"/>
      <c r="D1142" s="154"/>
      <c r="F1142" s="154"/>
      <c r="G1142" s="217"/>
      <c r="I1142" s="673"/>
      <c r="J1142" s="209"/>
      <c r="K1142" s="520"/>
      <c r="L1142" s="154"/>
      <c r="M1142" s="154"/>
      <c r="N1142" s="154"/>
      <c r="O1142" s="246"/>
      <c r="P1142" s="1597"/>
      <c r="R1142" s="1598"/>
      <c r="S1142" s="557"/>
      <c r="T1142" s="1768"/>
      <c r="V1142" s="1769"/>
      <c r="X1142" s="1768"/>
      <c r="Z1142" s="1769"/>
      <c r="AA1142" s="557"/>
      <c r="AK1142" s="246"/>
    </row>
    <row r="1143" spans="2:37" ht="18" customHeight="1">
      <c r="B1143" s="199"/>
      <c r="D1143" s="154"/>
      <c r="F1143" s="154"/>
      <c r="G1143" s="217"/>
      <c r="I1143" s="673"/>
      <c r="J1143" s="209"/>
      <c r="K1143" s="520"/>
      <c r="L1143" s="154"/>
      <c r="M1143" s="154"/>
      <c r="N1143" s="154"/>
      <c r="O1143" s="246"/>
      <c r="P1143" s="1597"/>
      <c r="R1143" s="1598"/>
      <c r="S1143" s="557"/>
      <c r="T1143" s="1768"/>
      <c r="V1143" s="1769"/>
      <c r="X1143" s="1768"/>
      <c r="Z1143" s="1769"/>
      <c r="AA1143" s="557"/>
      <c r="AK1143" s="246"/>
    </row>
    <row r="1144" spans="2:37" ht="18" customHeight="1">
      <c r="B1144" s="199"/>
      <c r="D1144" s="154"/>
      <c r="F1144" s="154"/>
      <c r="G1144" s="217"/>
      <c r="I1144" s="673"/>
      <c r="J1144" s="209"/>
      <c r="K1144" s="520"/>
      <c r="L1144" s="154"/>
      <c r="M1144" s="154"/>
      <c r="N1144" s="154"/>
      <c r="O1144" s="246"/>
      <c r="P1144" s="1597"/>
      <c r="R1144" s="1598"/>
      <c r="S1144" s="557"/>
      <c r="T1144" s="1768"/>
      <c r="V1144" s="1769"/>
      <c r="X1144" s="1768"/>
      <c r="Z1144" s="1769"/>
      <c r="AA1144" s="557"/>
      <c r="AK1144" s="246"/>
    </row>
    <row r="1145" spans="2:37" ht="18" customHeight="1">
      <c r="B1145" s="199"/>
      <c r="D1145" s="154"/>
      <c r="F1145" s="154"/>
      <c r="G1145" s="217"/>
      <c r="I1145" s="673"/>
      <c r="J1145" s="209"/>
      <c r="K1145" s="520"/>
      <c r="L1145" s="154"/>
      <c r="M1145" s="154"/>
      <c r="N1145" s="154"/>
      <c r="O1145" s="246"/>
      <c r="P1145" s="1597"/>
      <c r="R1145" s="1598"/>
      <c r="S1145" s="557"/>
      <c r="T1145" s="1768"/>
      <c r="V1145" s="1769"/>
      <c r="X1145" s="1768"/>
      <c r="Z1145" s="1769"/>
      <c r="AA1145" s="557"/>
      <c r="AK1145" s="246"/>
    </row>
    <row r="1146" spans="2:37" ht="18" customHeight="1">
      <c r="B1146" s="199"/>
      <c r="D1146" s="154"/>
      <c r="F1146" s="154"/>
      <c r="G1146" s="217"/>
      <c r="I1146" s="673"/>
      <c r="J1146" s="209"/>
      <c r="K1146" s="520"/>
      <c r="L1146" s="154"/>
      <c r="M1146" s="154"/>
      <c r="N1146" s="154"/>
      <c r="O1146" s="246"/>
      <c r="P1146" s="1597"/>
      <c r="R1146" s="1598"/>
      <c r="S1146" s="557"/>
      <c r="T1146" s="1768"/>
      <c r="V1146" s="1769"/>
      <c r="X1146" s="1768"/>
      <c r="Z1146" s="1769"/>
      <c r="AA1146" s="557"/>
      <c r="AK1146" s="246"/>
    </row>
    <row r="1147" spans="2:37" ht="18" customHeight="1">
      <c r="B1147" s="199"/>
      <c r="D1147" s="154"/>
      <c r="F1147" s="154"/>
      <c r="G1147" s="217"/>
      <c r="I1147" s="673"/>
      <c r="J1147" s="209"/>
      <c r="K1147" s="520"/>
      <c r="L1147" s="154"/>
      <c r="M1147" s="154"/>
      <c r="N1147" s="154"/>
      <c r="O1147" s="246"/>
      <c r="P1147" s="1597"/>
      <c r="R1147" s="1598"/>
      <c r="S1147" s="557"/>
      <c r="T1147" s="1768"/>
      <c r="V1147" s="1769"/>
      <c r="X1147" s="1768"/>
      <c r="Z1147" s="1769"/>
      <c r="AA1147" s="557"/>
      <c r="AK1147" s="246"/>
    </row>
    <row r="1148" spans="2:37" ht="18" customHeight="1">
      <c r="B1148" s="199"/>
      <c r="D1148" s="154"/>
      <c r="F1148" s="154"/>
      <c r="G1148" s="217"/>
      <c r="I1148" s="673"/>
      <c r="J1148" s="209"/>
      <c r="K1148" s="520"/>
      <c r="L1148" s="154"/>
      <c r="M1148" s="154"/>
      <c r="N1148" s="154"/>
      <c r="O1148" s="246"/>
      <c r="P1148" s="1597"/>
      <c r="R1148" s="1598"/>
      <c r="S1148" s="557"/>
      <c r="T1148" s="1768"/>
      <c r="V1148" s="1769"/>
      <c r="X1148" s="1768"/>
      <c r="Z1148" s="1769"/>
      <c r="AA1148" s="557"/>
      <c r="AK1148" s="246"/>
    </row>
    <row r="1149" spans="2:37" ht="18" customHeight="1">
      <c r="B1149" s="199"/>
      <c r="D1149" s="154"/>
      <c r="F1149" s="154"/>
      <c r="G1149" s="217"/>
      <c r="I1149" s="673"/>
      <c r="J1149" s="209"/>
      <c r="K1149" s="520"/>
      <c r="L1149" s="154"/>
      <c r="M1149" s="154"/>
      <c r="N1149" s="154"/>
      <c r="O1149" s="246"/>
      <c r="P1149" s="1597"/>
      <c r="R1149" s="1598"/>
      <c r="S1149" s="557"/>
      <c r="T1149" s="1768"/>
      <c r="V1149" s="1769"/>
      <c r="X1149" s="1768"/>
      <c r="Z1149" s="1769"/>
      <c r="AA1149" s="557"/>
      <c r="AK1149" s="246"/>
    </row>
    <row r="1150" spans="2:37" ht="18" customHeight="1">
      <c r="B1150" s="199"/>
      <c r="D1150" s="154"/>
      <c r="F1150" s="154"/>
      <c r="G1150" s="217"/>
      <c r="I1150" s="673"/>
      <c r="J1150" s="209"/>
      <c r="K1150" s="520"/>
      <c r="L1150" s="154"/>
      <c r="M1150" s="154"/>
      <c r="N1150" s="154"/>
      <c r="O1150" s="246"/>
      <c r="P1150" s="1597"/>
      <c r="R1150" s="1598"/>
      <c r="S1150" s="557"/>
      <c r="T1150" s="1768"/>
      <c r="V1150" s="1769"/>
      <c r="X1150" s="1768"/>
      <c r="Z1150" s="1769"/>
      <c r="AA1150" s="557"/>
      <c r="AK1150" s="246"/>
    </row>
    <row r="1151" spans="2:37" ht="18" customHeight="1">
      <c r="B1151" s="199"/>
      <c r="D1151" s="154"/>
      <c r="F1151" s="154"/>
      <c r="G1151" s="217"/>
      <c r="I1151" s="673"/>
      <c r="J1151" s="209"/>
      <c r="K1151" s="520"/>
      <c r="L1151" s="154"/>
      <c r="M1151" s="154"/>
      <c r="N1151" s="154"/>
      <c r="O1151" s="246"/>
      <c r="P1151" s="1597"/>
      <c r="R1151" s="1598"/>
      <c r="S1151" s="557"/>
      <c r="T1151" s="1768"/>
      <c r="V1151" s="1769"/>
      <c r="X1151" s="1768"/>
      <c r="Z1151" s="1769"/>
      <c r="AA1151" s="557"/>
      <c r="AK1151" s="246"/>
    </row>
    <row r="1152" spans="2:37" ht="18" customHeight="1">
      <c r="B1152" s="199"/>
      <c r="D1152" s="154"/>
      <c r="F1152" s="154"/>
      <c r="G1152" s="217"/>
      <c r="I1152" s="673"/>
      <c r="J1152" s="209"/>
      <c r="K1152" s="520"/>
      <c r="L1152" s="154"/>
      <c r="M1152" s="154"/>
      <c r="N1152" s="154"/>
      <c r="O1152" s="246"/>
      <c r="P1152" s="1597"/>
      <c r="R1152" s="1598"/>
      <c r="S1152" s="557"/>
      <c r="T1152" s="1768"/>
      <c r="V1152" s="1769"/>
      <c r="X1152" s="1768"/>
      <c r="Z1152" s="1769"/>
      <c r="AA1152" s="557"/>
      <c r="AK1152" s="246"/>
    </row>
    <row r="1153" spans="2:37" ht="18" customHeight="1">
      <c r="B1153" s="199"/>
      <c r="D1153" s="154"/>
      <c r="F1153" s="154"/>
      <c r="G1153" s="217"/>
      <c r="I1153" s="673"/>
      <c r="J1153" s="209"/>
      <c r="K1153" s="520"/>
      <c r="L1153" s="154"/>
      <c r="M1153" s="154"/>
      <c r="N1153" s="154"/>
      <c r="O1153" s="246"/>
      <c r="P1153" s="1597"/>
      <c r="R1153" s="1598"/>
      <c r="S1153" s="557"/>
      <c r="T1153" s="1768"/>
      <c r="V1153" s="1769"/>
      <c r="X1153" s="1768"/>
      <c r="Z1153" s="1769"/>
      <c r="AA1153" s="557"/>
      <c r="AK1153" s="246"/>
    </row>
    <row r="1154" spans="2:37" ht="18" customHeight="1">
      <c r="B1154" s="199"/>
      <c r="D1154" s="154"/>
      <c r="F1154" s="154"/>
      <c r="G1154" s="217"/>
      <c r="I1154" s="673"/>
      <c r="J1154" s="209"/>
      <c r="K1154" s="520"/>
      <c r="L1154" s="154"/>
      <c r="M1154" s="154"/>
      <c r="N1154" s="154"/>
      <c r="O1154" s="246"/>
      <c r="P1154" s="1597"/>
      <c r="R1154" s="1598"/>
      <c r="S1154" s="557"/>
      <c r="T1154" s="1768"/>
      <c r="V1154" s="1769"/>
      <c r="X1154" s="1768"/>
      <c r="Z1154" s="1769"/>
      <c r="AA1154" s="557"/>
      <c r="AK1154" s="246"/>
    </row>
    <row r="1155" spans="2:37" ht="18" customHeight="1">
      <c r="B1155" s="199"/>
      <c r="D1155" s="154"/>
      <c r="F1155" s="154"/>
      <c r="G1155" s="217"/>
      <c r="I1155" s="673"/>
      <c r="J1155" s="209"/>
      <c r="K1155" s="520"/>
      <c r="L1155" s="154"/>
      <c r="M1155" s="154"/>
      <c r="N1155" s="154"/>
      <c r="O1155" s="246"/>
      <c r="P1155" s="1597"/>
      <c r="R1155" s="1598"/>
      <c r="S1155" s="557"/>
      <c r="T1155" s="1768"/>
      <c r="V1155" s="1769"/>
      <c r="X1155" s="1768"/>
      <c r="Z1155" s="1769"/>
      <c r="AA1155" s="557"/>
      <c r="AK1155" s="246"/>
    </row>
    <row r="1156" spans="2:37" ht="18" customHeight="1">
      <c r="B1156" s="199"/>
      <c r="D1156" s="154"/>
      <c r="F1156" s="154"/>
      <c r="G1156" s="217"/>
      <c r="I1156" s="673"/>
      <c r="J1156" s="209"/>
      <c r="K1156" s="520"/>
      <c r="L1156" s="154"/>
      <c r="M1156" s="154"/>
      <c r="N1156" s="154"/>
      <c r="O1156" s="246"/>
      <c r="P1156" s="1597"/>
      <c r="R1156" s="1598"/>
      <c r="S1156" s="557"/>
      <c r="T1156" s="1768"/>
      <c r="V1156" s="1769"/>
      <c r="X1156" s="1768"/>
      <c r="Z1156" s="1769"/>
      <c r="AA1156" s="557"/>
      <c r="AK1156" s="246"/>
    </row>
    <row r="1157" spans="2:37" ht="18" customHeight="1">
      <c r="B1157" s="199"/>
      <c r="D1157" s="154"/>
      <c r="F1157" s="154"/>
      <c r="G1157" s="217"/>
      <c r="I1157" s="673"/>
      <c r="J1157" s="209"/>
      <c r="K1157" s="520"/>
      <c r="L1157" s="154"/>
      <c r="M1157" s="154"/>
      <c r="N1157" s="154"/>
      <c r="O1157" s="246"/>
      <c r="P1157" s="1597"/>
      <c r="R1157" s="1598"/>
      <c r="S1157" s="557"/>
      <c r="T1157" s="1768"/>
      <c r="V1157" s="1769"/>
      <c r="X1157" s="1768"/>
      <c r="Z1157" s="1769"/>
      <c r="AA1157" s="557"/>
      <c r="AK1157" s="246"/>
    </row>
    <row r="1158" spans="2:37" ht="18" customHeight="1">
      <c r="B1158" s="199"/>
      <c r="D1158" s="154"/>
      <c r="F1158" s="154"/>
      <c r="G1158" s="217"/>
      <c r="I1158" s="673"/>
      <c r="J1158" s="209"/>
      <c r="K1158" s="520"/>
      <c r="L1158" s="154"/>
      <c r="M1158" s="154"/>
      <c r="N1158" s="154"/>
      <c r="O1158" s="246"/>
      <c r="P1158" s="1597"/>
      <c r="R1158" s="1598"/>
      <c r="S1158" s="557"/>
      <c r="T1158" s="1768"/>
      <c r="V1158" s="1769"/>
      <c r="X1158" s="1768"/>
      <c r="Z1158" s="1769"/>
      <c r="AA1158" s="557"/>
      <c r="AK1158" s="246"/>
    </row>
    <row r="1159" spans="2:37" ht="18" customHeight="1">
      <c r="B1159" s="199"/>
      <c r="D1159" s="154"/>
      <c r="F1159" s="154"/>
      <c r="G1159" s="217"/>
      <c r="I1159" s="673"/>
      <c r="J1159" s="209"/>
      <c r="K1159" s="520"/>
      <c r="L1159" s="154"/>
      <c r="M1159" s="154"/>
      <c r="N1159" s="154"/>
      <c r="O1159" s="246"/>
      <c r="P1159" s="1597"/>
      <c r="R1159" s="1598"/>
      <c r="S1159" s="557"/>
      <c r="T1159" s="1768"/>
      <c r="V1159" s="1769"/>
      <c r="X1159" s="1768"/>
      <c r="Z1159" s="1769"/>
      <c r="AA1159" s="557"/>
      <c r="AK1159" s="246"/>
    </row>
    <row r="1160" spans="2:37" ht="18" customHeight="1">
      <c r="B1160" s="199"/>
      <c r="D1160" s="154"/>
      <c r="F1160" s="154"/>
      <c r="G1160" s="217"/>
      <c r="I1160" s="673"/>
      <c r="J1160" s="209"/>
      <c r="K1160" s="520"/>
      <c r="L1160" s="154"/>
      <c r="M1160" s="154"/>
      <c r="N1160" s="154"/>
      <c r="O1160" s="246"/>
      <c r="P1160" s="1597"/>
      <c r="R1160" s="1598"/>
      <c r="S1160" s="557"/>
      <c r="T1160" s="1768"/>
      <c r="V1160" s="1769"/>
      <c r="X1160" s="1768"/>
      <c r="Z1160" s="1769"/>
      <c r="AA1160" s="557"/>
      <c r="AK1160" s="246"/>
    </row>
    <row r="1161" spans="2:37" ht="18" customHeight="1">
      <c r="B1161" s="199"/>
      <c r="D1161" s="154"/>
      <c r="F1161" s="154"/>
      <c r="G1161" s="217"/>
      <c r="I1161" s="673"/>
      <c r="J1161" s="209"/>
      <c r="K1161" s="520"/>
      <c r="L1161" s="154"/>
      <c r="M1161" s="154"/>
      <c r="N1161" s="154"/>
      <c r="O1161" s="246"/>
      <c r="P1161" s="1597"/>
      <c r="R1161" s="1598"/>
      <c r="S1161" s="557"/>
      <c r="T1161" s="1768"/>
      <c r="V1161" s="1769"/>
      <c r="X1161" s="1768"/>
      <c r="Z1161" s="1769"/>
      <c r="AA1161" s="557"/>
      <c r="AK1161" s="246"/>
    </row>
    <row r="1162" spans="2:37" ht="18" customHeight="1">
      <c r="B1162" s="199"/>
      <c r="D1162" s="154"/>
      <c r="F1162" s="154"/>
      <c r="G1162" s="217"/>
      <c r="I1162" s="673"/>
      <c r="J1162" s="209"/>
      <c r="K1162" s="520"/>
      <c r="L1162" s="154"/>
      <c r="M1162" s="154"/>
      <c r="N1162" s="154"/>
      <c r="O1162" s="246"/>
      <c r="P1162" s="1597"/>
      <c r="R1162" s="1598"/>
      <c r="S1162" s="557"/>
      <c r="T1162" s="1768"/>
      <c r="V1162" s="1769"/>
      <c r="X1162" s="1768"/>
      <c r="Z1162" s="1769"/>
      <c r="AA1162" s="557"/>
      <c r="AK1162" s="246"/>
    </row>
    <row r="1163" spans="2:37" ht="18" customHeight="1">
      <c r="B1163" s="199"/>
      <c r="D1163" s="154"/>
      <c r="F1163" s="154"/>
      <c r="G1163" s="217"/>
      <c r="I1163" s="673"/>
      <c r="J1163" s="209"/>
      <c r="K1163" s="520"/>
      <c r="L1163" s="154"/>
      <c r="M1163" s="154"/>
      <c r="N1163" s="154"/>
      <c r="O1163" s="246"/>
      <c r="P1163" s="1597"/>
      <c r="R1163" s="1598"/>
      <c r="S1163" s="557"/>
      <c r="T1163" s="1768"/>
      <c r="V1163" s="1769"/>
      <c r="X1163" s="1768"/>
      <c r="Z1163" s="1769"/>
      <c r="AA1163" s="557"/>
      <c r="AK1163" s="246"/>
    </row>
    <row r="1164" spans="2:37" ht="18" customHeight="1">
      <c r="B1164" s="199"/>
      <c r="D1164" s="154"/>
      <c r="F1164" s="154"/>
      <c r="G1164" s="217"/>
      <c r="I1164" s="673"/>
      <c r="J1164" s="209"/>
      <c r="K1164" s="520"/>
      <c r="L1164" s="154"/>
      <c r="M1164" s="154"/>
      <c r="N1164" s="154"/>
      <c r="O1164" s="246"/>
      <c r="P1164" s="1597"/>
      <c r="R1164" s="1598"/>
      <c r="S1164" s="557"/>
      <c r="T1164" s="1768"/>
      <c r="V1164" s="1769"/>
      <c r="X1164" s="1768"/>
      <c r="Z1164" s="1769"/>
      <c r="AA1164" s="557"/>
      <c r="AK1164" s="246"/>
    </row>
    <row r="1165" spans="2:37" ht="18" customHeight="1">
      <c r="B1165" s="199"/>
      <c r="D1165" s="154"/>
      <c r="F1165" s="154"/>
      <c r="G1165" s="217"/>
      <c r="I1165" s="673"/>
      <c r="J1165" s="209"/>
      <c r="K1165" s="520"/>
      <c r="L1165" s="154"/>
      <c r="M1165" s="154"/>
      <c r="N1165" s="154"/>
      <c r="O1165" s="246"/>
      <c r="P1165" s="1597"/>
      <c r="R1165" s="1598"/>
      <c r="S1165" s="557"/>
      <c r="T1165" s="1768"/>
      <c r="V1165" s="1769"/>
      <c r="X1165" s="1768"/>
      <c r="Z1165" s="1769"/>
      <c r="AA1165" s="557"/>
      <c r="AK1165" s="246"/>
    </row>
    <row r="1166" spans="2:37" ht="18" customHeight="1">
      <c r="B1166" s="199"/>
      <c r="D1166" s="154"/>
      <c r="F1166" s="154"/>
      <c r="G1166" s="217"/>
      <c r="I1166" s="673"/>
      <c r="J1166" s="209"/>
      <c r="K1166" s="520"/>
      <c r="L1166" s="154"/>
      <c r="M1166" s="154"/>
      <c r="N1166" s="154"/>
      <c r="O1166" s="246"/>
      <c r="P1166" s="1597"/>
      <c r="R1166" s="1598"/>
      <c r="S1166" s="557"/>
      <c r="T1166" s="1768"/>
      <c r="V1166" s="1769"/>
      <c r="X1166" s="1768"/>
      <c r="Z1166" s="1769"/>
      <c r="AA1166" s="557"/>
      <c r="AK1166" s="246"/>
    </row>
    <row r="1167" spans="2:37" ht="18" customHeight="1">
      <c r="B1167" s="199"/>
      <c r="D1167" s="154"/>
      <c r="F1167" s="154"/>
      <c r="G1167" s="217"/>
      <c r="I1167" s="673"/>
      <c r="J1167" s="209"/>
      <c r="K1167" s="520"/>
      <c r="L1167" s="154"/>
      <c r="M1167" s="154"/>
      <c r="N1167" s="154"/>
      <c r="O1167" s="246"/>
      <c r="P1167" s="1597"/>
      <c r="R1167" s="1598"/>
      <c r="S1167" s="557"/>
      <c r="T1167" s="1768"/>
      <c r="V1167" s="1769"/>
      <c r="X1167" s="1768"/>
      <c r="Z1167" s="1769"/>
      <c r="AA1167" s="557"/>
      <c r="AK1167" s="246"/>
    </row>
    <row r="1168" spans="2:37" ht="18" customHeight="1">
      <c r="B1168" s="199"/>
      <c r="D1168" s="154"/>
      <c r="F1168" s="154"/>
      <c r="G1168" s="217"/>
      <c r="I1168" s="673"/>
      <c r="J1168" s="209"/>
      <c r="K1168" s="520"/>
      <c r="L1168" s="154"/>
      <c r="M1168" s="154"/>
      <c r="N1168" s="154"/>
      <c r="O1168" s="246"/>
      <c r="P1168" s="1597"/>
      <c r="R1168" s="1598"/>
      <c r="S1168" s="557"/>
      <c r="T1168" s="1768"/>
      <c r="V1168" s="1769"/>
      <c r="X1168" s="1768"/>
      <c r="Z1168" s="1769"/>
      <c r="AA1168" s="557"/>
      <c r="AK1168" s="246"/>
    </row>
    <row r="1169" spans="2:37" ht="18" customHeight="1">
      <c r="B1169" s="199"/>
      <c r="D1169" s="154"/>
      <c r="F1169" s="154"/>
      <c r="G1169" s="217"/>
      <c r="I1169" s="673"/>
      <c r="J1169" s="209"/>
      <c r="K1169" s="520"/>
      <c r="L1169" s="154"/>
      <c r="M1169" s="154"/>
      <c r="N1169" s="154"/>
      <c r="O1169" s="246"/>
      <c r="P1169" s="1597"/>
      <c r="R1169" s="1598"/>
      <c r="S1169" s="557"/>
      <c r="T1169" s="1768"/>
      <c r="V1169" s="1769"/>
      <c r="X1169" s="1768"/>
      <c r="Z1169" s="1769"/>
      <c r="AA1169" s="557"/>
      <c r="AK1169" s="246"/>
    </row>
    <row r="1170" spans="2:37" ht="18" customHeight="1">
      <c r="B1170" s="199"/>
      <c r="D1170" s="154"/>
      <c r="F1170" s="154"/>
      <c r="G1170" s="217"/>
      <c r="I1170" s="673"/>
      <c r="J1170" s="209"/>
      <c r="K1170" s="520"/>
      <c r="L1170" s="154"/>
      <c r="M1170" s="154"/>
      <c r="N1170" s="154"/>
      <c r="O1170" s="246"/>
      <c r="P1170" s="1597"/>
      <c r="R1170" s="1598"/>
      <c r="S1170" s="557"/>
      <c r="T1170" s="1768"/>
      <c r="V1170" s="1769"/>
      <c r="X1170" s="1768"/>
      <c r="Z1170" s="1769"/>
      <c r="AA1170" s="557"/>
      <c r="AK1170" s="246"/>
    </row>
    <row r="1171" spans="2:37" ht="18" customHeight="1">
      <c r="B1171" s="199"/>
      <c r="D1171" s="154"/>
      <c r="F1171" s="154"/>
      <c r="G1171" s="217"/>
      <c r="I1171" s="673"/>
      <c r="J1171" s="209"/>
      <c r="K1171" s="520"/>
      <c r="L1171" s="154"/>
      <c r="M1171" s="154"/>
      <c r="N1171" s="154"/>
      <c r="O1171" s="246"/>
      <c r="P1171" s="1597"/>
      <c r="R1171" s="1598"/>
      <c r="S1171" s="557"/>
      <c r="T1171" s="1768"/>
      <c r="V1171" s="1769"/>
      <c r="X1171" s="1768"/>
      <c r="Z1171" s="1769"/>
      <c r="AA1171" s="557"/>
      <c r="AK1171" s="246"/>
    </row>
    <row r="1172" spans="2:37" ht="18" customHeight="1">
      <c r="B1172" s="199"/>
      <c r="D1172" s="154"/>
      <c r="F1172" s="154"/>
      <c r="G1172" s="217"/>
      <c r="I1172" s="673"/>
      <c r="J1172" s="209"/>
      <c r="K1172" s="520"/>
      <c r="L1172" s="154"/>
      <c r="M1172" s="154"/>
      <c r="N1172" s="154"/>
      <c r="O1172" s="246"/>
      <c r="P1172" s="1597"/>
      <c r="R1172" s="1598"/>
      <c r="S1172" s="557"/>
      <c r="T1172" s="1768"/>
      <c r="V1172" s="1769"/>
      <c r="X1172" s="1768"/>
      <c r="Z1172" s="1769"/>
      <c r="AA1172" s="557"/>
      <c r="AK1172" s="246"/>
    </row>
    <row r="1173" spans="2:37" ht="18" customHeight="1">
      <c r="B1173" s="199"/>
      <c r="D1173" s="154"/>
      <c r="F1173" s="154"/>
      <c r="G1173" s="217"/>
      <c r="I1173" s="673"/>
      <c r="J1173" s="209"/>
      <c r="K1173" s="520"/>
      <c r="L1173" s="154"/>
      <c r="M1173" s="154"/>
      <c r="N1173" s="154"/>
      <c r="O1173" s="246"/>
      <c r="P1173" s="1597"/>
      <c r="R1173" s="1598"/>
      <c r="S1173" s="557"/>
      <c r="T1173" s="1768"/>
      <c r="V1173" s="1769"/>
      <c r="X1173" s="1768"/>
      <c r="Z1173" s="1769"/>
      <c r="AA1173" s="557"/>
      <c r="AK1173" s="246"/>
    </row>
    <row r="1174" spans="2:37" ht="18" customHeight="1">
      <c r="B1174" s="199"/>
      <c r="D1174" s="154"/>
      <c r="F1174" s="154"/>
      <c r="G1174" s="217"/>
      <c r="I1174" s="673"/>
      <c r="J1174" s="209"/>
      <c r="K1174" s="520"/>
      <c r="L1174" s="154"/>
      <c r="M1174" s="154"/>
      <c r="N1174" s="154"/>
      <c r="O1174" s="246"/>
      <c r="P1174" s="1597"/>
      <c r="R1174" s="1598"/>
      <c r="S1174" s="557"/>
      <c r="T1174" s="1768"/>
      <c r="V1174" s="1769"/>
      <c r="X1174" s="1768"/>
      <c r="Z1174" s="1769"/>
      <c r="AA1174" s="557"/>
      <c r="AK1174" s="246"/>
    </row>
    <row r="1175" spans="2:37" ht="18" customHeight="1">
      <c r="B1175" s="199"/>
      <c r="D1175" s="154"/>
      <c r="F1175" s="154"/>
      <c r="G1175" s="217"/>
      <c r="I1175" s="673"/>
      <c r="J1175" s="209"/>
      <c r="K1175" s="520"/>
      <c r="L1175" s="154"/>
      <c r="M1175" s="154"/>
      <c r="N1175" s="154"/>
      <c r="O1175" s="246"/>
      <c r="P1175" s="1597"/>
      <c r="R1175" s="1598"/>
      <c r="S1175" s="557"/>
      <c r="T1175" s="1768"/>
      <c r="V1175" s="1769"/>
      <c r="X1175" s="1768"/>
      <c r="Z1175" s="1769"/>
      <c r="AA1175" s="557"/>
      <c r="AK1175" s="246"/>
    </row>
    <row r="1176" spans="2:37" ht="18" customHeight="1">
      <c r="B1176" s="199"/>
      <c r="D1176" s="154"/>
      <c r="F1176" s="154"/>
      <c r="G1176" s="217"/>
      <c r="I1176" s="673"/>
      <c r="J1176" s="209"/>
      <c r="K1176" s="520"/>
      <c r="L1176" s="154"/>
      <c r="M1176" s="154"/>
      <c r="N1176" s="154"/>
      <c r="O1176" s="246"/>
      <c r="P1176" s="1597"/>
      <c r="R1176" s="1598"/>
      <c r="S1176" s="557"/>
      <c r="T1176" s="1768"/>
      <c r="V1176" s="1769"/>
      <c r="X1176" s="1768"/>
      <c r="Z1176" s="1769"/>
      <c r="AA1176" s="557"/>
      <c r="AK1176" s="246"/>
    </row>
    <row r="1177" spans="2:37" ht="18" customHeight="1">
      <c r="B1177" s="199"/>
      <c r="D1177" s="154"/>
      <c r="F1177" s="154"/>
      <c r="G1177" s="217"/>
      <c r="I1177" s="673"/>
      <c r="J1177" s="209"/>
      <c r="K1177" s="520"/>
      <c r="L1177" s="154"/>
      <c r="M1177" s="154"/>
      <c r="N1177" s="154"/>
      <c r="O1177" s="246"/>
      <c r="P1177" s="1597"/>
      <c r="R1177" s="1598"/>
      <c r="S1177" s="557"/>
      <c r="T1177" s="1768"/>
      <c r="V1177" s="1769"/>
      <c r="X1177" s="1768"/>
      <c r="Z1177" s="1769"/>
      <c r="AA1177" s="557"/>
      <c r="AK1177" s="246"/>
    </row>
    <row r="1178" spans="2:37" ht="18" customHeight="1">
      <c r="B1178" s="199"/>
      <c r="D1178" s="154"/>
      <c r="F1178" s="154"/>
      <c r="G1178" s="217"/>
      <c r="I1178" s="673"/>
      <c r="J1178" s="209"/>
      <c r="K1178" s="520"/>
      <c r="L1178" s="154"/>
      <c r="M1178" s="154"/>
      <c r="N1178" s="154"/>
      <c r="O1178" s="246"/>
      <c r="P1178" s="1597"/>
      <c r="R1178" s="1598"/>
      <c r="S1178" s="557"/>
      <c r="T1178" s="1768"/>
      <c r="V1178" s="1769"/>
      <c r="X1178" s="1768"/>
      <c r="Z1178" s="1769"/>
      <c r="AA1178" s="557"/>
      <c r="AK1178" s="246"/>
    </row>
    <row r="1179" spans="2:37" ht="18" customHeight="1">
      <c r="B1179" s="199"/>
      <c r="D1179" s="154"/>
      <c r="F1179" s="154"/>
      <c r="G1179" s="217"/>
      <c r="I1179" s="673"/>
      <c r="J1179" s="209"/>
      <c r="K1179" s="520"/>
      <c r="L1179" s="154"/>
      <c r="M1179" s="154"/>
      <c r="N1179" s="154"/>
      <c r="O1179" s="246"/>
      <c r="P1179" s="1597"/>
      <c r="R1179" s="1598"/>
      <c r="S1179" s="557"/>
      <c r="T1179" s="1768"/>
      <c r="V1179" s="1769"/>
      <c r="X1179" s="1768"/>
      <c r="Z1179" s="1769"/>
      <c r="AA1179" s="557"/>
      <c r="AK1179" s="246"/>
    </row>
    <row r="1180" spans="2:37" ht="18" customHeight="1">
      <c r="B1180" s="199"/>
      <c r="D1180" s="154"/>
      <c r="F1180" s="154"/>
      <c r="G1180" s="217"/>
      <c r="I1180" s="673"/>
      <c r="J1180" s="209"/>
      <c r="K1180" s="520"/>
      <c r="L1180" s="154"/>
      <c r="M1180" s="154"/>
      <c r="N1180" s="154"/>
      <c r="O1180" s="246"/>
      <c r="P1180" s="1597"/>
      <c r="R1180" s="1598"/>
      <c r="S1180" s="557"/>
      <c r="T1180" s="1768"/>
      <c r="V1180" s="1769"/>
      <c r="X1180" s="1768"/>
      <c r="Z1180" s="1769"/>
      <c r="AA1180" s="557"/>
      <c r="AK1180" s="246"/>
    </row>
    <row r="1181" spans="2:37" ht="18" customHeight="1">
      <c r="B1181" s="199"/>
      <c r="D1181" s="154"/>
      <c r="F1181" s="154"/>
      <c r="G1181" s="217"/>
      <c r="I1181" s="673"/>
      <c r="J1181" s="209"/>
      <c r="K1181" s="520"/>
      <c r="L1181" s="154"/>
      <c r="M1181" s="154"/>
      <c r="N1181" s="154"/>
      <c r="O1181" s="246"/>
      <c r="P1181" s="1597"/>
      <c r="R1181" s="1598"/>
      <c r="S1181" s="557"/>
      <c r="T1181" s="1768"/>
      <c r="V1181" s="1769"/>
      <c r="X1181" s="1768"/>
      <c r="Z1181" s="1769"/>
      <c r="AA1181" s="557"/>
      <c r="AK1181" s="246"/>
    </row>
    <row r="1182" spans="2:37" ht="18" customHeight="1">
      <c r="B1182" s="199"/>
      <c r="D1182" s="154"/>
      <c r="F1182" s="154"/>
      <c r="G1182" s="217"/>
      <c r="I1182" s="673"/>
      <c r="J1182" s="209"/>
      <c r="K1182" s="520"/>
      <c r="L1182" s="154"/>
      <c r="M1182" s="154"/>
      <c r="N1182" s="154"/>
      <c r="O1182" s="246"/>
      <c r="P1182" s="1597"/>
      <c r="R1182" s="1598"/>
      <c r="S1182" s="557"/>
      <c r="T1182" s="1768"/>
      <c r="V1182" s="1769"/>
      <c r="X1182" s="1768"/>
      <c r="Z1182" s="1769"/>
      <c r="AA1182" s="557"/>
      <c r="AK1182" s="246"/>
    </row>
    <row r="1183" spans="2:37" ht="18" customHeight="1">
      <c r="B1183" s="199"/>
      <c r="D1183" s="154"/>
      <c r="F1183" s="154"/>
      <c r="G1183" s="217"/>
      <c r="I1183" s="673"/>
      <c r="J1183" s="209"/>
      <c r="K1183" s="520"/>
      <c r="L1183" s="154"/>
      <c r="M1183" s="154"/>
      <c r="N1183" s="154"/>
      <c r="O1183" s="246"/>
      <c r="P1183" s="1597"/>
      <c r="R1183" s="1598"/>
      <c r="S1183" s="557"/>
      <c r="T1183" s="1768"/>
      <c r="V1183" s="1769"/>
      <c r="X1183" s="1768"/>
      <c r="Z1183" s="1769"/>
      <c r="AA1183" s="557"/>
      <c r="AK1183" s="246"/>
    </row>
    <row r="1184" spans="2:37" ht="18" customHeight="1">
      <c r="B1184" s="199"/>
      <c r="D1184" s="154"/>
      <c r="F1184" s="154"/>
      <c r="G1184" s="217"/>
      <c r="I1184" s="673"/>
      <c r="J1184" s="209"/>
      <c r="K1184" s="520"/>
      <c r="L1184" s="154"/>
      <c r="M1184" s="154"/>
      <c r="N1184" s="154"/>
      <c r="O1184" s="246"/>
      <c r="P1184" s="1597"/>
      <c r="R1184" s="1598"/>
      <c r="S1184" s="557"/>
      <c r="T1184" s="1768"/>
      <c r="V1184" s="1769"/>
      <c r="X1184" s="1768"/>
      <c r="Z1184" s="1769"/>
      <c r="AA1184" s="557"/>
      <c r="AK1184" s="246"/>
    </row>
    <row r="1185" spans="2:37" ht="18" customHeight="1">
      <c r="B1185" s="199"/>
      <c r="D1185" s="154"/>
      <c r="F1185" s="154"/>
      <c r="G1185" s="217"/>
      <c r="I1185" s="673"/>
      <c r="J1185" s="209"/>
      <c r="K1185" s="520"/>
      <c r="L1185" s="154"/>
      <c r="M1185" s="154"/>
      <c r="N1185" s="154"/>
      <c r="O1185" s="246"/>
      <c r="P1185" s="1597"/>
      <c r="R1185" s="1598"/>
      <c r="S1185" s="557"/>
      <c r="T1185" s="1768"/>
      <c r="V1185" s="1769"/>
      <c r="X1185" s="1768"/>
      <c r="Z1185" s="1769"/>
      <c r="AA1185" s="557"/>
      <c r="AK1185" s="246"/>
    </row>
    <row r="1186" spans="2:37" ht="18" customHeight="1">
      <c r="B1186" s="199"/>
      <c r="D1186" s="154"/>
      <c r="F1186" s="154"/>
      <c r="G1186" s="217"/>
      <c r="I1186" s="673"/>
      <c r="J1186" s="209"/>
      <c r="K1186" s="520"/>
      <c r="L1186" s="154"/>
      <c r="M1186" s="154"/>
      <c r="N1186" s="154"/>
      <c r="O1186" s="246"/>
      <c r="P1186" s="1597"/>
      <c r="R1186" s="1598"/>
      <c r="S1186" s="557"/>
      <c r="T1186" s="1768"/>
      <c r="V1186" s="1769"/>
      <c r="X1186" s="1768"/>
      <c r="Z1186" s="1769"/>
      <c r="AA1186" s="557"/>
      <c r="AK1186" s="246"/>
    </row>
    <row r="1187" spans="2:37" ht="18" customHeight="1">
      <c r="B1187" s="199"/>
      <c r="D1187" s="154"/>
      <c r="F1187" s="154"/>
      <c r="G1187" s="217"/>
      <c r="I1187" s="673"/>
      <c r="J1187" s="209"/>
      <c r="K1187" s="520"/>
      <c r="L1187" s="154"/>
      <c r="M1187" s="154"/>
      <c r="N1187" s="154"/>
      <c r="O1187" s="246"/>
      <c r="P1187" s="1597"/>
      <c r="R1187" s="1598"/>
      <c r="S1187" s="557"/>
      <c r="T1187" s="1768"/>
      <c r="V1187" s="1769"/>
      <c r="X1187" s="1768"/>
      <c r="Z1187" s="1769"/>
      <c r="AA1187" s="557"/>
      <c r="AK1187" s="246"/>
    </row>
    <row r="1188" spans="2:37" ht="18" customHeight="1">
      <c r="B1188" s="199"/>
      <c r="D1188" s="154"/>
      <c r="F1188" s="154"/>
      <c r="G1188" s="217"/>
      <c r="I1188" s="673"/>
      <c r="J1188" s="209"/>
      <c r="K1188" s="520"/>
      <c r="L1188" s="154"/>
      <c r="M1188" s="154"/>
      <c r="N1188" s="154"/>
      <c r="O1188" s="246"/>
      <c r="P1188" s="1597"/>
      <c r="R1188" s="1598"/>
      <c r="S1188" s="557"/>
      <c r="T1188" s="1768"/>
      <c r="V1188" s="1769"/>
      <c r="X1188" s="1768"/>
      <c r="Z1188" s="1769"/>
      <c r="AA1188" s="557"/>
      <c r="AK1188" s="246"/>
    </row>
    <row r="1189" spans="2:37" ht="18" customHeight="1">
      <c r="B1189" s="199"/>
      <c r="D1189" s="154"/>
      <c r="F1189" s="154"/>
      <c r="G1189" s="217"/>
      <c r="I1189" s="673"/>
      <c r="J1189" s="209"/>
      <c r="K1189" s="520"/>
      <c r="L1189" s="154"/>
      <c r="M1189" s="154"/>
      <c r="N1189" s="154"/>
      <c r="O1189" s="246"/>
      <c r="P1189" s="1597"/>
      <c r="R1189" s="1598"/>
      <c r="S1189" s="557"/>
      <c r="T1189" s="1768"/>
      <c r="V1189" s="1769"/>
      <c r="X1189" s="1768"/>
      <c r="Z1189" s="1769"/>
      <c r="AA1189" s="557"/>
      <c r="AK1189" s="246"/>
    </row>
    <row r="1190" spans="2:37" ht="18" customHeight="1">
      <c r="B1190" s="199"/>
      <c r="D1190" s="154"/>
      <c r="F1190" s="154"/>
      <c r="G1190" s="217"/>
      <c r="I1190" s="673"/>
      <c r="J1190" s="209"/>
      <c r="K1190" s="520"/>
      <c r="L1190" s="154"/>
      <c r="M1190" s="154"/>
      <c r="N1190" s="154"/>
      <c r="O1190" s="246"/>
      <c r="P1190" s="1597"/>
      <c r="R1190" s="1598"/>
      <c r="S1190" s="557"/>
      <c r="T1190" s="1768"/>
      <c r="V1190" s="1769"/>
      <c r="X1190" s="1768"/>
      <c r="Z1190" s="1769"/>
      <c r="AA1190" s="557"/>
      <c r="AK1190" s="246"/>
    </row>
    <row r="1191" spans="2:37" ht="18" customHeight="1">
      <c r="B1191" s="199"/>
      <c r="D1191" s="154"/>
      <c r="F1191" s="154"/>
      <c r="G1191" s="217"/>
      <c r="I1191" s="673"/>
      <c r="J1191" s="209"/>
      <c r="K1191" s="520"/>
      <c r="L1191" s="154"/>
      <c r="M1191" s="154"/>
      <c r="N1191" s="154"/>
      <c r="O1191" s="246"/>
      <c r="P1191" s="1597"/>
      <c r="R1191" s="1598"/>
      <c r="S1191" s="557"/>
      <c r="T1191" s="1768"/>
      <c r="V1191" s="1769"/>
      <c r="X1191" s="1768"/>
      <c r="Z1191" s="1769"/>
      <c r="AA1191" s="557"/>
      <c r="AK1191" s="246"/>
    </row>
    <row r="1192" spans="2:37" ht="18" customHeight="1">
      <c r="B1192" s="199"/>
      <c r="D1192" s="154"/>
      <c r="F1192" s="154"/>
      <c r="G1192" s="217"/>
      <c r="I1192" s="673"/>
      <c r="J1192" s="209"/>
      <c r="K1192" s="520"/>
      <c r="L1192" s="154"/>
      <c r="M1192" s="154"/>
      <c r="N1192" s="154"/>
      <c r="O1192" s="246"/>
      <c r="P1192" s="1597"/>
      <c r="R1192" s="1598"/>
      <c r="S1192" s="557"/>
      <c r="T1192" s="1768"/>
      <c r="V1192" s="1769"/>
      <c r="X1192" s="1768"/>
      <c r="Z1192" s="1769"/>
      <c r="AA1192" s="557"/>
      <c r="AK1192" s="246"/>
    </row>
    <row r="1193" spans="2:37" ht="18" customHeight="1">
      <c r="B1193" s="199"/>
      <c r="D1193" s="154"/>
      <c r="F1193" s="154"/>
      <c r="G1193" s="217"/>
      <c r="I1193" s="673"/>
      <c r="J1193" s="209"/>
      <c r="K1193" s="520"/>
      <c r="L1193" s="154"/>
      <c r="M1193" s="154"/>
      <c r="N1193" s="154"/>
      <c r="O1193" s="246"/>
      <c r="P1193" s="1597"/>
      <c r="R1193" s="1598"/>
      <c r="S1193" s="557"/>
      <c r="T1193" s="1768"/>
      <c r="V1193" s="1769"/>
      <c r="X1193" s="1768"/>
      <c r="Z1193" s="1769"/>
      <c r="AA1193" s="557"/>
      <c r="AK1193" s="246"/>
    </row>
    <row r="1194" spans="2:37" ht="18" customHeight="1">
      <c r="B1194" s="199"/>
      <c r="D1194" s="154"/>
      <c r="F1194" s="154"/>
      <c r="G1194" s="217"/>
      <c r="I1194" s="673"/>
      <c r="J1194" s="209"/>
      <c r="K1194" s="520"/>
      <c r="L1194" s="154"/>
      <c r="M1194" s="154"/>
      <c r="N1194" s="154"/>
      <c r="O1194" s="246"/>
      <c r="P1194" s="1597"/>
      <c r="R1194" s="1598"/>
      <c r="S1194" s="557"/>
      <c r="T1194" s="1768"/>
      <c r="V1194" s="1769"/>
      <c r="X1194" s="1768"/>
      <c r="Z1194" s="1769"/>
      <c r="AA1194" s="557"/>
      <c r="AK1194" s="246"/>
    </row>
    <row r="1195" spans="2:37" ht="18" customHeight="1">
      <c r="B1195" s="199"/>
      <c r="D1195" s="154"/>
      <c r="F1195" s="154"/>
      <c r="G1195" s="217"/>
      <c r="I1195" s="673"/>
      <c r="J1195" s="209"/>
      <c r="K1195" s="520"/>
      <c r="L1195" s="154"/>
      <c r="M1195" s="154"/>
      <c r="N1195" s="154"/>
      <c r="O1195" s="246"/>
      <c r="P1195" s="1597"/>
      <c r="R1195" s="1598"/>
      <c r="S1195" s="557"/>
      <c r="T1195" s="1768"/>
      <c r="V1195" s="1769"/>
      <c r="X1195" s="1768"/>
      <c r="Z1195" s="1769"/>
      <c r="AA1195" s="557"/>
      <c r="AK1195" s="246"/>
    </row>
    <row r="1196" spans="2:37" ht="18" customHeight="1">
      <c r="B1196" s="199"/>
      <c r="D1196" s="154"/>
      <c r="F1196" s="154"/>
      <c r="G1196" s="217"/>
      <c r="I1196" s="673"/>
      <c r="J1196" s="209"/>
      <c r="K1196" s="520"/>
      <c r="L1196" s="154"/>
      <c r="M1196" s="154"/>
      <c r="N1196" s="154"/>
      <c r="O1196" s="246"/>
      <c r="P1196" s="1597"/>
      <c r="R1196" s="1598"/>
      <c r="S1196" s="557"/>
      <c r="T1196" s="1768"/>
      <c r="V1196" s="1769"/>
      <c r="X1196" s="1768"/>
      <c r="Z1196" s="1769"/>
      <c r="AA1196" s="557"/>
      <c r="AK1196" s="246"/>
    </row>
    <row r="1197" spans="2:37" ht="18" customHeight="1">
      <c r="B1197" s="199"/>
      <c r="D1197" s="154"/>
      <c r="F1197" s="154"/>
      <c r="G1197" s="217"/>
      <c r="I1197" s="673"/>
      <c r="J1197" s="209"/>
      <c r="K1197" s="520"/>
      <c r="L1197" s="154"/>
      <c r="M1197" s="154"/>
      <c r="N1197" s="154"/>
      <c r="O1197" s="246"/>
      <c r="P1197" s="1597"/>
      <c r="R1197" s="1598"/>
      <c r="S1197" s="557"/>
      <c r="T1197" s="1768"/>
      <c r="V1197" s="1769"/>
      <c r="X1197" s="1768"/>
      <c r="Z1197" s="1769"/>
      <c r="AA1197" s="557"/>
      <c r="AK1197" s="246"/>
    </row>
    <row r="1198" spans="2:37" ht="18" customHeight="1">
      <c r="B1198" s="199"/>
      <c r="D1198" s="154"/>
      <c r="F1198" s="154"/>
      <c r="G1198" s="217"/>
      <c r="I1198" s="673"/>
      <c r="J1198" s="209"/>
      <c r="K1198" s="520"/>
      <c r="L1198" s="154"/>
      <c r="M1198" s="154"/>
      <c r="N1198" s="154"/>
      <c r="O1198" s="246"/>
      <c r="P1198" s="1597"/>
      <c r="R1198" s="1598"/>
      <c r="S1198" s="557"/>
      <c r="T1198" s="1768"/>
      <c r="V1198" s="1769"/>
      <c r="X1198" s="1768"/>
      <c r="Z1198" s="1769"/>
      <c r="AA1198" s="557"/>
      <c r="AK1198" s="246"/>
    </row>
    <row r="1199" spans="2:37" ht="18" customHeight="1">
      <c r="B1199" s="199"/>
      <c r="D1199" s="154"/>
      <c r="F1199" s="154"/>
      <c r="G1199" s="217"/>
      <c r="I1199" s="673"/>
      <c r="J1199" s="209"/>
      <c r="K1199" s="520"/>
      <c r="L1199" s="154"/>
      <c r="M1199" s="154"/>
      <c r="N1199" s="154"/>
      <c r="O1199" s="246"/>
      <c r="P1199" s="1597"/>
      <c r="R1199" s="1598"/>
      <c r="S1199" s="557"/>
      <c r="T1199" s="1768"/>
      <c r="V1199" s="1769"/>
      <c r="X1199" s="1768"/>
      <c r="Z1199" s="1769"/>
      <c r="AA1199" s="557"/>
      <c r="AK1199" s="246"/>
    </row>
    <row r="1200" spans="2:37" ht="18" customHeight="1">
      <c r="B1200" s="199"/>
      <c r="D1200" s="154"/>
      <c r="F1200" s="154"/>
      <c r="G1200" s="217"/>
      <c r="I1200" s="673"/>
      <c r="J1200" s="209"/>
      <c r="K1200" s="520"/>
      <c r="L1200" s="154"/>
      <c r="M1200" s="154"/>
      <c r="N1200" s="154"/>
      <c r="O1200" s="246"/>
      <c r="P1200" s="1597"/>
      <c r="R1200" s="1598"/>
      <c r="S1200" s="557"/>
      <c r="T1200" s="1768"/>
      <c r="V1200" s="1769"/>
      <c r="X1200" s="1768"/>
      <c r="Z1200" s="1769"/>
      <c r="AA1200" s="557"/>
      <c r="AK1200" s="246"/>
    </row>
    <row r="1201" spans="2:37" ht="18" customHeight="1">
      <c r="B1201" s="199"/>
      <c r="D1201" s="154"/>
      <c r="F1201" s="154"/>
      <c r="G1201" s="217"/>
      <c r="I1201" s="673"/>
      <c r="J1201" s="209"/>
      <c r="K1201" s="520"/>
      <c r="L1201" s="154"/>
      <c r="M1201" s="154"/>
      <c r="N1201" s="154"/>
      <c r="O1201" s="246"/>
      <c r="P1201" s="1597"/>
      <c r="R1201" s="1598"/>
      <c r="S1201" s="557"/>
      <c r="T1201" s="1768"/>
      <c r="V1201" s="1769"/>
      <c r="X1201" s="1768"/>
      <c r="Z1201" s="1769"/>
      <c r="AA1201" s="557"/>
      <c r="AK1201" s="246"/>
    </row>
    <row r="1202" spans="2:37" ht="18" customHeight="1">
      <c r="B1202" s="199"/>
      <c r="D1202" s="154"/>
      <c r="F1202" s="154"/>
      <c r="G1202" s="217"/>
      <c r="I1202" s="673"/>
      <c r="J1202" s="209"/>
      <c r="K1202" s="520"/>
      <c r="L1202" s="154"/>
      <c r="M1202" s="154"/>
      <c r="N1202" s="154"/>
      <c r="O1202" s="246"/>
      <c r="P1202" s="1597"/>
      <c r="R1202" s="1598"/>
      <c r="S1202" s="557"/>
      <c r="T1202" s="1768"/>
      <c r="V1202" s="1769"/>
      <c r="X1202" s="1768"/>
      <c r="Z1202" s="1769"/>
      <c r="AA1202" s="557"/>
      <c r="AK1202" s="246"/>
    </row>
    <row r="1203" spans="2:37" ht="18" customHeight="1">
      <c r="B1203" s="199"/>
      <c r="D1203" s="154"/>
      <c r="F1203" s="154"/>
      <c r="G1203" s="217"/>
      <c r="I1203" s="673"/>
      <c r="J1203" s="209"/>
      <c r="K1203" s="520"/>
      <c r="L1203" s="154"/>
      <c r="M1203" s="154"/>
      <c r="N1203" s="154"/>
      <c r="O1203" s="246"/>
      <c r="P1203" s="1597"/>
      <c r="R1203" s="1598"/>
      <c r="S1203" s="557"/>
      <c r="T1203" s="1768"/>
      <c r="V1203" s="1769"/>
      <c r="X1203" s="1768"/>
      <c r="Z1203" s="1769"/>
      <c r="AA1203" s="557"/>
      <c r="AK1203" s="246"/>
    </row>
    <row r="1204" spans="2:37" ht="18" customHeight="1">
      <c r="B1204" s="199"/>
      <c r="D1204" s="154"/>
      <c r="F1204" s="154"/>
      <c r="G1204" s="217"/>
      <c r="I1204" s="673"/>
      <c r="J1204" s="209"/>
      <c r="K1204" s="520"/>
      <c r="L1204" s="154"/>
      <c r="M1204" s="154"/>
      <c r="N1204" s="154"/>
      <c r="O1204" s="246"/>
      <c r="P1204" s="1597"/>
      <c r="R1204" s="1598"/>
      <c r="S1204" s="557"/>
      <c r="T1204" s="1768"/>
      <c r="V1204" s="1769"/>
      <c r="X1204" s="1768"/>
      <c r="Z1204" s="1769"/>
      <c r="AA1204" s="557"/>
      <c r="AK1204" s="246"/>
    </row>
    <row r="1205" spans="2:37" ht="18" customHeight="1">
      <c r="B1205" s="199"/>
      <c r="D1205" s="154"/>
      <c r="F1205" s="154"/>
      <c r="G1205" s="217"/>
      <c r="I1205" s="673"/>
      <c r="J1205" s="209"/>
      <c r="K1205" s="520"/>
      <c r="L1205" s="154"/>
      <c r="M1205" s="154"/>
      <c r="N1205" s="154"/>
      <c r="O1205" s="246"/>
      <c r="P1205" s="1597"/>
      <c r="R1205" s="1598"/>
      <c r="S1205" s="557"/>
      <c r="T1205" s="1768"/>
      <c r="V1205" s="1769"/>
      <c r="X1205" s="1768"/>
      <c r="Z1205" s="1769"/>
      <c r="AA1205" s="557"/>
      <c r="AK1205" s="246"/>
    </row>
    <row r="1206" spans="2:37" ht="18" customHeight="1">
      <c r="B1206" s="199"/>
      <c r="D1206" s="154"/>
      <c r="F1206" s="154"/>
      <c r="G1206" s="217"/>
      <c r="I1206" s="673"/>
      <c r="J1206" s="209"/>
      <c r="K1206" s="520"/>
      <c r="L1206" s="154"/>
      <c r="M1206" s="154"/>
      <c r="N1206" s="154"/>
      <c r="O1206" s="246"/>
      <c r="P1206" s="1597"/>
      <c r="R1206" s="1598"/>
      <c r="S1206" s="557"/>
      <c r="T1206" s="1768"/>
      <c r="V1206" s="1769"/>
      <c r="X1206" s="1768"/>
      <c r="Z1206" s="1769"/>
      <c r="AA1206" s="557"/>
      <c r="AK1206" s="246"/>
    </row>
    <row r="1207" spans="2:37" ht="18" customHeight="1">
      <c r="B1207" s="199"/>
      <c r="D1207" s="154"/>
      <c r="F1207" s="154"/>
      <c r="G1207" s="217"/>
      <c r="I1207" s="673"/>
      <c r="J1207" s="209"/>
      <c r="K1207" s="520"/>
      <c r="L1207" s="154"/>
      <c r="M1207" s="154"/>
      <c r="N1207" s="154"/>
      <c r="O1207" s="246"/>
      <c r="P1207" s="1597"/>
      <c r="R1207" s="1598"/>
      <c r="S1207" s="557"/>
      <c r="T1207" s="1768"/>
      <c r="V1207" s="1769"/>
      <c r="X1207" s="1768"/>
      <c r="Z1207" s="1769"/>
      <c r="AA1207" s="557"/>
      <c r="AK1207" s="246"/>
    </row>
    <row r="1208" spans="2:37" ht="18" customHeight="1">
      <c r="B1208" s="199"/>
      <c r="D1208" s="154"/>
      <c r="F1208" s="154"/>
      <c r="G1208" s="217"/>
      <c r="I1208" s="673"/>
      <c r="J1208" s="209"/>
      <c r="K1208" s="520"/>
      <c r="L1208" s="154"/>
      <c r="M1208" s="154"/>
      <c r="N1208" s="154"/>
      <c r="O1208" s="246"/>
      <c r="P1208" s="1597"/>
      <c r="R1208" s="1598"/>
      <c r="S1208" s="557"/>
      <c r="T1208" s="1768"/>
      <c r="V1208" s="1769"/>
      <c r="X1208" s="1768"/>
      <c r="Z1208" s="1769"/>
      <c r="AA1208" s="557"/>
      <c r="AK1208" s="246"/>
    </row>
    <row r="1209" spans="2:37" ht="18" customHeight="1">
      <c r="B1209" s="199"/>
      <c r="D1209" s="154"/>
      <c r="F1209" s="154"/>
      <c r="G1209" s="217"/>
      <c r="I1209" s="673"/>
      <c r="J1209" s="209"/>
      <c r="K1209" s="520"/>
      <c r="L1209" s="154"/>
      <c r="M1209" s="154"/>
      <c r="N1209" s="154"/>
      <c r="O1209" s="246"/>
      <c r="P1209" s="1597"/>
      <c r="R1209" s="1598"/>
      <c r="S1209" s="557"/>
      <c r="T1209" s="1768"/>
      <c r="V1209" s="1769"/>
      <c r="X1209" s="1768"/>
      <c r="Z1209" s="1769"/>
      <c r="AA1209" s="557"/>
      <c r="AK1209" s="246"/>
    </row>
    <row r="1210" spans="2:37" ht="18" customHeight="1">
      <c r="B1210" s="199"/>
      <c r="D1210" s="154"/>
      <c r="F1210" s="154"/>
      <c r="G1210" s="217"/>
      <c r="I1210" s="673"/>
      <c r="J1210" s="209"/>
      <c r="K1210" s="520"/>
      <c r="L1210" s="154"/>
      <c r="M1210" s="154"/>
      <c r="N1210" s="154"/>
      <c r="O1210" s="246"/>
      <c r="P1210" s="1597"/>
      <c r="R1210" s="1598"/>
      <c r="S1210" s="557"/>
      <c r="T1210" s="1768"/>
      <c r="V1210" s="1769"/>
      <c r="X1210" s="1768"/>
      <c r="Z1210" s="1769"/>
      <c r="AA1210" s="557"/>
      <c r="AK1210" s="246"/>
    </row>
    <row r="1211" spans="2:37" ht="18" customHeight="1">
      <c r="B1211" s="199"/>
      <c r="D1211" s="154"/>
      <c r="F1211" s="154"/>
      <c r="G1211" s="217"/>
      <c r="I1211" s="673"/>
      <c r="J1211" s="209"/>
      <c r="K1211" s="520"/>
      <c r="L1211" s="154"/>
      <c r="M1211" s="154"/>
      <c r="N1211" s="154"/>
      <c r="O1211" s="246"/>
      <c r="P1211" s="1597"/>
      <c r="R1211" s="1598"/>
      <c r="S1211" s="557"/>
      <c r="T1211" s="1768"/>
      <c r="V1211" s="1769"/>
      <c r="X1211" s="1768"/>
      <c r="Z1211" s="1769"/>
      <c r="AA1211" s="557"/>
      <c r="AK1211" s="246"/>
    </row>
    <row r="1212" spans="2:37" ht="18" customHeight="1">
      <c r="B1212" s="199"/>
      <c r="D1212" s="154"/>
      <c r="F1212" s="154"/>
      <c r="G1212" s="217"/>
      <c r="I1212" s="673"/>
      <c r="J1212" s="209"/>
      <c r="K1212" s="520"/>
      <c r="L1212" s="154"/>
      <c r="M1212" s="154"/>
      <c r="N1212" s="154"/>
      <c r="O1212" s="246"/>
      <c r="P1212" s="1597"/>
      <c r="R1212" s="1598"/>
      <c r="S1212" s="557"/>
      <c r="T1212" s="1768"/>
      <c r="V1212" s="1769"/>
      <c r="X1212" s="1768"/>
      <c r="Z1212" s="1769"/>
      <c r="AA1212" s="557"/>
      <c r="AK1212" s="246"/>
    </row>
    <row r="1213" spans="2:37" ht="18" customHeight="1">
      <c r="B1213" s="199"/>
      <c r="D1213" s="154"/>
      <c r="F1213" s="154"/>
      <c r="G1213" s="217"/>
      <c r="I1213" s="673"/>
      <c r="J1213" s="209"/>
      <c r="K1213" s="520"/>
      <c r="L1213" s="154"/>
      <c r="M1213" s="154"/>
      <c r="N1213" s="154"/>
      <c r="O1213" s="246"/>
      <c r="P1213" s="1597"/>
      <c r="R1213" s="1598"/>
      <c r="S1213" s="557"/>
      <c r="T1213" s="1768"/>
      <c r="V1213" s="1769"/>
      <c r="X1213" s="1768"/>
      <c r="Z1213" s="1769"/>
      <c r="AA1213" s="557"/>
      <c r="AK1213" s="246"/>
    </row>
    <row r="1214" spans="2:37" ht="18" customHeight="1">
      <c r="B1214" s="199"/>
      <c r="D1214" s="154"/>
      <c r="F1214" s="154"/>
      <c r="G1214" s="217"/>
      <c r="I1214" s="673"/>
      <c r="J1214" s="209"/>
      <c r="K1214" s="520"/>
      <c r="L1214" s="154"/>
      <c r="M1214" s="154"/>
      <c r="N1214" s="154"/>
      <c r="O1214" s="246"/>
      <c r="P1214" s="1597"/>
      <c r="R1214" s="1598"/>
      <c r="S1214" s="557"/>
      <c r="T1214" s="1768"/>
      <c r="V1214" s="1769"/>
      <c r="X1214" s="1768"/>
      <c r="Z1214" s="1769"/>
      <c r="AA1214" s="557"/>
      <c r="AK1214" s="246"/>
    </row>
    <row r="1215" spans="2:37" ht="18" customHeight="1">
      <c r="B1215" s="199"/>
      <c r="D1215" s="154"/>
      <c r="F1215" s="154"/>
      <c r="G1215" s="217"/>
      <c r="I1215" s="673"/>
      <c r="J1215" s="209"/>
      <c r="K1215" s="520"/>
      <c r="L1215" s="154"/>
      <c r="M1215" s="154"/>
      <c r="N1215" s="154"/>
      <c r="O1215" s="246"/>
      <c r="P1215" s="1597"/>
      <c r="R1215" s="1598"/>
      <c r="S1215" s="557"/>
      <c r="T1215" s="1768"/>
      <c r="V1215" s="1769"/>
      <c r="X1215" s="1768"/>
      <c r="Z1215" s="1769"/>
      <c r="AA1215" s="557"/>
      <c r="AK1215" s="246"/>
    </row>
    <row r="1216" spans="2:37" ht="18" customHeight="1">
      <c r="B1216" s="199"/>
      <c r="D1216" s="154"/>
      <c r="F1216" s="154"/>
      <c r="G1216" s="217"/>
      <c r="I1216" s="673"/>
      <c r="J1216" s="209"/>
      <c r="K1216" s="520"/>
      <c r="L1216" s="154"/>
      <c r="M1216" s="154"/>
      <c r="N1216" s="154"/>
      <c r="O1216" s="246"/>
      <c r="P1216" s="1597"/>
      <c r="R1216" s="1598"/>
      <c r="S1216" s="557"/>
      <c r="T1216" s="1768"/>
      <c r="V1216" s="1769"/>
      <c r="X1216" s="1768"/>
      <c r="Z1216" s="1769"/>
      <c r="AA1216" s="557"/>
      <c r="AK1216" s="246"/>
    </row>
    <row r="1217" spans="2:37" ht="18" customHeight="1">
      <c r="B1217" s="199"/>
      <c r="D1217" s="154"/>
      <c r="F1217" s="154"/>
      <c r="G1217" s="217"/>
      <c r="I1217" s="673"/>
      <c r="J1217" s="209"/>
      <c r="K1217" s="520"/>
      <c r="L1217" s="154"/>
      <c r="M1217" s="154"/>
      <c r="N1217" s="154"/>
      <c r="O1217" s="246"/>
      <c r="P1217" s="1597"/>
      <c r="R1217" s="1598"/>
      <c r="S1217" s="557"/>
      <c r="T1217" s="1768"/>
      <c r="V1217" s="1769"/>
      <c r="X1217" s="1768"/>
      <c r="Z1217" s="1769"/>
      <c r="AA1217" s="557"/>
      <c r="AK1217" s="246"/>
    </row>
    <row r="1218" spans="2:37" ht="18" customHeight="1">
      <c r="B1218" s="199"/>
      <c r="D1218" s="154"/>
      <c r="F1218" s="154"/>
      <c r="G1218" s="217"/>
      <c r="I1218" s="673"/>
      <c r="J1218" s="209"/>
      <c r="K1218" s="520"/>
      <c r="L1218" s="154"/>
      <c r="M1218" s="154"/>
      <c r="N1218" s="154"/>
      <c r="O1218" s="246"/>
      <c r="P1218" s="1597"/>
      <c r="R1218" s="1598"/>
      <c r="S1218" s="557"/>
      <c r="T1218" s="1768"/>
      <c r="V1218" s="1769"/>
      <c r="X1218" s="1768"/>
      <c r="Z1218" s="1769"/>
      <c r="AA1218" s="557"/>
      <c r="AK1218" s="246"/>
    </row>
    <row r="1219" spans="2:37" ht="18" customHeight="1">
      <c r="B1219" s="199"/>
      <c r="D1219" s="154"/>
      <c r="F1219" s="154"/>
      <c r="G1219" s="217"/>
      <c r="I1219" s="673"/>
      <c r="J1219" s="209"/>
      <c r="K1219" s="520"/>
      <c r="L1219" s="154"/>
      <c r="M1219" s="154"/>
      <c r="N1219" s="154"/>
      <c r="O1219" s="246"/>
      <c r="P1219" s="1597"/>
      <c r="R1219" s="1598"/>
      <c r="S1219" s="557"/>
      <c r="T1219" s="1768"/>
      <c r="V1219" s="1769"/>
      <c r="X1219" s="1768"/>
      <c r="Z1219" s="1769"/>
      <c r="AA1219" s="557"/>
      <c r="AK1219" s="246"/>
    </row>
    <row r="1220" spans="2:37" ht="18" customHeight="1">
      <c r="B1220" s="199"/>
      <c r="D1220" s="154"/>
      <c r="F1220" s="154"/>
      <c r="G1220" s="217"/>
      <c r="I1220" s="673"/>
      <c r="J1220" s="209"/>
      <c r="K1220" s="520"/>
      <c r="L1220" s="154"/>
      <c r="M1220" s="154"/>
      <c r="N1220" s="154"/>
      <c r="O1220" s="246"/>
      <c r="P1220" s="1597"/>
      <c r="R1220" s="1598"/>
      <c r="S1220" s="557"/>
      <c r="T1220" s="1768"/>
      <c r="V1220" s="1769"/>
      <c r="X1220" s="1768"/>
      <c r="Z1220" s="1769"/>
      <c r="AA1220" s="557"/>
      <c r="AK1220" s="246"/>
    </row>
    <row r="1221" spans="2:37" ht="18" customHeight="1">
      <c r="B1221" s="199"/>
      <c r="D1221" s="154"/>
      <c r="F1221" s="154"/>
      <c r="G1221" s="217"/>
      <c r="I1221" s="673"/>
      <c r="J1221" s="209"/>
      <c r="K1221" s="520"/>
      <c r="L1221" s="154"/>
      <c r="M1221" s="154"/>
      <c r="N1221" s="154"/>
      <c r="O1221" s="246"/>
      <c r="P1221" s="1597"/>
      <c r="R1221" s="1598"/>
      <c r="S1221" s="557"/>
      <c r="T1221" s="1768"/>
      <c r="V1221" s="1769"/>
      <c r="X1221" s="1768"/>
      <c r="Z1221" s="1769"/>
      <c r="AA1221" s="557"/>
      <c r="AK1221" s="246"/>
    </row>
    <row r="1222" spans="2:37" ht="18" customHeight="1">
      <c r="B1222" s="199"/>
      <c r="D1222" s="154"/>
      <c r="F1222" s="154"/>
      <c r="G1222" s="217"/>
      <c r="I1222" s="673"/>
      <c r="J1222" s="209"/>
      <c r="K1222" s="520"/>
      <c r="L1222" s="154"/>
      <c r="M1222" s="154"/>
      <c r="N1222" s="154"/>
      <c r="O1222" s="246"/>
      <c r="P1222" s="1597"/>
      <c r="R1222" s="1598"/>
      <c r="S1222" s="557"/>
      <c r="T1222" s="1768"/>
      <c r="V1222" s="1769"/>
      <c r="X1222" s="1768"/>
      <c r="Z1222" s="1769"/>
      <c r="AA1222" s="557"/>
      <c r="AK1222" s="246"/>
    </row>
    <row r="1223" spans="2:37" ht="18" customHeight="1">
      <c r="B1223" s="199"/>
      <c r="D1223" s="154"/>
      <c r="F1223" s="154"/>
      <c r="G1223" s="217"/>
      <c r="I1223" s="673"/>
      <c r="J1223" s="209"/>
      <c r="K1223" s="520"/>
      <c r="L1223" s="154"/>
      <c r="M1223" s="154"/>
      <c r="N1223" s="154"/>
      <c r="O1223" s="246"/>
      <c r="P1223" s="1597"/>
      <c r="R1223" s="1598"/>
      <c r="S1223" s="557"/>
      <c r="T1223" s="1768"/>
      <c r="V1223" s="1769"/>
      <c r="X1223" s="1768"/>
      <c r="Z1223" s="1769"/>
      <c r="AA1223" s="557"/>
      <c r="AK1223" s="246"/>
    </row>
    <row r="1224" spans="2:37" ht="18" customHeight="1">
      <c r="B1224" s="199"/>
      <c r="D1224" s="154"/>
      <c r="F1224" s="154"/>
      <c r="G1224" s="217"/>
      <c r="I1224" s="673"/>
      <c r="J1224" s="209"/>
      <c r="K1224" s="520"/>
      <c r="L1224" s="154"/>
      <c r="M1224" s="154"/>
      <c r="N1224" s="154"/>
      <c r="O1224" s="246"/>
      <c r="P1224" s="1597"/>
      <c r="R1224" s="1598"/>
      <c r="S1224" s="557"/>
      <c r="T1224" s="1768"/>
      <c r="V1224" s="1769"/>
      <c r="X1224" s="1768"/>
      <c r="Z1224" s="1769"/>
      <c r="AA1224" s="557"/>
      <c r="AK1224" s="246"/>
    </row>
    <row r="1225" spans="2:37" ht="18" customHeight="1">
      <c r="B1225" s="199"/>
      <c r="D1225" s="154"/>
      <c r="F1225" s="154"/>
      <c r="G1225" s="217"/>
      <c r="I1225" s="673"/>
      <c r="J1225" s="209"/>
      <c r="K1225" s="520"/>
      <c r="L1225" s="154"/>
      <c r="M1225" s="154"/>
      <c r="N1225" s="154"/>
      <c r="O1225" s="246"/>
      <c r="P1225" s="1597"/>
      <c r="R1225" s="1598"/>
      <c r="S1225" s="557"/>
      <c r="T1225" s="1768"/>
      <c r="V1225" s="1769"/>
      <c r="X1225" s="1768"/>
      <c r="Z1225" s="1769"/>
      <c r="AA1225" s="557"/>
      <c r="AK1225" s="246"/>
    </row>
    <row r="1226" spans="2:37" ht="18" customHeight="1">
      <c r="B1226" s="199"/>
      <c r="D1226" s="154"/>
      <c r="F1226" s="154"/>
      <c r="G1226" s="217"/>
      <c r="I1226" s="673"/>
      <c r="J1226" s="209"/>
      <c r="K1226" s="520"/>
      <c r="L1226" s="154"/>
      <c r="M1226" s="154"/>
      <c r="N1226" s="154"/>
      <c r="O1226" s="246"/>
      <c r="P1226" s="1597"/>
      <c r="R1226" s="1598"/>
      <c r="S1226" s="557"/>
      <c r="T1226" s="1768"/>
      <c r="V1226" s="1769"/>
      <c r="X1226" s="1768"/>
      <c r="Z1226" s="1769"/>
      <c r="AA1226" s="557"/>
      <c r="AK1226" s="246"/>
    </row>
    <row r="1227" spans="2:37" ht="18" customHeight="1">
      <c r="B1227" s="199"/>
      <c r="D1227" s="154"/>
      <c r="F1227" s="154"/>
      <c r="G1227" s="217"/>
      <c r="I1227" s="673"/>
      <c r="J1227" s="209"/>
      <c r="K1227" s="520"/>
      <c r="L1227" s="154"/>
      <c r="M1227" s="154"/>
      <c r="N1227" s="154"/>
      <c r="O1227" s="246"/>
      <c r="P1227" s="1597"/>
      <c r="R1227" s="1598"/>
      <c r="S1227" s="557"/>
      <c r="T1227" s="1768"/>
      <c r="V1227" s="1769"/>
      <c r="X1227" s="1768"/>
      <c r="Z1227" s="1769"/>
      <c r="AA1227" s="557"/>
      <c r="AK1227" s="246"/>
    </row>
    <row r="1228" spans="2:37" ht="18" customHeight="1">
      <c r="B1228" s="199"/>
      <c r="D1228" s="154"/>
      <c r="F1228" s="154"/>
      <c r="G1228" s="217"/>
      <c r="I1228" s="673"/>
      <c r="J1228" s="209"/>
      <c r="K1228" s="520"/>
      <c r="L1228" s="154"/>
      <c r="M1228" s="154"/>
      <c r="N1228" s="154"/>
      <c r="O1228" s="246"/>
      <c r="P1228" s="1597"/>
      <c r="R1228" s="1598"/>
      <c r="S1228" s="557"/>
      <c r="T1228" s="1768"/>
      <c r="V1228" s="1769"/>
      <c r="X1228" s="1768"/>
      <c r="Z1228" s="1769"/>
      <c r="AA1228" s="557"/>
      <c r="AK1228" s="246"/>
    </row>
    <row r="1229" spans="2:37" ht="18" customHeight="1">
      <c r="B1229" s="199"/>
      <c r="D1229" s="154"/>
      <c r="F1229" s="154"/>
      <c r="G1229" s="217"/>
      <c r="I1229" s="673"/>
      <c r="J1229" s="209"/>
      <c r="K1229" s="520"/>
      <c r="L1229" s="154"/>
      <c r="M1229" s="154"/>
      <c r="N1229" s="154"/>
      <c r="O1229" s="246"/>
      <c r="P1229" s="1597"/>
      <c r="R1229" s="1598"/>
      <c r="S1229" s="557"/>
      <c r="T1229" s="1768"/>
      <c r="V1229" s="1769"/>
      <c r="X1229" s="1768"/>
      <c r="Z1229" s="1769"/>
      <c r="AA1229" s="557"/>
      <c r="AK1229" s="246"/>
    </row>
    <row r="1230" spans="2:37" ht="18" customHeight="1">
      <c r="B1230" s="199"/>
      <c r="D1230" s="154"/>
      <c r="F1230" s="154"/>
      <c r="G1230" s="217"/>
      <c r="I1230" s="673"/>
      <c r="J1230" s="209"/>
      <c r="K1230" s="520"/>
      <c r="L1230" s="154"/>
      <c r="M1230" s="154"/>
      <c r="N1230" s="154"/>
      <c r="O1230" s="246"/>
      <c r="P1230" s="1597"/>
      <c r="R1230" s="1598"/>
      <c r="S1230" s="557"/>
      <c r="T1230" s="1768"/>
      <c r="V1230" s="1769"/>
      <c r="X1230" s="1768"/>
      <c r="Z1230" s="1769"/>
      <c r="AA1230" s="557"/>
      <c r="AK1230" s="246"/>
    </row>
    <row r="1231" spans="2:37" ht="18" customHeight="1">
      <c r="B1231" s="199"/>
      <c r="D1231" s="154"/>
      <c r="F1231" s="154"/>
      <c r="G1231" s="217"/>
      <c r="I1231" s="673"/>
      <c r="J1231" s="209"/>
      <c r="K1231" s="520"/>
      <c r="L1231" s="154"/>
      <c r="M1231" s="154"/>
      <c r="N1231" s="154"/>
      <c r="O1231" s="246"/>
      <c r="P1231" s="1597"/>
      <c r="R1231" s="1598"/>
      <c r="S1231" s="557"/>
      <c r="T1231" s="1768"/>
      <c r="V1231" s="1769"/>
      <c r="X1231" s="1768"/>
      <c r="Z1231" s="1769"/>
      <c r="AA1231" s="557"/>
      <c r="AK1231" s="246"/>
    </row>
    <row r="1232" spans="2:37" ht="18" customHeight="1">
      <c r="B1232" s="199"/>
      <c r="D1232" s="154"/>
      <c r="F1232" s="154"/>
      <c r="G1232" s="217"/>
      <c r="I1232" s="673"/>
      <c r="J1232" s="209"/>
      <c r="K1232" s="520"/>
      <c r="L1232" s="154"/>
      <c r="M1232" s="154"/>
      <c r="N1232" s="154"/>
      <c r="O1232" s="246"/>
      <c r="P1232" s="1597"/>
      <c r="R1232" s="1598"/>
      <c r="S1232" s="557"/>
      <c r="T1232" s="1768"/>
      <c r="V1232" s="1769"/>
      <c r="X1232" s="1768"/>
      <c r="Z1232" s="1769"/>
      <c r="AA1232" s="557"/>
      <c r="AK1232" s="246"/>
    </row>
    <row r="1233" spans="2:37" ht="18" customHeight="1">
      <c r="B1233" s="199"/>
      <c r="D1233" s="154"/>
      <c r="F1233" s="154"/>
      <c r="G1233" s="217"/>
      <c r="I1233" s="673"/>
      <c r="J1233" s="209"/>
      <c r="K1233" s="520"/>
      <c r="L1233" s="154"/>
      <c r="M1233" s="154"/>
      <c r="N1233" s="154"/>
      <c r="O1233" s="246"/>
      <c r="P1233" s="1597"/>
      <c r="R1233" s="1598"/>
      <c r="S1233" s="557"/>
      <c r="T1233" s="1768"/>
      <c r="V1233" s="1769"/>
      <c r="X1233" s="1768"/>
      <c r="Z1233" s="1769"/>
      <c r="AA1233" s="557"/>
      <c r="AK1233" s="246"/>
    </row>
    <row r="1234" spans="2:37" ht="18" customHeight="1">
      <c r="B1234" s="199"/>
      <c r="D1234" s="154"/>
      <c r="F1234" s="154"/>
      <c r="G1234" s="217"/>
      <c r="I1234" s="673"/>
      <c r="J1234" s="209"/>
      <c r="K1234" s="520"/>
      <c r="L1234" s="154"/>
      <c r="M1234" s="154"/>
      <c r="N1234" s="154"/>
      <c r="O1234" s="246"/>
      <c r="P1234" s="1597"/>
      <c r="R1234" s="1598"/>
      <c r="S1234" s="557"/>
      <c r="T1234" s="1768"/>
      <c r="V1234" s="1769"/>
      <c r="X1234" s="1768"/>
      <c r="Z1234" s="1769"/>
      <c r="AA1234" s="557"/>
      <c r="AK1234" s="246"/>
    </row>
    <row r="1235" spans="2:37" ht="18" customHeight="1">
      <c r="B1235" s="199"/>
      <c r="D1235" s="154"/>
      <c r="F1235" s="154"/>
      <c r="G1235" s="217"/>
      <c r="I1235" s="673"/>
      <c r="J1235" s="209"/>
      <c r="K1235" s="520"/>
      <c r="L1235" s="154"/>
      <c r="M1235" s="154"/>
      <c r="N1235" s="154"/>
      <c r="O1235" s="246"/>
      <c r="P1235" s="1597"/>
      <c r="R1235" s="1598"/>
      <c r="S1235" s="557"/>
      <c r="T1235" s="1768"/>
      <c r="V1235" s="1769"/>
      <c r="X1235" s="1768"/>
      <c r="Z1235" s="1769"/>
      <c r="AA1235" s="557"/>
      <c r="AK1235" s="246"/>
    </row>
    <row r="1236" spans="2:37" ht="18" customHeight="1">
      <c r="B1236" s="199"/>
      <c r="D1236" s="154"/>
      <c r="F1236" s="154"/>
      <c r="G1236" s="217"/>
      <c r="I1236" s="673"/>
      <c r="J1236" s="209"/>
      <c r="K1236" s="520"/>
      <c r="L1236" s="154"/>
      <c r="M1236" s="154"/>
      <c r="N1236" s="154"/>
      <c r="O1236" s="246"/>
      <c r="P1236" s="1597"/>
      <c r="R1236" s="1598"/>
      <c r="S1236" s="557"/>
      <c r="T1236" s="1768"/>
      <c r="V1236" s="1769"/>
      <c r="X1236" s="1768"/>
      <c r="Z1236" s="1769"/>
      <c r="AA1236" s="557"/>
      <c r="AK1236" s="246"/>
    </row>
    <row r="1237" spans="2:37" ht="18" customHeight="1">
      <c r="B1237" s="199"/>
      <c r="D1237" s="154"/>
      <c r="F1237" s="154"/>
      <c r="G1237" s="217"/>
      <c r="I1237" s="673"/>
      <c r="J1237" s="209"/>
      <c r="K1237" s="520"/>
      <c r="L1237" s="154"/>
      <c r="M1237" s="154"/>
      <c r="N1237" s="154"/>
      <c r="O1237" s="246"/>
      <c r="P1237" s="1597"/>
      <c r="R1237" s="1598"/>
      <c r="S1237" s="557"/>
      <c r="T1237" s="1768"/>
      <c r="V1237" s="1769"/>
      <c r="X1237" s="1768"/>
      <c r="Z1237" s="1769"/>
      <c r="AA1237" s="557"/>
      <c r="AK1237" s="246"/>
    </row>
    <row r="1238" spans="2:37" ht="18" customHeight="1">
      <c r="B1238" s="199"/>
      <c r="D1238" s="154"/>
      <c r="F1238" s="154"/>
      <c r="G1238" s="217"/>
      <c r="I1238" s="673"/>
      <c r="J1238" s="209"/>
      <c r="K1238" s="520"/>
      <c r="L1238" s="154"/>
      <c r="M1238" s="154"/>
      <c r="N1238" s="154"/>
      <c r="O1238" s="246"/>
      <c r="P1238" s="1597"/>
      <c r="R1238" s="1598"/>
      <c r="S1238" s="557"/>
      <c r="T1238" s="1768"/>
      <c r="V1238" s="1769"/>
      <c r="X1238" s="1768"/>
      <c r="Z1238" s="1769"/>
      <c r="AA1238" s="557"/>
      <c r="AK1238" s="246"/>
    </row>
    <row r="1239" spans="2:37" ht="18" customHeight="1">
      <c r="B1239" s="199"/>
      <c r="D1239" s="154"/>
      <c r="F1239" s="154"/>
      <c r="G1239" s="217"/>
      <c r="I1239" s="673"/>
      <c r="J1239" s="209"/>
      <c r="K1239" s="520"/>
      <c r="L1239" s="154"/>
      <c r="M1239" s="154"/>
      <c r="N1239" s="154"/>
      <c r="O1239" s="246"/>
      <c r="P1239" s="1597"/>
      <c r="R1239" s="1598"/>
      <c r="S1239" s="557"/>
      <c r="T1239" s="1768"/>
      <c r="V1239" s="1769"/>
      <c r="X1239" s="1768"/>
      <c r="Z1239" s="1769"/>
      <c r="AA1239" s="557"/>
      <c r="AK1239" s="246"/>
    </row>
    <row r="1240" spans="2:37" ht="18" customHeight="1">
      <c r="B1240" s="199"/>
      <c r="D1240" s="154"/>
      <c r="F1240" s="154"/>
      <c r="G1240" s="217"/>
      <c r="I1240" s="673"/>
      <c r="J1240" s="209"/>
      <c r="K1240" s="520"/>
      <c r="L1240" s="154"/>
      <c r="M1240" s="154"/>
      <c r="N1240" s="154"/>
      <c r="O1240" s="246"/>
      <c r="P1240" s="1597"/>
      <c r="R1240" s="1598"/>
      <c r="S1240" s="557"/>
      <c r="T1240" s="1768"/>
      <c r="V1240" s="1769"/>
      <c r="X1240" s="1768"/>
      <c r="Z1240" s="1769"/>
      <c r="AA1240" s="557"/>
      <c r="AK1240" s="246"/>
    </row>
    <row r="1241" spans="2:37" ht="18" customHeight="1">
      <c r="B1241" s="199"/>
      <c r="D1241" s="154"/>
      <c r="F1241" s="154"/>
      <c r="G1241" s="217"/>
      <c r="I1241" s="673"/>
      <c r="J1241" s="209"/>
      <c r="K1241" s="520"/>
      <c r="L1241" s="154"/>
      <c r="M1241" s="154"/>
      <c r="N1241" s="154"/>
      <c r="O1241" s="246"/>
      <c r="P1241" s="1597"/>
      <c r="R1241" s="1598"/>
      <c r="S1241" s="557"/>
      <c r="T1241" s="1768"/>
      <c r="V1241" s="1769"/>
      <c r="X1241" s="1768"/>
      <c r="Z1241" s="1769"/>
      <c r="AA1241" s="557"/>
      <c r="AK1241" s="246"/>
    </row>
    <row r="1242" spans="2:37" ht="18" customHeight="1">
      <c r="B1242" s="199"/>
      <c r="D1242" s="154"/>
      <c r="F1242" s="154"/>
      <c r="G1242" s="217"/>
      <c r="I1242" s="673"/>
      <c r="J1242" s="209"/>
      <c r="K1242" s="520"/>
      <c r="L1242" s="154"/>
      <c r="M1242" s="154"/>
      <c r="N1242" s="154"/>
      <c r="O1242" s="246"/>
      <c r="P1242" s="1597"/>
      <c r="R1242" s="1598"/>
      <c r="S1242" s="557"/>
      <c r="T1242" s="1768"/>
      <c r="V1242" s="1769"/>
      <c r="X1242" s="1768"/>
      <c r="Z1242" s="1769"/>
      <c r="AA1242" s="557"/>
      <c r="AK1242" s="246"/>
    </row>
    <row r="1243" spans="2:37" ht="18" customHeight="1">
      <c r="B1243" s="199"/>
      <c r="D1243" s="154"/>
      <c r="F1243" s="154"/>
      <c r="G1243" s="217"/>
      <c r="I1243" s="673"/>
      <c r="J1243" s="209"/>
      <c r="K1243" s="520"/>
      <c r="L1243" s="154"/>
      <c r="M1243" s="154"/>
      <c r="N1243" s="154"/>
      <c r="O1243" s="246"/>
      <c r="P1243" s="1597"/>
      <c r="R1243" s="1598"/>
      <c r="S1243" s="557"/>
      <c r="T1243" s="1768"/>
      <c r="V1243" s="1769"/>
      <c r="X1243" s="1768"/>
      <c r="Z1243" s="1769"/>
      <c r="AA1243" s="557"/>
      <c r="AK1243" s="246"/>
    </row>
    <row r="1244" spans="2:37" ht="18" customHeight="1">
      <c r="B1244" s="199"/>
      <c r="D1244" s="154"/>
      <c r="F1244" s="154"/>
      <c r="G1244" s="217"/>
      <c r="I1244" s="673"/>
      <c r="J1244" s="209"/>
      <c r="K1244" s="520"/>
      <c r="L1244" s="154"/>
      <c r="M1244" s="154"/>
      <c r="N1244" s="154"/>
      <c r="O1244" s="246"/>
      <c r="P1244" s="1597"/>
      <c r="R1244" s="1598"/>
      <c r="S1244" s="557"/>
      <c r="T1244" s="1768"/>
      <c r="V1244" s="1769"/>
      <c r="X1244" s="1768"/>
      <c r="Z1244" s="1769"/>
      <c r="AA1244" s="557"/>
      <c r="AK1244" s="246"/>
    </row>
    <row r="1245" spans="2:37" ht="18" customHeight="1">
      <c r="B1245" s="199"/>
      <c r="D1245" s="154"/>
      <c r="F1245" s="154"/>
      <c r="G1245" s="217"/>
      <c r="I1245" s="673"/>
      <c r="J1245" s="209"/>
      <c r="K1245" s="520"/>
      <c r="L1245" s="154"/>
      <c r="M1245" s="154"/>
      <c r="N1245" s="154"/>
      <c r="O1245" s="246"/>
      <c r="P1245" s="1597"/>
      <c r="R1245" s="1598"/>
      <c r="S1245" s="557"/>
      <c r="T1245" s="1768"/>
      <c r="V1245" s="1769"/>
      <c r="X1245" s="1768"/>
      <c r="Z1245" s="1769"/>
      <c r="AA1245" s="557"/>
      <c r="AK1245" s="246"/>
    </row>
    <row r="1246" spans="2:37" ht="18" customHeight="1">
      <c r="B1246" s="199"/>
      <c r="D1246" s="154"/>
      <c r="F1246" s="154"/>
      <c r="G1246" s="217"/>
      <c r="I1246" s="673"/>
      <c r="J1246" s="209"/>
      <c r="K1246" s="520"/>
      <c r="L1246" s="154"/>
      <c r="M1246" s="154"/>
      <c r="N1246" s="154"/>
      <c r="O1246" s="246"/>
      <c r="P1246" s="1597"/>
      <c r="R1246" s="1598"/>
      <c r="S1246" s="557"/>
      <c r="T1246" s="1768"/>
      <c r="V1246" s="1769"/>
      <c r="X1246" s="1768"/>
      <c r="Z1246" s="1769"/>
      <c r="AA1246" s="557"/>
      <c r="AK1246" s="246"/>
    </row>
    <row r="1247" spans="2:37" ht="18" customHeight="1">
      <c r="B1247" s="199"/>
      <c r="D1247" s="154"/>
      <c r="F1247" s="154"/>
      <c r="G1247" s="217"/>
      <c r="I1247" s="673"/>
      <c r="J1247" s="209"/>
      <c r="K1247" s="520"/>
      <c r="L1247" s="154"/>
      <c r="M1247" s="154"/>
      <c r="N1247" s="154"/>
      <c r="O1247" s="246"/>
      <c r="P1247" s="1597"/>
      <c r="R1247" s="1598"/>
      <c r="S1247" s="557"/>
      <c r="T1247" s="1768"/>
      <c r="V1247" s="1769"/>
      <c r="X1247" s="1768"/>
      <c r="Z1247" s="1769"/>
      <c r="AA1247" s="557"/>
      <c r="AK1247" s="246"/>
    </row>
    <row r="1248" spans="2:37" ht="18" customHeight="1">
      <c r="B1248" s="199"/>
      <c r="D1248" s="154"/>
      <c r="F1248" s="154"/>
      <c r="G1248" s="217"/>
      <c r="I1248" s="673"/>
      <c r="J1248" s="209"/>
      <c r="K1248" s="520"/>
      <c r="L1248" s="154"/>
      <c r="M1248" s="154"/>
      <c r="N1248" s="154"/>
      <c r="O1248" s="246"/>
      <c r="P1248" s="1597"/>
      <c r="R1248" s="1598"/>
      <c r="S1248" s="557"/>
      <c r="T1248" s="1768"/>
      <c r="V1248" s="1769"/>
      <c r="X1248" s="1768"/>
      <c r="Z1248" s="1769"/>
      <c r="AA1248" s="557"/>
      <c r="AK1248" s="246"/>
    </row>
    <row r="1249" spans="2:37" ht="18" customHeight="1">
      <c r="B1249" s="199"/>
      <c r="D1249" s="154"/>
      <c r="F1249" s="154"/>
      <c r="G1249" s="217"/>
      <c r="I1249" s="673"/>
      <c r="J1249" s="209"/>
      <c r="K1249" s="520"/>
      <c r="L1249" s="154"/>
      <c r="M1249" s="154"/>
      <c r="N1249" s="154"/>
      <c r="O1249" s="246"/>
      <c r="P1249" s="1597"/>
      <c r="R1249" s="1598"/>
      <c r="S1249" s="557"/>
      <c r="T1249" s="1768"/>
      <c r="V1249" s="1769"/>
      <c r="X1249" s="1768"/>
      <c r="Z1249" s="1769"/>
      <c r="AA1249" s="557"/>
      <c r="AK1249" s="246"/>
    </row>
    <row r="1250" spans="2:37" ht="18" customHeight="1">
      <c r="B1250" s="199"/>
      <c r="D1250" s="154"/>
      <c r="F1250" s="154"/>
      <c r="G1250" s="217"/>
      <c r="I1250" s="673"/>
      <c r="J1250" s="209"/>
      <c r="K1250" s="520"/>
      <c r="L1250" s="154"/>
      <c r="M1250" s="154"/>
      <c r="N1250" s="154"/>
      <c r="O1250" s="246"/>
      <c r="P1250" s="1597"/>
      <c r="R1250" s="1598"/>
      <c r="S1250" s="557"/>
      <c r="T1250" s="1768"/>
      <c r="V1250" s="1769"/>
      <c r="X1250" s="1768"/>
      <c r="Z1250" s="1769"/>
      <c r="AA1250" s="557"/>
      <c r="AK1250" s="246"/>
    </row>
    <row r="1251" spans="2:37" ht="18" customHeight="1">
      <c r="B1251" s="199"/>
      <c r="D1251" s="154"/>
      <c r="F1251" s="154"/>
      <c r="G1251" s="217"/>
      <c r="I1251" s="673"/>
      <c r="J1251" s="209"/>
      <c r="K1251" s="520"/>
      <c r="L1251" s="154"/>
      <c r="M1251" s="154"/>
      <c r="N1251" s="154"/>
      <c r="O1251" s="246"/>
      <c r="P1251" s="1597"/>
      <c r="R1251" s="1598"/>
      <c r="S1251" s="557"/>
      <c r="T1251" s="1768"/>
      <c r="V1251" s="1769"/>
      <c r="X1251" s="1768"/>
      <c r="Z1251" s="1769"/>
      <c r="AA1251" s="557"/>
      <c r="AK1251" s="246"/>
    </row>
    <row r="1252" spans="2:37" ht="18" customHeight="1">
      <c r="B1252" s="199"/>
      <c r="D1252" s="154"/>
      <c r="F1252" s="154"/>
      <c r="G1252" s="217"/>
      <c r="I1252" s="673"/>
      <c r="J1252" s="209"/>
      <c r="K1252" s="520"/>
      <c r="L1252" s="154"/>
      <c r="M1252" s="154"/>
      <c r="N1252" s="154"/>
      <c r="O1252" s="246"/>
      <c r="P1252" s="1597"/>
      <c r="R1252" s="1598"/>
      <c r="S1252" s="557"/>
      <c r="T1252" s="1768"/>
      <c r="V1252" s="1769"/>
      <c r="X1252" s="1768"/>
      <c r="Z1252" s="1769"/>
      <c r="AA1252" s="557"/>
      <c r="AK1252" s="246"/>
    </row>
    <row r="1253" spans="2:37" ht="18" customHeight="1">
      <c r="B1253" s="199"/>
      <c r="D1253" s="154"/>
      <c r="F1253" s="154"/>
      <c r="G1253" s="217"/>
      <c r="I1253" s="673"/>
      <c r="J1253" s="209"/>
      <c r="K1253" s="520"/>
      <c r="L1253" s="154"/>
      <c r="M1253" s="154"/>
      <c r="N1253" s="154"/>
      <c r="O1253" s="246"/>
      <c r="P1253" s="1597"/>
      <c r="R1253" s="1598"/>
      <c r="S1253" s="557"/>
      <c r="T1253" s="1768"/>
      <c r="V1253" s="1769"/>
      <c r="X1253" s="1768"/>
      <c r="Z1253" s="1769"/>
      <c r="AA1253" s="557"/>
      <c r="AK1253" s="246"/>
    </row>
    <row r="1254" spans="2:37" ht="18" customHeight="1">
      <c r="B1254" s="199"/>
      <c r="D1254" s="154"/>
      <c r="F1254" s="154"/>
      <c r="G1254" s="217"/>
      <c r="I1254" s="673"/>
      <c r="J1254" s="209"/>
      <c r="K1254" s="520"/>
      <c r="L1254" s="154"/>
      <c r="M1254" s="154"/>
      <c r="N1254" s="154"/>
      <c r="O1254" s="246"/>
      <c r="P1254" s="1597"/>
      <c r="R1254" s="1598"/>
      <c r="S1254" s="557"/>
      <c r="T1254" s="1768"/>
      <c r="V1254" s="1769"/>
      <c r="X1254" s="1768"/>
      <c r="Z1254" s="1769"/>
      <c r="AA1254" s="557"/>
      <c r="AK1254" s="246"/>
    </row>
    <row r="1255" spans="2:37" ht="18" customHeight="1">
      <c r="B1255" s="199"/>
      <c r="D1255" s="154"/>
      <c r="F1255" s="154"/>
      <c r="G1255" s="217"/>
      <c r="I1255" s="673"/>
      <c r="J1255" s="209"/>
      <c r="K1255" s="520"/>
      <c r="L1255" s="154"/>
      <c r="M1255" s="154"/>
      <c r="N1255" s="154"/>
      <c r="O1255" s="246"/>
      <c r="P1255" s="1597"/>
      <c r="R1255" s="1598"/>
      <c r="S1255" s="557"/>
      <c r="T1255" s="1768"/>
      <c r="V1255" s="1769"/>
      <c r="X1255" s="1768"/>
      <c r="Z1255" s="1769"/>
      <c r="AA1255" s="557"/>
      <c r="AK1255" s="246"/>
    </row>
    <row r="1256" spans="2:37" ht="18" customHeight="1">
      <c r="B1256" s="199"/>
      <c r="D1256" s="154"/>
      <c r="F1256" s="154"/>
      <c r="G1256" s="217"/>
      <c r="I1256" s="673"/>
      <c r="J1256" s="209"/>
      <c r="K1256" s="520"/>
      <c r="L1256" s="154"/>
      <c r="M1256" s="154"/>
      <c r="N1256" s="154"/>
      <c r="O1256" s="246"/>
      <c r="P1256" s="1597"/>
      <c r="R1256" s="1598"/>
      <c r="S1256" s="557"/>
      <c r="T1256" s="1768"/>
      <c r="V1256" s="1769"/>
      <c r="X1256" s="1768"/>
      <c r="Z1256" s="1769"/>
      <c r="AA1256" s="557"/>
      <c r="AK1256" s="246"/>
    </row>
    <row r="1257" spans="2:37" ht="18" customHeight="1">
      <c r="B1257" s="199"/>
      <c r="D1257" s="154"/>
      <c r="F1257" s="154"/>
      <c r="G1257" s="217"/>
      <c r="I1257" s="673"/>
      <c r="J1257" s="209"/>
      <c r="K1257" s="520"/>
      <c r="L1257" s="154"/>
      <c r="M1257" s="154"/>
      <c r="N1257" s="154"/>
      <c r="O1257" s="246"/>
      <c r="P1257" s="1597"/>
      <c r="R1257" s="1598"/>
      <c r="S1257" s="557"/>
      <c r="T1257" s="1768"/>
      <c r="V1257" s="1769"/>
      <c r="X1257" s="1768"/>
      <c r="Z1257" s="1769"/>
      <c r="AA1257" s="557"/>
      <c r="AK1257" s="246"/>
    </row>
    <row r="1258" spans="2:37" ht="18" customHeight="1">
      <c r="B1258" s="199"/>
      <c r="D1258" s="154"/>
      <c r="F1258" s="154"/>
      <c r="G1258" s="217"/>
      <c r="I1258" s="673"/>
      <c r="J1258" s="209"/>
      <c r="K1258" s="520"/>
      <c r="L1258" s="154"/>
      <c r="M1258" s="154"/>
      <c r="N1258" s="154"/>
      <c r="O1258" s="246"/>
      <c r="P1258" s="1597"/>
      <c r="R1258" s="1598"/>
      <c r="S1258" s="557"/>
      <c r="T1258" s="1768"/>
      <c r="V1258" s="1769"/>
      <c r="X1258" s="1768"/>
      <c r="Z1258" s="1769"/>
      <c r="AA1258" s="557"/>
      <c r="AK1258" s="246"/>
    </row>
    <row r="1259" spans="2:37" ht="18" customHeight="1">
      <c r="B1259" s="199"/>
      <c r="D1259" s="154"/>
      <c r="F1259" s="154"/>
      <c r="G1259" s="217"/>
      <c r="I1259" s="673"/>
      <c r="J1259" s="209"/>
      <c r="K1259" s="520"/>
      <c r="L1259" s="154"/>
      <c r="M1259" s="154"/>
      <c r="N1259" s="154"/>
      <c r="O1259" s="246"/>
      <c r="P1259" s="1597"/>
      <c r="R1259" s="1598"/>
      <c r="S1259" s="557"/>
      <c r="T1259" s="1768"/>
      <c r="V1259" s="1769"/>
      <c r="X1259" s="1768"/>
      <c r="Z1259" s="1769"/>
      <c r="AA1259" s="557"/>
      <c r="AK1259" s="246"/>
    </row>
    <row r="1260" spans="2:37" ht="18" customHeight="1">
      <c r="B1260" s="199"/>
      <c r="D1260" s="154"/>
      <c r="F1260" s="154"/>
      <c r="G1260" s="217"/>
      <c r="I1260" s="673"/>
      <c r="J1260" s="209"/>
      <c r="K1260" s="520"/>
      <c r="L1260" s="154"/>
      <c r="M1260" s="154"/>
      <c r="N1260" s="154"/>
      <c r="O1260" s="246"/>
      <c r="P1260" s="1597"/>
      <c r="R1260" s="1598"/>
      <c r="S1260" s="557"/>
      <c r="T1260" s="1768"/>
      <c r="V1260" s="1769"/>
      <c r="X1260" s="1768"/>
      <c r="Z1260" s="1769"/>
      <c r="AA1260" s="557"/>
      <c r="AK1260" s="246"/>
    </row>
    <row r="1261" spans="2:37" ht="18" customHeight="1">
      <c r="B1261" s="199"/>
      <c r="D1261" s="154"/>
      <c r="F1261" s="154"/>
      <c r="G1261" s="217"/>
      <c r="I1261" s="673"/>
      <c r="J1261" s="209"/>
      <c r="K1261" s="520"/>
      <c r="L1261" s="154"/>
      <c r="M1261" s="154"/>
      <c r="N1261" s="154"/>
      <c r="O1261" s="246"/>
      <c r="P1261" s="1597"/>
      <c r="R1261" s="1598"/>
      <c r="S1261" s="557"/>
      <c r="T1261" s="1768"/>
      <c r="V1261" s="1769"/>
      <c r="X1261" s="1768"/>
      <c r="Z1261" s="1769"/>
      <c r="AA1261" s="557"/>
      <c r="AK1261" s="246"/>
    </row>
    <row r="1262" spans="2:37" ht="18" customHeight="1">
      <c r="B1262" s="199"/>
      <c r="D1262" s="154"/>
      <c r="F1262" s="154"/>
      <c r="G1262" s="217"/>
      <c r="I1262" s="673"/>
      <c r="J1262" s="209"/>
      <c r="K1262" s="520"/>
      <c r="L1262" s="154"/>
      <c r="M1262" s="154"/>
      <c r="N1262" s="154"/>
      <c r="O1262" s="246"/>
      <c r="P1262" s="1597"/>
      <c r="R1262" s="1598"/>
      <c r="S1262" s="557"/>
      <c r="T1262" s="1768"/>
      <c r="V1262" s="1769"/>
      <c r="X1262" s="1768"/>
      <c r="Z1262" s="1769"/>
      <c r="AA1262" s="557"/>
      <c r="AK1262" s="246"/>
    </row>
    <row r="1263" spans="2:37" ht="18" customHeight="1">
      <c r="B1263" s="199"/>
      <c r="D1263" s="154"/>
      <c r="F1263" s="154"/>
      <c r="G1263" s="217"/>
      <c r="I1263" s="673"/>
      <c r="J1263" s="209"/>
      <c r="K1263" s="520"/>
      <c r="L1263" s="154"/>
      <c r="M1263" s="154"/>
      <c r="N1263" s="154"/>
      <c r="O1263" s="246"/>
      <c r="P1263" s="1597"/>
      <c r="R1263" s="1598"/>
      <c r="S1263" s="557"/>
      <c r="T1263" s="1768"/>
      <c r="V1263" s="1769"/>
      <c r="X1263" s="1768"/>
      <c r="Z1263" s="1769"/>
      <c r="AA1263" s="557"/>
      <c r="AK1263" s="246"/>
    </row>
    <row r="1264" spans="2:37" ht="18" customHeight="1">
      <c r="B1264" s="199"/>
      <c r="D1264" s="154"/>
      <c r="F1264" s="154"/>
      <c r="G1264" s="217"/>
      <c r="I1264" s="673"/>
      <c r="J1264" s="209"/>
      <c r="K1264" s="520"/>
      <c r="L1264" s="154"/>
      <c r="M1264" s="154"/>
      <c r="N1264" s="154"/>
      <c r="O1264" s="246"/>
      <c r="P1264" s="1597"/>
      <c r="R1264" s="1598"/>
      <c r="S1264" s="557"/>
      <c r="T1264" s="1768"/>
      <c r="V1264" s="1769"/>
      <c r="X1264" s="1768"/>
      <c r="Z1264" s="1769"/>
      <c r="AA1264" s="557"/>
      <c r="AK1264" s="246"/>
    </row>
    <row r="1265" spans="2:37" ht="18" customHeight="1">
      <c r="B1265" s="199"/>
      <c r="D1265" s="154"/>
      <c r="F1265" s="154"/>
      <c r="G1265" s="217"/>
      <c r="I1265" s="673"/>
      <c r="J1265" s="209"/>
      <c r="K1265" s="520"/>
      <c r="L1265" s="154"/>
      <c r="M1265" s="154"/>
      <c r="N1265" s="154"/>
      <c r="O1265" s="246"/>
      <c r="P1265" s="1597"/>
      <c r="R1265" s="1598"/>
      <c r="S1265" s="557"/>
      <c r="T1265" s="1768"/>
      <c r="V1265" s="1769"/>
      <c r="X1265" s="1768"/>
      <c r="Z1265" s="1769"/>
      <c r="AA1265" s="557"/>
      <c r="AK1265" s="246"/>
    </row>
    <row r="1266" spans="2:37" ht="18" customHeight="1">
      <c r="B1266" s="199"/>
      <c r="D1266" s="154"/>
      <c r="F1266" s="154"/>
      <c r="G1266" s="217"/>
      <c r="I1266" s="673"/>
      <c r="J1266" s="209"/>
      <c r="K1266" s="520"/>
      <c r="L1266" s="154"/>
      <c r="M1266" s="154"/>
      <c r="N1266" s="154"/>
      <c r="O1266" s="246"/>
      <c r="P1266" s="1597"/>
      <c r="R1266" s="1598"/>
      <c r="S1266" s="557"/>
      <c r="T1266" s="1768"/>
      <c r="V1266" s="1769"/>
      <c r="X1266" s="1768"/>
      <c r="Z1266" s="1769"/>
      <c r="AA1266" s="557"/>
      <c r="AK1266" s="246"/>
    </row>
    <row r="1267" spans="2:37" ht="18" customHeight="1">
      <c r="B1267" s="199"/>
      <c r="D1267" s="154"/>
      <c r="F1267" s="154"/>
      <c r="G1267" s="217"/>
      <c r="I1267" s="673"/>
      <c r="J1267" s="209"/>
      <c r="K1267" s="520"/>
      <c r="L1267" s="154"/>
      <c r="M1267" s="154"/>
      <c r="N1267" s="154"/>
      <c r="O1267" s="246"/>
      <c r="P1267" s="1597"/>
      <c r="R1267" s="1598"/>
      <c r="S1267" s="557"/>
      <c r="T1267" s="1768"/>
      <c r="V1267" s="1769"/>
      <c r="X1267" s="1768"/>
      <c r="Z1267" s="1769"/>
      <c r="AA1267" s="557"/>
      <c r="AK1267" s="246"/>
    </row>
    <row r="1268" spans="2:37" ht="18" customHeight="1">
      <c r="B1268" s="199"/>
      <c r="D1268" s="154"/>
      <c r="F1268" s="154"/>
      <c r="G1268" s="217"/>
      <c r="I1268" s="673"/>
      <c r="J1268" s="209"/>
      <c r="K1268" s="520"/>
      <c r="L1268" s="154"/>
      <c r="M1268" s="154"/>
      <c r="N1268" s="154"/>
      <c r="O1268" s="246"/>
      <c r="P1268" s="1597"/>
      <c r="R1268" s="1598"/>
      <c r="S1268" s="557"/>
      <c r="T1268" s="1768"/>
      <c r="V1268" s="1769"/>
      <c r="X1268" s="1768"/>
      <c r="Z1268" s="1769"/>
      <c r="AA1268" s="557"/>
      <c r="AK1268" s="246"/>
    </row>
    <row r="1269" spans="2:37" ht="18" customHeight="1">
      <c r="B1269" s="199"/>
      <c r="D1269" s="154"/>
      <c r="F1269" s="154"/>
      <c r="G1269" s="217"/>
      <c r="I1269" s="673"/>
      <c r="J1269" s="209"/>
      <c r="K1269" s="520"/>
      <c r="L1269" s="154"/>
      <c r="M1269" s="154"/>
      <c r="N1269" s="154"/>
      <c r="O1269" s="246"/>
      <c r="P1269" s="1597"/>
      <c r="R1269" s="1598"/>
      <c r="S1269" s="557"/>
      <c r="T1269" s="1768"/>
      <c r="V1269" s="1769"/>
      <c r="X1269" s="1768"/>
      <c r="Z1269" s="1769"/>
      <c r="AA1269" s="557"/>
      <c r="AK1269" s="246"/>
    </row>
    <row r="1270" spans="2:37" ht="18" customHeight="1">
      <c r="B1270" s="199"/>
      <c r="D1270" s="154"/>
      <c r="F1270" s="154"/>
      <c r="G1270" s="217"/>
      <c r="I1270" s="673"/>
      <c r="J1270" s="209"/>
      <c r="K1270" s="520"/>
      <c r="L1270" s="154"/>
      <c r="M1270" s="154"/>
      <c r="N1270" s="154"/>
      <c r="O1270" s="246"/>
      <c r="P1270" s="1597"/>
      <c r="R1270" s="1598"/>
      <c r="S1270" s="557"/>
      <c r="T1270" s="1768"/>
      <c r="V1270" s="1769"/>
      <c r="X1270" s="1768"/>
      <c r="Z1270" s="1769"/>
      <c r="AA1270" s="557"/>
      <c r="AK1270" s="246"/>
    </row>
    <row r="1271" spans="2:37" ht="18" customHeight="1">
      <c r="B1271" s="199"/>
      <c r="D1271" s="154"/>
      <c r="F1271" s="154"/>
      <c r="G1271" s="217"/>
      <c r="I1271" s="673"/>
      <c r="J1271" s="209"/>
      <c r="K1271" s="520"/>
      <c r="L1271" s="154"/>
      <c r="M1271" s="154"/>
      <c r="N1271" s="154"/>
      <c r="O1271" s="246"/>
      <c r="P1271" s="1597"/>
      <c r="R1271" s="1598"/>
      <c r="S1271" s="557"/>
      <c r="T1271" s="1768"/>
      <c r="V1271" s="1769"/>
      <c r="X1271" s="1768"/>
      <c r="Z1271" s="1769"/>
      <c r="AA1271" s="557"/>
      <c r="AK1271" s="246"/>
    </row>
    <row r="1272" spans="2:37" ht="18" customHeight="1">
      <c r="B1272" s="199"/>
      <c r="D1272" s="154"/>
      <c r="F1272" s="154"/>
      <c r="G1272" s="217"/>
      <c r="I1272" s="673"/>
      <c r="J1272" s="209"/>
      <c r="K1272" s="520"/>
      <c r="L1272" s="154"/>
      <c r="M1272" s="154"/>
      <c r="N1272" s="154"/>
      <c r="O1272" s="246"/>
      <c r="P1272" s="1597"/>
      <c r="R1272" s="1598"/>
      <c r="S1272" s="557"/>
      <c r="T1272" s="1768"/>
      <c r="V1272" s="1769"/>
      <c r="X1272" s="1768"/>
      <c r="Z1272" s="1769"/>
      <c r="AA1272" s="557"/>
      <c r="AK1272" s="246"/>
    </row>
    <row r="1273" spans="2:37" ht="18" customHeight="1">
      <c r="B1273" s="199"/>
      <c r="D1273" s="154"/>
      <c r="F1273" s="154"/>
      <c r="G1273" s="217"/>
      <c r="I1273" s="673"/>
      <c r="J1273" s="209"/>
      <c r="K1273" s="520"/>
      <c r="L1273" s="154"/>
      <c r="M1273" s="154"/>
      <c r="N1273" s="154"/>
      <c r="O1273" s="246"/>
      <c r="P1273" s="1597"/>
      <c r="R1273" s="1598"/>
      <c r="S1273" s="557"/>
      <c r="T1273" s="1768"/>
      <c r="V1273" s="1769"/>
      <c r="X1273" s="1768"/>
      <c r="Z1273" s="1769"/>
      <c r="AA1273" s="557"/>
      <c r="AK1273" s="246"/>
    </row>
    <row r="1274" spans="2:37" ht="18" customHeight="1">
      <c r="B1274" s="199"/>
      <c r="D1274" s="154"/>
      <c r="F1274" s="154"/>
      <c r="G1274" s="217"/>
      <c r="I1274" s="673"/>
      <c r="J1274" s="209"/>
      <c r="K1274" s="520"/>
      <c r="L1274" s="154"/>
      <c r="M1274" s="154"/>
      <c r="N1274" s="154"/>
      <c r="O1274" s="246"/>
      <c r="P1274" s="1597"/>
      <c r="R1274" s="1598"/>
      <c r="S1274" s="557"/>
      <c r="T1274" s="1768"/>
      <c r="V1274" s="1769"/>
      <c r="X1274" s="1768"/>
      <c r="Z1274" s="1769"/>
      <c r="AA1274" s="557"/>
      <c r="AK1274" s="246"/>
    </row>
    <row r="1275" spans="2:37" ht="18" customHeight="1">
      <c r="B1275" s="199"/>
      <c r="D1275" s="154"/>
      <c r="F1275" s="154"/>
      <c r="G1275" s="217"/>
      <c r="I1275" s="673"/>
      <c r="J1275" s="209"/>
      <c r="K1275" s="520"/>
      <c r="L1275" s="154"/>
      <c r="M1275" s="154"/>
      <c r="N1275" s="154"/>
      <c r="O1275" s="246"/>
      <c r="P1275" s="1597"/>
      <c r="R1275" s="1598"/>
      <c r="S1275" s="557"/>
      <c r="T1275" s="1768"/>
      <c r="V1275" s="1769"/>
      <c r="X1275" s="1768"/>
      <c r="Z1275" s="1769"/>
      <c r="AA1275" s="557"/>
      <c r="AK1275" s="246"/>
    </row>
    <row r="1276" spans="2:37" ht="18" customHeight="1">
      <c r="B1276" s="199"/>
      <c r="D1276" s="154"/>
      <c r="F1276" s="154"/>
      <c r="G1276" s="217"/>
      <c r="I1276" s="673"/>
      <c r="J1276" s="209"/>
      <c r="K1276" s="520"/>
      <c r="L1276" s="154"/>
      <c r="M1276" s="154"/>
      <c r="N1276" s="154"/>
      <c r="O1276" s="246"/>
      <c r="P1276" s="1597"/>
      <c r="R1276" s="1598"/>
      <c r="S1276" s="557"/>
      <c r="T1276" s="1768"/>
      <c r="V1276" s="1769"/>
      <c r="X1276" s="1768"/>
      <c r="Z1276" s="1769"/>
      <c r="AA1276" s="557"/>
      <c r="AK1276" s="246"/>
    </row>
    <row r="1277" spans="2:37" ht="18" customHeight="1">
      <c r="B1277" s="199"/>
      <c r="D1277" s="154"/>
      <c r="F1277" s="154"/>
      <c r="G1277" s="217"/>
      <c r="I1277" s="673"/>
      <c r="J1277" s="209"/>
      <c r="K1277" s="520"/>
      <c r="L1277" s="154"/>
      <c r="M1277" s="154"/>
      <c r="N1277" s="154"/>
      <c r="O1277" s="246"/>
      <c r="P1277" s="1597"/>
      <c r="R1277" s="1598"/>
      <c r="S1277" s="557"/>
      <c r="T1277" s="1768"/>
      <c r="V1277" s="1769"/>
      <c r="X1277" s="1768"/>
      <c r="Z1277" s="1769"/>
      <c r="AA1277" s="557"/>
      <c r="AK1277" s="246"/>
    </row>
    <row r="1278" spans="2:37" ht="18" customHeight="1">
      <c r="B1278" s="199"/>
      <c r="D1278" s="154"/>
      <c r="F1278" s="154"/>
      <c r="G1278" s="217"/>
      <c r="I1278" s="673"/>
      <c r="J1278" s="209"/>
      <c r="K1278" s="520"/>
      <c r="L1278" s="154"/>
      <c r="M1278" s="154"/>
      <c r="N1278" s="154"/>
      <c r="O1278" s="246"/>
      <c r="P1278" s="1597"/>
      <c r="R1278" s="1598"/>
      <c r="S1278" s="557"/>
      <c r="T1278" s="1768"/>
      <c r="V1278" s="1769"/>
      <c r="X1278" s="1768"/>
      <c r="Z1278" s="1769"/>
      <c r="AA1278" s="557"/>
      <c r="AK1278" s="246"/>
    </row>
    <row r="1279" spans="2:37" ht="18" customHeight="1">
      <c r="B1279" s="199"/>
      <c r="D1279" s="154"/>
      <c r="F1279" s="154"/>
      <c r="G1279" s="217"/>
      <c r="I1279" s="673"/>
      <c r="J1279" s="209"/>
      <c r="K1279" s="520"/>
      <c r="L1279" s="154"/>
      <c r="M1279" s="154"/>
      <c r="N1279" s="154"/>
      <c r="O1279" s="246"/>
      <c r="P1279" s="1597"/>
      <c r="R1279" s="1598"/>
      <c r="S1279" s="557"/>
      <c r="T1279" s="1768"/>
      <c r="V1279" s="1769"/>
      <c r="X1279" s="1768"/>
      <c r="Z1279" s="1769"/>
      <c r="AA1279" s="557"/>
      <c r="AK1279" s="246"/>
    </row>
    <row r="1280" spans="2:37" ht="18" customHeight="1">
      <c r="B1280" s="199"/>
      <c r="D1280" s="154"/>
      <c r="F1280" s="154"/>
      <c r="G1280" s="217"/>
      <c r="I1280" s="673"/>
      <c r="J1280" s="209"/>
      <c r="K1280" s="520"/>
      <c r="L1280" s="154"/>
      <c r="M1280" s="154"/>
      <c r="N1280" s="154"/>
      <c r="O1280" s="246"/>
      <c r="P1280" s="1597"/>
      <c r="R1280" s="1598"/>
      <c r="S1280" s="557"/>
      <c r="T1280" s="1768"/>
      <c r="V1280" s="1769"/>
      <c r="X1280" s="1768"/>
      <c r="Z1280" s="1769"/>
      <c r="AA1280" s="557"/>
      <c r="AK1280" s="246"/>
    </row>
    <row r="1281" spans="2:37" ht="18" customHeight="1">
      <c r="B1281" s="199"/>
      <c r="D1281" s="154"/>
      <c r="F1281" s="154"/>
      <c r="G1281" s="217"/>
      <c r="I1281" s="673"/>
      <c r="J1281" s="209"/>
      <c r="K1281" s="520"/>
      <c r="L1281" s="154"/>
      <c r="M1281" s="154"/>
      <c r="N1281" s="154"/>
      <c r="O1281" s="246"/>
      <c r="P1281" s="1597"/>
      <c r="R1281" s="1598"/>
      <c r="S1281" s="557"/>
      <c r="T1281" s="1768"/>
      <c r="V1281" s="1769"/>
      <c r="X1281" s="1768"/>
      <c r="Z1281" s="1769"/>
      <c r="AA1281" s="557"/>
      <c r="AK1281" s="246"/>
    </row>
    <row r="1282" spans="2:37" ht="18" customHeight="1">
      <c r="B1282" s="199"/>
      <c r="D1282" s="154"/>
      <c r="F1282" s="154"/>
      <c r="G1282" s="217"/>
      <c r="I1282" s="673"/>
      <c r="J1282" s="209"/>
      <c r="K1282" s="520"/>
      <c r="L1282" s="154"/>
      <c r="M1282" s="154"/>
      <c r="N1282" s="154"/>
      <c r="O1282" s="246"/>
      <c r="P1282" s="1597"/>
      <c r="R1282" s="1598"/>
      <c r="S1282" s="557"/>
      <c r="T1282" s="1768"/>
      <c r="V1282" s="1769"/>
      <c r="X1282" s="1768"/>
      <c r="Z1282" s="1769"/>
      <c r="AA1282" s="557"/>
      <c r="AK1282" s="246"/>
    </row>
    <row r="1283" spans="2:37" ht="18" customHeight="1">
      <c r="B1283" s="199"/>
      <c r="D1283" s="154"/>
      <c r="F1283" s="154"/>
      <c r="G1283" s="217"/>
      <c r="I1283" s="673"/>
      <c r="J1283" s="209"/>
      <c r="K1283" s="520"/>
      <c r="L1283" s="154"/>
      <c r="M1283" s="154"/>
      <c r="N1283" s="154"/>
      <c r="O1283" s="246"/>
      <c r="P1283" s="1597"/>
      <c r="R1283" s="1598"/>
      <c r="S1283" s="557"/>
      <c r="T1283" s="1768"/>
      <c r="V1283" s="1769"/>
      <c r="X1283" s="1768"/>
      <c r="Z1283" s="1769"/>
      <c r="AA1283" s="557"/>
      <c r="AK1283" s="246"/>
    </row>
    <row r="1284" spans="2:37" ht="18" customHeight="1">
      <c r="B1284" s="199"/>
      <c r="D1284" s="154"/>
      <c r="F1284" s="154"/>
      <c r="G1284" s="217"/>
      <c r="I1284" s="673"/>
      <c r="J1284" s="209"/>
      <c r="K1284" s="520"/>
      <c r="L1284" s="154"/>
      <c r="M1284" s="154"/>
      <c r="N1284" s="154"/>
      <c r="O1284" s="246"/>
      <c r="P1284" s="1597"/>
      <c r="R1284" s="1598"/>
      <c r="S1284" s="557"/>
      <c r="T1284" s="1768"/>
      <c r="V1284" s="1769"/>
      <c r="X1284" s="1768"/>
      <c r="Z1284" s="1769"/>
      <c r="AA1284" s="557"/>
      <c r="AK1284" s="246"/>
    </row>
    <row r="1285" spans="2:37" ht="18" customHeight="1">
      <c r="B1285" s="199"/>
      <c r="D1285" s="154"/>
      <c r="F1285" s="154"/>
      <c r="G1285" s="217"/>
      <c r="I1285" s="673"/>
      <c r="J1285" s="209"/>
      <c r="K1285" s="520"/>
      <c r="L1285" s="154"/>
      <c r="M1285" s="154"/>
      <c r="N1285" s="154"/>
      <c r="O1285" s="246"/>
      <c r="P1285" s="1597"/>
      <c r="R1285" s="1598"/>
      <c r="S1285" s="557"/>
      <c r="T1285" s="1768"/>
      <c r="V1285" s="1769"/>
      <c r="X1285" s="1768"/>
      <c r="Z1285" s="1769"/>
      <c r="AA1285" s="557"/>
      <c r="AK1285" s="246"/>
    </row>
    <row r="1286" spans="2:37" ht="18" customHeight="1">
      <c r="B1286" s="199"/>
      <c r="D1286" s="154"/>
      <c r="F1286" s="154"/>
      <c r="G1286" s="217"/>
      <c r="I1286" s="673"/>
      <c r="J1286" s="209"/>
      <c r="K1286" s="520"/>
      <c r="L1286" s="154"/>
      <c r="M1286" s="154"/>
      <c r="N1286" s="154"/>
      <c r="O1286" s="246"/>
      <c r="P1286" s="1597"/>
      <c r="R1286" s="1598"/>
      <c r="S1286" s="557"/>
      <c r="T1286" s="1768"/>
      <c r="V1286" s="1769"/>
      <c r="X1286" s="1768"/>
      <c r="Z1286" s="1769"/>
      <c r="AA1286" s="557"/>
      <c r="AK1286" s="246"/>
    </row>
    <row r="1287" spans="2:37" ht="18" customHeight="1">
      <c r="B1287" s="199"/>
      <c r="D1287" s="154"/>
      <c r="F1287" s="154"/>
      <c r="G1287" s="217"/>
      <c r="I1287" s="673"/>
      <c r="J1287" s="209"/>
      <c r="K1287" s="520"/>
      <c r="L1287" s="154"/>
      <c r="M1287" s="154"/>
      <c r="N1287" s="154"/>
      <c r="O1287" s="246"/>
      <c r="P1287" s="1597"/>
      <c r="R1287" s="1598"/>
      <c r="S1287" s="557"/>
      <c r="T1287" s="1768"/>
      <c r="V1287" s="1769"/>
      <c r="X1287" s="1768"/>
      <c r="Z1287" s="1769"/>
      <c r="AA1287" s="557"/>
      <c r="AK1287" s="246"/>
    </row>
    <row r="1288" spans="2:37" ht="18" customHeight="1">
      <c r="B1288" s="199"/>
      <c r="D1288" s="154"/>
      <c r="F1288" s="154"/>
      <c r="G1288" s="217"/>
      <c r="I1288" s="673"/>
      <c r="J1288" s="209"/>
      <c r="K1288" s="520"/>
      <c r="L1288" s="154"/>
      <c r="M1288" s="154"/>
      <c r="N1288" s="154"/>
      <c r="O1288" s="246"/>
      <c r="P1288" s="1597"/>
      <c r="R1288" s="1598"/>
      <c r="S1288" s="557"/>
      <c r="T1288" s="1768"/>
      <c r="V1288" s="1769"/>
      <c r="X1288" s="1768"/>
      <c r="Z1288" s="1769"/>
      <c r="AA1288" s="557"/>
      <c r="AK1288" s="246"/>
    </row>
    <row r="1289" spans="2:37" ht="18" customHeight="1">
      <c r="B1289" s="199"/>
      <c r="D1289" s="154"/>
      <c r="F1289" s="154"/>
      <c r="G1289" s="217"/>
      <c r="I1289" s="673"/>
      <c r="J1289" s="209"/>
      <c r="K1289" s="520"/>
      <c r="L1289" s="154"/>
      <c r="M1289" s="154"/>
      <c r="N1289" s="154"/>
      <c r="O1289" s="246"/>
      <c r="P1289" s="1597"/>
      <c r="R1289" s="1598"/>
      <c r="S1289" s="557"/>
      <c r="T1289" s="1768"/>
      <c r="V1289" s="1769"/>
      <c r="X1289" s="1768"/>
      <c r="Z1289" s="1769"/>
      <c r="AA1289" s="557"/>
      <c r="AK1289" s="246"/>
    </row>
    <row r="1290" spans="2:37" ht="18" customHeight="1">
      <c r="B1290" s="199"/>
      <c r="D1290" s="154"/>
      <c r="F1290" s="154"/>
      <c r="G1290" s="217"/>
      <c r="I1290" s="673"/>
      <c r="J1290" s="209"/>
      <c r="K1290" s="520"/>
      <c r="L1290" s="154"/>
      <c r="M1290" s="154"/>
      <c r="N1290" s="154"/>
      <c r="O1290" s="246"/>
      <c r="P1290" s="1597"/>
      <c r="R1290" s="1598"/>
      <c r="S1290" s="557"/>
      <c r="T1290" s="1768"/>
      <c r="V1290" s="1769"/>
      <c r="X1290" s="1768"/>
      <c r="Z1290" s="1769"/>
      <c r="AA1290" s="557"/>
      <c r="AK1290" s="246"/>
    </row>
    <row r="1291" spans="2:37" ht="18" customHeight="1">
      <c r="B1291" s="199"/>
      <c r="D1291" s="154"/>
      <c r="F1291" s="154"/>
      <c r="G1291" s="217"/>
      <c r="I1291" s="673"/>
      <c r="J1291" s="209"/>
      <c r="K1291" s="520"/>
      <c r="L1291" s="154"/>
      <c r="M1291" s="154"/>
      <c r="N1291" s="154"/>
      <c r="O1291" s="246"/>
      <c r="P1291" s="1597"/>
      <c r="R1291" s="1598"/>
      <c r="S1291" s="557"/>
      <c r="T1291" s="1768"/>
      <c r="V1291" s="1769"/>
      <c r="X1291" s="1768"/>
      <c r="Z1291" s="1769"/>
      <c r="AA1291" s="557"/>
      <c r="AK1291" s="246"/>
    </row>
    <row r="1292" spans="2:37" ht="18" customHeight="1">
      <c r="B1292" s="199"/>
      <c r="D1292" s="154"/>
      <c r="F1292" s="154"/>
      <c r="G1292" s="217"/>
      <c r="I1292" s="673"/>
      <c r="J1292" s="209"/>
      <c r="K1292" s="520"/>
      <c r="L1292" s="154"/>
      <c r="M1292" s="154"/>
      <c r="N1292" s="154"/>
      <c r="O1292" s="246"/>
      <c r="P1292" s="1597"/>
      <c r="R1292" s="1598"/>
      <c r="S1292" s="557"/>
      <c r="T1292" s="1768"/>
      <c r="V1292" s="1769"/>
      <c r="X1292" s="1768"/>
      <c r="Z1292" s="1769"/>
      <c r="AA1292" s="557"/>
      <c r="AK1292" s="246"/>
    </row>
    <row r="1293" spans="2:37" ht="18" customHeight="1">
      <c r="B1293" s="199"/>
      <c r="D1293" s="154"/>
      <c r="F1293" s="154"/>
      <c r="G1293" s="217"/>
      <c r="I1293" s="673"/>
      <c r="J1293" s="209"/>
      <c r="K1293" s="520"/>
      <c r="L1293" s="154"/>
      <c r="M1293" s="154"/>
      <c r="N1293" s="154"/>
      <c r="O1293" s="246"/>
      <c r="P1293" s="1597"/>
      <c r="R1293" s="1598"/>
      <c r="S1293" s="557"/>
      <c r="T1293" s="1768"/>
      <c r="V1293" s="1769"/>
      <c r="X1293" s="1768"/>
      <c r="Z1293" s="1769"/>
      <c r="AA1293" s="557"/>
      <c r="AK1293" s="246"/>
    </row>
    <row r="1294" spans="2:37" ht="18" customHeight="1">
      <c r="B1294" s="199"/>
      <c r="D1294" s="154"/>
      <c r="F1294" s="154"/>
      <c r="G1294" s="217"/>
      <c r="I1294" s="673"/>
      <c r="J1294" s="209"/>
      <c r="K1294" s="520"/>
      <c r="L1294" s="154"/>
      <c r="M1294" s="154"/>
      <c r="N1294" s="154"/>
      <c r="O1294" s="246"/>
      <c r="P1294" s="1597"/>
      <c r="R1294" s="1598"/>
      <c r="S1294" s="557"/>
      <c r="T1294" s="1768"/>
      <c r="V1294" s="1769"/>
      <c r="X1294" s="1768"/>
      <c r="Z1294" s="1769"/>
      <c r="AA1294" s="557"/>
      <c r="AK1294" s="246"/>
    </row>
    <row r="1295" spans="2:37" ht="18" customHeight="1">
      <c r="B1295" s="199"/>
      <c r="D1295" s="154"/>
      <c r="F1295" s="154"/>
      <c r="G1295" s="217"/>
      <c r="I1295" s="673"/>
      <c r="J1295" s="209"/>
      <c r="K1295" s="520"/>
      <c r="L1295" s="154"/>
      <c r="M1295" s="154"/>
      <c r="N1295" s="154"/>
      <c r="O1295" s="246"/>
      <c r="P1295" s="1597"/>
      <c r="R1295" s="1598"/>
      <c r="S1295" s="557"/>
      <c r="T1295" s="1768"/>
      <c r="V1295" s="1769"/>
      <c r="X1295" s="1768"/>
      <c r="Z1295" s="1769"/>
      <c r="AA1295" s="557"/>
      <c r="AK1295" s="246"/>
    </row>
    <row r="1296" spans="2:37" ht="18" customHeight="1">
      <c r="B1296" s="199"/>
      <c r="D1296" s="154"/>
      <c r="F1296" s="154"/>
      <c r="G1296" s="217"/>
      <c r="I1296" s="673"/>
      <c r="J1296" s="209"/>
      <c r="K1296" s="520"/>
      <c r="L1296" s="154"/>
      <c r="M1296" s="154"/>
      <c r="N1296" s="154"/>
      <c r="O1296" s="246"/>
      <c r="P1296" s="1597"/>
      <c r="R1296" s="1598"/>
      <c r="S1296" s="557"/>
      <c r="T1296" s="1768"/>
      <c r="V1296" s="1769"/>
      <c r="X1296" s="1768"/>
      <c r="Z1296" s="1769"/>
      <c r="AA1296" s="557"/>
      <c r="AK1296" s="246"/>
    </row>
    <row r="1297" spans="2:37" ht="18" customHeight="1">
      <c r="B1297" s="199"/>
      <c r="D1297" s="154"/>
      <c r="F1297" s="154"/>
      <c r="G1297" s="217"/>
      <c r="I1297" s="673"/>
      <c r="J1297" s="209"/>
      <c r="K1297" s="520"/>
      <c r="L1297" s="154"/>
      <c r="M1297" s="154"/>
      <c r="N1297" s="154"/>
      <c r="O1297" s="246"/>
      <c r="P1297" s="1597"/>
      <c r="R1297" s="1598"/>
      <c r="S1297" s="557"/>
      <c r="T1297" s="1768"/>
      <c r="V1297" s="1769"/>
      <c r="X1297" s="1768"/>
      <c r="Z1297" s="1769"/>
      <c r="AA1297" s="557"/>
      <c r="AK1297" s="246"/>
    </row>
    <row r="1298" spans="2:37" ht="18" customHeight="1">
      <c r="B1298" s="199"/>
      <c r="D1298" s="154"/>
      <c r="F1298" s="154"/>
      <c r="G1298" s="217"/>
      <c r="I1298" s="673"/>
      <c r="J1298" s="209"/>
      <c r="K1298" s="520"/>
      <c r="L1298" s="154"/>
      <c r="M1298" s="154"/>
      <c r="N1298" s="154"/>
      <c r="O1298" s="246"/>
      <c r="P1298" s="1597"/>
      <c r="R1298" s="1598"/>
      <c r="S1298" s="557"/>
      <c r="T1298" s="1768"/>
      <c r="V1298" s="1769"/>
      <c r="X1298" s="1768"/>
      <c r="Z1298" s="1769"/>
      <c r="AA1298" s="557"/>
      <c r="AK1298" s="246"/>
    </row>
    <row r="1299" spans="2:37" ht="18" customHeight="1">
      <c r="B1299" s="199"/>
      <c r="D1299" s="154"/>
      <c r="F1299" s="154"/>
      <c r="G1299" s="217"/>
      <c r="I1299" s="673"/>
      <c r="J1299" s="209"/>
      <c r="K1299" s="520"/>
      <c r="L1299" s="154"/>
      <c r="M1299" s="154"/>
      <c r="N1299" s="154"/>
      <c r="O1299" s="246"/>
      <c r="P1299" s="1597"/>
      <c r="R1299" s="1598"/>
      <c r="S1299" s="557"/>
      <c r="T1299" s="1768"/>
      <c r="V1299" s="1769"/>
      <c r="X1299" s="1768"/>
      <c r="Z1299" s="1769"/>
      <c r="AA1299" s="557"/>
      <c r="AK1299" s="246"/>
    </row>
    <row r="1300" spans="2:37" ht="18" customHeight="1">
      <c r="B1300" s="199"/>
      <c r="D1300" s="154"/>
      <c r="F1300" s="154"/>
      <c r="G1300" s="217"/>
      <c r="I1300" s="673"/>
      <c r="J1300" s="209"/>
      <c r="K1300" s="520"/>
      <c r="L1300" s="154"/>
      <c r="M1300" s="154"/>
      <c r="N1300" s="154"/>
      <c r="O1300" s="246"/>
      <c r="P1300" s="1597"/>
      <c r="R1300" s="1598"/>
      <c r="S1300" s="557"/>
      <c r="T1300" s="1768"/>
      <c r="V1300" s="1769"/>
      <c r="X1300" s="1768"/>
      <c r="Z1300" s="1769"/>
      <c r="AA1300" s="557"/>
      <c r="AK1300" s="246"/>
    </row>
    <row r="1301" spans="2:37" ht="18" customHeight="1">
      <c r="B1301" s="199"/>
      <c r="D1301" s="154"/>
      <c r="F1301" s="154"/>
      <c r="G1301" s="217"/>
      <c r="I1301" s="673"/>
      <c r="J1301" s="209"/>
      <c r="K1301" s="520"/>
      <c r="L1301" s="154"/>
      <c r="M1301" s="154"/>
      <c r="N1301" s="154"/>
      <c r="O1301" s="246"/>
      <c r="P1301" s="1597"/>
      <c r="R1301" s="1598"/>
      <c r="S1301" s="557"/>
      <c r="T1301" s="1768"/>
      <c r="V1301" s="1769"/>
      <c r="X1301" s="1768"/>
      <c r="Z1301" s="1769"/>
      <c r="AA1301" s="557"/>
      <c r="AK1301" s="246"/>
    </row>
    <row r="1302" spans="2:37" ht="18" customHeight="1">
      <c r="B1302" s="199"/>
      <c r="D1302" s="154"/>
      <c r="F1302" s="154"/>
      <c r="G1302" s="217"/>
      <c r="I1302" s="673"/>
      <c r="J1302" s="209"/>
      <c r="K1302" s="520"/>
      <c r="L1302" s="154"/>
      <c r="M1302" s="154"/>
      <c r="N1302" s="154"/>
      <c r="O1302" s="246"/>
      <c r="P1302" s="1597"/>
      <c r="R1302" s="1598"/>
      <c r="S1302" s="557"/>
      <c r="T1302" s="1768"/>
      <c r="V1302" s="1769"/>
      <c r="X1302" s="1768"/>
      <c r="Z1302" s="1769"/>
      <c r="AA1302" s="557"/>
      <c r="AK1302" s="246"/>
    </row>
    <row r="1303" spans="2:37" ht="18" customHeight="1">
      <c r="B1303" s="199"/>
      <c r="D1303" s="154"/>
      <c r="F1303" s="154"/>
      <c r="G1303" s="217"/>
      <c r="I1303" s="673"/>
      <c r="J1303" s="209"/>
      <c r="K1303" s="520"/>
      <c r="L1303" s="154"/>
      <c r="M1303" s="154"/>
      <c r="N1303" s="154"/>
      <c r="O1303" s="246"/>
      <c r="P1303" s="1597"/>
      <c r="R1303" s="1598"/>
      <c r="S1303" s="557"/>
      <c r="T1303" s="1768"/>
      <c r="V1303" s="1769"/>
      <c r="X1303" s="1768"/>
      <c r="Z1303" s="1769"/>
      <c r="AA1303" s="557"/>
      <c r="AK1303" s="246"/>
    </row>
    <row r="1304" spans="2:37" ht="18" customHeight="1">
      <c r="B1304" s="199"/>
      <c r="D1304" s="154"/>
      <c r="F1304" s="154"/>
      <c r="G1304" s="217"/>
      <c r="I1304" s="673"/>
      <c r="J1304" s="209"/>
      <c r="K1304" s="520"/>
      <c r="L1304" s="154"/>
      <c r="M1304" s="154"/>
      <c r="N1304" s="154"/>
      <c r="O1304" s="246"/>
      <c r="P1304" s="1597"/>
      <c r="R1304" s="1598"/>
      <c r="S1304" s="557"/>
      <c r="T1304" s="1768"/>
      <c r="V1304" s="1769"/>
      <c r="X1304" s="1768"/>
      <c r="Z1304" s="1769"/>
      <c r="AA1304" s="557"/>
      <c r="AK1304" s="246"/>
    </row>
    <row r="1305" spans="2:37" ht="18" customHeight="1">
      <c r="B1305" s="199"/>
      <c r="D1305" s="154"/>
      <c r="F1305" s="154"/>
      <c r="G1305" s="217"/>
      <c r="I1305" s="673"/>
      <c r="J1305" s="209"/>
      <c r="K1305" s="520"/>
      <c r="L1305" s="154"/>
      <c r="M1305" s="154"/>
      <c r="N1305" s="154"/>
      <c r="O1305" s="246"/>
      <c r="P1305" s="1597"/>
      <c r="R1305" s="1598"/>
      <c r="S1305" s="557"/>
      <c r="T1305" s="1768"/>
      <c r="V1305" s="1769"/>
      <c r="X1305" s="1768"/>
      <c r="Z1305" s="1769"/>
      <c r="AA1305" s="557"/>
      <c r="AK1305" s="246"/>
    </row>
    <row r="1306" spans="2:37" ht="18" customHeight="1">
      <c r="B1306" s="199"/>
      <c r="D1306" s="154"/>
      <c r="F1306" s="154"/>
      <c r="G1306" s="217"/>
      <c r="I1306" s="673"/>
      <c r="J1306" s="209"/>
      <c r="K1306" s="520"/>
      <c r="L1306" s="154"/>
      <c r="M1306" s="154"/>
      <c r="N1306" s="154"/>
      <c r="O1306" s="246"/>
      <c r="P1306" s="1597"/>
      <c r="R1306" s="1598"/>
      <c r="S1306" s="557"/>
      <c r="T1306" s="1768"/>
      <c r="V1306" s="1769"/>
      <c r="X1306" s="1768"/>
      <c r="Z1306" s="1769"/>
      <c r="AA1306" s="557"/>
      <c r="AK1306" s="246"/>
    </row>
    <row r="1307" spans="2:37" ht="18" customHeight="1">
      <c r="B1307" s="199"/>
      <c r="D1307" s="154"/>
      <c r="F1307" s="154"/>
      <c r="G1307" s="217"/>
      <c r="I1307" s="673"/>
      <c r="J1307" s="209"/>
      <c r="K1307" s="520"/>
      <c r="L1307" s="154"/>
      <c r="M1307" s="154"/>
      <c r="N1307" s="154"/>
      <c r="O1307" s="246"/>
      <c r="P1307" s="1597"/>
      <c r="R1307" s="1598"/>
      <c r="S1307" s="557"/>
      <c r="T1307" s="1768"/>
      <c r="V1307" s="1769"/>
      <c r="X1307" s="1768"/>
      <c r="Z1307" s="1769"/>
      <c r="AA1307" s="557"/>
      <c r="AK1307" s="246"/>
    </row>
    <row r="1308" spans="2:37" ht="18" customHeight="1">
      <c r="B1308" s="199"/>
      <c r="D1308" s="154"/>
      <c r="F1308" s="154"/>
      <c r="G1308" s="217"/>
      <c r="I1308" s="673"/>
      <c r="J1308" s="209"/>
      <c r="K1308" s="520"/>
      <c r="L1308" s="154"/>
      <c r="M1308" s="154"/>
      <c r="N1308" s="154"/>
      <c r="O1308" s="246"/>
      <c r="P1308" s="1597"/>
      <c r="R1308" s="1598"/>
      <c r="S1308" s="557"/>
      <c r="T1308" s="1768"/>
      <c r="V1308" s="1769"/>
      <c r="X1308" s="1768"/>
      <c r="Z1308" s="1769"/>
      <c r="AA1308" s="557"/>
      <c r="AK1308" s="246"/>
    </row>
    <row r="1309" spans="2:37" ht="18" customHeight="1">
      <c r="B1309" s="199"/>
      <c r="D1309" s="154"/>
      <c r="F1309" s="154"/>
      <c r="G1309" s="217"/>
      <c r="I1309" s="673"/>
      <c r="J1309" s="209"/>
      <c r="K1309" s="520"/>
      <c r="L1309" s="154"/>
      <c r="M1309" s="154"/>
      <c r="N1309" s="154"/>
      <c r="O1309" s="246"/>
      <c r="P1309" s="1597"/>
      <c r="R1309" s="1598"/>
      <c r="S1309" s="557"/>
      <c r="T1309" s="1768"/>
      <c r="V1309" s="1769"/>
      <c r="X1309" s="1768"/>
      <c r="Z1309" s="1769"/>
      <c r="AA1309" s="557"/>
      <c r="AK1309" s="246"/>
    </row>
    <row r="1310" spans="2:37" ht="18" customHeight="1">
      <c r="B1310" s="199"/>
      <c r="D1310" s="154"/>
      <c r="F1310" s="154"/>
      <c r="G1310" s="217"/>
      <c r="I1310" s="673"/>
      <c r="J1310" s="209"/>
      <c r="K1310" s="520"/>
      <c r="L1310" s="154"/>
      <c r="M1310" s="154"/>
      <c r="N1310" s="154"/>
      <c r="O1310" s="246"/>
      <c r="P1310" s="1597"/>
      <c r="R1310" s="1598"/>
      <c r="S1310" s="557"/>
      <c r="T1310" s="1768"/>
      <c r="V1310" s="1769"/>
      <c r="X1310" s="1768"/>
      <c r="Z1310" s="1769"/>
      <c r="AA1310" s="557"/>
      <c r="AK1310" s="246"/>
    </row>
    <row r="1311" spans="2:37" ht="18" customHeight="1">
      <c r="B1311" s="199"/>
      <c r="D1311" s="154"/>
      <c r="F1311" s="154"/>
      <c r="G1311" s="217"/>
      <c r="I1311" s="673"/>
      <c r="J1311" s="209"/>
      <c r="K1311" s="520"/>
      <c r="L1311" s="154"/>
      <c r="M1311" s="154"/>
      <c r="N1311" s="154"/>
      <c r="O1311" s="246"/>
      <c r="P1311" s="1597"/>
      <c r="R1311" s="1598"/>
      <c r="S1311" s="557"/>
      <c r="T1311" s="1768"/>
      <c r="V1311" s="1769"/>
      <c r="X1311" s="1768"/>
      <c r="Z1311" s="1769"/>
      <c r="AA1311" s="557"/>
      <c r="AK1311" s="246"/>
    </row>
    <row r="1312" spans="2:37" ht="18" customHeight="1">
      <c r="B1312" s="199"/>
      <c r="D1312" s="154"/>
      <c r="F1312" s="154"/>
      <c r="G1312" s="217"/>
      <c r="I1312" s="673"/>
      <c r="J1312" s="209"/>
      <c r="K1312" s="520"/>
      <c r="L1312" s="154"/>
      <c r="M1312" s="154"/>
      <c r="N1312" s="154"/>
      <c r="O1312" s="246"/>
      <c r="P1312" s="1597"/>
      <c r="R1312" s="1598"/>
      <c r="S1312" s="557"/>
      <c r="T1312" s="1768"/>
      <c r="V1312" s="1769"/>
      <c r="X1312" s="1768"/>
      <c r="Z1312" s="1769"/>
      <c r="AA1312" s="557"/>
      <c r="AK1312" s="246"/>
    </row>
    <row r="1313" spans="2:37" ht="18" customHeight="1">
      <c r="B1313" s="199"/>
      <c r="D1313" s="154"/>
      <c r="F1313" s="154"/>
      <c r="G1313" s="217"/>
      <c r="I1313" s="673"/>
      <c r="J1313" s="209"/>
      <c r="K1313" s="520"/>
      <c r="L1313" s="154"/>
      <c r="M1313" s="154"/>
      <c r="N1313" s="154"/>
      <c r="O1313" s="246"/>
      <c r="P1313" s="1597"/>
      <c r="R1313" s="1598"/>
      <c r="S1313" s="557"/>
      <c r="T1313" s="1768"/>
      <c r="V1313" s="1769"/>
      <c r="X1313" s="1768"/>
      <c r="Z1313" s="1769"/>
      <c r="AA1313" s="557"/>
      <c r="AK1313" s="246"/>
    </row>
    <row r="1314" spans="2:37" ht="18" customHeight="1">
      <c r="B1314" s="199"/>
      <c r="D1314" s="154"/>
      <c r="F1314" s="154"/>
      <c r="G1314" s="217"/>
      <c r="I1314" s="673"/>
      <c r="J1314" s="209"/>
      <c r="K1314" s="520"/>
      <c r="L1314" s="154"/>
      <c r="M1314" s="154"/>
      <c r="N1314" s="154"/>
      <c r="O1314" s="246"/>
      <c r="P1314" s="1597"/>
      <c r="R1314" s="1598"/>
      <c r="S1314" s="557"/>
      <c r="T1314" s="1768"/>
      <c r="V1314" s="1769"/>
      <c r="X1314" s="1768"/>
      <c r="Z1314" s="1769"/>
      <c r="AA1314" s="557"/>
      <c r="AK1314" s="246"/>
    </row>
    <row r="1315" spans="2:37" ht="18" customHeight="1">
      <c r="B1315" s="199"/>
      <c r="D1315" s="154"/>
      <c r="F1315" s="154"/>
      <c r="G1315" s="217"/>
      <c r="I1315" s="673"/>
      <c r="J1315" s="209"/>
      <c r="K1315" s="520"/>
      <c r="L1315" s="154"/>
      <c r="M1315" s="154"/>
      <c r="N1315" s="154"/>
      <c r="O1315" s="246"/>
      <c r="P1315" s="1597"/>
      <c r="R1315" s="1598"/>
      <c r="S1315" s="557"/>
      <c r="T1315" s="1768"/>
      <c r="V1315" s="1769"/>
      <c r="X1315" s="1768"/>
      <c r="Z1315" s="1769"/>
      <c r="AA1315" s="557"/>
      <c r="AK1315" s="246"/>
    </row>
    <row r="1316" spans="2:37" ht="18" customHeight="1">
      <c r="B1316" s="199"/>
      <c r="D1316" s="154"/>
      <c r="F1316" s="154"/>
      <c r="G1316" s="217"/>
      <c r="I1316" s="673"/>
      <c r="J1316" s="209"/>
      <c r="K1316" s="520"/>
      <c r="L1316" s="154"/>
      <c r="M1316" s="154"/>
      <c r="N1316" s="154"/>
      <c r="O1316" s="246"/>
      <c r="P1316" s="1597"/>
      <c r="R1316" s="1598"/>
      <c r="S1316" s="557"/>
      <c r="T1316" s="1768"/>
      <c r="V1316" s="1769"/>
      <c r="X1316" s="1768"/>
      <c r="Z1316" s="1769"/>
      <c r="AA1316" s="557"/>
      <c r="AK1316" s="246"/>
    </row>
    <row r="1317" spans="2:37" ht="18" customHeight="1">
      <c r="B1317" s="199"/>
      <c r="D1317" s="154"/>
      <c r="F1317" s="154"/>
      <c r="G1317" s="217"/>
      <c r="I1317" s="673"/>
      <c r="J1317" s="209"/>
      <c r="K1317" s="520"/>
      <c r="L1317" s="154"/>
      <c r="M1317" s="154"/>
      <c r="N1317" s="154"/>
      <c r="O1317" s="246"/>
      <c r="P1317" s="1597"/>
      <c r="R1317" s="1598"/>
      <c r="S1317" s="557"/>
      <c r="T1317" s="1768"/>
      <c r="V1317" s="1769"/>
      <c r="X1317" s="1768"/>
      <c r="Z1317" s="1769"/>
      <c r="AA1317" s="557"/>
      <c r="AK1317" s="246"/>
    </row>
    <row r="1318" spans="2:37" ht="18" customHeight="1">
      <c r="B1318" s="199"/>
      <c r="D1318" s="154"/>
      <c r="F1318" s="154"/>
      <c r="G1318" s="217"/>
      <c r="I1318" s="673"/>
      <c r="J1318" s="209"/>
      <c r="K1318" s="520"/>
      <c r="L1318" s="154"/>
      <c r="M1318" s="154"/>
      <c r="N1318" s="154"/>
      <c r="O1318" s="246"/>
      <c r="P1318" s="1597"/>
      <c r="R1318" s="1598"/>
      <c r="S1318" s="557"/>
      <c r="T1318" s="1768"/>
      <c r="V1318" s="1769"/>
      <c r="X1318" s="1768"/>
      <c r="Z1318" s="1769"/>
      <c r="AA1318" s="557"/>
      <c r="AK1318" s="246"/>
    </row>
    <row r="1319" spans="2:37" ht="18" customHeight="1">
      <c r="B1319" s="199"/>
      <c r="D1319" s="154"/>
      <c r="F1319" s="154"/>
      <c r="G1319" s="217"/>
      <c r="I1319" s="673"/>
      <c r="J1319" s="209"/>
      <c r="K1319" s="520"/>
      <c r="L1319" s="154"/>
      <c r="M1319" s="154"/>
      <c r="N1319" s="154"/>
      <c r="O1319" s="246"/>
      <c r="P1319" s="1597"/>
      <c r="R1319" s="1598"/>
      <c r="S1319" s="557"/>
      <c r="T1319" s="1768"/>
      <c r="V1319" s="1769"/>
      <c r="X1319" s="1768"/>
      <c r="Z1319" s="1769"/>
      <c r="AA1319" s="557"/>
      <c r="AK1319" s="246"/>
    </row>
    <row r="1320" spans="2:37" ht="18" customHeight="1">
      <c r="B1320" s="199"/>
      <c r="D1320" s="154"/>
      <c r="F1320" s="154"/>
      <c r="G1320" s="217"/>
      <c r="I1320" s="673"/>
      <c r="J1320" s="209"/>
      <c r="K1320" s="520"/>
      <c r="L1320" s="154"/>
      <c r="M1320" s="154"/>
      <c r="N1320" s="154"/>
      <c r="O1320" s="246"/>
      <c r="P1320" s="1597"/>
      <c r="R1320" s="1598"/>
      <c r="S1320" s="557"/>
      <c r="T1320" s="1768"/>
      <c r="V1320" s="1769"/>
      <c r="X1320" s="1768"/>
      <c r="Z1320" s="1769"/>
      <c r="AA1320" s="557"/>
      <c r="AK1320" s="246"/>
    </row>
    <row r="1321" spans="2:37" ht="18" customHeight="1">
      <c r="B1321" s="199"/>
      <c r="D1321" s="154"/>
      <c r="F1321" s="154"/>
      <c r="G1321" s="217"/>
      <c r="I1321" s="673"/>
      <c r="J1321" s="209"/>
      <c r="K1321" s="520"/>
      <c r="L1321" s="154"/>
      <c r="M1321" s="154"/>
      <c r="N1321" s="154"/>
      <c r="O1321" s="246"/>
      <c r="P1321" s="1597"/>
      <c r="R1321" s="1598"/>
      <c r="S1321" s="557"/>
      <c r="T1321" s="1768"/>
      <c r="V1321" s="1769"/>
      <c r="X1321" s="1768"/>
      <c r="Z1321" s="1769"/>
      <c r="AA1321" s="557"/>
      <c r="AK1321" s="246"/>
    </row>
    <row r="1322" spans="2:37" ht="18" customHeight="1">
      <c r="B1322" s="199"/>
      <c r="D1322" s="154"/>
      <c r="F1322" s="154"/>
      <c r="G1322" s="217"/>
      <c r="I1322" s="673"/>
      <c r="J1322" s="209"/>
      <c r="K1322" s="520"/>
      <c r="L1322" s="154"/>
      <c r="M1322" s="154"/>
      <c r="N1322" s="154"/>
      <c r="O1322" s="246"/>
      <c r="P1322" s="1597"/>
      <c r="R1322" s="1598"/>
      <c r="S1322" s="557"/>
      <c r="T1322" s="1768"/>
      <c r="V1322" s="1769"/>
      <c r="X1322" s="1768"/>
      <c r="Z1322" s="1769"/>
      <c r="AA1322" s="557"/>
      <c r="AK1322" s="246"/>
    </row>
    <row r="1323" spans="2:37" ht="18" customHeight="1">
      <c r="B1323" s="199"/>
      <c r="D1323" s="154"/>
      <c r="F1323" s="154"/>
      <c r="G1323" s="217"/>
      <c r="I1323" s="673"/>
      <c r="J1323" s="209"/>
      <c r="K1323" s="520"/>
      <c r="L1323" s="154"/>
      <c r="M1323" s="154"/>
      <c r="N1323" s="154"/>
      <c r="O1323" s="246"/>
      <c r="P1323" s="1597"/>
      <c r="R1323" s="1598"/>
      <c r="S1323" s="557"/>
      <c r="T1323" s="1768"/>
      <c r="V1323" s="1769"/>
      <c r="X1323" s="1768"/>
      <c r="Z1323" s="1769"/>
      <c r="AA1323" s="557"/>
      <c r="AK1323" s="246"/>
    </row>
    <row r="1324" spans="2:37" ht="18" customHeight="1">
      <c r="B1324" s="199"/>
      <c r="D1324" s="154"/>
      <c r="F1324" s="154"/>
      <c r="G1324" s="217"/>
      <c r="I1324" s="673"/>
      <c r="J1324" s="209"/>
      <c r="K1324" s="520"/>
      <c r="L1324" s="154"/>
      <c r="M1324" s="154"/>
      <c r="N1324" s="154"/>
      <c r="O1324" s="246"/>
      <c r="P1324" s="1597"/>
      <c r="R1324" s="1598"/>
      <c r="S1324" s="557"/>
      <c r="T1324" s="1768"/>
      <c r="V1324" s="1769"/>
      <c r="X1324" s="1768"/>
      <c r="Z1324" s="1769"/>
      <c r="AA1324" s="557"/>
      <c r="AK1324" s="246"/>
    </row>
    <row r="1325" spans="2:37" ht="18" customHeight="1">
      <c r="B1325" s="199"/>
      <c r="D1325" s="154"/>
      <c r="F1325" s="154"/>
      <c r="G1325" s="217"/>
      <c r="I1325" s="673"/>
      <c r="J1325" s="209"/>
      <c r="K1325" s="520"/>
      <c r="L1325" s="154"/>
      <c r="M1325" s="154"/>
      <c r="N1325" s="154"/>
      <c r="O1325" s="246"/>
      <c r="P1325" s="1597"/>
      <c r="R1325" s="1598"/>
      <c r="S1325" s="557"/>
      <c r="T1325" s="1768"/>
      <c r="V1325" s="1769"/>
      <c r="X1325" s="1768"/>
      <c r="Z1325" s="1769"/>
      <c r="AA1325" s="557"/>
      <c r="AK1325" s="246"/>
    </row>
    <row r="1326" spans="2:37" ht="18" customHeight="1">
      <c r="B1326" s="199"/>
      <c r="D1326" s="154"/>
      <c r="F1326" s="154"/>
      <c r="G1326" s="217"/>
      <c r="I1326" s="673"/>
      <c r="J1326" s="209"/>
      <c r="K1326" s="520"/>
      <c r="L1326" s="154"/>
      <c r="M1326" s="154"/>
      <c r="N1326" s="154"/>
      <c r="O1326" s="246"/>
      <c r="P1326" s="1597"/>
      <c r="R1326" s="1598"/>
      <c r="S1326" s="557"/>
      <c r="T1326" s="1768"/>
      <c r="V1326" s="1769"/>
      <c r="X1326" s="1768"/>
      <c r="Z1326" s="1769"/>
      <c r="AA1326" s="557"/>
      <c r="AK1326" s="246"/>
    </row>
    <row r="1327" spans="2:37" ht="18" customHeight="1">
      <c r="B1327" s="199"/>
      <c r="D1327" s="154"/>
      <c r="F1327" s="154"/>
      <c r="G1327" s="217"/>
      <c r="I1327" s="673"/>
      <c r="J1327" s="209"/>
      <c r="K1327" s="520"/>
      <c r="L1327" s="154"/>
      <c r="M1327" s="154"/>
      <c r="N1327" s="154"/>
      <c r="O1327" s="246"/>
      <c r="P1327" s="1597"/>
      <c r="R1327" s="1598"/>
      <c r="S1327" s="557"/>
      <c r="T1327" s="1768"/>
      <c r="V1327" s="1769"/>
      <c r="X1327" s="1768"/>
      <c r="Z1327" s="1769"/>
      <c r="AA1327" s="557"/>
      <c r="AK1327" s="246"/>
    </row>
    <row r="1328" spans="2:37" ht="18" customHeight="1">
      <c r="B1328" s="199"/>
      <c r="D1328" s="154"/>
      <c r="F1328" s="154"/>
      <c r="G1328" s="217"/>
      <c r="I1328" s="673"/>
      <c r="J1328" s="209"/>
      <c r="K1328" s="520"/>
      <c r="L1328" s="154"/>
      <c r="M1328" s="154"/>
      <c r="N1328" s="154"/>
      <c r="O1328" s="246"/>
      <c r="P1328" s="1597"/>
      <c r="R1328" s="1598"/>
      <c r="S1328" s="557"/>
      <c r="T1328" s="1768"/>
      <c r="V1328" s="1769"/>
      <c r="X1328" s="1768"/>
      <c r="Z1328" s="1769"/>
      <c r="AA1328" s="557"/>
      <c r="AK1328" s="246"/>
    </row>
    <row r="1329" spans="2:37" ht="18" customHeight="1">
      <c r="B1329" s="199"/>
      <c r="D1329" s="154"/>
      <c r="F1329" s="154"/>
      <c r="G1329" s="217"/>
      <c r="I1329" s="673"/>
      <c r="J1329" s="209"/>
      <c r="K1329" s="520"/>
      <c r="L1329" s="154"/>
      <c r="M1329" s="154"/>
      <c r="N1329" s="154"/>
      <c r="O1329" s="246"/>
      <c r="P1329" s="1597"/>
      <c r="R1329" s="1598"/>
      <c r="S1329" s="557"/>
      <c r="T1329" s="1768"/>
      <c r="V1329" s="1769"/>
      <c r="X1329" s="1768"/>
      <c r="Z1329" s="1769"/>
      <c r="AA1329" s="557"/>
      <c r="AK1329" s="246"/>
    </row>
    <row r="1330" spans="2:37" ht="18" customHeight="1">
      <c r="B1330" s="199"/>
      <c r="D1330" s="154"/>
      <c r="F1330" s="154"/>
      <c r="G1330" s="217"/>
      <c r="I1330" s="673"/>
      <c r="J1330" s="209"/>
      <c r="K1330" s="520"/>
      <c r="L1330" s="154"/>
      <c r="M1330" s="154"/>
      <c r="N1330" s="154"/>
      <c r="O1330" s="246"/>
      <c r="P1330" s="1597"/>
      <c r="R1330" s="1598"/>
      <c r="S1330" s="557"/>
      <c r="T1330" s="1768"/>
      <c r="V1330" s="1769"/>
      <c r="X1330" s="1768"/>
      <c r="Z1330" s="1769"/>
      <c r="AA1330" s="557"/>
      <c r="AK1330" s="246"/>
    </row>
    <row r="1331" spans="2:37" ht="18" customHeight="1">
      <c r="B1331" s="199"/>
      <c r="D1331" s="154"/>
      <c r="F1331" s="154"/>
      <c r="G1331" s="217"/>
      <c r="I1331" s="673"/>
      <c r="J1331" s="209"/>
      <c r="K1331" s="520"/>
      <c r="L1331" s="154"/>
      <c r="M1331" s="154"/>
      <c r="N1331" s="154"/>
      <c r="O1331" s="246"/>
      <c r="P1331" s="1597"/>
      <c r="R1331" s="1598"/>
      <c r="S1331" s="557"/>
      <c r="T1331" s="1768"/>
      <c r="V1331" s="1769"/>
      <c r="X1331" s="1768"/>
      <c r="Z1331" s="1769"/>
      <c r="AA1331" s="557"/>
      <c r="AK1331" s="246"/>
    </row>
    <row r="1332" spans="2:37" ht="18" customHeight="1">
      <c r="B1332" s="199"/>
      <c r="D1332" s="154"/>
      <c r="F1332" s="154"/>
      <c r="G1332" s="217"/>
      <c r="I1332" s="673"/>
      <c r="J1332" s="209"/>
      <c r="K1332" s="520"/>
      <c r="L1332" s="154"/>
      <c r="M1332" s="154"/>
      <c r="N1332" s="154"/>
      <c r="O1332" s="246"/>
      <c r="P1332" s="1597"/>
      <c r="R1332" s="1598"/>
      <c r="S1332" s="557"/>
      <c r="T1332" s="1768"/>
      <c r="V1332" s="1769"/>
      <c r="X1332" s="1768"/>
      <c r="Z1332" s="1769"/>
      <c r="AA1332" s="557"/>
      <c r="AK1332" s="246"/>
    </row>
    <row r="1333" spans="2:37" ht="18" customHeight="1">
      <c r="B1333" s="199"/>
      <c r="D1333" s="154"/>
      <c r="F1333" s="154"/>
      <c r="G1333" s="217"/>
      <c r="I1333" s="673"/>
      <c r="J1333" s="209"/>
      <c r="K1333" s="520"/>
      <c r="L1333" s="154"/>
      <c r="M1333" s="154"/>
      <c r="N1333" s="154"/>
      <c r="O1333" s="246"/>
      <c r="P1333" s="1597"/>
      <c r="R1333" s="1598"/>
      <c r="S1333" s="557"/>
      <c r="T1333" s="1768"/>
      <c r="V1333" s="1769"/>
      <c r="X1333" s="1768"/>
      <c r="Z1333" s="1769"/>
      <c r="AA1333" s="557"/>
      <c r="AK1333" s="246"/>
    </row>
    <row r="1334" spans="2:37" ht="18" customHeight="1">
      <c r="B1334" s="199"/>
      <c r="D1334" s="154"/>
      <c r="F1334" s="154"/>
      <c r="G1334" s="217"/>
      <c r="I1334" s="673"/>
      <c r="J1334" s="209"/>
      <c r="K1334" s="520"/>
      <c r="L1334" s="154"/>
      <c r="M1334" s="154"/>
      <c r="N1334" s="154"/>
      <c r="O1334" s="246"/>
      <c r="P1334" s="1597"/>
      <c r="R1334" s="1598"/>
      <c r="S1334" s="557"/>
      <c r="T1334" s="1768"/>
      <c r="V1334" s="1769"/>
      <c r="X1334" s="1768"/>
      <c r="Z1334" s="1769"/>
      <c r="AA1334" s="557"/>
      <c r="AK1334" s="246"/>
    </row>
    <row r="1335" spans="2:37" ht="18" customHeight="1">
      <c r="B1335" s="199"/>
      <c r="D1335" s="154"/>
      <c r="F1335" s="154"/>
      <c r="G1335" s="217"/>
      <c r="I1335" s="673"/>
      <c r="J1335" s="209"/>
      <c r="K1335" s="520"/>
      <c r="L1335" s="154"/>
      <c r="M1335" s="154"/>
      <c r="N1335" s="154"/>
      <c r="O1335" s="246"/>
      <c r="P1335" s="1597"/>
      <c r="R1335" s="1598"/>
      <c r="S1335" s="557"/>
      <c r="T1335" s="1768"/>
      <c r="V1335" s="1769"/>
      <c r="X1335" s="1768"/>
      <c r="Z1335" s="1769"/>
      <c r="AA1335" s="557"/>
      <c r="AK1335" s="246"/>
    </row>
    <row r="1336" spans="2:37" ht="18" customHeight="1">
      <c r="B1336" s="199"/>
      <c r="D1336" s="154"/>
      <c r="F1336" s="154"/>
      <c r="G1336" s="217"/>
      <c r="I1336" s="673"/>
      <c r="J1336" s="209"/>
      <c r="K1336" s="520"/>
      <c r="L1336" s="154"/>
      <c r="M1336" s="154"/>
      <c r="N1336" s="154"/>
      <c r="O1336" s="246"/>
      <c r="P1336" s="1597"/>
      <c r="R1336" s="1598"/>
      <c r="S1336" s="557"/>
      <c r="T1336" s="1768"/>
      <c r="V1336" s="1769"/>
      <c r="X1336" s="1768"/>
      <c r="Z1336" s="1769"/>
      <c r="AA1336" s="557"/>
      <c r="AK1336" s="246"/>
    </row>
    <row r="1337" spans="2:37" ht="18" customHeight="1">
      <c r="B1337" s="199"/>
      <c r="D1337" s="154"/>
      <c r="F1337" s="154"/>
      <c r="G1337" s="217"/>
      <c r="I1337" s="673"/>
      <c r="J1337" s="209"/>
      <c r="K1337" s="520"/>
      <c r="L1337" s="154"/>
      <c r="M1337" s="154"/>
      <c r="N1337" s="154"/>
      <c r="O1337" s="246"/>
      <c r="P1337" s="1597"/>
      <c r="R1337" s="1598"/>
      <c r="S1337" s="557"/>
      <c r="T1337" s="1768"/>
      <c r="V1337" s="1769"/>
      <c r="X1337" s="1768"/>
      <c r="Z1337" s="1769"/>
      <c r="AA1337" s="557"/>
      <c r="AK1337" s="246"/>
    </row>
    <row r="1338" spans="2:37" ht="18" customHeight="1">
      <c r="B1338" s="199"/>
      <c r="D1338" s="154"/>
      <c r="F1338" s="154"/>
      <c r="G1338" s="217"/>
      <c r="I1338" s="673"/>
      <c r="J1338" s="209"/>
      <c r="K1338" s="520"/>
      <c r="L1338" s="154"/>
      <c r="M1338" s="154"/>
      <c r="N1338" s="154"/>
      <c r="O1338" s="246"/>
      <c r="P1338" s="1597"/>
      <c r="R1338" s="1598"/>
      <c r="S1338" s="557"/>
      <c r="T1338" s="1768"/>
      <c r="V1338" s="1769"/>
      <c r="X1338" s="1768"/>
      <c r="Z1338" s="1769"/>
      <c r="AA1338" s="557"/>
      <c r="AK1338" s="246"/>
    </row>
    <row r="1339" spans="2:37" ht="18" customHeight="1">
      <c r="B1339" s="199"/>
      <c r="D1339" s="154"/>
      <c r="F1339" s="154"/>
      <c r="G1339" s="217"/>
      <c r="I1339" s="673"/>
      <c r="J1339" s="209"/>
      <c r="K1339" s="520"/>
      <c r="L1339" s="154"/>
      <c r="M1339" s="154"/>
      <c r="N1339" s="154"/>
      <c r="O1339" s="246"/>
      <c r="P1339" s="1597"/>
      <c r="R1339" s="1598"/>
      <c r="S1339" s="557"/>
      <c r="T1339" s="1768"/>
      <c r="V1339" s="1769"/>
      <c r="X1339" s="1768"/>
      <c r="Z1339" s="1769"/>
      <c r="AA1339" s="557"/>
      <c r="AK1339" s="246"/>
    </row>
    <row r="1340" spans="2:37" ht="18" customHeight="1">
      <c r="B1340" s="199"/>
      <c r="D1340" s="154"/>
      <c r="F1340" s="154"/>
      <c r="G1340" s="217"/>
      <c r="I1340" s="673"/>
      <c r="J1340" s="209"/>
      <c r="K1340" s="520"/>
      <c r="L1340" s="154"/>
      <c r="M1340" s="154"/>
      <c r="N1340" s="154"/>
      <c r="O1340" s="246"/>
      <c r="P1340" s="1597"/>
      <c r="R1340" s="1598"/>
      <c r="S1340" s="557"/>
      <c r="T1340" s="1768"/>
      <c r="V1340" s="1769"/>
      <c r="X1340" s="1768"/>
      <c r="Z1340" s="1769"/>
      <c r="AA1340" s="557"/>
      <c r="AK1340" s="246"/>
    </row>
    <row r="1341" spans="2:37" ht="18" customHeight="1">
      <c r="B1341" s="199"/>
      <c r="D1341" s="154"/>
      <c r="F1341" s="154"/>
      <c r="G1341" s="217"/>
      <c r="I1341" s="673"/>
      <c r="J1341" s="209"/>
      <c r="K1341" s="520"/>
      <c r="L1341" s="154"/>
      <c r="M1341" s="154"/>
      <c r="N1341" s="154"/>
      <c r="O1341" s="246"/>
      <c r="P1341" s="1597"/>
      <c r="R1341" s="1598"/>
      <c r="S1341" s="557"/>
      <c r="T1341" s="1768"/>
      <c r="V1341" s="1769"/>
      <c r="X1341" s="1768"/>
      <c r="Z1341" s="1769"/>
      <c r="AA1341" s="557"/>
      <c r="AK1341" s="246"/>
    </row>
    <row r="1342" spans="2:37" ht="18" customHeight="1">
      <c r="B1342" s="199"/>
      <c r="D1342" s="154"/>
      <c r="F1342" s="154"/>
      <c r="G1342" s="217"/>
      <c r="I1342" s="673"/>
      <c r="J1342" s="209"/>
      <c r="K1342" s="520"/>
      <c r="L1342" s="154"/>
      <c r="M1342" s="154"/>
      <c r="N1342" s="154"/>
      <c r="O1342" s="246"/>
      <c r="P1342" s="1597"/>
      <c r="R1342" s="1598"/>
      <c r="S1342" s="557"/>
      <c r="T1342" s="1768"/>
      <c r="V1342" s="1769"/>
      <c r="X1342" s="1768"/>
      <c r="Z1342" s="1769"/>
      <c r="AA1342" s="557"/>
      <c r="AK1342" s="246"/>
    </row>
    <row r="1343" spans="2:37" ht="18" customHeight="1">
      <c r="B1343" s="199"/>
      <c r="D1343" s="154"/>
      <c r="F1343" s="154"/>
      <c r="G1343" s="217"/>
      <c r="I1343" s="673"/>
      <c r="J1343" s="209"/>
      <c r="K1343" s="520"/>
      <c r="L1343" s="154"/>
      <c r="M1343" s="154"/>
      <c r="N1343" s="154"/>
      <c r="O1343" s="246"/>
      <c r="P1343" s="1597"/>
      <c r="R1343" s="1598"/>
      <c r="S1343" s="557"/>
      <c r="T1343" s="1768"/>
      <c r="V1343" s="1769"/>
      <c r="X1343" s="1768"/>
      <c r="Z1343" s="1769"/>
      <c r="AA1343" s="557"/>
      <c r="AK1343" s="246"/>
    </row>
    <row r="1344" spans="2:37" ht="18" customHeight="1">
      <c r="B1344" s="199"/>
      <c r="D1344" s="154"/>
      <c r="F1344" s="154"/>
      <c r="G1344" s="217"/>
      <c r="I1344" s="673"/>
      <c r="J1344" s="209"/>
      <c r="K1344" s="520"/>
      <c r="L1344" s="154"/>
      <c r="M1344" s="154"/>
      <c r="N1344" s="154"/>
      <c r="O1344" s="246"/>
      <c r="P1344" s="1597"/>
      <c r="R1344" s="1598"/>
      <c r="S1344" s="557"/>
      <c r="T1344" s="1768"/>
      <c r="V1344" s="1769"/>
      <c r="X1344" s="1768"/>
      <c r="Z1344" s="1769"/>
      <c r="AA1344" s="557"/>
      <c r="AK1344" s="246"/>
    </row>
    <row r="1345" spans="2:37" ht="18" customHeight="1">
      <c r="B1345" s="199"/>
      <c r="D1345" s="154"/>
      <c r="F1345" s="154"/>
      <c r="G1345" s="217"/>
      <c r="I1345" s="673"/>
      <c r="J1345" s="209"/>
      <c r="K1345" s="520"/>
      <c r="L1345" s="154"/>
      <c r="M1345" s="154"/>
      <c r="N1345" s="154"/>
      <c r="O1345" s="246"/>
      <c r="P1345" s="1597"/>
      <c r="R1345" s="1598"/>
      <c r="S1345" s="557"/>
      <c r="T1345" s="1768"/>
      <c r="V1345" s="1769"/>
      <c r="X1345" s="1768"/>
      <c r="Z1345" s="1769"/>
      <c r="AA1345" s="557"/>
      <c r="AK1345" s="246"/>
    </row>
    <row r="1346" spans="2:37" ht="18" customHeight="1">
      <c r="B1346" s="199"/>
      <c r="D1346" s="154"/>
      <c r="F1346" s="154"/>
      <c r="G1346" s="217"/>
      <c r="I1346" s="673"/>
      <c r="J1346" s="209"/>
      <c r="K1346" s="520"/>
      <c r="L1346" s="154"/>
      <c r="M1346" s="154"/>
      <c r="N1346" s="154"/>
      <c r="O1346" s="246"/>
      <c r="P1346" s="1597"/>
      <c r="R1346" s="1598"/>
      <c r="S1346" s="557"/>
      <c r="T1346" s="1768"/>
      <c r="V1346" s="1769"/>
      <c r="X1346" s="1768"/>
      <c r="Z1346" s="1769"/>
      <c r="AA1346" s="557"/>
      <c r="AK1346" s="246"/>
    </row>
    <row r="1347" spans="2:37" ht="18" customHeight="1">
      <c r="B1347" s="199"/>
      <c r="D1347" s="154"/>
      <c r="F1347" s="154"/>
      <c r="G1347" s="217"/>
      <c r="I1347" s="673"/>
      <c r="J1347" s="209"/>
      <c r="K1347" s="520"/>
      <c r="L1347" s="154"/>
      <c r="M1347" s="154"/>
      <c r="N1347" s="154"/>
      <c r="O1347" s="246"/>
      <c r="P1347" s="1597"/>
      <c r="R1347" s="1598"/>
      <c r="S1347" s="557"/>
      <c r="T1347" s="1768"/>
      <c r="V1347" s="1769"/>
      <c r="X1347" s="1768"/>
      <c r="Z1347" s="1769"/>
      <c r="AA1347" s="557"/>
      <c r="AK1347" s="246"/>
    </row>
    <row r="1348" spans="2:37" ht="18" customHeight="1">
      <c r="B1348" s="199"/>
      <c r="D1348" s="154"/>
      <c r="F1348" s="154"/>
      <c r="G1348" s="217"/>
      <c r="I1348" s="673"/>
      <c r="J1348" s="209"/>
      <c r="K1348" s="520"/>
      <c r="L1348" s="154"/>
      <c r="M1348" s="154"/>
      <c r="N1348" s="154"/>
      <c r="O1348" s="246"/>
      <c r="P1348" s="1597"/>
      <c r="R1348" s="1598"/>
      <c r="S1348" s="557"/>
      <c r="T1348" s="1768"/>
      <c r="V1348" s="1769"/>
      <c r="X1348" s="1768"/>
      <c r="Z1348" s="1769"/>
      <c r="AA1348" s="557"/>
      <c r="AK1348" s="246"/>
    </row>
    <row r="1349" spans="2:37" ht="18" customHeight="1">
      <c r="B1349" s="199"/>
      <c r="D1349" s="154"/>
      <c r="F1349" s="154"/>
      <c r="G1349" s="217"/>
      <c r="I1349" s="673"/>
      <c r="J1349" s="209"/>
      <c r="K1349" s="520"/>
      <c r="L1349" s="154"/>
      <c r="M1349" s="154"/>
      <c r="N1349" s="154"/>
      <c r="O1349" s="246"/>
      <c r="P1349" s="1597"/>
      <c r="R1349" s="1598"/>
      <c r="S1349" s="557"/>
      <c r="T1349" s="1768"/>
      <c r="V1349" s="1769"/>
      <c r="X1349" s="1768"/>
      <c r="Z1349" s="1769"/>
      <c r="AA1349" s="557"/>
      <c r="AK1349" s="246"/>
    </row>
    <row r="1350" spans="2:37" ht="18" customHeight="1">
      <c r="B1350" s="199"/>
      <c r="D1350" s="154"/>
      <c r="F1350" s="154"/>
      <c r="G1350" s="217"/>
      <c r="I1350" s="673"/>
      <c r="J1350" s="209"/>
      <c r="K1350" s="520"/>
      <c r="L1350" s="154"/>
      <c r="M1350" s="154"/>
      <c r="N1350" s="154"/>
      <c r="O1350" s="246"/>
      <c r="P1350" s="1597"/>
      <c r="R1350" s="1598"/>
      <c r="S1350" s="557"/>
      <c r="T1350" s="1768"/>
      <c r="V1350" s="1769"/>
      <c r="X1350" s="1768"/>
      <c r="Z1350" s="1769"/>
      <c r="AA1350" s="557"/>
      <c r="AK1350" s="246"/>
    </row>
    <row r="1351" spans="2:37" ht="18" customHeight="1">
      <c r="B1351" s="199"/>
      <c r="D1351" s="154"/>
      <c r="F1351" s="154"/>
      <c r="G1351" s="217"/>
      <c r="I1351" s="673"/>
      <c r="J1351" s="209"/>
      <c r="K1351" s="520"/>
      <c r="L1351" s="154"/>
      <c r="M1351" s="154"/>
      <c r="N1351" s="154"/>
      <c r="O1351" s="246"/>
      <c r="P1351" s="1597"/>
      <c r="R1351" s="1598"/>
      <c r="S1351" s="557"/>
      <c r="T1351" s="1768"/>
      <c r="V1351" s="1769"/>
      <c r="X1351" s="1768"/>
      <c r="Z1351" s="1769"/>
      <c r="AA1351" s="557"/>
      <c r="AK1351" s="246"/>
    </row>
    <row r="1352" spans="2:37" ht="18" customHeight="1">
      <c r="B1352" s="199"/>
      <c r="D1352" s="154"/>
      <c r="F1352" s="154"/>
      <c r="G1352" s="217"/>
      <c r="I1352" s="673"/>
      <c r="J1352" s="209"/>
      <c r="K1352" s="520"/>
      <c r="L1352" s="154"/>
      <c r="M1352" s="154"/>
      <c r="N1352" s="154"/>
      <c r="O1352" s="246"/>
      <c r="P1352" s="1597"/>
      <c r="R1352" s="1598"/>
      <c r="S1352" s="557"/>
      <c r="T1352" s="1768"/>
      <c r="V1352" s="1769"/>
      <c r="X1352" s="1768"/>
      <c r="Z1352" s="1769"/>
      <c r="AA1352" s="557"/>
      <c r="AK1352" s="246"/>
    </row>
    <row r="1353" spans="2:37" ht="18" customHeight="1">
      <c r="B1353" s="199"/>
      <c r="D1353" s="154"/>
      <c r="F1353" s="154"/>
      <c r="G1353" s="217"/>
      <c r="I1353" s="673"/>
      <c r="J1353" s="209"/>
      <c r="K1353" s="520"/>
      <c r="L1353" s="154"/>
      <c r="M1353" s="154"/>
      <c r="N1353" s="154"/>
      <c r="O1353" s="246"/>
      <c r="P1353" s="1597"/>
      <c r="R1353" s="1598"/>
      <c r="S1353" s="557"/>
      <c r="T1353" s="1768"/>
      <c r="V1353" s="1769"/>
      <c r="X1353" s="1768"/>
      <c r="Z1353" s="1769"/>
      <c r="AA1353" s="557"/>
      <c r="AK1353" s="246"/>
    </row>
    <row r="1354" spans="2:37" ht="18" customHeight="1">
      <c r="B1354" s="199"/>
      <c r="D1354" s="154"/>
      <c r="F1354" s="154"/>
      <c r="G1354" s="217"/>
      <c r="I1354" s="673"/>
      <c r="J1354" s="209"/>
      <c r="K1354" s="520"/>
      <c r="L1354" s="154"/>
      <c r="M1354" s="154"/>
      <c r="N1354" s="154"/>
      <c r="O1354" s="246"/>
      <c r="P1354" s="1597"/>
      <c r="R1354" s="1598"/>
      <c r="S1354" s="557"/>
      <c r="T1354" s="1768"/>
      <c r="V1354" s="1769"/>
      <c r="X1354" s="1768"/>
      <c r="Z1354" s="1769"/>
      <c r="AA1354" s="557"/>
      <c r="AK1354" s="246"/>
    </row>
    <row r="1355" spans="2:37" ht="18" customHeight="1">
      <c r="B1355" s="199"/>
      <c r="D1355" s="154"/>
      <c r="F1355" s="154"/>
      <c r="G1355" s="217"/>
      <c r="I1355" s="673"/>
      <c r="J1355" s="209"/>
      <c r="K1355" s="520"/>
      <c r="L1355" s="154"/>
      <c r="M1355" s="154"/>
      <c r="N1355" s="154"/>
      <c r="O1355" s="246"/>
      <c r="P1355" s="1597"/>
      <c r="R1355" s="1598"/>
      <c r="S1355" s="557"/>
      <c r="T1355" s="1768"/>
      <c r="V1355" s="1769"/>
      <c r="X1355" s="1768"/>
      <c r="Z1355" s="1769"/>
      <c r="AA1355" s="557"/>
      <c r="AK1355" s="246"/>
    </row>
    <row r="1356" spans="2:37" ht="18" customHeight="1">
      <c r="B1356" s="199"/>
      <c r="D1356" s="154"/>
      <c r="F1356" s="154"/>
      <c r="G1356" s="217"/>
      <c r="I1356" s="673"/>
      <c r="J1356" s="209"/>
      <c r="K1356" s="520"/>
      <c r="L1356" s="154"/>
      <c r="M1356" s="154"/>
      <c r="N1356" s="154"/>
      <c r="O1356" s="246"/>
      <c r="P1356" s="1597"/>
      <c r="R1356" s="1598"/>
      <c r="S1356" s="557"/>
      <c r="T1356" s="1768"/>
      <c r="V1356" s="1769"/>
      <c r="X1356" s="1768"/>
      <c r="Z1356" s="1769"/>
      <c r="AA1356" s="557"/>
      <c r="AK1356" s="246"/>
    </row>
    <row r="1357" spans="2:37" ht="18" customHeight="1">
      <c r="B1357" s="199"/>
      <c r="D1357" s="154"/>
      <c r="F1357" s="154"/>
      <c r="G1357" s="217"/>
      <c r="I1357" s="673"/>
      <c r="J1357" s="209"/>
      <c r="K1357" s="520"/>
      <c r="L1357" s="154"/>
      <c r="M1357" s="154"/>
      <c r="N1357" s="154"/>
      <c r="O1357" s="246"/>
      <c r="P1357" s="1597"/>
      <c r="R1357" s="1598"/>
      <c r="S1357" s="557"/>
      <c r="T1357" s="1768"/>
      <c r="V1357" s="1769"/>
      <c r="X1357" s="1768"/>
      <c r="Z1357" s="1769"/>
      <c r="AA1357" s="557"/>
      <c r="AK1357" s="246"/>
    </row>
    <row r="1358" spans="2:37" ht="18" customHeight="1">
      <c r="B1358" s="199"/>
      <c r="D1358" s="154"/>
      <c r="F1358" s="154"/>
      <c r="G1358" s="217"/>
      <c r="I1358" s="673"/>
      <c r="J1358" s="209"/>
      <c r="K1358" s="520"/>
      <c r="L1358" s="154"/>
      <c r="M1358" s="154"/>
      <c r="N1358" s="154"/>
      <c r="O1358" s="246"/>
      <c r="P1358" s="1597"/>
      <c r="R1358" s="1598"/>
      <c r="S1358" s="557"/>
      <c r="T1358" s="1768"/>
      <c r="V1358" s="1769"/>
      <c r="X1358" s="1768"/>
      <c r="Z1358" s="1769"/>
      <c r="AA1358" s="557"/>
      <c r="AK1358" s="246"/>
    </row>
    <row r="1359" spans="2:37" ht="18" customHeight="1">
      <c r="B1359" s="199"/>
      <c r="D1359" s="154"/>
      <c r="F1359" s="154"/>
      <c r="G1359" s="217"/>
      <c r="I1359" s="673"/>
      <c r="J1359" s="209"/>
      <c r="K1359" s="520"/>
      <c r="L1359" s="154"/>
      <c r="M1359" s="154"/>
      <c r="N1359" s="154"/>
      <c r="O1359" s="246"/>
      <c r="P1359" s="1597"/>
      <c r="R1359" s="1598"/>
      <c r="S1359" s="557"/>
      <c r="T1359" s="1768"/>
      <c r="V1359" s="1769"/>
      <c r="X1359" s="1768"/>
      <c r="Z1359" s="1769"/>
      <c r="AA1359" s="557"/>
      <c r="AK1359" s="246"/>
    </row>
    <row r="1360" spans="2:37" ht="18" customHeight="1">
      <c r="B1360" s="199"/>
      <c r="D1360" s="154"/>
      <c r="F1360" s="154"/>
      <c r="G1360" s="217"/>
      <c r="I1360" s="673"/>
      <c r="J1360" s="209"/>
      <c r="K1360" s="520"/>
      <c r="L1360" s="154"/>
      <c r="M1360" s="154"/>
      <c r="N1360" s="154"/>
      <c r="O1360" s="246"/>
      <c r="P1360" s="1597"/>
      <c r="R1360" s="1598"/>
      <c r="S1360" s="557"/>
      <c r="T1360" s="1768"/>
      <c r="V1360" s="1769"/>
      <c r="X1360" s="1768"/>
      <c r="Z1360" s="1769"/>
      <c r="AA1360" s="557"/>
      <c r="AK1360" s="246"/>
    </row>
    <row r="1361" spans="2:37" ht="18" customHeight="1">
      <c r="B1361" s="199"/>
      <c r="D1361" s="154"/>
      <c r="F1361" s="154"/>
      <c r="G1361" s="217"/>
      <c r="I1361" s="673"/>
      <c r="J1361" s="209"/>
      <c r="K1361" s="520"/>
      <c r="L1361" s="154"/>
      <c r="M1361" s="154"/>
      <c r="N1361" s="154"/>
      <c r="O1361" s="246"/>
      <c r="P1361" s="1597"/>
      <c r="R1361" s="1598"/>
      <c r="S1361" s="557"/>
      <c r="T1361" s="1768"/>
      <c r="V1361" s="1769"/>
      <c r="X1361" s="1768"/>
      <c r="Z1361" s="1769"/>
      <c r="AA1361" s="557"/>
      <c r="AK1361" s="246"/>
    </row>
    <row r="1362" spans="2:37" ht="18" customHeight="1">
      <c r="B1362" s="199"/>
      <c r="D1362" s="154"/>
      <c r="F1362" s="154"/>
      <c r="G1362" s="217"/>
      <c r="I1362" s="673"/>
      <c r="J1362" s="209"/>
      <c r="K1362" s="520"/>
      <c r="L1362" s="154"/>
      <c r="M1362" s="154"/>
      <c r="N1362" s="154"/>
      <c r="O1362" s="246"/>
      <c r="P1362" s="1597"/>
      <c r="R1362" s="1598"/>
      <c r="S1362" s="557"/>
      <c r="T1362" s="1768"/>
      <c r="V1362" s="1769"/>
      <c r="X1362" s="1768"/>
      <c r="Z1362" s="1769"/>
      <c r="AA1362" s="557"/>
      <c r="AK1362" s="246"/>
    </row>
    <row r="1363" spans="2:37" ht="18" customHeight="1">
      <c r="B1363" s="199"/>
      <c r="D1363" s="154"/>
      <c r="F1363" s="154"/>
      <c r="G1363" s="217"/>
      <c r="I1363" s="673"/>
      <c r="J1363" s="209"/>
      <c r="K1363" s="520"/>
      <c r="L1363" s="154"/>
      <c r="M1363" s="154"/>
      <c r="N1363" s="154"/>
      <c r="O1363" s="246"/>
      <c r="P1363" s="1597"/>
      <c r="R1363" s="1598"/>
      <c r="S1363" s="557"/>
      <c r="T1363" s="1768"/>
      <c r="V1363" s="1769"/>
      <c r="X1363" s="1768"/>
      <c r="Z1363" s="1769"/>
      <c r="AA1363" s="557"/>
      <c r="AK1363" s="246"/>
    </row>
    <row r="1364" spans="2:37" ht="18" customHeight="1">
      <c r="B1364" s="199"/>
      <c r="D1364" s="154"/>
      <c r="F1364" s="154"/>
      <c r="G1364" s="217"/>
      <c r="I1364" s="673"/>
      <c r="J1364" s="209"/>
      <c r="K1364" s="520"/>
      <c r="L1364" s="154"/>
      <c r="M1364" s="154"/>
      <c r="N1364" s="154"/>
      <c r="O1364" s="246"/>
      <c r="P1364" s="1597"/>
      <c r="R1364" s="1598"/>
      <c r="S1364" s="557"/>
      <c r="T1364" s="1768"/>
      <c r="V1364" s="1769"/>
      <c r="X1364" s="1768"/>
      <c r="Z1364" s="1769"/>
      <c r="AA1364" s="557"/>
      <c r="AK1364" s="246"/>
    </row>
    <row r="1365" spans="2:37" ht="18" customHeight="1">
      <c r="B1365" s="199"/>
      <c r="D1365" s="154"/>
      <c r="F1365" s="154"/>
      <c r="G1365" s="217"/>
      <c r="I1365" s="673"/>
      <c r="J1365" s="209"/>
      <c r="K1365" s="520"/>
      <c r="L1365" s="154"/>
      <c r="M1365" s="154"/>
      <c r="N1365" s="154"/>
      <c r="O1365" s="246"/>
      <c r="P1365" s="1597"/>
      <c r="R1365" s="1598"/>
      <c r="S1365" s="557"/>
      <c r="T1365" s="1768"/>
      <c r="V1365" s="1769"/>
      <c r="X1365" s="1768"/>
      <c r="Z1365" s="1769"/>
      <c r="AA1365" s="557"/>
      <c r="AK1365" s="246"/>
    </row>
    <row r="1366" spans="2:37" ht="18" customHeight="1">
      <c r="B1366" s="199"/>
      <c r="D1366" s="154"/>
      <c r="F1366" s="154"/>
      <c r="G1366" s="217"/>
      <c r="I1366" s="673"/>
      <c r="J1366" s="209"/>
      <c r="K1366" s="520"/>
      <c r="L1366" s="154"/>
      <c r="M1366" s="154"/>
      <c r="N1366" s="154"/>
      <c r="O1366" s="246"/>
      <c r="P1366" s="1597"/>
      <c r="R1366" s="1598"/>
      <c r="S1366" s="557"/>
      <c r="T1366" s="1768"/>
      <c r="V1366" s="1769"/>
      <c r="X1366" s="1768"/>
      <c r="Z1366" s="1769"/>
      <c r="AA1366" s="557"/>
      <c r="AK1366" s="246"/>
    </row>
    <row r="1367" spans="2:37" ht="18" customHeight="1">
      <c r="B1367" s="199"/>
      <c r="D1367" s="154"/>
      <c r="F1367" s="154"/>
      <c r="G1367" s="217"/>
      <c r="I1367" s="673"/>
      <c r="J1367" s="209"/>
      <c r="K1367" s="520"/>
      <c r="L1367" s="154"/>
      <c r="M1367" s="154"/>
      <c r="N1367" s="154"/>
      <c r="O1367" s="246"/>
      <c r="P1367" s="1597"/>
      <c r="R1367" s="1598"/>
      <c r="S1367" s="557"/>
      <c r="T1367" s="1768"/>
      <c r="V1367" s="1769"/>
      <c r="X1367" s="1768"/>
      <c r="Z1367" s="1769"/>
      <c r="AA1367" s="557"/>
      <c r="AK1367" s="246"/>
    </row>
    <row r="1368" spans="2:37" ht="18" customHeight="1">
      <c r="B1368" s="199"/>
      <c r="D1368" s="154"/>
      <c r="F1368" s="154"/>
      <c r="G1368" s="217"/>
      <c r="I1368" s="673"/>
      <c r="J1368" s="209"/>
      <c r="K1368" s="520"/>
      <c r="L1368" s="154"/>
      <c r="M1368" s="154"/>
      <c r="N1368" s="154"/>
      <c r="O1368" s="246"/>
      <c r="P1368" s="1597"/>
      <c r="R1368" s="1598"/>
      <c r="S1368" s="557"/>
      <c r="T1368" s="1768"/>
      <c r="V1368" s="1769"/>
      <c r="X1368" s="1768"/>
      <c r="Z1368" s="1769"/>
      <c r="AA1368" s="557"/>
      <c r="AK1368" s="246"/>
    </row>
    <row r="1369" spans="2:37" ht="18" customHeight="1">
      <c r="B1369" s="199"/>
      <c r="D1369" s="154"/>
      <c r="F1369" s="154"/>
      <c r="G1369" s="217"/>
      <c r="I1369" s="673"/>
      <c r="J1369" s="209"/>
      <c r="K1369" s="520"/>
      <c r="L1369" s="154"/>
      <c r="M1369" s="154"/>
      <c r="N1369" s="154"/>
      <c r="O1369" s="246"/>
      <c r="P1369" s="1597"/>
      <c r="R1369" s="1598"/>
      <c r="S1369" s="557"/>
      <c r="T1369" s="1768"/>
      <c r="V1369" s="1769"/>
      <c r="X1369" s="1768"/>
      <c r="Z1369" s="1769"/>
      <c r="AA1369" s="557"/>
      <c r="AK1369" s="246"/>
    </row>
    <row r="1370" spans="2:37" ht="18" customHeight="1">
      <c r="B1370" s="199"/>
      <c r="D1370" s="154"/>
      <c r="F1370" s="154"/>
      <c r="G1370" s="217"/>
      <c r="I1370" s="673"/>
      <c r="J1370" s="209"/>
      <c r="K1370" s="520"/>
      <c r="L1370" s="154"/>
      <c r="M1370" s="154"/>
      <c r="N1370" s="154"/>
      <c r="O1370" s="246"/>
      <c r="P1370" s="1597"/>
      <c r="R1370" s="1598"/>
      <c r="S1370" s="557"/>
      <c r="T1370" s="1768"/>
      <c r="V1370" s="1769"/>
      <c r="X1370" s="1768"/>
      <c r="Z1370" s="1769"/>
      <c r="AA1370" s="557"/>
      <c r="AK1370" s="246"/>
    </row>
    <row r="1371" spans="2:37" ht="18" customHeight="1">
      <c r="B1371" s="199"/>
      <c r="D1371" s="154"/>
      <c r="F1371" s="154"/>
      <c r="G1371" s="217"/>
      <c r="I1371" s="673"/>
      <c r="J1371" s="209"/>
      <c r="K1371" s="520"/>
      <c r="L1371" s="154"/>
      <c r="M1371" s="154"/>
      <c r="N1371" s="154"/>
      <c r="O1371" s="246"/>
      <c r="P1371" s="1597"/>
      <c r="R1371" s="1598"/>
      <c r="S1371" s="557"/>
      <c r="T1371" s="1768"/>
      <c r="V1371" s="1769"/>
      <c r="X1371" s="1768"/>
      <c r="Z1371" s="1769"/>
      <c r="AA1371" s="557"/>
      <c r="AK1371" s="246"/>
    </row>
    <row r="1372" spans="2:37" ht="18" customHeight="1">
      <c r="B1372" s="199"/>
      <c r="D1372" s="154"/>
      <c r="F1372" s="154"/>
      <c r="G1372" s="217"/>
      <c r="I1372" s="673"/>
      <c r="J1372" s="209"/>
      <c r="K1372" s="520"/>
      <c r="L1372" s="154"/>
      <c r="M1372" s="154"/>
      <c r="N1372" s="154"/>
      <c r="O1372" s="246"/>
      <c r="P1372" s="1597"/>
      <c r="R1372" s="1598"/>
      <c r="S1372" s="557"/>
      <c r="T1372" s="1768"/>
      <c r="V1372" s="1769"/>
      <c r="X1372" s="1768"/>
      <c r="Z1372" s="1769"/>
      <c r="AA1372" s="557"/>
      <c r="AK1372" s="246"/>
    </row>
    <row r="1373" spans="2:37" ht="18" customHeight="1">
      <c r="B1373" s="199"/>
      <c r="D1373" s="154"/>
      <c r="F1373" s="154"/>
      <c r="G1373" s="217"/>
      <c r="I1373" s="673"/>
      <c r="J1373" s="209"/>
      <c r="K1373" s="520"/>
      <c r="L1373" s="154"/>
      <c r="M1373" s="154"/>
      <c r="N1373" s="154"/>
      <c r="O1373" s="246"/>
      <c r="P1373" s="1597"/>
      <c r="R1373" s="1598"/>
      <c r="S1373" s="557"/>
      <c r="T1373" s="1768"/>
      <c r="V1373" s="1769"/>
      <c r="X1373" s="1768"/>
      <c r="Z1373" s="1769"/>
      <c r="AA1373" s="557"/>
      <c r="AK1373" s="246"/>
    </row>
    <row r="1374" spans="2:37" ht="18" customHeight="1">
      <c r="B1374" s="199"/>
      <c r="D1374" s="154"/>
      <c r="F1374" s="154"/>
      <c r="G1374" s="217"/>
      <c r="I1374" s="673"/>
      <c r="J1374" s="209"/>
      <c r="K1374" s="520"/>
      <c r="L1374" s="154"/>
      <c r="M1374" s="154"/>
      <c r="N1374" s="154"/>
      <c r="O1374" s="246"/>
      <c r="P1374" s="1597"/>
      <c r="R1374" s="1598"/>
      <c r="S1374" s="557"/>
      <c r="T1374" s="1768"/>
      <c r="V1374" s="1769"/>
      <c r="X1374" s="1768"/>
      <c r="Z1374" s="1769"/>
      <c r="AA1374" s="557"/>
      <c r="AK1374" s="246"/>
    </row>
    <row r="1375" spans="2:37" ht="18" customHeight="1">
      <c r="B1375" s="199"/>
      <c r="D1375" s="154"/>
      <c r="F1375" s="154"/>
      <c r="G1375" s="217"/>
      <c r="I1375" s="673"/>
      <c r="J1375" s="209"/>
      <c r="K1375" s="520"/>
      <c r="L1375" s="154"/>
      <c r="M1375" s="154"/>
      <c r="N1375" s="154"/>
      <c r="O1375" s="246"/>
      <c r="P1375" s="1597"/>
      <c r="R1375" s="1598"/>
      <c r="S1375" s="557"/>
      <c r="T1375" s="1768"/>
      <c r="V1375" s="1769"/>
      <c r="X1375" s="1768"/>
      <c r="Z1375" s="1769"/>
      <c r="AA1375" s="557"/>
      <c r="AK1375" s="246"/>
    </row>
    <row r="1376" spans="2:37" ht="18" customHeight="1">
      <c r="B1376" s="199"/>
      <c r="D1376" s="154"/>
      <c r="F1376" s="154"/>
      <c r="G1376" s="217"/>
      <c r="I1376" s="673"/>
      <c r="J1376" s="209"/>
      <c r="K1376" s="520"/>
      <c r="L1376" s="154"/>
      <c r="M1376" s="154"/>
      <c r="N1376" s="154"/>
      <c r="O1376" s="246"/>
      <c r="P1376" s="1597"/>
      <c r="R1376" s="1598"/>
      <c r="S1376" s="557"/>
      <c r="T1376" s="1768"/>
      <c r="V1376" s="1769"/>
      <c r="X1376" s="1768"/>
      <c r="Z1376" s="1769"/>
      <c r="AA1376" s="557"/>
      <c r="AK1376" s="246"/>
    </row>
    <row r="1377" spans="2:37" ht="18" customHeight="1">
      <c r="B1377" s="199"/>
      <c r="D1377" s="154"/>
      <c r="F1377" s="154"/>
      <c r="G1377" s="217"/>
      <c r="I1377" s="673"/>
      <c r="J1377" s="209"/>
      <c r="K1377" s="520"/>
      <c r="L1377" s="154"/>
      <c r="M1377" s="154"/>
      <c r="N1377" s="154"/>
      <c r="O1377" s="246"/>
      <c r="P1377" s="1597"/>
      <c r="R1377" s="1598"/>
      <c r="S1377" s="557"/>
      <c r="T1377" s="1768"/>
      <c r="V1377" s="1769"/>
      <c r="X1377" s="1768"/>
      <c r="Z1377" s="1769"/>
      <c r="AA1377" s="557"/>
      <c r="AK1377" s="246"/>
    </row>
    <row r="1378" spans="2:37" ht="18" customHeight="1">
      <c r="B1378" s="199"/>
      <c r="D1378" s="154"/>
      <c r="F1378" s="154"/>
      <c r="G1378" s="217"/>
      <c r="I1378" s="673"/>
      <c r="J1378" s="209"/>
      <c r="K1378" s="520"/>
      <c r="L1378" s="154"/>
      <c r="M1378" s="154"/>
      <c r="N1378" s="154"/>
      <c r="O1378" s="246"/>
      <c r="P1378" s="1597"/>
      <c r="R1378" s="1598"/>
      <c r="S1378" s="557"/>
      <c r="T1378" s="1768"/>
      <c r="V1378" s="1769"/>
      <c r="X1378" s="1768"/>
      <c r="Z1378" s="1769"/>
      <c r="AA1378" s="557"/>
      <c r="AK1378" s="246"/>
    </row>
    <row r="1379" spans="2:37" ht="18" customHeight="1">
      <c r="B1379" s="199"/>
      <c r="D1379" s="154"/>
      <c r="F1379" s="154"/>
      <c r="G1379" s="217"/>
      <c r="I1379" s="673"/>
      <c r="J1379" s="209"/>
      <c r="K1379" s="520"/>
      <c r="L1379" s="154"/>
      <c r="M1379" s="154"/>
      <c r="N1379" s="154"/>
      <c r="O1379" s="246"/>
      <c r="P1379" s="1597"/>
      <c r="R1379" s="1598"/>
      <c r="S1379" s="557"/>
      <c r="T1379" s="1768"/>
      <c r="V1379" s="1769"/>
      <c r="X1379" s="1768"/>
      <c r="Z1379" s="1769"/>
      <c r="AA1379" s="557"/>
      <c r="AK1379" s="246"/>
    </row>
    <row r="1380" spans="2:37" ht="18" customHeight="1">
      <c r="B1380" s="199"/>
      <c r="D1380" s="154"/>
      <c r="F1380" s="154"/>
      <c r="G1380" s="217"/>
      <c r="I1380" s="673"/>
      <c r="J1380" s="209"/>
      <c r="K1380" s="520"/>
      <c r="L1380" s="154"/>
      <c r="M1380" s="154"/>
      <c r="N1380" s="154"/>
      <c r="O1380" s="246"/>
      <c r="P1380" s="1597"/>
      <c r="R1380" s="1598"/>
      <c r="S1380" s="557"/>
      <c r="T1380" s="1768"/>
      <c r="V1380" s="1769"/>
      <c r="X1380" s="1768"/>
      <c r="Z1380" s="1769"/>
      <c r="AA1380" s="557"/>
      <c r="AK1380" s="246"/>
    </row>
    <row r="1381" spans="2:37" ht="18" customHeight="1">
      <c r="B1381" s="199"/>
      <c r="D1381" s="154"/>
      <c r="F1381" s="154"/>
      <c r="G1381" s="217"/>
      <c r="I1381" s="673"/>
      <c r="J1381" s="209"/>
      <c r="K1381" s="520"/>
      <c r="L1381" s="154"/>
      <c r="M1381" s="154"/>
      <c r="N1381" s="154"/>
      <c r="O1381" s="246"/>
      <c r="P1381" s="1597"/>
      <c r="R1381" s="1598"/>
      <c r="S1381" s="557"/>
      <c r="T1381" s="1768"/>
      <c r="V1381" s="1769"/>
      <c r="X1381" s="1768"/>
      <c r="Z1381" s="1769"/>
      <c r="AA1381" s="557"/>
      <c r="AK1381" s="246"/>
    </row>
    <row r="1382" spans="2:37" ht="18" customHeight="1">
      <c r="B1382" s="199"/>
      <c r="D1382" s="154"/>
      <c r="F1382" s="154"/>
      <c r="G1382" s="217"/>
      <c r="I1382" s="673"/>
      <c r="J1382" s="209"/>
      <c r="K1382" s="520"/>
      <c r="L1382" s="154"/>
      <c r="M1382" s="154"/>
      <c r="N1382" s="154"/>
      <c r="O1382" s="246"/>
      <c r="P1382" s="1597"/>
      <c r="R1382" s="1598"/>
      <c r="S1382" s="557"/>
      <c r="T1382" s="1768"/>
      <c r="V1382" s="1769"/>
      <c r="X1382" s="1768"/>
      <c r="Z1382" s="1769"/>
      <c r="AA1382" s="557"/>
      <c r="AK1382" s="246"/>
    </row>
    <row r="1383" spans="2:37" ht="18" customHeight="1">
      <c r="B1383" s="199"/>
      <c r="D1383" s="154"/>
      <c r="F1383" s="154"/>
      <c r="G1383" s="217"/>
      <c r="I1383" s="673"/>
      <c r="J1383" s="209"/>
      <c r="K1383" s="520"/>
      <c r="L1383" s="154"/>
      <c r="M1383" s="154"/>
      <c r="N1383" s="154"/>
      <c r="O1383" s="246"/>
      <c r="P1383" s="1597"/>
      <c r="R1383" s="1598"/>
      <c r="S1383" s="557"/>
      <c r="T1383" s="1768"/>
      <c r="V1383" s="1769"/>
      <c r="X1383" s="1768"/>
      <c r="Z1383" s="1769"/>
      <c r="AA1383" s="557"/>
      <c r="AK1383" s="246"/>
    </row>
    <row r="1384" spans="2:37" ht="18" customHeight="1">
      <c r="B1384" s="199"/>
      <c r="D1384" s="154"/>
      <c r="F1384" s="154"/>
      <c r="G1384" s="217"/>
      <c r="I1384" s="673"/>
      <c r="J1384" s="209"/>
      <c r="K1384" s="520"/>
      <c r="L1384" s="154"/>
      <c r="M1384" s="154"/>
      <c r="N1384" s="154"/>
      <c r="O1384" s="246"/>
      <c r="P1384" s="1597"/>
      <c r="R1384" s="1598"/>
      <c r="S1384" s="557"/>
      <c r="T1384" s="1768"/>
      <c r="V1384" s="1769"/>
      <c r="X1384" s="1768"/>
      <c r="Z1384" s="1769"/>
      <c r="AA1384" s="557"/>
      <c r="AK1384" s="246"/>
    </row>
    <row r="1385" spans="2:37" ht="18" customHeight="1">
      <c r="B1385" s="199"/>
      <c r="D1385" s="154"/>
      <c r="F1385" s="154"/>
      <c r="G1385" s="217"/>
      <c r="I1385" s="673"/>
      <c r="J1385" s="209"/>
      <c r="K1385" s="520"/>
      <c r="L1385" s="154"/>
      <c r="M1385" s="154"/>
      <c r="N1385" s="154"/>
      <c r="O1385" s="246"/>
      <c r="P1385" s="1597"/>
      <c r="R1385" s="1598"/>
      <c r="S1385" s="557"/>
      <c r="T1385" s="1768"/>
      <c r="V1385" s="1769"/>
      <c r="X1385" s="1768"/>
      <c r="Z1385" s="1769"/>
      <c r="AA1385" s="557"/>
      <c r="AK1385" s="246"/>
    </row>
    <row r="1386" spans="2:37" ht="18" customHeight="1">
      <c r="B1386" s="199"/>
      <c r="D1386" s="154"/>
      <c r="F1386" s="154"/>
      <c r="G1386" s="217"/>
      <c r="I1386" s="673"/>
      <c r="J1386" s="209"/>
      <c r="K1386" s="520"/>
      <c r="L1386" s="154"/>
      <c r="M1386" s="154"/>
      <c r="N1386" s="154"/>
      <c r="O1386" s="246"/>
      <c r="P1386" s="1597"/>
      <c r="R1386" s="1598"/>
      <c r="S1386" s="557"/>
      <c r="T1386" s="1768"/>
      <c r="V1386" s="1769"/>
      <c r="X1386" s="1768"/>
      <c r="Z1386" s="1769"/>
      <c r="AA1386" s="557"/>
      <c r="AK1386" s="246"/>
    </row>
    <row r="1387" spans="2:37" ht="18" customHeight="1">
      <c r="B1387" s="199"/>
      <c r="D1387" s="154"/>
      <c r="F1387" s="154"/>
      <c r="G1387" s="217"/>
      <c r="I1387" s="673"/>
      <c r="J1387" s="209"/>
      <c r="K1387" s="520"/>
      <c r="L1387" s="154"/>
      <c r="M1387" s="154"/>
      <c r="N1387" s="154"/>
      <c r="O1387" s="246"/>
      <c r="P1387" s="1597"/>
      <c r="R1387" s="1598"/>
      <c r="S1387" s="557"/>
      <c r="T1387" s="1768"/>
      <c r="V1387" s="1769"/>
      <c r="X1387" s="1768"/>
      <c r="Z1387" s="1769"/>
      <c r="AA1387" s="557"/>
      <c r="AK1387" s="246"/>
    </row>
    <row r="1388" spans="2:37" ht="18" customHeight="1">
      <c r="B1388" s="199"/>
      <c r="D1388" s="154"/>
      <c r="F1388" s="154"/>
      <c r="G1388" s="217"/>
      <c r="I1388" s="673"/>
      <c r="J1388" s="209"/>
      <c r="K1388" s="520"/>
      <c r="L1388" s="154"/>
      <c r="M1388" s="154"/>
      <c r="N1388" s="154"/>
      <c r="O1388" s="246"/>
      <c r="P1388" s="1597"/>
      <c r="R1388" s="1598"/>
      <c r="S1388" s="557"/>
      <c r="T1388" s="1768"/>
      <c r="V1388" s="1769"/>
      <c r="X1388" s="1768"/>
      <c r="Z1388" s="1769"/>
      <c r="AA1388" s="557"/>
      <c r="AK1388" s="246"/>
    </row>
    <row r="1389" spans="2:37" ht="18" customHeight="1">
      <c r="B1389" s="199"/>
      <c r="D1389" s="154"/>
      <c r="F1389" s="154"/>
      <c r="G1389" s="217"/>
      <c r="I1389" s="673"/>
      <c r="J1389" s="209"/>
      <c r="K1389" s="520"/>
      <c r="L1389" s="154"/>
      <c r="M1389" s="154"/>
      <c r="N1389" s="154"/>
      <c r="O1389" s="246"/>
      <c r="P1389" s="1597"/>
      <c r="R1389" s="1598"/>
      <c r="S1389" s="557"/>
      <c r="T1389" s="1768"/>
      <c r="V1389" s="1769"/>
      <c r="X1389" s="1768"/>
      <c r="Z1389" s="1769"/>
      <c r="AA1389" s="557"/>
      <c r="AK1389" s="246"/>
    </row>
    <row r="1390" spans="2:37" ht="18" customHeight="1">
      <c r="B1390" s="199"/>
      <c r="D1390" s="154"/>
      <c r="F1390" s="154"/>
      <c r="G1390" s="217"/>
      <c r="I1390" s="673"/>
      <c r="J1390" s="209"/>
      <c r="K1390" s="520"/>
      <c r="L1390" s="154"/>
      <c r="M1390" s="154"/>
      <c r="N1390" s="154"/>
      <c r="O1390" s="246"/>
      <c r="P1390" s="1597"/>
      <c r="R1390" s="1598"/>
      <c r="S1390" s="557"/>
      <c r="T1390" s="1768"/>
      <c r="V1390" s="1769"/>
      <c r="X1390" s="1768"/>
      <c r="Z1390" s="1769"/>
      <c r="AA1390" s="557"/>
      <c r="AK1390" s="246"/>
    </row>
    <row r="1391" spans="2:37" ht="18" customHeight="1">
      <c r="B1391" s="199"/>
      <c r="D1391" s="154"/>
      <c r="F1391" s="154"/>
      <c r="G1391" s="217"/>
      <c r="I1391" s="673"/>
      <c r="J1391" s="209"/>
      <c r="K1391" s="520"/>
      <c r="L1391" s="154"/>
      <c r="M1391" s="154"/>
      <c r="N1391" s="154"/>
      <c r="O1391" s="246"/>
      <c r="P1391" s="1597"/>
      <c r="R1391" s="1598"/>
      <c r="S1391" s="557"/>
      <c r="T1391" s="1768"/>
      <c r="V1391" s="1769"/>
      <c r="X1391" s="1768"/>
      <c r="Z1391" s="1769"/>
      <c r="AA1391" s="557"/>
      <c r="AK1391" s="246"/>
    </row>
    <row r="1392" spans="2:37" ht="18" customHeight="1">
      <c r="B1392" s="199"/>
      <c r="D1392" s="154"/>
      <c r="F1392" s="154"/>
      <c r="G1392" s="217"/>
      <c r="I1392" s="673"/>
      <c r="J1392" s="209"/>
      <c r="K1392" s="520"/>
      <c r="L1392" s="154"/>
      <c r="M1392" s="154"/>
      <c r="N1392" s="154"/>
      <c r="O1392" s="246"/>
      <c r="P1392" s="1597"/>
      <c r="R1392" s="1598"/>
      <c r="S1392" s="557"/>
      <c r="T1392" s="1768"/>
      <c r="V1392" s="1769"/>
      <c r="X1392" s="1768"/>
      <c r="Z1392" s="1769"/>
      <c r="AA1392" s="557"/>
      <c r="AK1392" s="246"/>
    </row>
    <row r="1393" spans="2:37" ht="18" customHeight="1">
      <c r="B1393" s="199"/>
      <c r="D1393" s="154"/>
      <c r="F1393" s="154"/>
      <c r="G1393" s="217"/>
      <c r="I1393" s="673"/>
      <c r="J1393" s="209"/>
      <c r="K1393" s="520"/>
      <c r="L1393" s="154"/>
      <c r="M1393" s="154"/>
      <c r="N1393" s="154"/>
      <c r="O1393" s="246"/>
      <c r="P1393" s="1597"/>
      <c r="R1393" s="1598"/>
      <c r="S1393" s="557"/>
      <c r="T1393" s="1768"/>
      <c r="V1393" s="1769"/>
      <c r="X1393" s="1768"/>
      <c r="Z1393" s="1769"/>
      <c r="AA1393" s="557"/>
      <c r="AK1393" s="246"/>
    </row>
    <row r="1394" spans="2:37" ht="18" customHeight="1">
      <c r="B1394" s="199"/>
      <c r="D1394" s="154"/>
      <c r="F1394" s="154"/>
      <c r="G1394" s="217"/>
      <c r="I1394" s="673"/>
      <c r="J1394" s="209"/>
      <c r="K1394" s="520"/>
      <c r="L1394" s="154"/>
      <c r="M1394" s="154"/>
      <c r="N1394" s="154"/>
      <c r="O1394" s="246"/>
      <c r="P1394" s="1597"/>
      <c r="R1394" s="1598"/>
      <c r="S1394" s="557"/>
      <c r="T1394" s="1768"/>
      <c r="V1394" s="1769"/>
      <c r="X1394" s="1768"/>
      <c r="Z1394" s="1769"/>
      <c r="AA1394" s="557"/>
      <c r="AK1394" s="246"/>
    </row>
    <row r="1395" spans="2:37" ht="18" customHeight="1">
      <c r="B1395" s="199"/>
      <c r="D1395" s="154"/>
      <c r="F1395" s="154"/>
      <c r="G1395" s="217"/>
      <c r="I1395" s="673"/>
      <c r="J1395" s="209"/>
      <c r="K1395" s="520"/>
      <c r="L1395" s="154"/>
      <c r="M1395" s="154"/>
      <c r="N1395" s="154"/>
      <c r="O1395" s="246"/>
      <c r="P1395" s="1597"/>
      <c r="R1395" s="1598"/>
      <c r="S1395" s="557"/>
      <c r="T1395" s="1768"/>
      <c r="V1395" s="1769"/>
      <c r="X1395" s="1768"/>
      <c r="Z1395" s="1769"/>
      <c r="AA1395" s="557"/>
      <c r="AK1395" s="246"/>
    </row>
    <row r="1396" spans="2:37" ht="18" customHeight="1">
      <c r="B1396" s="199"/>
      <c r="D1396" s="154"/>
      <c r="F1396" s="154"/>
      <c r="G1396" s="217"/>
      <c r="I1396" s="673"/>
      <c r="J1396" s="209"/>
      <c r="K1396" s="520"/>
      <c r="L1396" s="154"/>
      <c r="M1396" s="154"/>
      <c r="N1396" s="154"/>
      <c r="O1396" s="246"/>
      <c r="P1396" s="1597"/>
      <c r="R1396" s="1598"/>
      <c r="S1396" s="557"/>
      <c r="T1396" s="1768"/>
      <c r="V1396" s="1769"/>
      <c r="X1396" s="1768"/>
      <c r="Z1396" s="1769"/>
      <c r="AA1396" s="557"/>
      <c r="AK1396" s="246"/>
    </row>
    <row r="1397" spans="2:37" ht="18" customHeight="1">
      <c r="B1397" s="199"/>
      <c r="D1397" s="154"/>
      <c r="F1397" s="154"/>
      <c r="G1397" s="217"/>
      <c r="I1397" s="673"/>
      <c r="J1397" s="209"/>
      <c r="K1397" s="520"/>
      <c r="L1397" s="154"/>
      <c r="M1397" s="154"/>
      <c r="N1397" s="154"/>
      <c r="O1397" s="246"/>
      <c r="P1397" s="1597"/>
      <c r="R1397" s="1598"/>
      <c r="S1397" s="557"/>
      <c r="T1397" s="1768"/>
      <c r="V1397" s="1769"/>
      <c r="X1397" s="1768"/>
      <c r="Z1397" s="1769"/>
      <c r="AA1397" s="557"/>
      <c r="AK1397" s="246"/>
    </row>
    <row r="1398" spans="2:37" ht="18" customHeight="1">
      <c r="B1398" s="199"/>
      <c r="D1398" s="154"/>
      <c r="F1398" s="154"/>
      <c r="G1398" s="217"/>
      <c r="I1398" s="673"/>
      <c r="J1398" s="209"/>
      <c r="K1398" s="520"/>
      <c r="L1398" s="154"/>
      <c r="M1398" s="154"/>
      <c r="N1398" s="154"/>
      <c r="O1398" s="246"/>
      <c r="P1398" s="1597"/>
      <c r="R1398" s="1598"/>
      <c r="S1398" s="557"/>
      <c r="T1398" s="1768"/>
      <c r="V1398" s="1769"/>
      <c r="X1398" s="1768"/>
      <c r="Z1398" s="1769"/>
      <c r="AA1398" s="557"/>
      <c r="AK1398" s="246"/>
    </row>
    <row r="1399" spans="2:37" ht="18" customHeight="1">
      <c r="B1399" s="199"/>
      <c r="D1399" s="154"/>
      <c r="F1399" s="154"/>
      <c r="G1399" s="217"/>
      <c r="I1399" s="673"/>
      <c r="J1399" s="209"/>
      <c r="K1399" s="520"/>
      <c r="L1399" s="154"/>
      <c r="M1399" s="154"/>
      <c r="N1399" s="154"/>
      <c r="O1399" s="246"/>
      <c r="P1399" s="1597"/>
      <c r="R1399" s="1598"/>
      <c r="S1399" s="557"/>
      <c r="T1399" s="1768"/>
      <c r="V1399" s="1769"/>
      <c r="X1399" s="1768"/>
      <c r="Z1399" s="1769"/>
      <c r="AA1399" s="557"/>
      <c r="AK1399" s="246"/>
    </row>
    <row r="1400" spans="2:37" ht="18" customHeight="1">
      <c r="B1400" s="199"/>
      <c r="D1400" s="154"/>
      <c r="F1400" s="154"/>
      <c r="G1400" s="217"/>
      <c r="I1400" s="673"/>
      <c r="J1400" s="209"/>
      <c r="K1400" s="520"/>
      <c r="L1400" s="154"/>
      <c r="M1400" s="154"/>
      <c r="N1400" s="154"/>
      <c r="O1400" s="246"/>
      <c r="P1400" s="1597"/>
      <c r="R1400" s="1598"/>
      <c r="S1400" s="557"/>
      <c r="T1400" s="1768"/>
      <c r="V1400" s="1769"/>
      <c r="X1400" s="1768"/>
      <c r="Z1400" s="1769"/>
      <c r="AA1400" s="557"/>
      <c r="AK1400" s="246"/>
    </row>
    <row r="1401" spans="2:37" ht="18" customHeight="1">
      <c r="B1401" s="199"/>
      <c r="D1401" s="154"/>
      <c r="F1401" s="154"/>
      <c r="G1401" s="217"/>
      <c r="I1401" s="673"/>
      <c r="J1401" s="209"/>
      <c r="K1401" s="520"/>
      <c r="L1401" s="154"/>
      <c r="M1401" s="154"/>
      <c r="N1401" s="154"/>
      <c r="O1401" s="246"/>
      <c r="P1401" s="1597"/>
      <c r="R1401" s="1598"/>
      <c r="S1401" s="557"/>
      <c r="T1401" s="1768"/>
      <c r="V1401" s="1769"/>
      <c r="X1401" s="1768"/>
      <c r="Z1401" s="1769"/>
      <c r="AA1401" s="557"/>
      <c r="AK1401" s="246"/>
    </row>
    <row r="1402" spans="2:37" ht="18" customHeight="1">
      <c r="B1402" s="199"/>
      <c r="D1402" s="154"/>
      <c r="F1402" s="154"/>
      <c r="G1402" s="217"/>
      <c r="I1402" s="673"/>
      <c r="J1402" s="209"/>
      <c r="K1402" s="520"/>
      <c r="L1402" s="154"/>
      <c r="M1402" s="154"/>
      <c r="N1402" s="154"/>
      <c r="O1402" s="246"/>
      <c r="P1402" s="1597"/>
      <c r="R1402" s="1598"/>
      <c r="S1402" s="557"/>
      <c r="T1402" s="1768"/>
      <c r="V1402" s="1769"/>
      <c r="X1402" s="1768"/>
      <c r="Z1402" s="1769"/>
      <c r="AA1402" s="557"/>
      <c r="AK1402" s="246"/>
    </row>
    <row r="1403" spans="2:37" ht="18" customHeight="1">
      <c r="B1403" s="199"/>
      <c r="D1403" s="154"/>
      <c r="F1403" s="154"/>
      <c r="G1403" s="217"/>
      <c r="I1403" s="673"/>
      <c r="J1403" s="209"/>
      <c r="K1403" s="520"/>
      <c r="L1403" s="154"/>
      <c r="M1403" s="154"/>
      <c r="N1403" s="154"/>
      <c r="O1403" s="246"/>
      <c r="P1403" s="1597"/>
      <c r="R1403" s="1598"/>
      <c r="S1403" s="557"/>
      <c r="T1403" s="1768"/>
      <c r="V1403" s="1769"/>
      <c r="X1403" s="1768"/>
      <c r="Z1403" s="1769"/>
      <c r="AA1403" s="557"/>
      <c r="AK1403" s="246"/>
    </row>
    <row r="1404" spans="2:37" ht="18" customHeight="1">
      <c r="B1404" s="199"/>
      <c r="D1404" s="154"/>
      <c r="F1404" s="154"/>
      <c r="G1404" s="217"/>
      <c r="I1404" s="673"/>
      <c r="J1404" s="209"/>
      <c r="K1404" s="520"/>
      <c r="L1404" s="154"/>
      <c r="M1404" s="154"/>
      <c r="N1404" s="154"/>
      <c r="O1404" s="246"/>
      <c r="P1404" s="1597"/>
      <c r="R1404" s="1598"/>
      <c r="S1404" s="557"/>
      <c r="T1404" s="1768"/>
      <c r="V1404" s="1769"/>
      <c r="X1404" s="1768"/>
      <c r="Z1404" s="1769"/>
      <c r="AA1404" s="557"/>
      <c r="AK1404" s="246"/>
    </row>
    <row r="1405" spans="2:37" ht="18" customHeight="1">
      <c r="B1405" s="199"/>
      <c r="D1405" s="154"/>
      <c r="F1405" s="154"/>
      <c r="G1405" s="217"/>
      <c r="I1405" s="673"/>
      <c r="J1405" s="209"/>
      <c r="K1405" s="520"/>
      <c r="L1405" s="154"/>
      <c r="M1405" s="154"/>
      <c r="N1405" s="154"/>
      <c r="O1405" s="246"/>
      <c r="P1405" s="1597"/>
      <c r="R1405" s="1598"/>
      <c r="S1405" s="557"/>
      <c r="T1405" s="1768"/>
      <c r="V1405" s="1769"/>
      <c r="X1405" s="1768"/>
      <c r="Z1405" s="1769"/>
      <c r="AA1405" s="557"/>
      <c r="AK1405" s="246"/>
    </row>
    <row r="1406" spans="2:37" ht="18" customHeight="1">
      <c r="B1406" s="199"/>
      <c r="D1406" s="154"/>
      <c r="F1406" s="154"/>
      <c r="G1406" s="217"/>
      <c r="I1406" s="673"/>
      <c r="J1406" s="209"/>
      <c r="K1406" s="520"/>
      <c r="L1406" s="154"/>
      <c r="M1406" s="154"/>
      <c r="N1406" s="154"/>
      <c r="O1406" s="246"/>
      <c r="P1406" s="1597"/>
      <c r="R1406" s="1598"/>
      <c r="S1406" s="557"/>
      <c r="T1406" s="1768"/>
      <c r="V1406" s="1769"/>
      <c r="X1406" s="1768"/>
      <c r="Z1406" s="1769"/>
      <c r="AA1406" s="557"/>
      <c r="AK1406" s="246"/>
    </row>
    <row r="1407" spans="2:37" ht="18" customHeight="1">
      <c r="B1407" s="199"/>
      <c r="D1407" s="154"/>
      <c r="F1407" s="154"/>
      <c r="G1407" s="217"/>
      <c r="I1407" s="673"/>
      <c r="J1407" s="209"/>
      <c r="K1407" s="520"/>
      <c r="L1407" s="154"/>
      <c r="M1407" s="154"/>
      <c r="N1407" s="154"/>
      <c r="O1407" s="246"/>
      <c r="P1407" s="1597"/>
      <c r="R1407" s="1598"/>
      <c r="S1407" s="557"/>
      <c r="T1407" s="1768"/>
      <c r="V1407" s="1769"/>
      <c r="X1407" s="1768"/>
      <c r="Z1407" s="1769"/>
      <c r="AA1407" s="557"/>
      <c r="AK1407" s="246"/>
    </row>
    <row r="1408" spans="2:37" ht="18" customHeight="1">
      <c r="B1408" s="199"/>
      <c r="D1408" s="154"/>
      <c r="F1408" s="154"/>
      <c r="G1408" s="217"/>
      <c r="I1408" s="673"/>
      <c r="J1408" s="209"/>
      <c r="K1408" s="520"/>
      <c r="L1408" s="154"/>
      <c r="M1408" s="154"/>
      <c r="N1408" s="154"/>
      <c r="O1408" s="246"/>
      <c r="P1408" s="1597"/>
      <c r="R1408" s="1598"/>
      <c r="S1408" s="557"/>
      <c r="T1408" s="1768"/>
      <c r="V1408" s="1769"/>
      <c r="X1408" s="1768"/>
      <c r="Z1408" s="1769"/>
      <c r="AA1408" s="557"/>
      <c r="AK1408" s="246"/>
    </row>
    <row r="1409" spans="2:37" ht="18" customHeight="1">
      <c r="B1409" s="199"/>
      <c r="D1409" s="154"/>
      <c r="F1409" s="154"/>
      <c r="G1409" s="217"/>
      <c r="I1409" s="673"/>
      <c r="J1409" s="209"/>
      <c r="K1409" s="520"/>
      <c r="L1409" s="154"/>
      <c r="M1409" s="154"/>
      <c r="N1409" s="154"/>
      <c r="O1409" s="246"/>
      <c r="P1409" s="1597"/>
      <c r="R1409" s="1598"/>
      <c r="S1409" s="557"/>
      <c r="T1409" s="1768"/>
      <c r="V1409" s="1769"/>
      <c r="X1409" s="1768"/>
      <c r="Z1409" s="1769"/>
      <c r="AA1409" s="557"/>
      <c r="AK1409" s="246"/>
    </row>
    <row r="1410" spans="2:37" ht="18" customHeight="1">
      <c r="B1410" s="199"/>
      <c r="D1410" s="154"/>
      <c r="F1410" s="154"/>
      <c r="G1410" s="217"/>
      <c r="I1410" s="673"/>
      <c r="J1410" s="209"/>
      <c r="K1410" s="520"/>
      <c r="L1410" s="154"/>
      <c r="M1410" s="154"/>
      <c r="N1410" s="154"/>
      <c r="O1410" s="246"/>
      <c r="P1410" s="1597"/>
      <c r="R1410" s="1598"/>
      <c r="S1410" s="557"/>
      <c r="T1410" s="1768"/>
      <c r="V1410" s="1769"/>
      <c r="X1410" s="1768"/>
      <c r="Z1410" s="1769"/>
      <c r="AA1410" s="557"/>
      <c r="AK1410" s="246"/>
    </row>
    <row r="1411" spans="2:37" ht="18" customHeight="1">
      <c r="B1411" s="199"/>
      <c r="D1411" s="154"/>
      <c r="F1411" s="154"/>
      <c r="G1411" s="217"/>
      <c r="I1411" s="673"/>
      <c r="J1411" s="209"/>
      <c r="K1411" s="520"/>
      <c r="L1411" s="154"/>
      <c r="M1411" s="154"/>
      <c r="N1411" s="154"/>
      <c r="O1411" s="246"/>
      <c r="P1411" s="1597"/>
      <c r="R1411" s="1598"/>
      <c r="S1411" s="557"/>
      <c r="T1411" s="1768"/>
      <c r="V1411" s="1769"/>
      <c r="X1411" s="1768"/>
      <c r="Z1411" s="1769"/>
      <c r="AA1411" s="557"/>
      <c r="AK1411" s="246"/>
    </row>
    <row r="1412" spans="2:37" ht="18" customHeight="1">
      <c r="B1412" s="199"/>
      <c r="D1412" s="154"/>
      <c r="F1412" s="154"/>
      <c r="G1412" s="217"/>
      <c r="I1412" s="673"/>
      <c r="J1412" s="209"/>
      <c r="K1412" s="520"/>
      <c r="L1412" s="154"/>
      <c r="M1412" s="154"/>
      <c r="N1412" s="154"/>
      <c r="O1412" s="246"/>
      <c r="P1412" s="1597"/>
      <c r="R1412" s="1598"/>
      <c r="S1412" s="557"/>
      <c r="T1412" s="1768"/>
      <c r="V1412" s="1769"/>
      <c r="X1412" s="1768"/>
      <c r="Z1412" s="1769"/>
      <c r="AA1412" s="557"/>
      <c r="AK1412" s="246"/>
    </row>
    <row r="1413" spans="2:37" ht="18" customHeight="1">
      <c r="B1413" s="199"/>
      <c r="D1413" s="154"/>
      <c r="F1413" s="154"/>
      <c r="G1413" s="217"/>
      <c r="I1413" s="673"/>
      <c r="J1413" s="209"/>
      <c r="K1413" s="520"/>
      <c r="L1413" s="154"/>
      <c r="M1413" s="154"/>
      <c r="N1413" s="154"/>
      <c r="O1413" s="246"/>
      <c r="P1413" s="1597"/>
      <c r="R1413" s="1598"/>
      <c r="S1413" s="557"/>
      <c r="T1413" s="1768"/>
      <c r="V1413" s="1769"/>
      <c r="X1413" s="1768"/>
      <c r="Z1413" s="1769"/>
      <c r="AA1413" s="557"/>
      <c r="AK1413" s="246"/>
    </row>
    <row r="1414" spans="2:37" ht="18" customHeight="1">
      <c r="B1414" s="199"/>
      <c r="D1414" s="154"/>
      <c r="F1414" s="154"/>
      <c r="G1414" s="217"/>
      <c r="I1414" s="673"/>
      <c r="J1414" s="209"/>
      <c r="K1414" s="520"/>
      <c r="L1414" s="154"/>
      <c r="M1414" s="154"/>
      <c r="N1414" s="154"/>
      <c r="O1414" s="246"/>
      <c r="P1414" s="1597"/>
      <c r="R1414" s="1598"/>
      <c r="S1414" s="557"/>
      <c r="T1414" s="1768"/>
      <c r="V1414" s="1769"/>
      <c r="X1414" s="1768"/>
      <c r="Z1414" s="1769"/>
      <c r="AA1414" s="557"/>
      <c r="AK1414" s="246"/>
    </row>
    <row r="1415" spans="2:37" ht="18" customHeight="1">
      <c r="B1415" s="199"/>
      <c r="D1415" s="154"/>
      <c r="F1415" s="154"/>
      <c r="G1415" s="217"/>
      <c r="I1415" s="673"/>
      <c r="J1415" s="209"/>
      <c r="K1415" s="520"/>
      <c r="L1415" s="154"/>
      <c r="M1415" s="154"/>
      <c r="N1415" s="154"/>
      <c r="O1415" s="246"/>
      <c r="P1415" s="1597"/>
      <c r="R1415" s="1598"/>
      <c r="S1415" s="557"/>
      <c r="T1415" s="1768"/>
      <c r="V1415" s="1769"/>
      <c r="X1415" s="1768"/>
      <c r="Z1415" s="1769"/>
      <c r="AA1415" s="557"/>
      <c r="AK1415" s="246"/>
    </row>
    <row r="1416" spans="2:37" ht="18" customHeight="1">
      <c r="B1416" s="199"/>
      <c r="D1416" s="154"/>
      <c r="F1416" s="154"/>
      <c r="G1416" s="217"/>
      <c r="I1416" s="673"/>
      <c r="J1416" s="209"/>
      <c r="K1416" s="520"/>
      <c r="L1416" s="154"/>
      <c r="M1416" s="154"/>
      <c r="N1416" s="154"/>
      <c r="O1416" s="246"/>
      <c r="P1416" s="1597"/>
      <c r="R1416" s="1598"/>
      <c r="S1416" s="557"/>
      <c r="T1416" s="1768"/>
      <c r="V1416" s="1769"/>
      <c r="X1416" s="1768"/>
      <c r="Z1416" s="1769"/>
      <c r="AA1416" s="557"/>
      <c r="AK1416" s="246"/>
    </row>
    <row r="1417" spans="2:37" ht="18" customHeight="1">
      <c r="B1417" s="199"/>
      <c r="D1417" s="154"/>
      <c r="F1417" s="154"/>
      <c r="G1417" s="217"/>
      <c r="I1417" s="673"/>
      <c r="J1417" s="209"/>
      <c r="K1417" s="520"/>
      <c r="L1417" s="154"/>
      <c r="M1417" s="154"/>
      <c r="N1417" s="154"/>
      <c r="O1417" s="246"/>
      <c r="P1417" s="1597"/>
      <c r="R1417" s="1598"/>
      <c r="S1417" s="557"/>
      <c r="T1417" s="1768"/>
      <c r="V1417" s="1769"/>
      <c r="X1417" s="1768"/>
      <c r="Z1417" s="1769"/>
      <c r="AA1417" s="557"/>
      <c r="AK1417" s="246"/>
    </row>
    <row r="1418" spans="2:37" ht="18" customHeight="1">
      <c r="B1418" s="199"/>
      <c r="D1418" s="154"/>
      <c r="F1418" s="154"/>
      <c r="G1418" s="217"/>
      <c r="I1418" s="673"/>
      <c r="J1418" s="209"/>
      <c r="K1418" s="520"/>
      <c r="L1418" s="154"/>
      <c r="M1418" s="154"/>
      <c r="N1418" s="154"/>
      <c r="O1418" s="246"/>
      <c r="P1418" s="1597"/>
      <c r="R1418" s="1598"/>
      <c r="S1418" s="557"/>
      <c r="T1418" s="1768"/>
      <c r="V1418" s="1769"/>
      <c r="X1418" s="1768"/>
      <c r="Z1418" s="1769"/>
      <c r="AA1418" s="557"/>
      <c r="AK1418" s="246"/>
    </row>
    <row r="1419" spans="2:37" ht="18" customHeight="1">
      <c r="B1419" s="199"/>
      <c r="D1419" s="154"/>
      <c r="F1419" s="154"/>
      <c r="G1419" s="217"/>
      <c r="I1419" s="673"/>
      <c r="J1419" s="209"/>
      <c r="K1419" s="520"/>
      <c r="L1419" s="154"/>
      <c r="M1419" s="154"/>
      <c r="N1419" s="154"/>
      <c r="O1419" s="246"/>
      <c r="P1419" s="1597"/>
      <c r="R1419" s="1598"/>
      <c r="S1419" s="557"/>
      <c r="T1419" s="1768"/>
      <c r="V1419" s="1769"/>
      <c r="X1419" s="1768"/>
      <c r="Z1419" s="1769"/>
      <c r="AA1419" s="557"/>
      <c r="AK1419" s="246"/>
    </row>
    <row r="1420" spans="2:37" ht="18" customHeight="1">
      <c r="B1420" s="199"/>
      <c r="D1420" s="154"/>
      <c r="F1420" s="154"/>
      <c r="G1420" s="217"/>
      <c r="I1420" s="673"/>
      <c r="J1420" s="209"/>
      <c r="K1420" s="520"/>
      <c r="L1420" s="154"/>
      <c r="M1420" s="154"/>
      <c r="N1420" s="154"/>
      <c r="O1420" s="246"/>
      <c r="P1420" s="1597"/>
      <c r="R1420" s="1598"/>
      <c r="S1420" s="557"/>
      <c r="T1420" s="1768"/>
      <c r="V1420" s="1769"/>
      <c r="X1420" s="1768"/>
      <c r="Z1420" s="1769"/>
      <c r="AA1420" s="557"/>
      <c r="AK1420" s="246"/>
    </row>
    <row r="1421" spans="2:37" ht="18" customHeight="1">
      <c r="B1421" s="199"/>
      <c r="D1421" s="154"/>
      <c r="F1421" s="154"/>
      <c r="G1421" s="217"/>
      <c r="I1421" s="673"/>
      <c r="J1421" s="209"/>
      <c r="K1421" s="520"/>
      <c r="L1421" s="154"/>
      <c r="M1421" s="154"/>
      <c r="N1421" s="154"/>
      <c r="O1421" s="246"/>
      <c r="P1421" s="1597"/>
      <c r="R1421" s="1598"/>
      <c r="S1421" s="557"/>
      <c r="T1421" s="1768"/>
      <c r="V1421" s="1769"/>
      <c r="X1421" s="1768"/>
      <c r="Z1421" s="1769"/>
      <c r="AA1421" s="557"/>
      <c r="AK1421" s="246"/>
    </row>
    <row r="1422" spans="2:37" ht="18" customHeight="1">
      <c r="B1422" s="199"/>
      <c r="D1422" s="154"/>
      <c r="F1422" s="154"/>
      <c r="G1422" s="217"/>
      <c r="I1422" s="673"/>
      <c r="J1422" s="209"/>
      <c r="K1422" s="520"/>
      <c r="L1422" s="154"/>
      <c r="M1422" s="154"/>
      <c r="N1422" s="154"/>
      <c r="O1422" s="246"/>
      <c r="P1422" s="1597"/>
      <c r="R1422" s="1598"/>
      <c r="S1422" s="557"/>
      <c r="T1422" s="1768"/>
      <c r="V1422" s="1769"/>
      <c r="X1422" s="1768"/>
      <c r="Z1422" s="1769"/>
      <c r="AA1422" s="557"/>
      <c r="AK1422" s="246"/>
    </row>
    <row r="1423" spans="2:37" ht="18" customHeight="1">
      <c r="B1423" s="199"/>
      <c r="D1423" s="154"/>
      <c r="F1423" s="154"/>
      <c r="G1423" s="217"/>
      <c r="I1423" s="673"/>
      <c r="J1423" s="209"/>
      <c r="K1423" s="520"/>
      <c r="L1423" s="154"/>
      <c r="M1423" s="154"/>
      <c r="N1423" s="154"/>
      <c r="O1423" s="246"/>
      <c r="P1423" s="1597"/>
      <c r="R1423" s="1598"/>
      <c r="S1423" s="557"/>
      <c r="T1423" s="1768"/>
      <c r="V1423" s="1769"/>
      <c r="X1423" s="1768"/>
      <c r="Z1423" s="1769"/>
      <c r="AA1423" s="557"/>
      <c r="AK1423" s="246"/>
    </row>
    <row r="1424" spans="2:37" ht="18" customHeight="1">
      <c r="B1424" s="199"/>
      <c r="D1424" s="154"/>
      <c r="F1424" s="154"/>
      <c r="G1424" s="217"/>
      <c r="I1424" s="673"/>
      <c r="J1424" s="209"/>
      <c r="K1424" s="520"/>
      <c r="L1424" s="154"/>
      <c r="M1424" s="154"/>
      <c r="N1424" s="154"/>
      <c r="O1424" s="246"/>
      <c r="P1424" s="1597"/>
      <c r="R1424" s="1598"/>
      <c r="S1424" s="557"/>
      <c r="T1424" s="1768"/>
      <c r="V1424" s="1769"/>
      <c r="X1424" s="1768"/>
      <c r="Z1424" s="1769"/>
      <c r="AA1424" s="557"/>
      <c r="AK1424" s="246"/>
    </row>
    <row r="1425" spans="2:37" ht="18" customHeight="1">
      <c r="B1425" s="199"/>
      <c r="D1425" s="154"/>
      <c r="F1425" s="154"/>
      <c r="G1425" s="217"/>
      <c r="I1425" s="673"/>
      <c r="J1425" s="209"/>
      <c r="K1425" s="520"/>
      <c r="L1425" s="154"/>
      <c r="M1425" s="154"/>
      <c r="N1425" s="154"/>
      <c r="O1425" s="246"/>
      <c r="P1425" s="1597"/>
      <c r="R1425" s="1598"/>
      <c r="S1425" s="557"/>
      <c r="T1425" s="1768"/>
      <c r="V1425" s="1769"/>
      <c r="X1425" s="1768"/>
      <c r="Z1425" s="1769"/>
      <c r="AA1425" s="557"/>
      <c r="AK1425" s="246"/>
    </row>
    <row r="1426" spans="2:37" ht="18" customHeight="1">
      <c r="B1426" s="199"/>
      <c r="D1426" s="154"/>
      <c r="F1426" s="154"/>
      <c r="G1426" s="217"/>
      <c r="I1426" s="673"/>
      <c r="J1426" s="209"/>
      <c r="K1426" s="520"/>
      <c r="L1426" s="154"/>
      <c r="M1426" s="154"/>
      <c r="N1426" s="154"/>
      <c r="O1426" s="246"/>
      <c r="P1426" s="1597"/>
      <c r="R1426" s="1598"/>
      <c r="S1426" s="557"/>
      <c r="T1426" s="1768"/>
      <c r="V1426" s="1769"/>
      <c r="X1426" s="1768"/>
      <c r="Z1426" s="1769"/>
      <c r="AA1426" s="557"/>
      <c r="AK1426" s="246"/>
    </row>
    <row r="1427" spans="2:37" ht="18" customHeight="1">
      <c r="B1427" s="199"/>
      <c r="D1427" s="154"/>
      <c r="F1427" s="154"/>
      <c r="G1427" s="217"/>
      <c r="I1427" s="673"/>
      <c r="J1427" s="209"/>
      <c r="K1427" s="520"/>
      <c r="L1427" s="154"/>
      <c r="M1427" s="154"/>
      <c r="N1427" s="154"/>
      <c r="O1427" s="246"/>
      <c r="P1427" s="1597"/>
      <c r="R1427" s="1598"/>
      <c r="S1427" s="557"/>
      <c r="T1427" s="1768"/>
      <c r="V1427" s="1769"/>
      <c r="X1427" s="1768"/>
      <c r="Z1427" s="1769"/>
      <c r="AA1427" s="557"/>
      <c r="AK1427" s="246"/>
    </row>
    <row r="1428" spans="2:37" ht="18" customHeight="1">
      <c r="B1428" s="199"/>
      <c r="D1428" s="154"/>
      <c r="F1428" s="154"/>
      <c r="G1428" s="217"/>
      <c r="I1428" s="673"/>
      <c r="J1428" s="209"/>
      <c r="K1428" s="520"/>
      <c r="L1428" s="154"/>
      <c r="M1428" s="154"/>
      <c r="N1428" s="154"/>
      <c r="O1428" s="246"/>
      <c r="P1428" s="1597"/>
      <c r="R1428" s="1598"/>
      <c r="S1428" s="557"/>
      <c r="T1428" s="1768"/>
      <c r="V1428" s="1769"/>
      <c r="X1428" s="1768"/>
      <c r="Z1428" s="1769"/>
      <c r="AA1428" s="557"/>
      <c r="AK1428" s="246"/>
    </row>
    <row r="1429" spans="2:37" ht="18" customHeight="1">
      <c r="B1429" s="199"/>
      <c r="D1429" s="154"/>
      <c r="F1429" s="154"/>
      <c r="G1429" s="217"/>
      <c r="I1429" s="673"/>
      <c r="J1429" s="209"/>
      <c r="K1429" s="520"/>
      <c r="L1429" s="154"/>
      <c r="M1429" s="154"/>
      <c r="N1429" s="154"/>
      <c r="O1429" s="246"/>
      <c r="P1429" s="1597"/>
      <c r="R1429" s="1598"/>
      <c r="S1429" s="557"/>
      <c r="T1429" s="1768"/>
      <c r="V1429" s="1769"/>
      <c r="X1429" s="1768"/>
      <c r="Z1429" s="1769"/>
      <c r="AA1429" s="557"/>
      <c r="AK1429" s="246"/>
    </row>
    <row r="1430" spans="2:37" ht="18" customHeight="1">
      <c r="B1430" s="199"/>
      <c r="D1430" s="154"/>
      <c r="F1430" s="154"/>
      <c r="G1430" s="217"/>
      <c r="I1430" s="673"/>
      <c r="J1430" s="209"/>
      <c r="K1430" s="520"/>
      <c r="L1430" s="154"/>
      <c r="M1430" s="154"/>
      <c r="N1430" s="154"/>
      <c r="O1430" s="246"/>
      <c r="P1430" s="1597"/>
      <c r="R1430" s="1598"/>
      <c r="S1430" s="557"/>
      <c r="T1430" s="1768"/>
      <c r="V1430" s="1769"/>
      <c r="X1430" s="1768"/>
      <c r="Z1430" s="1769"/>
      <c r="AA1430" s="557"/>
      <c r="AK1430" s="246"/>
    </row>
    <row r="1431" spans="2:37" ht="18" customHeight="1">
      <c r="B1431" s="199"/>
      <c r="D1431" s="154"/>
      <c r="F1431" s="154"/>
      <c r="G1431" s="217"/>
      <c r="I1431" s="673"/>
      <c r="J1431" s="209"/>
      <c r="K1431" s="520"/>
      <c r="L1431" s="154"/>
      <c r="M1431" s="154"/>
      <c r="N1431" s="154"/>
      <c r="O1431" s="246"/>
      <c r="P1431" s="1597"/>
      <c r="R1431" s="1598"/>
      <c r="S1431" s="557"/>
      <c r="T1431" s="1768"/>
      <c r="V1431" s="1769"/>
      <c r="X1431" s="1768"/>
      <c r="Z1431" s="1769"/>
      <c r="AA1431" s="557"/>
      <c r="AK1431" s="246"/>
    </row>
    <row r="1432" spans="2:37" ht="18" customHeight="1">
      <c r="B1432" s="199"/>
      <c r="D1432" s="154"/>
      <c r="F1432" s="154"/>
      <c r="G1432" s="217"/>
      <c r="I1432" s="673"/>
      <c r="J1432" s="209"/>
      <c r="K1432" s="520"/>
      <c r="L1432" s="154"/>
      <c r="M1432" s="154"/>
      <c r="N1432" s="154"/>
      <c r="O1432" s="246"/>
      <c r="P1432" s="1597"/>
      <c r="R1432" s="1598"/>
      <c r="S1432" s="557"/>
      <c r="T1432" s="1768"/>
      <c r="V1432" s="1769"/>
      <c r="X1432" s="1768"/>
      <c r="Z1432" s="1769"/>
      <c r="AA1432" s="557"/>
      <c r="AK1432" s="246"/>
    </row>
    <row r="1433" spans="2:37" ht="18" customHeight="1">
      <c r="B1433" s="199"/>
      <c r="D1433" s="154"/>
      <c r="F1433" s="154"/>
      <c r="G1433" s="217"/>
      <c r="I1433" s="673"/>
      <c r="J1433" s="209"/>
      <c r="K1433" s="520"/>
      <c r="L1433" s="154"/>
      <c r="M1433" s="154"/>
      <c r="N1433" s="154"/>
      <c r="O1433" s="246"/>
      <c r="P1433" s="1597"/>
      <c r="R1433" s="1598"/>
      <c r="S1433" s="557"/>
      <c r="T1433" s="1768"/>
      <c r="V1433" s="1769"/>
      <c r="X1433" s="1768"/>
      <c r="Z1433" s="1769"/>
      <c r="AA1433" s="557"/>
      <c r="AK1433" s="246"/>
    </row>
    <row r="1434" spans="2:37" ht="18" customHeight="1">
      <c r="B1434" s="199"/>
      <c r="D1434" s="154"/>
      <c r="F1434" s="154"/>
      <c r="G1434" s="217"/>
      <c r="I1434" s="673"/>
      <c r="J1434" s="209"/>
      <c r="K1434" s="520"/>
      <c r="L1434" s="154"/>
      <c r="M1434" s="154"/>
      <c r="N1434" s="154"/>
      <c r="O1434" s="246"/>
      <c r="P1434" s="1597"/>
      <c r="R1434" s="1598"/>
      <c r="S1434" s="557"/>
      <c r="T1434" s="1768"/>
      <c r="V1434" s="1769"/>
      <c r="X1434" s="1768"/>
      <c r="Z1434" s="1769"/>
      <c r="AA1434" s="557"/>
      <c r="AK1434" s="246"/>
    </row>
    <row r="1435" spans="2:37" ht="18" customHeight="1">
      <c r="B1435" s="199"/>
      <c r="D1435" s="154"/>
      <c r="F1435" s="154"/>
      <c r="G1435" s="217"/>
      <c r="I1435" s="673"/>
      <c r="J1435" s="209"/>
      <c r="K1435" s="520"/>
      <c r="L1435" s="154"/>
      <c r="M1435" s="154"/>
      <c r="N1435" s="154"/>
      <c r="O1435" s="246"/>
      <c r="P1435" s="1597"/>
      <c r="R1435" s="1598"/>
      <c r="S1435" s="557"/>
      <c r="T1435" s="1768"/>
      <c r="V1435" s="1769"/>
      <c r="X1435" s="1768"/>
      <c r="Z1435" s="1769"/>
      <c r="AA1435" s="557"/>
      <c r="AK1435" s="246"/>
    </row>
    <row r="1436" spans="2:37" ht="18" customHeight="1">
      <c r="B1436" s="199"/>
      <c r="D1436" s="154"/>
      <c r="F1436" s="154"/>
      <c r="G1436" s="217"/>
      <c r="I1436" s="673"/>
      <c r="J1436" s="209"/>
      <c r="K1436" s="520"/>
      <c r="L1436" s="154"/>
      <c r="M1436" s="154"/>
      <c r="N1436" s="154"/>
      <c r="O1436" s="246"/>
      <c r="P1436" s="1597"/>
      <c r="R1436" s="1598"/>
      <c r="S1436" s="557"/>
      <c r="T1436" s="1768"/>
      <c r="V1436" s="1769"/>
      <c r="X1436" s="1768"/>
      <c r="Z1436" s="1769"/>
      <c r="AA1436" s="557"/>
      <c r="AK1436" s="246"/>
    </row>
    <row r="1437" spans="2:37" ht="18" customHeight="1">
      <c r="B1437" s="199"/>
      <c r="D1437" s="154"/>
      <c r="F1437" s="154"/>
      <c r="G1437" s="217"/>
      <c r="I1437" s="673"/>
      <c r="J1437" s="209"/>
      <c r="K1437" s="520"/>
      <c r="L1437" s="154"/>
      <c r="M1437" s="154"/>
      <c r="N1437" s="154"/>
      <c r="O1437" s="246"/>
      <c r="P1437" s="1597"/>
      <c r="R1437" s="1598"/>
      <c r="S1437" s="557"/>
      <c r="T1437" s="1768"/>
      <c r="V1437" s="1769"/>
      <c r="X1437" s="1768"/>
      <c r="Z1437" s="1769"/>
      <c r="AA1437" s="557"/>
      <c r="AK1437" s="246"/>
    </row>
    <row r="1438" spans="2:37" ht="18" customHeight="1">
      <c r="B1438" s="199"/>
      <c r="D1438" s="154"/>
      <c r="F1438" s="154"/>
      <c r="G1438" s="217"/>
      <c r="I1438" s="673"/>
      <c r="J1438" s="209"/>
      <c r="K1438" s="520"/>
      <c r="L1438" s="154"/>
      <c r="M1438" s="154"/>
      <c r="N1438" s="154"/>
      <c r="O1438" s="246"/>
      <c r="P1438" s="1597"/>
      <c r="R1438" s="1598"/>
      <c r="S1438" s="557"/>
      <c r="T1438" s="1768"/>
      <c r="V1438" s="1769"/>
      <c r="X1438" s="1768"/>
      <c r="Z1438" s="1769"/>
      <c r="AA1438" s="557"/>
      <c r="AK1438" s="246"/>
    </row>
    <row r="1439" spans="2:37" ht="18" customHeight="1">
      <c r="B1439" s="199"/>
      <c r="D1439" s="154"/>
      <c r="F1439" s="154"/>
      <c r="G1439" s="217"/>
      <c r="I1439" s="673"/>
      <c r="J1439" s="209"/>
      <c r="K1439" s="520"/>
      <c r="L1439" s="154"/>
      <c r="M1439" s="154"/>
      <c r="N1439" s="154"/>
      <c r="O1439" s="246"/>
      <c r="P1439" s="1597"/>
      <c r="R1439" s="1598"/>
      <c r="S1439" s="557"/>
      <c r="T1439" s="1768"/>
      <c r="V1439" s="1769"/>
      <c r="X1439" s="1768"/>
      <c r="Z1439" s="1769"/>
      <c r="AA1439" s="557"/>
      <c r="AK1439" s="246"/>
    </row>
    <row r="1440" spans="2:37" ht="18" customHeight="1">
      <c r="B1440" s="199"/>
      <c r="D1440" s="154"/>
      <c r="F1440" s="154"/>
      <c r="G1440" s="217"/>
      <c r="I1440" s="673"/>
      <c r="J1440" s="209"/>
      <c r="K1440" s="520"/>
      <c r="L1440" s="154"/>
      <c r="M1440" s="154"/>
      <c r="N1440" s="154"/>
      <c r="O1440" s="246"/>
      <c r="P1440" s="1597"/>
      <c r="R1440" s="1598"/>
      <c r="S1440" s="557"/>
      <c r="T1440" s="1768"/>
      <c r="V1440" s="1769"/>
      <c r="X1440" s="1768"/>
      <c r="Z1440" s="1769"/>
      <c r="AA1440" s="557"/>
      <c r="AK1440" s="246"/>
    </row>
    <row r="1441" spans="2:37" ht="18" customHeight="1">
      <c r="B1441" s="199"/>
      <c r="D1441" s="154"/>
      <c r="F1441" s="154"/>
      <c r="G1441" s="217"/>
      <c r="I1441" s="673"/>
      <c r="J1441" s="209"/>
      <c r="K1441" s="520"/>
      <c r="L1441" s="154"/>
      <c r="M1441" s="154"/>
      <c r="N1441" s="154"/>
      <c r="O1441" s="246"/>
      <c r="P1441" s="1597"/>
      <c r="R1441" s="1598"/>
      <c r="S1441" s="557"/>
      <c r="T1441" s="1768"/>
      <c r="V1441" s="1769"/>
      <c r="X1441" s="1768"/>
      <c r="Z1441" s="1769"/>
      <c r="AA1441" s="557"/>
      <c r="AK1441" s="246"/>
    </row>
    <row r="1442" spans="2:37" ht="18" customHeight="1">
      <c r="B1442" s="199"/>
      <c r="D1442" s="154"/>
      <c r="F1442" s="154"/>
      <c r="G1442" s="217"/>
      <c r="I1442" s="673"/>
      <c r="J1442" s="209"/>
      <c r="K1442" s="520"/>
      <c r="L1442" s="154"/>
      <c r="M1442" s="154"/>
      <c r="N1442" s="154"/>
      <c r="O1442" s="246"/>
      <c r="P1442" s="1597"/>
      <c r="R1442" s="1598"/>
      <c r="S1442" s="557"/>
      <c r="T1442" s="1768"/>
      <c r="V1442" s="1769"/>
      <c r="X1442" s="1768"/>
      <c r="Z1442" s="1769"/>
      <c r="AA1442" s="557"/>
      <c r="AK1442" s="246"/>
    </row>
    <row r="1443" spans="2:37" ht="18" customHeight="1">
      <c r="B1443" s="199"/>
      <c r="D1443" s="154"/>
      <c r="F1443" s="154"/>
      <c r="G1443" s="217"/>
      <c r="I1443" s="673"/>
      <c r="J1443" s="209"/>
      <c r="K1443" s="520"/>
      <c r="L1443" s="154"/>
      <c r="M1443" s="154"/>
      <c r="N1443" s="154"/>
      <c r="O1443" s="246"/>
      <c r="P1443" s="1597"/>
      <c r="R1443" s="1598"/>
      <c r="S1443" s="557"/>
      <c r="T1443" s="1768"/>
      <c r="V1443" s="1769"/>
      <c r="X1443" s="1768"/>
      <c r="Z1443" s="1769"/>
      <c r="AA1443" s="557"/>
      <c r="AK1443" s="246"/>
    </row>
    <row r="1444" spans="2:37" ht="18" customHeight="1">
      <c r="B1444" s="199"/>
      <c r="D1444" s="154"/>
      <c r="F1444" s="154"/>
      <c r="G1444" s="217"/>
      <c r="I1444" s="673"/>
      <c r="J1444" s="209"/>
      <c r="K1444" s="520"/>
      <c r="L1444" s="154"/>
      <c r="M1444" s="154"/>
      <c r="N1444" s="154"/>
      <c r="O1444" s="246"/>
      <c r="P1444" s="1597"/>
      <c r="R1444" s="1598"/>
      <c r="S1444" s="557"/>
      <c r="T1444" s="1768"/>
      <c r="V1444" s="1769"/>
      <c r="X1444" s="1768"/>
      <c r="Z1444" s="1769"/>
      <c r="AA1444" s="557"/>
      <c r="AK1444" s="246"/>
    </row>
    <row r="1445" spans="2:37" ht="18" customHeight="1">
      <c r="B1445" s="199"/>
      <c r="D1445" s="154"/>
      <c r="F1445" s="154"/>
      <c r="G1445" s="217"/>
      <c r="I1445" s="673"/>
      <c r="J1445" s="209"/>
      <c r="K1445" s="520"/>
      <c r="L1445" s="154"/>
      <c r="M1445" s="154"/>
      <c r="N1445" s="154"/>
      <c r="O1445" s="246"/>
      <c r="P1445" s="1597"/>
      <c r="R1445" s="1598"/>
      <c r="S1445" s="557"/>
      <c r="T1445" s="1768"/>
      <c r="V1445" s="1769"/>
      <c r="X1445" s="1768"/>
      <c r="Z1445" s="1769"/>
      <c r="AA1445" s="557"/>
      <c r="AK1445" s="246"/>
    </row>
    <row r="1446" spans="2:37" ht="18" customHeight="1">
      <c r="B1446" s="199"/>
      <c r="D1446" s="154"/>
      <c r="F1446" s="154"/>
      <c r="G1446" s="217"/>
      <c r="I1446" s="673"/>
      <c r="J1446" s="209"/>
      <c r="K1446" s="520"/>
      <c r="L1446" s="154"/>
      <c r="M1446" s="154"/>
      <c r="N1446" s="154"/>
      <c r="O1446" s="246"/>
      <c r="P1446" s="1597"/>
      <c r="R1446" s="1598"/>
      <c r="S1446" s="557"/>
      <c r="T1446" s="1768"/>
      <c r="V1446" s="1769"/>
      <c r="X1446" s="1768"/>
      <c r="Z1446" s="1769"/>
      <c r="AA1446" s="557"/>
      <c r="AK1446" s="246"/>
    </row>
    <row r="1447" spans="2:37" ht="18" customHeight="1">
      <c r="B1447" s="199"/>
      <c r="D1447" s="154"/>
      <c r="F1447" s="154"/>
      <c r="G1447" s="217"/>
      <c r="I1447" s="673"/>
      <c r="J1447" s="209"/>
      <c r="K1447" s="520"/>
      <c r="L1447" s="154"/>
      <c r="M1447" s="154"/>
      <c r="N1447" s="154"/>
      <c r="O1447" s="246"/>
      <c r="P1447" s="1597"/>
      <c r="R1447" s="1598"/>
      <c r="S1447" s="557"/>
      <c r="T1447" s="1768"/>
      <c r="V1447" s="1769"/>
      <c r="X1447" s="1768"/>
      <c r="Z1447" s="1769"/>
      <c r="AA1447" s="557"/>
      <c r="AK1447" s="246"/>
    </row>
    <row r="1448" spans="2:37" ht="18" customHeight="1">
      <c r="B1448" s="199"/>
      <c r="D1448" s="154"/>
      <c r="F1448" s="154"/>
      <c r="G1448" s="217"/>
      <c r="I1448" s="673"/>
      <c r="J1448" s="209"/>
      <c r="K1448" s="520"/>
      <c r="L1448" s="154"/>
      <c r="M1448" s="154"/>
      <c r="N1448" s="154"/>
      <c r="O1448" s="246"/>
      <c r="P1448" s="1597"/>
      <c r="R1448" s="1598"/>
      <c r="S1448" s="557"/>
      <c r="T1448" s="1768"/>
      <c r="V1448" s="1769"/>
      <c r="X1448" s="1768"/>
      <c r="Z1448" s="1769"/>
      <c r="AA1448" s="557"/>
      <c r="AK1448" s="246"/>
    </row>
    <row r="1449" spans="2:37" ht="18" customHeight="1">
      <c r="B1449" s="199"/>
      <c r="D1449" s="154"/>
      <c r="F1449" s="154"/>
      <c r="G1449" s="217"/>
      <c r="I1449" s="673"/>
      <c r="J1449" s="209"/>
      <c r="K1449" s="520"/>
      <c r="L1449" s="154"/>
      <c r="M1449" s="154"/>
      <c r="N1449" s="154"/>
      <c r="O1449" s="246"/>
      <c r="P1449" s="1597"/>
      <c r="R1449" s="1598"/>
      <c r="S1449" s="557"/>
      <c r="T1449" s="1768"/>
      <c r="V1449" s="1769"/>
      <c r="X1449" s="1768"/>
      <c r="Z1449" s="1769"/>
      <c r="AA1449" s="557"/>
      <c r="AK1449" s="246"/>
    </row>
    <row r="1450" spans="2:37" ht="18" customHeight="1">
      <c r="B1450" s="199"/>
      <c r="D1450" s="154"/>
      <c r="F1450" s="154"/>
      <c r="G1450" s="217"/>
      <c r="I1450" s="673"/>
      <c r="J1450" s="209"/>
      <c r="K1450" s="520"/>
      <c r="L1450" s="154"/>
      <c r="M1450" s="154"/>
      <c r="N1450" s="154"/>
      <c r="O1450" s="246"/>
      <c r="P1450" s="1597"/>
      <c r="R1450" s="1598"/>
      <c r="S1450" s="557"/>
      <c r="T1450" s="1768"/>
      <c r="V1450" s="1769"/>
      <c r="X1450" s="1768"/>
      <c r="Z1450" s="1769"/>
      <c r="AA1450" s="557"/>
      <c r="AK1450" s="246"/>
    </row>
    <row r="1451" spans="2:37" ht="18" customHeight="1">
      <c r="B1451" s="199"/>
      <c r="D1451" s="154"/>
      <c r="F1451" s="154"/>
      <c r="G1451" s="217"/>
      <c r="I1451" s="673"/>
      <c r="J1451" s="209"/>
      <c r="K1451" s="520"/>
      <c r="L1451" s="154"/>
      <c r="M1451" s="154"/>
      <c r="N1451" s="154"/>
      <c r="O1451" s="246"/>
      <c r="P1451" s="1597"/>
      <c r="R1451" s="1598"/>
      <c r="S1451" s="557"/>
      <c r="T1451" s="1768"/>
      <c r="V1451" s="1769"/>
      <c r="X1451" s="1768"/>
      <c r="Z1451" s="1769"/>
      <c r="AA1451" s="557"/>
      <c r="AK1451" s="246"/>
    </row>
    <row r="1452" spans="2:37" ht="18" customHeight="1">
      <c r="B1452" s="199"/>
      <c r="D1452" s="154"/>
      <c r="F1452" s="154"/>
      <c r="G1452" s="217"/>
      <c r="I1452" s="673"/>
      <c r="J1452" s="209"/>
      <c r="K1452" s="520"/>
      <c r="L1452" s="154"/>
      <c r="M1452" s="154"/>
      <c r="N1452" s="154"/>
      <c r="O1452" s="246"/>
      <c r="P1452" s="1597"/>
      <c r="R1452" s="1598"/>
      <c r="S1452" s="557"/>
      <c r="T1452" s="1768"/>
      <c r="V1452" s="1769"/>
      <c r="X1452" s="1768"/>
      <c r="Z1452" s="1769"/>
      <c r="AA1452" s="557"/>
      <c r="AK1452" s="246"/>
    </row>
    <row r="1453" spans="2:37" ht="18" customHeight="1">
      <c r="B1453" s="199"/>
      <c r="D1453" s="154"/>
      <c r="F1453" s="154"/>
      <c r="G1453" s="217"/>
      <c r="I1453" s="673"/>
      <c r="J1453" s="209"/>
      <c r="K1453" s="520"/>
      <c r="L1453" s="154"/>
      <c r="M1453" s="154"/>
      <c r="N1453" s="154"/>
      <c r="O1453" s="246"/>
      <c r="P1453" s="1597"/>
      <c r="R1453" s="1598"/>
      <c r="S1453" s="557"/>
      <c r="T1453" s="1768"/>
      <c r="V1453" s="1769"/>
      <c r="X1453" s="1768"/>
      <c r="Z1453" s="1769"/>
      <c r="AA1453" s="557"/>
      <c r="AK1453" s="246"/>
    </row>
    <row r="1454" spans="2:37" ht="18" customHeight="1">
      <c r="B1454" s="199"/>
      <c r="D1454" s="154"/>
      <c r="F1454" s="154"/>
      <c r="G1454" s="217"/>
      <c r="I1454" s="673"/>
      <c r="J1454" s="209"/>
      <c r="K1454" s="520"/>
      <c r="L1454" s="154"/>
      <c r="M1454" s="154"/>
      <c r="N1454" s="154"/>
      <c r="O1454" s="246"/>
      <c r="P1454" s="1597"/>
      <c r="R1454" s="1598"/>
      <c r="S1454" s="557"/>
      <c r="T1454" s="1768"/>
      <c r="V1454" s="1769"/>
      <c r="X1454" s="1768"/>
      <c r="Z1454" s="1769"/>
      <c r="AA1454" s="557"/>
      <c r="AK1454" s="246"/>
    </row>
    <row r="1455" spans="2:37" ht="18" customHeight="1">
      <c r="B1455" s="199"/>
      <c r="D1455" s="154"/>
      <c r="F1455" s="154"/>
      <c r="G1455" s="217"/>
      <c r="I1455" s="673"/>
      <c r="J1455" s="209"/>
      <c r="K1455" s="520"/>
      <c r="L1455" s="154"/>
      <c r="M1455" s="154"/>
      <c r="N1455" s="154"/>
      <c r="O1455" s="246"/>
      <c r="P1455" s="1597"/>
      <c r="R1455" s="1598"/>
      <c r="S1455" s="557"/>
      <c r="T1455" s="1768"/>
      <c r="V1455" s="1769"/>
      <c r="X1455" s="1768"/>
      <c r="Z1455" s="1769"/>
      <c r="AA1455" s="557"/>
      <c r="AK1455" s="246"/>
    </row>
    <row r="1456" spans="2:37" ht="18" customHeight="1">
      <c r="B1456" s="199"/>
      <c r="D1456" s="154"/>
      <c r="F1456" s="154"/>
      <c r="G1456" s="217"/>
      <c r="I1456" s="673"/>
      <c r="J1456" s="209"/>
      <c r="K1456" s="520"/>
      <c r="L1456" s="154"/>
      <c r="M1456" s="154"/>
      <c r="N1456" s="154"/>
      <c r="O1456" s="246"/>
      <c r="P1456" s="1597"/>
      <c r="R1456" s="1598"/>
      <c r="S1456" s="557"/>
      <c r="T1456" s="1768"/>
      <c r="V1456" s="1769"/>
      <c r="X1456" s="1768"/>
      <c r="Z1456" s="1769"/>
      <c r="AA1456" s="557"/>
      <c r="AK1456" s="246"/>
    </row>
    <row r="1457" spans="2:37" ht="18" customHeight="1">
      <c r="B1457" s="199"/>
      <c r="D1457" s="154"/>
      <c r="F1457" s="154"/>
      <c r="G1457" s="217"/>
      <c r="I1457" s="673"/>
      <c r="J1457" s="209"/>
      <c r="K1457" s="520"/>
      <c r="L1457" s="154"/>
      <c r="M1457" s="154"/>
      <c r="N1457" s="154"/>
      <c r="O1457" s="246"/>
      <c r="P1457" s="1597"/>
      <c r="R1457" s="1598"/>
      <c r="S1457" s="557"/>
      <c r="T1457" s="1768"/>
      <c r="V1457" s="1769"/>
      <c r="X1457" s="1768"/>
      <c r="Z1457" s="1769"/>
      <c r="AA1457" s="557"/>
      <c r="AK1457" s="246"/>
    </row>
    <row r="1458" spans="2:37" ht="18" customHeight="1">
      <c r="B1458" s="199"/>
      <c r="D1458" s="154"/>
      <c r="F1458" s="154"/>
      <c r="G1458" s="217"/>
      <c r="I1458" s="673"/>
      <c r="J1458" s="209"/>
      <c r="K1458" s="520"/>
      <c r="L1458" s="154"/>
      <c r="M1458" s="154"/>
      <c r="N1458" s="154"/>
      <c r="O1458" s="246"/>
      <c r="P1458" s="1597"/>
      <c r="R1458" s="1598"/>
      <c r="S1458" s="557"/>
      <c r="T1458" s="1768"/>
      <c r="V1458" s="1769"/>
      <c r="X1458" s="1768"/>
      <c r="Z1458" s="1769"/>
      <c r="AA1458" s="557"/>
      <c r="AK1458" s="246"/>
    </row>
    <row r="1459" spans="2:37" ht="18" customHeight="1">
      <c r="B1459" s="199"/>
      <c r="D1459" s="154"/>
      <c r="F1459" s="154"/>
      <c r="G1459" s="217"/>
      <c r="I1459" s="673"/>
      <c r="J1459" s="209"/>
      <c r="K1459" s="520"/>
      <c r="L1459" s="154"/>
      <c r="M1459" s="154"/>
      <c r="N1459" s="154"/>
      <c r="O1459" s="246"/>
      <c r="P1459" s="1597"/>
      <c r="R1459" s="1598"/>
      <c r="S1459" s="557"/>
      <c r="T1459" s="1768"/>
      <c r="V1459" s="1769"/>
      <c r="X1459" s="1768"/>
      <c r="Z1459" s="1769"/>
      <c r="AA1459" s="557"/>
      <c r="AK1459" s="246"/>
    </row>
    <row r="1460" spans="2:37" ht="18" customHeight="1">
      <c r="B1460" s="199"/>
      <c r="D1460" s="154"/>
      <c r="F1460" s="154"/>
      <c r="G1460" s="217"/>
      <c r="I1460" s="673"/>
      <c r="J1460" s="209"/>
      <c r="K1460" s="520"/>
      <c r="L1460" s="154"/>
      <c r="M1460" s="154"/>
      <c r="N1460" s="154"/>
      <c r="O1460" s="246"/>
      <c r="P1460" s="1597"/>
      <c r="R1460" s="1598"/>
      <c r="S1460" s="557"/>
      <c r="T1460" s="1768"/>
      <c r="V1460" s="1769"/>
      <c r="X1460" s="1768"/>
      <c r="Z1460" s="1769"/>
      <c r="AA1460" s="557"/>
      <c r="AK1460" s="246"/>
    </row>
    <row r="1461" spans="2:37" ht="18" customHeight="1">
      <c r="B1461" s="199"/>
      <c r="D1461" s="154"/>
      <c r="F1461" s="154"/>
      <c r="G1461" s="217"/>
      <c r="I1461" s="673"/>
      <c r="J1461" s="209"/>
      <c r="K1461" s="520"/>
      <c r="L1461" s="154"/>
      <c r="M1461" s="154"/>
      <c r="N1461" s="154"/>
      <c r="O1461" s="246"/>
      <c r="P1461" s="1597"/>
      <c r="R1461" s="1598"/>
      <c r="S1461" s="557"/>
      <c r="T1461" s="1768"/>
      <c r="V1461" s="1769"/>
      <c r="X1461" s="1768"/>
      <c r="Z1461" s="1769"/>
      <c r="AA1461" s="557"/>
      <c r="AK1461" s="246"/>
    </row>
    <row r="1462" spans="2:37" ht="18" customHeight="1">
      <c r="B1462" s="199"/>
      <c r="D1462" s="154"/>
      <c r="F1462" s="154"/>
      <c r="G1462" s="217"/>
      <c r="I1462" s="673"/>
      <c r="J1462" s="209"/>
      <c r="K1462" s="520"/>
      <c r="L1462" s="154"/>
      <c r="M1462" s="154"/>
      <c r="N1462" s="154"/>
      <c r="O1462" s="246"/>
      <c r="P1462" s="1597"/>
      <c r="R1462" s="1598"/>
      <c r="S1462" s="557"/>
      <c r="T1462" s="1768"/>
      <c r="V1462" s="1769"/>
      <c r="X1462" s="1768"/>
      <c r="Z1462" s="1769"/>
      <c r="AA1462" s="557"/>
      <c r="AK1462" s="246"/>
    </row>
    <row r="1463" spans="2:37" ht="18" customHeight="1">
      <c r="B1463" s="199"/>
      <c r="D1463" s="154"/>
      <c r="F1463" s="154"/>
      <c r="G1463" s="217"/>
      <c r="I1463" s="673"/>
      <c r="J1463" s="209"/>
      <c r="K1463" s="520"/>
      <c r="L1463" s="154"/>
      <c r="M1463" s="154"/>
      <c r="N1463" s="154"/>
      <c r="O1463" s="246"/>
      <c r="P1463" s="1597"/>
      <c r="R1463" s="1598"/>
      <c r="S1463" s="557"/>
      <c r="T1463" s="1768"/>
      <c r="V1463" s="1769"/>
      <c r="X1463" s="1768"/>
      <c r="Z1463" s="1769"/>
      <c r="AA1463" s="557"/>
      <c r="AK1463" s="246"/>
    </row>
    <row r="1464" spans="2:37" ht="18" customHeight="1">
      <c r="B1464" s="199"/>
      <c r="D1464" s="154"/>
      <c r="F1464" s="154"/>
      <c r="G1464" s="217"/>
      <c r="I1464" s="673"/>
      <c r="J1464" s="209"/>
      <c r="K1464" s="520"/>
      <c r="L1464" s="154"/>
      <c r="M1464" s="154"/>
      <c r="N1464" s="154"/>
      <c r="O1464" s="246"/>
      <c r="P1464" s="1597"/>
      <c r="R1464" s="1598"/>
      <c r="S1464" s="557"/>
      <c r="T1464" s="1768"/>
      <c r="V1464" s="1769"/>
      <c r="X1464" s="1768"/>
      <c r="Z1464" s="1769"/>
      <c r="AA1464" s="557"/>
      <c r="AK1464" s="246"/>
    </row>
    <row r="1465" spans="2:37" ht="18" customHeight="1">
      <c r="B1465" s="199"/>
      <c r="D1465" s="154"/>
      <c r="F1465" s="154"/>
      <c r="G1465" s="217"/>
      <c r="I1465" s="673"/>
      <c r="J1465" s="209"/>
      <c r="K1465" s="520"/>
      <c r="L1465" s="154"/>
      <c r="M1465" s="154"/>
      <c r="N1465" s="154"/>
      <c r="O1465" s="246"/>
      <c r="P1465" s="1597"/>
      <c r="R1465" s="1598"/>
      <c r="S1465" s="557"/>
      <c r="T1465" s="1768"/>
      <c r="V1465" s="1769"/>
      <c r="X1465" s="1768"/>
      <c r="Z1465" s="1769"/>
      <c r="AA1465" s="557"/>
      <c r="AK1465" s="246"/>
    </row>
    <row r="1466" spans="2:37" ht="18" customHeight="1">
      <c r="B1466" s="199"/>
      <c r="D1466" s="154"/>
      <c r="F1466" s="154"/>
      <c r="G1466" s="217"/>
      <c r="I1466" s="673"/>
      <c r="J1466" s="209"/>
      <c r="K1466" s="520"/>
      <c r="L1466" s="154"/>
      <c r="M1466" s="154"/>
      <c r="N1466" s="154"/>
      <c r="O1466" s="246"/>
      <c r="P1466" s="1597"/>
      <c r="R1466" s="1598"/>
      <c r="S1466" s="557"/>
      <c r="T1466" s="1768"/>
      <c r="V1466" s="1769"/>
      <c r="X1466" s="1768"/>
      <c r="Z1466" s="1769"/>
      <c r="AA1466" s="557"/>
      <c r="AK1466" s="246"/>
    </row>
    <row r="1467" spans="2:37" ht="18" customHeight="1">
      <c r="B1467" s="199"/>
      <c r="D1467" s="154"/>
      <c r="F1467" s="154"/>
      <c r="G1467" s="217"/>
      <c r="I1467" s="673"/>
      <c r="J1467" s="209"/>
      <c r="K1467" s="520"/>
      <c r="L1467" s="154"/>
      <c r="M1467" s="154"/>
      <c r="N1467" s="154"/>
      <c r="O1467" s="246"/>
      <c r="P1467" s="1597"/>
      <c r="R1467" s="1598"/>
      <c r="S1467" s="557"/>
      <c r="T1467" s="1768"/>
      <c r="V1467" s="1769"/>
      <c r="X1467" s="1768"/>
      <c r="Z1467" s="1769"/>
      <c r="AA1467" s="557"/>
      <c r="AK1467" s="246"/>
    </row>
    <row r="1468" spans="2:37" ht="18" customHeight="1">
      <c r="B1468" s="199"/>
      <c r="D1468" s="154"/>
      <c r="F1468" s="154"/>
      <c r="G1468" s="217"/>
      <c r="I1468" s="673"/>
      <c r="J1468" s="209"/>
      <c r="K1468" s="520"/>
      <c r="L1468" s="154"/>
      <c r="M1468" s="154"/>
      <c r="N1468" s="154"/>
      <c r="O1468" s="246"/>
      <c r="P1468" s="1597"/>
      <c r="R1468" s="1598"/>
      <c r="S1468" s="557"/>
      <c r="T1468" s="1768"/>
      <c r="V1468" s="1769"/>
      <c r="X1468" s="1768"/>
      <c r="Z1468" s="1769"/>
      <c r="AA1468" s="557"/>
      <c r="AK1468" s="246"/>
    </row>
    <row r="1469" spans="2:37" ht="18" customHeight="1">
      <c r="B1469" s="199"/>
      <c r="D1469" s="154"/>
      <c r="F1469" s="154"/>
      <c r="G1469" s="217"/>
      <c r="I1469" s="673"/>
      <c r="J1469" s="209"/>
      <c r="K1469" s="520"/>
      <c r="L1469" s="154"/>
      <c r="M1469" s="154"/>
      <c r="N1469" s="154"/>
      <c r="O1469" s="246"/>
      <c r="P1469" s="1597"/>
      <c r="R1469" s="1598"/>
      <c r="S1469" s="557"/>
      <c r="T1469" s="1768"/>
      <c r="V1469" s="1769"/>
      <c r="X1469" s="1768"/>
      <c r="Z1469" s="1769"/>
      <c r="AA1469" s="557"/>
      <c r="AK1469" s="246"/>
    </row>
    <row r="1470" spans="2:37" ht="18" customHeight="1">
      <c r="B1470" s="199"/>
      <c r="D1470" s="154"/>
      <c r="F1470" s="154"/>
      <c r="G1470" s="217"/>
      <c r="I1470" s="673"/>
      <c r="J1470" s="209"/>
      <c r="K1470" s="520"/>
      <c r="L1470" s="154"/>
      <c r="M1470" s="154"/>
      <c r="N1470" s="154"/>
      <c r="O1470" s="246"/>
      <c r="P1470" s="1597"/>
      <c r="R1470" s="1598"/>
      <c r="S1470" s="557"/>
      <c r="T1470" s="1768"/>
      <c r="V1470" s="1769"/>
      <c r="X1470" s="1768"/>
      <c r="Z1470" s="1769"/>
      <c r="AA1470" s="557"/>
      <c r="AK1470" s="246"/>
    </row>
    <row r="1471" spans="2:37" ht="18" customHeight="1">
      <c r="B1471" s="199"/>
      <c r="D1471" s="154"/>
      <c r="F1471" s="154"/>
      <c r="G1471" s="217"/>
      <c r="I1471" s="673"/>
      <c r="J1471" s="209"/>
      <c r="K1471" s="520"/>
      <c r="L1471" s="154"/>
      <c r="M1471" s="154"/>
      <c r="N1471" s="154"/>
      <c r="O1471" s="246"/>
      <c r="P1471" s="1597"/>
      <c r="R1471" s="1598"/>
      <c r="S1471" s="557"/>
      <c r="T1471" s="1768"/>
      <c r="V1471" s="1769"/>
      <c r="X1471" s="1768"/>
      <c r="Z1471" s="1769"/>
      <c r="AA1471" s="557"/>
      <c r="AK1471" s="246"/>
    </row>
    <row r="1472" spans="2:37" ht="18" customHeight="1">
      <c r="B1472" s="199"/>
      <c r="D1472" s="154"/>
      <c r="F1472" s="154"/>
      <c r="G1472" s="217"/>
      <c r="I1472" s="673"/>
      <c r="J1472" s="209"/>
      <c r="K1472" s="520"/>
      <c r="L1472" s="154"/>
      <c r="M1472" s="154"/>
      <c r="N1472" s="154"/>
      <c r="O1472" s="246"/>
      <c r="P1472" s="1597"/>
      <c r="R1472" s="1598"/>
      <c r="S1472" s="557"/>
      <c r="T1472" s="1768"/>
      <c r="V1472" s="1769"/>
      <c r="X1472" s="1768"/>
      <c r="Z1472" s="1769"/>
      <c r="AA1472" s="557"/>
      <c r="AK1472" s="246"/>
    </row>
    <row r="1473" spans="2:37" ht="18" customHeight="1">
      <c r="B1473" s="199"/>
      <c r="D1473" s="154"/>
      <c r="F1473" s="154"/>
      <c r="G1473" s="217"/>
      <c r="I1473" s="673"/>
      <c r="J1473" s="209"/>
      <c r="K1473" s="520"/>
      <c r="L1473" s="154"/>
      <c r="M1473" s="154"/>
      <c r="N1473" s="154"/>
      <c r="O1473" s="246"/>
      <c r="P1473" s="1597"/>
      <c r="R1473" s="1598"/>
      <c r="S1473" s="557"/>
      <c r="T1473" s="1768"/>
      <c r="V1473" s="1769"/>
      <c r="X1473" s="1768"/>
      <c r="Z1473" s="1769"/>
      <c r="AA1473" s="557"/>
      <c r="AK1473" s="246"/>
    </row>
    <row r="1474" spans="2:37" ht="18" customHeight="1">
      <c r="B1474" s="199"/>
      <c r="D1474" s="154"/>
      <c r="F1474" s="154"/>
      <c r="G1474" s="217"/>
      <c r="I1474" s="673"/>
      <c r="J1474" s="209"/>
      <c r="K1474" s="520"/>
      <c r="L1474" s="154"/>
      <c r="M1474" s="154"/>
      <c r="N1474" s="154"/>
      <c r="O1474" s="246"/>
      <c r="P1474" s="1597"/>
      <c r="R1474" s="1598"/>
      <c r="S1474" s="557"/>
      <c r="T1474" s="1768"/>
      <c r="V1474" s="1769"/>
      <c r="X1474" s="1768"/>
      <c r="Z1474" s="1769"/>
      <c r="AA1474" s="557"/>
      <c r="AK1474" s="246"/>
    </row>
    <row r="1475" spans="2:37" ht="18" customHeight="1">
      <c r="B1475" s="199"/>
      <c r="D1475" s="154"/>
      <c r="F1475" s="154"/>
      <c r="G1475" s="217"/>
      <c r="I1475" s="673"/>
      <c r="J1475" s="209"/>
      <c r="K1475" s="520"/>
      <c r="L1475" s="154"/>
      <c r="M1475" s="154"/>
      <c r="N1475" s="154"/>
      <c r="O1475" s="246"/>
      <c r="P1475" s="1597"/>
      <c r="R1475" s="1598"/>
      <c r="S1475" s="557"/>
      <c r="T1475" s="1768"/>
      <c r="V1475" s="1769"/>
      <c r="X1475" s="1768"/>
      <c r="Z1475" s="1769"/>
      <c r="AA1475" s="557"/>
      <c r="AK1475" s="246"/>
    </row>
    <row r="1476" spans="2:37" ht="18" customHeight="1">
      <c r="B1476" s="199"/>
      <c r="D1476" s="154"/>
      <c r="F1476" s="154"/>
      <c r="G1476" s="217"/>
      <c r="I1476" s="673"/>
      <c r="J1476" s="209"/>
      <c r="K1476" s="520"/>
      <c r="L1476" s="154"/>
      <c r="M1476" s="154"/>
      <c r="N1476" s="154"/>
      <c r="O1476" s="246"/>
      <c r="P1476" s="1597"/>
      <c r="R1476" s="1598"/>
      <c r="S1476" s="557"/>
      <c r="T1476" s="1768"/>
      <c r="V1476" s="1769"/>
      <c r="X1476" s="1768"/>
      <c r="Z1476" s="1769"/>
      <c r="AA1476" s="557"/>
      <c r="AK1476" s="246"/>
    </row>
    <row r="1477" spans="2:37" ht="18" customHeight="1">
      <c r="B1477" s="199"/>
      <c r="D1477" s="154"/>
      <c r="F1477" s="154"/>
      <c r="G1477" s="217"/>
      <c r="I1477" s="673"/>
      <c r="J1477" s="209"/>
      <c r="K1477" s="520"/>
      <c r="L1477" s="154"/>
      <c r="M1477" s="154"/>
      <c r="N1477" s="154"/>
      <c r="O1477" s="246"/>
      <c r="P1477" s="1597"/>
      <c r="R1477" s="1598"/>
      <c r="S1477" s="557"/>
      <c r="T1477" s="1768"/>
      <c r="V1477" s="1769"/>
      <c r="X1477" s="1768"/>
      <c r="Z1477" s="1769"/>
      <c r="AA1477" s="557"/>
      <c r="AK1477" s="246"/>
    </row>
    <row r="1478" spans="2:37" ht="18" customHeight="1">
      <c r="B1478" s="199"/>
      <c r="D1478" s="154"/>
      <c r="F1478" s="154"/>
      <c r="G1478" s="217"/>
      <c r="I1478" s="673"/>
      <c r="J1478" s="209"/>
      <c r="K1478" s="520"/>
      <c r="L1478" s="154"/>
      <c r="M1478" s="154"/>
      <c r="N1478" s="154"/>
      <c r="O1478" s="246"/>
      <c r="P1478" s="1597"/>
      <c r="R1478" s="1598"/>
      <c r="S1478" s="557"/>
      <c r="T1478" s="1768"/>
      <c r="V1478" s="1769"/>
      <c r="X1478" s="1768"/>
      <c r="Z1478" s="1769"/>
      <c r="AA1478" s="557"/>
      <c r="AK1478" s="246"/>
    </row>
    <row r="1479" spans="2:37" ht="18" customHeight="1">
      <c r="B1479" s="199"/>
      <c r="D1479" s="154"/>
      <c r="F1479" s="154"/>
      <c r="G1479" s="217"/>
      <c r="I1479" s="673"/>
      <c r="J1479" s="209"/>
      <c r="K1479" s="520"/>
      <c r="L1479" s="154"/>
      <c r="M1479" s="154"/>
      <c r="N1479" s="154"/>
      <c r="O1479" s="246"/>
      <c r="P1479" s="1597"/>
      <c r="R1479" s="1598"/>
      <c r="S1479" s="557"/>
      <c r="T1479" s="1768"/>
      <c r="V1479" s="1769"/>
      <c r="X1479" s="1768"/>
      <c r="Z1479" s="1769"/>
      <c r="AA1479" s="557"/>
      <c r="AK1479" s="246"/>
    </row>
    <row r="1480" spans="2:37" ht="18" customHeight="1">
      <c r="B1480" s="199"/>
      <c r="D1480" s="154"/>
      <c r="F1480" s="154"/>
      <c r="G1480" s="217"/>
      <c r="I1480" s="673"/>
      <c r="J1480" s="209"/>
      <c r="K1480" s="520"/>
      <c r="L1480" s="154"/>
      <c r="M1480" s="154"/>
      <c r="N1480" s="154"/>
      <c r="O1480" s="246"/>
      <c r="P1480" s="1597"/>
      <c r="R1480" s="1598"/>
      <c r="S1480" s="557"/>
      <c r="T1480" s="1768"/>
      <c r="V1480" s="1769"/>
      <c r="X1480" s="1768"/>
      <c r="Z1480" s="1769"/>
      <c r="AA1480" s="557"/>
      <c r="AK1480" s="246"/>
    </row>
    <row r="1481" spans="2:37" ht="18" customHeight="1">
      <c r="B1481" s="199"/>
      <c r="D1481" s="154"/>
      <c r="F1481" s="154"/>
      <c r="G1481" s="217"/>
      <c r="I1481" s="673"/>
      <c r="J1481" s="209"/>
      <c r="K1481" s="520"/>
      <c r="L1481" s="154"/>
      <c r="M1481" s="154"/>
      <c r="N1481" s="154"/>
      <c r="O1481" s="246"/>
      <c r="P1481" s="1597"/>
      <c r="R1481" s="1598"/>
      <c r="S1481" s="557"/>
      <c r="T1481" s="1768"/>
      <c r="V1481" s="1769"/>
      <c r="X1481" s="1768"/>
      <c r="Z1481" s="1769"/>
      <c r="AA1481" s="557"/>
      <c r="AK1481" s="246"/>
    </row>
    <row r="1482" spans="2:37" ht="18" customHeight="1">
      <c r="B1482" s="199"/>
      <c r="D1482" s="154"/>
      <c r="F1482" s="154"/>
      <c r="G1482" s="217"/>
      <c r="I1482" s="673"/>
      <c r="J1482" s="209"/>
      <c r="K1482" s="520"/>
      <c r="L1482" s="154"/>
      <c r="M1482" s="154"/>
      <c r="N1482" s="154"/>
      <c r="O1482" s="246"/>
      <c r="P1482" s="1597"/>
      <c r="R1482" s="1598"/>
      <c r="S1482" s="557"/>
      <c r="T1482" s="1768"/>
      <c r="V1482" s="1769"/>
      <c r="X1482" s="1768"/>
      <c r="Z1482" s="1769"/>
      <c r="AA1482" s="557"/>
      <c r="AK1482" s="246"/>
    </row>
    <row r="1483" spans="2:37" ht="18" customHeight="1">
      <c r="B1483" s="199"/>
      <c r="D1483" s="154"/>
      <c r="F1483" s="154"/>
      <c r="G1483" s="217"/>
      <c r="I1483" s="673"/>
      <c r="J1483" s="209"/>
      <c r="K1483" s="520"/>
      <c r="L1483" s="154"/>
      <c r="M1483" s="154"/>
      <c r="N1483" s="154"/>
      <c r="O1483" s="246"/>
      <c r="P1483" s="1597"/>
      <c r="R1483" s="1598"/>
      <c r="S1483" s="557"/>
      <c r="T1483" s="1768"/>
      <c r="V1483" s="1769"/>
      <c r="X1483" s="1768"/>
      <c r="Z1483" s="1769"/>
      <c r="AA1483" s="557"/>
      <c r="AK1483" s="246"/>
    </row>
    <row r="1484" spans="2:37" ht="18" customHeight="1">
      <c r="B1484" s="199"/>
      <c r="D1484" s="154"/>
      <c r="F1484" s="154"/>
      <c r="G1484" s="217"/>
      <c r="I1484" s="673"/>
      <c r="J1484" s="209"/>
      <c r="K1484" s="520"/>
      <c r="L1484" s="154"/>
      <c r="M1484" s="154"/>
      <c r="N1484" s="154"/>
      <c r="O1484" s="246"/>
      <c r="P1484" s="1597"/>
      <c r="R1484" s="1598"/>
      <c r="S1484" s="557"/>
      <c r="T1484" s="1768"/>
      <c r="V1484" s="1769"/>
      <c r="X1484" s="1768"/>
      <c r="Z1484" s="1769"/>
      <c r="AA1484" s="557"/>
      <c r="AK1484" s="246"/>
    </row>
    <row r="1485" spans="2:37" ht="18" customHeight="1">
      <c r="B1485" s="199"/>
      <c r="D1485" s="154"/>
      <c r="F1485" s="154"/>
      <c r="G1485" s="217"/>
      <c r="I1485" s="673"/>
      <c r="J1485" s="209"/>
      <c r="K1485" s="520"/>
      <c r="L1485" s="154"/>
      <c r="M1485" s="154"/>
      <c r="N1485" s="154"/>
      <c r="O1485" s="246"/>
      <c r="P1485" s="1597"/>
      <c r="R1485" s="1598"/>
      <c r="S1485" s="557"/>
      <c r="T1485" s="1768"/>
      <c r="V1485" s="1769"/>
      <c r="X1485" s="1768"/>
      <c r="Z1485" s="1769"/>
      <c r="AA1485" s="557"/>
      <c r="AK1485" s="246"/>
    </row>
    <row r="1486" spans="2:37" ht="18" customHeight="1">
      <c r="B1486" s="199"/>
      <c r="D1486" s="154"/>
      <c r="F1486" s="154"/>
      <c r="G1486" s="217"/>
      <c r="I1486" s="673"/>
      <c r="J1486" s="209"/>
      <c r="K1486" s="520"/>
      <c r="L1486" s="154"/>
      <c r="M1486" s="154"/>
      <c r="N1486" s="154"/>
      <c r="O1486" s="246"/>
      <c r="P1486" s="1597"/>
      <c r="R1486" s="1598"/>
      <c r="S1486" s="557"/>
      <c r="T1486" s="1768"/>
      <c r="V1486" s="1769"/>
      <c r="X1486" s="1768"/>
      <c r="Z1486" s="1769"/>
      <c r="AA1486" s="557"/>
      <c r="AK1486" s="246"/>
    </row>
    <row r="1487" spans="2:37" ht="18" customHeight="1">
      <c r="B1487" s="199"/>
      <c r="D1487" s="154"/>
      <c r="F1487" s="154"/>
      <c r="G1487" s="217"/>
      <c r="I1487" s="673"/>
      <c r="J1487" s="209"/>
      <c r="K1487" s="520"/>
      <c r="L1487" s="154"/>
      <c r="M1487" s="154"/>
      <c r="N1487" s="154"/>
      <c r="O1487" s="246"/>
      <c r="P1487" s="1597"/>
      <c r="R1487" s="1598"/>
      <c r="S1487" s="557"/>
      <c r="T1487" s="1768"/>
      <c r="V1487" s="1769"/>
      <c r="X1487" s="1768"/>
      <c r="Z1487" s="1769"/>
      <c r="AA1487" s="557"/>
      <c r="AK1487" s="246"/>
    </row>
    <row r="1488" spans="2:37" ht="18" customHeight="1">
      <c r="B1488" s="199"/>
      <c r="D1488" s="154"/>
      <c r="F1488" s="154"/>
      <c r="G1488" s="217"/>
      <c r="I1488" s="673"/>
      <c r="J1488" s="209"/>
      <c r="K1488" s="520"/>
      <c r="L1488" s="154"/>
      <c r="M1488" s="154"/>
      <c r="N1488" s="154"/>
      <c r="O1488" s="246"/>
      <c r="P1488" s="1597"/>
      <c r="R1488" s="1598"/>
      <c r="S1488" s="557"/>
      <c r="T1488" s="1768"/>
      <c r="V1488" s="1769"/>
      <c r="X1488" s="1768"/>
      <c r="Z1488" s="1769"/>
      <c r="AA1488" s="557"/>
      <c r="AK1488" s="246"/>
    </row>
    <row r="1489" spans="2:37" ht="18" customHeight="1">
      <c r="B1489" s="199"/>
      <c r="D1489" s="154"/>
      <c r="F1489" s="154"/>
      <c r="G1489" s="217"/>
      <c r="I1489" s="673"/>
      <c r="J1489" s="209"/>
      <c r="K1489" s="520"/>
      <c r="L1489" s="154"/>
      <c r="M1489" s="154"/>
      <c r="N1489" s="154"/>
      <c r="O1489" s="246"/>
      <c r="P1489" s="1597"/>
      <c r="R1489" s="1598"/>
      <c r="S1489" s="557"/>
      <c r="T1489" s="1768"/>
      <c r="V1489" s="1769"/>
      <c r="X1489" s="1768"/>
      <c r="Z1489" s="1769"/>
      <c r="AA1489" s="557"/>
      <c r="AK1489" s="246"/>
    </row>
    <row r="1490" spans="2:37" ht="18" customHeight="1">
      <c r="B1490" s="199"/>
      <c r="D1490" s="154"/>
      <c r="F1490" s="154"/>
      <c r="G1490" s="217"/>
      <c r="I1490" s="673"/>
      <c r="J1490" s="209"/>
      <c r="K1490" s="520"/>
      <c r="L1490" s="154"/>
      <c r="M1490" s="154"/>
      <c r="N1490" s="154"/>
      <c r="O1490" s="246"/>
      <c r="P1490" s="1597"/>
      <c r="R1490" s="1598"/>
      <c r="S1490" s="557"/>
      <c r="T1490" s="1768"/>
      <c r="V1490" s="1769"/>
      <c r="X1490" s="1768"/>
      <c r="Z1490" s="1769"/>
      <c r="AA1490" s="557"/>
      <c r="AK1490" s="246"/>
    </row>
    <row r="1491" spans="2:37" ht="18" customHeight="1">
      <c r="B1491" s="199"/>
      <c r="D1491" s="154"/>
      <c r="F1491" s="154"/>
      <c r="G1491" s="217"/>
      <c r="I1491" s="673"/>
      <c r="J1491" s="209"/>
      <c r="K1491" s="520"/>
      <c r="L1491" s="154"/>
      <c r="M1491" s="154"/>
      <c r="N1491" s="154"/>
      <c r="O1491" s="246"/>
      <c r="P1491" s="1597"/>
      <c r="R1491" s="1598"/>
      <c r="S1491" s="557"/>
      <c r="T1491" s="1768"/>
      <c r="V1491" s="1769"/>
      <c r="X1491" s="1768"/>
      <c r="Z1491" s="1769"/>
      <c r="AA1491" s="557"/>
      <c r="AK1491" s="246"/>
    </row>
    <row r="1492" spans="2:37" ht="18" customHeight="1">
      <c r="B1492" s="199"/>
      <c r="D1492" s="154"/>
      <c r="F1492" s="154"/>
      <c r="G1492" s="217"/>
      <c r="I1492" s="673"/>
      <c r="J1492" s="209"/>
      <c r="K1492" s="520"/>
      <c r="L1492" s="154"/>
      <c r="M1492" s="154"/>
      <c r="N1492" s="154"/>
      <c r="O1492" s="246"/>
      <c r="P1492" s="1597"/>
      <c r="R1492" s="1598"/>
      <c r="S1492" s="557"/>
      <c r="T1492" s="1768"/>
      <c r="V1492" s="1769"/>
      <c r="X1492" s="1768"/>
      <c r="Z1492" s="1769"/>
      <c r="AA1492" s="557"/>
      <c r="AK1492" s="246"/>
    </row>
    <row r="1493" spans="2:37" ht="18" customHeight="1">
      <c r="B1493" s="199"/>
      <c r="D1493" s="154"/>
      <c r="F1493" s="154"/>
      <c r="G1493" s="217"/>
      <c r="I1493" s="673"/>
      <c r="J1493" s="209"/>
      <c r="K1493" s="520"/>
      <c r="L1493" s="154"/>
      <c r="M1493" s="154"/>
      <c r="N1493" s="154"/>
      <c r="O1493" s="246"/>
      <c r="P1493" s="1597"/>
      <c r="R1493" s="1598"/>
      <c r="S1493" s="557"/>
      <c r="T1493" s="1768"/>
      <c r="V1493" s="1769"/>
      <c r="X1493" s="1768"/>
      <c r="Z1493" s="1769"/>
      <c r="AA1493" s="557"/>
      <c r="AK1493" s="246"/>
    </row>
    <row r="1494" spans="2:37" ht="18" customHeight="1">
      <c r="B1494" s="199"/>
      <c r="D1494" s="154"/>
      <c r="F1494" s="154"/>
      <c r="G1494" s="217"/>
      <c r="I1494" s="673"/>
      <c r="J1494" s="209"/>
      <c r="K1494" s="520"/>
      <c r="L1494" s="154"/>
      <c r="M1494" s="154"/>
      <c r="N1494" s="154"/>
      <c r="O1494" s="246"/>
      <c r="P1494" s="1597"/>
      <c r="R1494" s="1598"/>
      <c r="S1494" s="557"/>
      <c r="T1494" s="1768"/>
      <c r="V1494" s="1769"/>
      <c r="X1494" s="1768"/>
      <c r="Z1494" s="1769"/>
      <c r="AA1494" s="557"/>
      <c r="AK1494" s="246"/>
    </row>
    <row r="1495" spans="2:37" ht="18" customHeight="1">
      <c r="B1495" s="199"/>
      <c r="D1495" s="154"/>
      <c r="F1495" s="154"/>
      <c r="G1495" s="217"/>
      <c r="I1495" s="673"/>
      <c r="J1495" s="209"/>
      <c r="K1495" s="520"/>
      <c r="L1495" s="154"/>
      <c r="M1495" s="154"/>
      <c r="N1495" s="154"/>
      <c r="O1495" s="246"/>
      <c r="P1495" s="1597"/>
      <c r="R1495" s="1598"/>
      <c r="S1495" s="557"/>
      <c r="T1495" s="1768"/>
      <c r="V1495" s="1769"/>
      <c r="X1495" s="1768"/>
      <c r="Z1495" s="1769"/>
      <c r="AA1495" s="557"/>
      <c r="AK1495" s="246"/>
    </row>
    <row r="1496" spans="2:37" ht="18" customHeight="1">
      <c r="B1496" s="199"/>
      <c r="D1496" s="154"/>
      <c r="F1496" s="154"/>
      <c r="G1496" s="217"/>
      <c r="I1496" s="673"/>
      <c r="J1496" s="209"/>
      <c r="K1496" s="520"/>
      <c r="L1496" s="154"/>
      <c r="M1496" s="154"/>
      <c r="N1496" s="154"/>
      <c r="O1496" s="246"/>
      <c r="P1496" s="1597"/>
      <c r="R1496" s="1598"/>
      <c r="S1496" s="557"/>
      <c r="T1496" s="1768"/>
      <c r="V1496" s="1769"/>
      <c r="X1496" s="1768"/>
      <c r="Z1496" s="1769"/>
      <c r="AA1496" s="557"/>
      <c r="AK1496" s="246"/>
    </row>
    <row r="1497" spans="2:37" ht="18" customHeight="1">
      <c r="B1497" s="199"/>
      <c r="D1497" s="154"/>
      <c r="F1497" s="154"/>
      <c r="G1497" s="217"/>
      <c r="I1497" s="673"/>
      <c r="J1497" s="209"/>
      <c r="K1497" s="520"/>
      <c r="L1497" s="154"/>
      <c r="M1497" s="154"/>
      <c r="N1497" s="154"/>
      <c r="O1497" s="246"/>
      <c r="P1497" s="1597"/>
      <c r="R1497" s="1598"/>
      <c r="S1497" s="557"/>
      <c r="T1497" s="1768"/>
      <c r="V1497" s="1769"/>
      <c r="X1497" s="1768"/>
      <c r="Z1497" s="1769"/>
      <c r="AA1497" s="557"/>
      <c r="AK1497" s="246"/>
    </row>
    <row r="1498" spans="2:37" ht="18" customHeight="1">
      <c r="B1498" s="199"/>
      <c r="D1498" s="154"/>
      <c r="F1498" s="154"/>
      <c r="G1498" s="217"/>
      <c r="I1498" s="673"/>
      <c r="J1498" s="209"/>
      <c r="K1498" s="520"/>
      <c r="L1498" s="154"/>
      <c r="M1498" s="154"/>
      <c r="N1498" s="154"/>
      <c r="O1498" s="246"/>
      <c r="P1498" s="1597"/>
      <c r="R1498" s="1598"/>
      <c r="S1498" s="557"/>
      <c r="T1498" s="1768"/>
      <c r="V1498" s="1769"/>
      <c r="X1498" s="1768"/>
      <c r="Z1498" s="1769"/>
      <c r="AA1498" s="557"/>
      <c r="AK1498" s="246"/>
    </row>
    <row r="1499" spans="2:37" ht="18" customHeight="1">
      <c r="B1499" s="199"/>
      <c r="D1499" s="154"/>
      <c r="F1499" s="154"/>
      <c r="G1499" s="217"/>
      <c r="I1499" s="673"/>
      <c r="J1499" s="209"/>
      <c r="K1499" s="520"/>
      <c r="L1499" s="154"/>
      <c r="M1499" s="154"/>
      <c r="N1499" s="154"/>
      <c r="O1499" s="246"/>
      <c r="P1499" s="1597"/>
      <c r="R1499" s="1598"/>
      <c r="S1499" s="557"/>
      <c r="T1499" s="1768"/>
      <c r="V1499" s="1769"/>
      <c r="X1499" s="1768"/>
      <c r="Z1499" s="1769"/>
      <c r="AA1499" s="557"/>
      <c r="AK1499" s="246"/>
    </row>
    <row r="1500" spans="2:37" ht="18" customHeight="1">
      <c r="B1500" s="199"/>
      <c r="D1500" s="154"/>
      <c r="F1500" s="154"/>
      <c r="G1500" s="217"/>
      <c r="I1500" s="673"/>
      <c r="J1500" s="209"/>
      <c r="K1500" s="520"/>
      <c r="L1500" s="154"/>
      <c r="M1500" s="154"/>
      <c r="N1500" s="154"/>
      <c r="O1500" s="246"/>
      <c r="P1500" s="1597"/>
      <c r="R1500" s="1598"/>
      <c r="S1500" s="557"/>
      <c r="T1500" s="1768"/>
      <c r="V1500" s="1769"/>
      <c r="X1500" s="1768"/>
      <c r="Z1500" s="1769"/>
      <c r="AA1500" s="557"/>
      <c r="AK1500" s="246"/>
    </row>
    <row r="1501" spans="2:37" ht="18" customHeight="1">
      <c r="B1501" s="199"/>
      <c r="D1501" s="154"/>
      <c r="F1501" s="154"/>
      <c r="G1501" s="217"/>
      <c r="I1501" s="673"/>
      <c r="J1501" s="209"/>
      <c r="K1501" s="520"/>
      <c r="L1501" s="154"/>
      <c r="M1501" s="154"/>
      <c r="N1501" s="154"/>
      <c r="O1501" s="246"/>
      <c r="P1501" s="1597"/>
      <c r="R1501" s="1598"/>
      <c r="S1501" s="557"/>
      <c r="T1501" s="1768"/>
      <c r="V1501" s="1769"/>
      <c r="X1501" s="1768"/>
      <c r="Z1501" s="1769"/>
      <c r="AA1501" s="557"/>
      <c r="AK1501" s="246"/>
    </row>
    <row r="1502" spans="2:37" ht="18" customHeight="1">
      <c r="B1502" s="199"/>
      <c r="D1502" s="154"/>
      <c r="F1502" s="154"/>
      <c r="G1502" s="217"/>
      <c r="I1502" s="673"/>
      <c r="J1502" s="209"/>
      <c r="K1502" s="520"/>
      <c r="L1502" s="154"/>
      <c r="M1502" s="154"/>
      <c r="N1502" s="154"/>
      <c r="O1502" s="246"/>
      <c r="P1502" s="1597"/>
      <c r="R1502" s="1598"/>
      <c r="S1502" s="557"/>
      <c r="T1502" s="1768"/>
      <c r="V1502" s="1769"/>
      <c r="X1502" s="1768"/>
      <c r="Z1502" s="1769"/>
      <c r="AA1502" s="557"/>
      <c r="AK1502" s="246"/>
    </row>
    <row r="1503" spans="2:37" ht="18" customHeight="1">
      <c r="B1503" s="199"/>
      <c r="D1503" s="154"/>
      <c r="F1503" s="154"/>
      <c r="G1503" s="217"/>
      <c r="I1503" s="673"/>
      <c r="J1503" s="209"/>
      <c r="K1503" s="520"/>
      <c r="L1503" s="154"/>
      <c r="M1503" s="154"/>
      <c r="N1503" s="154"/>
      <c r="O1503" s="246"/>
      <c r="P1503" s="1597"/>
      <c r="R1503" s="1598"/>
      <c r="S1503" s="557"/>
      <c r="T1503" s="1768"/>
      <c r="V1503" s="1769"/>
      <c r="X1503" s="1768"/>
      <c r="Z1503" s="1769"/>
      <c r="AA1503" s="557"/>
      <c r="AK1503" s="246"/>
    </row>
    <row r="1504" spans="2:37" ht="18" customHeight="1">
      <c r="B1504" s="199"/>
      <c r="D1504" s="154"/>
      <c r="F1504" s="154"/>
      <c r="G1504" s="217"/>
      <c r="I1504" s="673"/>
      <c r="J1504" s="209"/>
      <c r="K1504" s="520"/>
      <c r="L1504" s="154"/>
      <c r="M1504" s="154"/>
      <c r="N1504" s="154"/>
      <c r="O1504" s="246"/>
      <c r="P1504" s="1597"/>
      <c r="R1504" s="1598"/>
      <c r="S1504" s="557"/>
      <c r="T1504" s="1768"/>
      <c r="V1504" s="1769"/>
      <c r="X1504" s="1768"/>
      <c r="Z1504" s="1769"/>
      <c r="AA1504" s="557"/>
      <c r="AK1504" s="246"/>
    </row>
    <row r="1505" spans="2:37" ht="18" customHeight="1">
      <c r="B1505" s="199"/>
      <c r="D1505" s="154"/>
      <c r="F1505" s="154"/>
      <c r="G1505" s="217"/>
      <c r="I1505" s="673"/>
      <c r="J1505" s="209"/>
      <c r="K1505" s="520"/>
      <c r="L1505" s="154"/>
      <c r="M1505" s="154"/>
      <c r="N1505" s="154"/>
      <c r="O1505" s="246"/>
      <c r="P1505" s="1597"/>
      <c r="R1505" s="1598"/>
      <c r="S1505" s="557"/>
      <c r="T1505" s="1768"/>
      <c r="V1505" s="1769"/>
      <c r="X1505" s="1768"/>
      <c r="Z1505" s="1769"/>
      <c r="AA1505" s="557"/>
      <c r="AK1505" s="246"/>
    </row>
    <row r="1506" spans="2:37" ht="18" customHeight="1">
      <c r="B1506" s="199"/>
      <c r="D1506" s="154"/>
      <c r="F1506" s="154"/>
      <c r="G1506" s="217"/>
      <c r="I1506" s="673"/>
      <c r="J1506" s="209"/>
      <c r="K1506" s="520"/>
      <c r="L1506" s="154"/>
      <c r="M1506" s="154"/>
      <c r="N1506" s="154"/>
      <c r="O1506" s="246"/>
      <c r="P1506" s="1597"/>
      <c r="R1506" s="1598"/>
      <c r="S1506" s="557"/>
      <c r="T1506" s="1768"/>
      <c r="V1506" s="1769"/>
      <c r="X1506" s="1768"/>
      <c r="Z1506" s="1769"/>
      <c r="AA1506" s="557"/>
      <c r="AK1506" s="246"/>
    </row>
    <row r="1507" spans="2:37" ht="18" customHeight="1">
      <c r="B1507" s="199"/>
      <c r="D1507" s="154"/>
      <c r="F1507" s="154"/>
      <c r="G1507" s="217"/>
      <c r="I1507" s="673"/>
      <c r="J1507" s="209"/>
      <c r="K1507" s="520"/>
      <c r="L1507" s="154"/>
      <c r="M1507" s="154"/>
      <c r="N1507" s="154"/>
      <c r="O1507" s="246"/>
      <c r="P1507" s="1597"/>
      <c r="R1507" s="1598"/>
      <c r="S1507" s="557"/>
      <c r="T1507" s="1768"/>
      <c r="V1507" s="1769"/>
      <c r="X1507" s="1768"/>
      <c r="Z1507" s="1769"/>
      <c r="AA1507" s="557"/>
      <c r="AK1507" s="246"/>
    </row>
    <row r="1508" spans="2:37" ht="18" customHeight="1">
      <c r="B1508" s="199"/>
      <c r="D1508" s="154"/>
      <c r="F1508" s="154"/>
      <c r="G1508" s="217"/>
      <c r="I1508" s="673"/>
      <c r="J1508" s="209"/>
      <c r="K1508" s="520"/>
      <c r="L1508" s="154"/>
      <c r="M1508" s="154"/>
      <c r="N1508" s="154"/>
      <c r="O1508" s="246"/>
      <c r="P1508" s="1597"/>
      <c r="R1508" s="1598"/>
      <c r="S1508" s="557"/>
      <c r="T1508" s="1768"/>
      <c r="V1508" s="1769"/>
      <c r="X1508" s="1768"/>
      <c r="Z1508" s="1769"/>
      <c r="AA1508" s="557"/>
      <c r="AK1508" s="246"/>
    </row>
    <row r="1509" spans="2:37" ht="18" customHeight="1">
      <c r="B1509" s="199"/>
      <c r="D1509" s="154"/>
      <c r="F1509" s="154"/>
      <c r="G1509" s="217"/>
      <c r="I1509" s="673"/>
      <c r="J1509" s="209"/>
      <c r="K1509" s="520"/>
      <c r="L1509" s="154"/>
      <c r="M1509" s="154"/>
      <c r="N1509" s="154"/>
      <c r="O1509" s="246"/>
      <c r="P1509" s="1597"/>
      <c r="R1509" s="1598"/>
      <c r="S1509" s="557"/>
      <c r="T1509" s="1768"/>
      <c r="V1509" s="1769"/>
      <c r="X1509" s="1768"/>
      <c r="Z1509" s="1769"/>
      <c r="AA1509" s="557"/>
      <c r="AK1509" s="246"/>
    </row>
    <row r="1510" spans="2:37" ht="18" customHeight="1">
      <c r="B1510" s="199"/>
      <c r="D1510" s="154"/>
      <c r="F1510" s="154"/>
      <c r="G1510" s="217"/>
      <c r="I1510" s="673"/>
      <c r="J1510" s="209"/>
      <c r="K1510" s="520"/>
      <c r="L1510" s="154"/>
      <c r="M1510" s="154"/>
      <c r="N1510" s="154"/>
      <c r="O1510" s="246"/>
      <c r="P1510" s="1597"/>
      <c r="R1510" s="1598"/>
      <c r="S1510" s="557"/>
      <c r="T1510" s="1768"/>
      <c r="V1510" s="1769"/>
      <c r="X1510" s="1768"/>
      <c r="Z1510" s="1769"/>
      <c r="AA1510" s="557"/>
      <c r="AK1510" s="246"/>
    </row>
    <row r="1511" spans="2:37" ht="18" customHeight="1">
      <c r="B1511" s="199"/>
      <c r="D1511" s="154"/>
      <c r="F1511" s="154"/>
      <c r="G1511" s="217"/>
      <c r="I1511" s="673"/>
      <c r="J1511" s="209"/>
      <c r="K1511" s="520"/>
      <c r="L1511" s="154"/>
      <c r="M1511" s="154"/>
      <c r="N1511" s="154"/>
      <c r="O1511" s="246"/>
      <c r="P1511" s="1597"/>
      <c r="R1511" s="1598"/>
      <c r="S1511" s="557"/>
      <c r="T1511" s="1768"/>
      <c r="V1511" s="1769"/>
      <c r="X1511" s="1768"/>
      <c r="Z1511" s="1769"/>
      <c r="AA1511" s="557"/>
      <c r="AK1511" s="246"/>
    </row>
    <row r="1512" spans="2:37" ht="18" customHeight="1">
      <c r="B1512" s="199"/>
      <c r="D1512" s="154"/>
      <c r="F1512" s="154"/>
      <c r="G1512" s="217"/>
      <c r="I1512" s="673"/>
      <c r="J1512" s="209"/>
      <c r="K1512" s="520"/>
      <c r="L1512" s="154"/>
      <c r="M1512" s="154"/>
      <c r="N1512" s="154"/>
      <c r="O1512" s="246"/>
      <c r="P1512" s="1597"/>
      <c r="R1512" s="1598"/>
      <c r="S1512" s="557"/>
      <c r="T1512" s="1768"/>
      <c r="V1512" s="1769"/>
      <c r="X1512" s="1768"/>
      <c r="Z1512" s="1769"/>
      <c r="AA1512" s="557"/>
      <c r="AK1512" s="246"/>
    </row>
    <row r="1513" spans="2:37" ht="18" customHeight="1">
      <c r="B1513" s="199"/>
      <c r="D1513" s="154"/>
      <c r="F1513" s="154"/>
      <c r="G1513" s="217"/>
      <c r="I1513" s="673"/>
      <c r="J1513" s="209"/>
      <c r="K1513" s="520"/>
      <c r="L1513" s="154"/>
      <c r="M1513" s="154"/>
      <c r="N1513" s="154"/>
      <c r="O1513" s="246"/>
      <c r="P1513" s="1597"/>
      <c r="R1513" s="1598"/>
      <c r="S1513" s="557"/>
      <c r="T1513" s="1768"/>
      <c r="V1513" s="1769"/>
      <c r="X1513" s="1768"/>
      <c r="Z1513" s="1769"/>
      <c r="AA1513" s="557"/>
      <c r="AK1513" s="246"/>
    </row>
    <row r="1514" spans="2:37" ht="18" customHeight="1">
      <c r="B1514" s="199"/>
      <c r="D1514" s="154"/>
      <c r="F1514" s="154"/>
      <c r="G1514" s="217"/>
      <c r="I1514" s="673"/>
      <c r="J1514" s="209"/>
      <c r="K1514" s="520"/>
      <c r="L1514" s="154"/>
      <c r="M1514" s="154"/>
      <c r="N1514" s="154"/>
      <c r="O1514" s="246"/>
      <c r="P1514" s="1597"/>
      <c r="R1514" s="1598"/>
      <c r="S1514" s="557"/>
      <c r="T1514" s="1768"/>
      <c r="V1514" s="1769"/>
      <c r="X1514" s="1768"/>
      <c r="Z1514" s="1769"/>
      <c r="AA1514" s="557"/>
      <c r="AK1514" s="246"/>
    </row>
    <row r="1515" spans="2:37" ht="18" customHeight="1">
      <c r="B1515" s="199"/>
      <c r="D1515" s="154"/>
      <c r="F1515" s="154"/>
      <c r="G1515" s="217"/>
      <c r="I1515" s="673"/>
      <c r="J1515" s="209"/>
      <c r="K1515" s="520"/>
      <c r="L1515" s="154"/>
      <c r="M1515" s="154"/>
      <c r="N1515" s="154"/>
      <c r="O1515" s="246"/>
      <c r="P1515" s="1597"/>
      <c r="R1515" s="1598"/>
      <c r="S1515" s="557"/>
      <c r="T1515" s="1768"/>
      <c r="V1515" s="1769"/>
      <c r="X1515" s="1768"/>
      <c r="Z1515" s="1769"/>
      <c r="AA1515" s="557"/>
      <c r="AK1515" s="246"/>
    </row>
    <row r="1516" spans="2:37" ht="18" customHeight="1">
      <c r="B1516" s="199"/>
      <c r="D1516" s="154"/>
      <c r="F1516" s="154"/>
      <c r="G1516" s="217"/>
      <c r="I1516" s="673"/>
      <c r="J1516" s="209"/>
      <c r="K1516" s="520"/>
      <c r="L1516" s="154"/>
      <c r="M1516" s="154"/>
      <c r="N1516" s="154"/>
      <c r="O1516" s="246"/>
      <c r="P1516" s="1597"/>
      <c r="R1516" s="1598"/>
      <c r="S1516" s="557"/>
      <c r="T1516" s="1768"/>
      <c r="V1516" s="1769"/>
      <c r="X1516" s="1768"/>
      <c r="Z1516" s="1769"/>
      <c r="AA1516" s="557"/>
      <c r="AK1516" s="246"/>
    </row>
    <row r="1517" spans="2:37" ht="18" customHeight="1">
      <c r="B1517" s="199"/>
      <c r="D1517" s="154"/>
      <c r="F1517" s="154"/>
      <c r="G1517" s="217"/>
      <c r="I1517" s="673"/>
      <c r="J1517" s="209"/>
      <c r="K1517" s="520"/>
      <c r="L1517" s="154"/>
      <c r="M1517" s="154"/>
      <c r="N1517" s="154"/>
      <c r="O1517" s="246"/>
      <c r="P1517" s="1597"/>
      <c r="R1517" s="1598"/>
      <c r="S1517" s="557"/>
      <c r="T1517" s="1768"/>
      <c r="V1517" s="1769"/>
      <c r="X1517" s="1768"/>
      <c r="Z1517" s="1769"/>
      <c r="AA1517" s="557"/>
      <c r="AK1517" s="246"/>
    </row>
    <row r="1518" spans="2:37" ht="18" customHeight="1">
      <c r="B1518" s="199"/>
      <c r="D1518" s="154"/>
      <c r="F1518" s="154"/>
      <c r="G1518" s="217"/>
      <c r="I1518" s="673"/>
      <c r="J1518" s="209"/>
      <c r="K1518" s="520"/>
      <c r="L1518" s="154"/>
      <c r="M1518" s="154"/>
      <c r="N1518" s="154"/>
      <c r="O1518" s="246"/>
      <c r="P1518" s="1597"/>
      <c r="R1518" s="1598"/>
      <c r="S1518" s="557"/>
      <c r="T1518" s="1768"/>
      <c r="V1518" s="1769"/>
      <c r="X1518" s="1768"/>
      <c r="Z1518" s="1769"/>
      <c r="AA1518" s="557"/>
      <c r="AK1518" s="246"/>
    </row>
    <row r="1519" spans="2:37" ht="18" customHeight="1">
      <c r="B1519" s="199"/>
      <c r="D1519" s="154"/>
      <c r="F1519" s="154"/>
      <c r="G1519" s="217"/>
      <c r="I1519" s="673"/>
      <c r="J1519" s="209"/>
      <c r="K1519" s="520"/>
      <c r="L1519" s="154"/>
      <c r="M1519" s="154"/>
      <c r="N1519" s="154"/>
      <c r="O1519" s="246"/>
      <c r="P1519" s="1597"/>
      <c r="R1519" s="1598"/>
      <c r="S1519" s="557"/>
      <c r="T1519" s="1768"/>
      <c r="V1519" s="1769"/>
      <c r="X1519" s="1768"/>
      <c r="Z1519" s="1769"/>
      <c r="AA1519" s="557"/>
      <c r="AK1519" s="246"/>
    </row>
    <row r="1520" spans="2:37" ht="18" customHeight="1">
      <c r="B1520" s="199"/>
      <c r="D1520" s="154"/>
      <c r="F1520" s="154"/>
      <c r="G1520" s="217"/>
      <c r="I1520" s="673"/>
      <c r="J1520" s="209"/>
      <c r="K1520" s="520"/>
      <c r="L1520" s="154"/>
      <c r="M1520" s="154"/>
      <c r="N1520" s="154"/>
      <c r="O1520" s="246"/>
      <c r="P1520" s="1597"/>
      <c r="R1520" s="1598"/>
      <c r="S1520" s="557"/>
      <c r="T1520" s="1768"/>
      <c r="V1520" s="1769"/>
      <c r="X1520" s="1768"/>
      <c r="Z1520" s="1769"/>
      <c r="AA1520" s="557"/>
      <c r="AK1520" s="246"/>
    </row>
    <row r="1521" spans="2:37" ht="18" customHeight="1">
      <c r="B1521" s="199"/>
      <c r="D1521" s="154"/>
      <c r="F1521" s="154"/>
      <c r="G1521" s="217"/>
      <c r="I1521" s="673"/>
      <c r="J1521" s="209"/>
      <c r="K1521" s="520"/>
      <c r="L1521" s="154"/>
      <c r="M1521" s="154"/>
      <c r="N1521" s="154"/>
      <c r="O1521" s="246"/>
      <c r="P1521" s="1597"/>
      <c r="R1521" s="1598"/>
      <c r="S1521" s="557"/>
      <c r="T1521" s="1768"/>
      <c r="V1521" s="1769"/>
      <c r="X1521" s="1768"/>
      <c r="Z1521" s="1769"/>
      <c r="AA1521" s="557"/>
      <c r="AK1521" s="246"/>
    </row>
    <row r="1522" spans="2:37" ht="18" customHeight="1">
      <c r="B1522" s="199"/>
      <c r="D1522" s="154"/>
      <c r="F1522" s="154"/>
      <c r="G1522" s="217"/>
      <c r="I1522" s="673"/>
      <c r="J1522" s="209"/>
      <c r="K1522" s="520"/>
      <c r="L1522" s="154"/>
      <c r="M1522" s="154"/>
      <c r="N1522" s="154"/>
      <c r="O1522" s="246"/>
      <c r="P1522" s="1597"/>
      <c r="R1522" s="1598"/>
      <c r="S1522" s="557"/>
      <c r="T1522" s="1768"/>
      <c r="V1522" s="1769"/>
      <c r="X1522" s="1768"/>
      <c r="Z1522" s="1769"/>
      <c r="AA1522" s="557"/>
      <c r="AK1522" s="246"/>
    </row>
    <row r="1523" spans="2:37" ht="18" customHeight="1">
      <c r="B1523" s="199"/>
      <c r="D1523" s="154"/>
      <c r="F1523" s="154"/>
      <c r="G1523" s="217"/>
      <c r="I1523" s="673"/>
      <c r="J1523" s="209"/>
      <c r="K1523" s="520"/>
      <c r="L1523" s="154"/>
      <c r="M1523" s="154"/>
      <c r="N1523" s="154"/>
      <c r="O1523" s="246"/>
      <c r="P1523" s="1597"/>
      <c r="R1523" s="1598"/>
      <c r="S1523" s="557"/>
      <c r="T1523" s="1768"/>
      <c r="V1523" s="1769"/>
      <c r="X1523" s="1768"/>
      <c r="Z1523" s="1769"/>
      <c r="AA1523" s="557"/>
      <c r="AK1523" s="246"/>
    </row>
    <row r="1524" spans="2:37" ht="18" customHeight="1">
      <c r="B1524" s="199"/>
      <c r="D1524" s="154"/>
      <c r="F1524" s="154"/>
      <c r="G1524" s="217"/>
      <c r="I1524" s="673"/>
      <c r="J1524" s="209"/>
      <c r="K1524" s="520"/>
      <c r="L1524" s="154"/>
      <c r="M1524" s="154"/>
      <c r="N1524" s="154"/>
      <c r="O1524" s="246"/>
      <c r="P1524" s="1597"/>
      <c r="R1524" s="1598"/>
      <c r="S1524" s="557"/>
      <c r="T1524" s="1768"/>
      <c r="V1524" s="1769"/>
      <c r="X1524" s="1768"/>
      <c r="Z1524" s="1769"/>
      <c r="AA1524" s="557"/>
      <c r="AK1524" s="246"/>
    </row>
    <row r="1525" spans="2:37" ht="18" customHeight="1">
      <c r="B1525" s="199"/>
      <c r="D1525" s="154"/>
      <c r="F1525" s="154"/>
      <c r="G1525" s="217"/>
      <c r="I1525" s="673"/>
      <c r="J1525" s="209"/>
      <c r="K1525" s="520"/>
      <c r="L1525" s="154"/>
      <c r="M1525" s="154"/>
      <c r="N1525" s="154"/>
      <c r="O1525" s="246"/>
      <c r="P1525" s="1597"/>
      <c r="R1525" s="1598"/>
      <c r="S1525" s="557"/>
      <c r="T1525" s="1768"/>
      <c r="V1525" s="1769"/>
      <c r="X1525" s="1768"/>
      <c r="Z1525" s="1769"/>
      <c r="AA1525" s="557"/>
      <c r="AK1525" s="246"/>
    </row>
    <row r="1526" spans="2:37" ht="18" customHeight="1">
      <c r="B1526" s="199"/>
      <c r="D1526" s="154"/>
      <c r="F1526" s="154"/>
      <c r="G1526" s="217"/>
      <c r="I1526" s="673"/>
      <c r="J1526" s="209"/>
      <c r="K1526" s="520"/>
      <c r="L1526" s="154"/>
      <c r="M1526" s="154"/>
      <c r="N1526" s="154"/>
      <c r="O1526" s="246"/>
      <c r="P1526" s="1597"/>
      <c r="R1526" s="1598"/>
      <c r="S1526" s="557"/>
      <c r="T1526" s="1768"/>
      <c r="V1526" s="1769"/>
      <c r="X1526" s="1768"/>
      <c r="Z1526" s="1769"/>
      <c r="AA1526" s="557"/>
      <c r="AK1526" s="246"/>
    </row>
    <row r="1527" spans="2:37" ht="18" customHeight="1">
      <c r="B1527" s="199"/>
      <c r="D1527" s="154"/>
      <c r="F1527" s="154"/>
      <c r="G1527" s="217"/>
      <c r="I1527" s="673"/>
      <c r="J1527" s="209"/>
      <c r="K1527" s="520"/>
      <c r="L1527" s="154"/>
      <c r="M1527" s="154"/>
      <c r="N1527" s="154"/>
      <c r="O1527" s="246"/>
      <c r="P1527" s="1597"/>
      <c r="R1527" s="1598"/>
      <c r="S1527" s="557"/>
      <c r="T1527" s="1768"/>
      <c r="V1527" s="1769"/>
      <c r="X1527" s="1768"/>
      <c r="Z1527" s="1769"/>
      <c r="AA1527" s="557"/>
      <c r="AK1527" s="246"/>
    </row>
    <row r="1528" spans="2:37" ht="18" customHeight="1">
      <c r="B1528" s="199"/>
      <c r="D1528" s="154"/>
      <c r="F1528" s="154"/>
      <c r="G1528" s="217"/>
      <c r="I1528" s="673"/>
      <c r="J1528" s="209"/>
      <c r="K1528" s="520"/>
      <c r="L1528" s="154"/>
      <c r="M1528" s="154"/>
      <c r="N1528" s="154"/>
      <c r="O1528" s="246"/>
      <c r="P1528" s="1597"/>
      <c r="R1528" s="1598"/>
      <c r="S1528" s="557"/>
      <c r="T1528" s="1768"/>
      <c r="V1528" s="1769"/>
      <c r="X1528" s="1768"/>
      <c r="Z1528" s="1769"/>
      <c r="AA1528" s="557"/>
      <c r="AK1528" s="246"/>
    </row>
    <row r="1529" spans="2:37" ht="18" customHeight="1">
      <c r="B1529" s="199"/>
      <c r="D1529" s="154"/>
      <c r="F1529" s="154"/>
      <c r="G1529" s="217"/>
      <c r="I1529" s="673"/>
      <c r="J1529" s="209"/>
      <c r="K1529" s="520"/>
      <c r="L1529" s="154"/>
      <c r="M1529" s="154"/>
      <c r="N1529" s="154"/>
      <c r="O1529" s="246"/>
      <c r="P1529" s="1597"/>
      <c r="R1529" s="1598"/>
      <c r="S1529" s="557"/>
      <c r="T1529" s="1768"/>
      <c r="V1529" s="1769"/>
      <c r="X1529" s="1768"/>
      <c r="Z1529" s="1769"/>
      <c r="AA1529" s="557"/>
      <c r="AK1529" s="246"/>
    </row>
    <row r="1530" spans="2:37" ht="18" customHeight="1">
      <c r="B1530" s="199"/>
      <c r="D1530" s="154"/>
      <c r="F1530" s="154"/>
      <c r="G1530" s="217"/>
      <c r="I1530" s="673"/>
      <c r="J1530" s="209"/>
      <c r="K1530" s="520"/>
      <c r="L1530" s="154"/>
      <c r="M1530" s="154"/>
      <c r="N1530" s="154"/>
      <c r="O1530" s="246"/>
      <c r="P1530" s="1597"/>
      <c r="R1530" s="1598"/>
      <c r="S1530" s="557"/>
      <c r="T1530" s="1768"/>
      <c r="V1530" s="1769"/>
      <c r="X1530" s="1768"/>
      <c r="Z1530" s="1769"/>
      <c r="AA1530" s="557"/>
      <c r="AK1530" s="246"/>
    </row>
    <row r="1531" spans="2:37" ht="18" customHeight="1">
      <c r="B1531" s="199"/>
      <c r="D1531" s="154"/>
      <c r="F1531" s="154"/>
      <c r="G1531" s="217"/>
      <c r="I1531" s="673"/>
      <c r="J1531" s="209"/>
      <c r="K1531" s="520"/>
      <c r="L1531" s="154"/>
      <c r="M1531" s="154"/>
      <c r="N1531" s="154"/>
      <c r="O1531" s="246"/>
      <c r="P1531" s="1597"/>
      <c r="R1531" s="1598"/>
      <c r="S1531" s="557"/>
      <c r="T1531" s="1768"/>
      <c r="V1531" s="1769"/>
      <c r="X1531" s="1768"/>
      <c r="Z1531" s="1769"/>
      <c r="AA1531" s="557"/>
      <c r="AK1531" s="246"/>
    </row>
    <row r="1532" spans="2:37" ht="18" customHeight="1">
      <c r="B1532" s="199"/>
      <c r="D1532" s="154"/>
      <c r="F1532" s="154"/>
      <c r="G1532" s="217"/>
      <c r="I1532" s="673"/>
      <c r="J1532" s="209"/>
      <c r="K1532" s="520"/>
      <c r="L1532" s="154"/>
      <c r="M1532" s="154"/>
      <c r="N1532" s="154"/>
      <c r="O1532" s="246"/>
      <c r="P1532" s="1597"/>
      <c r="R1532" s="1598"/>
      <c r="S1532" s="557"/>
      <c r="T1532" s="1768"/>
      <c r="V1532" s="1769"/>
      <c r="X1532" s="1768"/>
      <c r="Z1532" s="1769"/>
      <c r="AA1532" s="557"/>
      <c r="AK1532" s="246"/>
    </row>
    <row r="1533" spans="2:37" ht="18" customHeight="1">
      <c r="B1533" s="199"/>
      <c r="D1533" s="154"/>
      <c r="F1533" s="154"/>
      <c r="G1533" s="217"/>
      <c r="I1533" s="673"/>
      <c r="J1533" s="209"/>
      <c r="K1533" s="520"/>
      <c r="L1533" s="154"/>
      <c r="M1533" s="154"/>
      <c r="N1533" s="154"/>
      <c r="O1533" s="246"/>
      <c r="P1533" s="1597"/>
      <c r="R1533" s="1598"/>
      <c r="S1533" s="557"/>
      <c r="T1533" s="1768"/>
      <c r="V1533" s="1769"/>
      <c r="X1533" s="1768"/>
      <c r="Z1533" s="1769"/>
      <c r="AA1533" s="557"/>
      <c r="AK1533" s="246"/>
    </row>
    <row r="1534" spans="2:37" ht="18" customHeight="1">
      <c r="B1534" s="199"/>
      <c r="D1534" s="154"/>
      <c r="F1534" s="154"/>
      <c r="G1534" s="217"/>
      <c r="I1534" s="673"/>
      <c r="J1534" s="209"/>
      <c r="K1534" s="520"/>
      <c r="L1534" s="154"/>
      <c r="M1534" s="154"/>
      <c r="N1534" s="154"/>
      <c r="O1534" s="246"/>
      <c r="P1534" s="1597"/>
      <c r="R1534" s="1598"/>
      <c r="S1534" s="557"/>
      <c r="T1534" s="1768"/>
      <c r="V1534" s="1769"/>
      <c r="X1534" s="1768"/>
      <c r="Z1534" s="1769"/>
      <c r="AA1534" s="557"/>
      <c r="AK1534" s="246"/>
    </row>
    <row r="1535" spans="2:37" ht="18" customHeight="1">
      <c r="B1535" s="199"/>
      <c r="D1535" s="154"/>
      <c r="F1535" s="154"/>
      <c r="G1535" s="217"/>
      <c r="I1535" s="673"/>
      <c r="J1535" s="209"/>
      <c r="K1535" s="520"/>
      <c r="L1535" s="154"/>
      <c r="M1535" s="154"/>
      <c r="N1535" s="154"/>
      <c r="O1535" s="246"/>
      <c r="P1535" s="1597"/>
      <c r="R1535" s="1598"/>
      <c r="S1535" s="557"/>
      <c r="T1535" s="1768"/>
      <c r="V1535" s="1769"/>
      <c r="X1535" s="1768"/>
      <c r="Z1535" s="1769"/>
      <c r="AA1535" s="557"/>
      <c r="AK1535" s="246"/>
    </row>
    <row r="1536" spans="2:37" ht="18" customHeight="1">
      <c r="B1536" s="199"/>
      <c r="D1536" s="154"/>
      <c r="F1536" s="154"/>
      <c r="G1536" s="217"/>
      <c r="I1536" s="673"/>
      <c r="J1536" s="209"/>
      <c r="K1536" s="520"/>
      <c r="L1536" s="154"/>
      <c r="M1536" s="154"/>
      <c r="N1536" s="154"/>
      <c r="O1536" s="246"/>
      <c r="P1536" s="1597"/>
      <c r="R1536" s="1598"/>
      <c r="S1536" s="557"/>
      <c r="T1536" s="1768"/>
      <c r="V1536" s="1769"/>
      <c r="X1536" s="1768"/>
      <c r="Z1536" s="1769"/>
      <c r="AA1536" s="557"/>
      <c r="AK1536" s="246"/>
    </row>
    <row r="1537" spans="2:37" ht="18" customHeight="1">
      <c r="B1537" s="199"/>
      <c r="D1537" s="154"/>
      <c r="F1537" s="154"/>
      <c r="G1537" s="217"/>
      <c r="I1537" s="673"/>
      <c r="J1537" s="209"/>
      <c r="K1537" s="520"/>
      <c r="L1537" s="154"/>
      <c r="M1537" s="154"/>
      <c r="N1537" s="154"/>
      <c r="O1537" s="246"/>
      <c r="P1537" s="1597"/>
      <c r="R1537" s="1598"/>
      <c r="S1537" s="557"/>
      <c r="T1537" s="1768"/>
      <c r="V1537" s="1769"/>
      <c r="X1537" s="1768"/>
      <c r="Z1537" s="1769"/>
      <c r="AA1537" s="557"/>
      <c r="AK1537" s="246"/>
    </row>
    <row r="1538" spans="2:37" ht="18" customHeight="1">
      <c r="B1538" s="199"/>
      <c r="D1538" s="154"/>
      <c r="F1538" s="154"/>
      <c r="G1538" s="217"/>
      <c r="I1538" s="673"/>
      <c r="J1538" s="209"/>
      <c r="K1538" s="520"/>
      <c r="L1538" s="154"/>
      <c r="M1538" s="154"/>
      <c r="N1538" s="154"/>
      <c r="O1538" s="246"/>
      <c r="P1538" s="1597"/>
      <c r="R1538" s="1598"/>
      <c r="S1538" s="557"/>
      <c r="T1538" s="1768"/>
      <c r="V1538" s="1769"/>
      <c r="X1538" s="1768"/>
      <c r="Z1538" s="1769"/>
      <c r="AA1538" s="557"/>
      <c r="AK1538" s="246"/>
    </row>
    <row r="1539" spans="2:37" ht="18" customHeight="1">
      <c r="B1539" s="199"/>
      <c r="D1539" s="154"/>
      <c r="F1539" s="154"/>
      <c r="G1539" s="217"/>
      <c r="I1539" s="673"/>
      <c r="J1539" s="209"/>
      <c r="K1539" s="520"/>
      <c r="L1539" s="154"/>
      <c r="M1539" s="154"/>
      <c r="N1539" s="154"/>
      <c r="O1539" s="246"/>
      <c r="P1539" s="1597"/>
      <c r="R1539" s="1598"/>
      <c r="S1539" s="557"/>
      <c r="T1539" s="1768"/>
      <c r="V1539" s="1769"/>
      <c r="X1539" s="1768"/>
      <c r="Z1539" s="1769"/>
      <c r="AA1539" s="557"/>
      <c r="AK1539" s="246"/>
    </row>
    <row r="1540" spans="2:37" ht="18" customHeight="1">
      <c r="B1540" s="199"/>
      <c r="D1540" s="154"/>
      <c r="F1540" s="154"/>
      <c r="G1540" s="217"/>
      <c r="I1540" s="673"/>
      <c r="J1540" s="209"/>
      <c r="K1540" s="520"/>
      <c r="L1540" s="154"/>
      <c r="M1540" s="154"/>
      <c r="N1540" s="154"/>
      <c r="O1540" s="246"/>
      <c r="P1540" s="1597"/>
      <c r="R1540" s="1598"/>
      <c r="S1540" s="557"/>
      <c r="T1540" s="1768"/>
      <c r="V1540" s="1769"/>
      <c r="X1540" s="1768"/>
      <c r="Z1540" s="1769"/>
      <c r="AA1540" s="557"/>
      <c r="AK1540" s="246"/>
    </row>
    <row r="1541" spans="2:37" ht="18" customHeight="1">
      <c r="B1541" s="199"/>
      <c r="D1541" s="154"/>
      <c r="F1541" s="154"/>
      <c r="G1541" s="217"/>
      <c r="I1541" s="673"/>
      <c r="J1541" s="209"/>
      <c r="K1541" s="520"/>
      <c r="L1541" s="154"/>
      <c r="M1541" s="154"/>
      <c r="N1541" s="154"/>
      <c r="O1541" s="246"/>
      <c r="P1541" s="1597"/>
      <c r="R1541" s="1598"/>
      <c r="S1541" s="557"/>
      <c r="T1541" s="1768"/>
      <c r="V1541" s="1769"/>
      <c r="X1541" s="1768"/>
      <c r="Z1541" s="1769"/>
      <c r="AA1541" s="557"/>
      <c r="AK1541" s="246"/>
    </row>
    <row r="1542" spans="2:37" ht="18" customHeight="1">
      <c r="B1542" s="199"/>
      <c r="D1542" s="154"/>
      <c r="F1542" s="154"/>
      <c r="G1542" s="217"/>
      <c r="I1542" s="673"/>
      <c r="J1542" s="209"/>
      <c r="K1542" s="520"/>
      <c r="L1542" s="154"/>
      <c r="M1542" s="154"/>
      <c r="N1542" s="154"/>
      <c r="O1542" s="246"/>
      <c r="P1542" s="1597"/>
      <c r="R1542" s="1598"/>
      <c r="S1542" s="557"/>
      <c r="T1542" s="1768"/>
      <c r="V1542" s="1769"/>
      <c r="X1542" s="1768"/>
      <c r="Z1542" s="1769"/>
      <c r="AA1542" s="557"/>
      <c r="AK1542" s="246"/>
    </row>
    <row r="1543" spans="2:37" ht="18" customHeight="1">
      <c r="B1543" s="199"/>
      <c r="D1543" s="154"/>
      <c r="F1543" s="154"/>
      <c r="G1543" s="217"/>
      <c r="I1543" s="673"/>
      <c r="J1543" s="209"/>
      <c r="K1543" s="520"/>
      <c r="L1543" s="154"/>
      <c r="M1543" s="154"/>
      <c r="N1543" s="154"/>
      <c r="O1543" s="246"/>
      <c r="P1543" s="1597"/>
      <c r="R1543" s="1598"/>
      <c r="S1543" s="557"/>
      <c r="T1543" s="1768"/>
      <c r="V1543" s="1769"/>
      <c r="X1543" s="1768"/>
      <c r="Z1543" s="1769"/>
      <c r="AA1543" s="557"/>
      <c r="AK1543" s="246"/>
    </row>
    <row r="1544" spans="2:37" ht="18" customHeight="1">
      <c r="B1544" s="199"/>
      <c r="D1544" s="154"/>
      <c r="F1544" s="154"/>
      <c r="G1544" s="217"/>
      <c r="I1544" s="673"/>
      <c r="J1544" s="209"/>
      <c r="K1544" s="520"/>
      <c r="L1544" s="154"/>
      <c r="M1544" s="154"/>
      <c r="N1544" s="154"/>
      <c r="O1544" s="246"/>
      <c r="P1544" s="1597"/>
      <c r="R1544" s="1598"/>
      <c r="S1544" s="557"/>
      <c r="T1544" s="1768"/>
      <c r="V1544" s="1769"/>
      <c r="X1544" s="1768"/>
      <c r="Z1544" s="1769"/>
      <c r="AA1544" s="557"/>
      <c r="AK1544" s="246"/>
    </row>
    <row r="1545" spans="2:37" ht="18" customHeight="1">
      <c r="B1545" s="199"/>
      <c r="D1545" s="154"/>
      <c r="F1545" s="154"/>
      <c r="G1545" s="217"/>
      <c r="I1545" s="673"/>
      <c r="J1545" s="209"/>
      <c r="K1545" s="520"/>
      <c r="L1545" s="154"/>
      <c r="M1545" s="154"/>
      <c r="N1545" s="154"/>
      <c r="O1545" s="246"/>
      <c r="P1545" s="1597"/>
      <c r="R1545" s="1598"/>
      <c r="S1545" s="557"/>
      <c r="T1545" s="1768"/>
      <c r="V1545" s="1769"/>
      <c r="X1545" s="1768"/>
      <c r="Z1545" s="1769"/>
      <c r="AA1545" s="557"/>
      <c r="AK1545" s="246"/>
    </row>
    <row r="1546" spans="2:37" ht="18" customHeight="1">
      <c r="B1546" s="199"/>
      <c r="D1546" s="154"/>
      <c r="F1546" s="154"/>
      <c r="G1546" s="217"/>
      <c r="I1546" s="673"/>
      <c r="J1546" s="209"/>
      <c r="K1546" s="520"/>
      <c r="L1546" s="154"/>
      <c r="M1546" s="154"/>
      <c r="N1546" s="154"/>
      <c r="O1546" s="246"/>
      <c r="P1546" s="1597"/>
      <c r="R1546" s="1598"/>
      <c r="S1546" s="557"/>
      <c r="T1546" s="1768"/>
      <c r="V1546" s="1769"/>
      <c r="X1546" s="1768"/>
      <c r="Z1546" s="1769"/>
      <c r="AA1546" s="557"/>
      <c r="AK1546" s="246"/>
    </row>
    <row r="1547" spans="2:37" ht="18" customHeight="1">
      <c r="B1547" s="199"/>
      <c r="D1547" s="154"/>
      <c r="F1547" s="154"/>
      <c r="G1547" s="217"/>
      <c r="I1547" s="673"/>
      <c r="J1547" s="209"/>
      <c r="K1547" s="520"/>
      <c r="L1547" s="154"/>
      <c r="M1547" s="154"/>
      <c r="N1547" s="154"/>
      <c r="O1547" s="246"/>
      <c r="P1547" s="1597"/>
      <c r="R1547" s="1598"/>
      <c r="S1547" s="557"/>
      <c r="T1547" s="1768"/>
      <c r="V1547" s="1769"/>
      <c r="X1547" s="1768"/>
      <c r="Z1547" s="1769"/>
      <c r="AA1547" s="557"/>
      <c r="AK1547" s="246"/>
    </row>
    <row r="1548" spans="2:37" ht="18" customHeight="1">
      <c r="B1548" s="199"/>
      <c r="D1548" s="154"/>
      <c r="F1548" s="154"/>
      <c r="G1548" s="217"/>
      <c r="I1548" s="673"/>
      <c r="J1548" s="209"/>
      <c r="K1548" s="520"/>
      <c r="L1548" s="154"/>
      <c r="M1548" s="154"/>
      <c r="N1548" s="154"/>
      <c r="O1548" s="246"/>
      <c r="P1548" s="1597"/>
      <c r="R1548" s="1598"/>
      <c r="S1548" s="557"/>
      <c r="T1548" s="1768"/>
      <c r="V1548" s="1769"/>
      <c r="X1548" s="1768"/>
      <c r="Z1548" s="1769"/>
      <c r="AA1548" s="557"/>
      <c r="AK1548" s="246"/>
    </row>
    <row r="1549" spans="2:37" ht="18" customHeight="1">
      <c r="B1549" s="199"/>
      <c r="D1549" s="154"/>
      <c r="F1549" s="154"/>
      <c r="G1549" s="217"/>
      <c r="I1549" s="673"/>
      <c r="J1549" s="209"/>
      <c r="K1549" s="520"/>
      <c r="L1549" s="154"/>
      <c r="M1549" s="154"/>
      <c r="N1549" s="154"/>
      <c r="O1549" s="246"/>
      <c r="P1549" s="1597"/>
      <c r="R1549" s="1598"/>
      <c r="S1549" s="557"/>
      <c r="T1549" s="1768"/>
      <c r="V1549" s="1769"/>
      <c r="X1549" s="1768"/>
      <c r="Z1549" s="1769"/>
      <c r="AA1549" s="557"/>
      <c r="AK1549" s="246"/>
    </row>
    <row r="1550" spans="2:37" ht="18" customHeight="1">
      <c r="B1550" s="199"/>
      <c r="D1550" s="154"/>
      <c r="F1550" s="154"/>
      <c r="G1550" s="217"/>
      <c r="I1550" s="673"/>
      <c r="J1550" s="209"/>
      <c r="K1550" s="520"/>
      <c r="L1550" s="154"/>
      <c r="M1550" s="154"/>
      <c r="N1550" s="154"/>
      <c r="O1550" s="246"/>
      <c r="P1550" s="1597"/>
      <c r="R1550" s="1598"/>
      <c r="S1550" s="557"/>
      <c r="T1550" s="1768"/>
      <c r="V1550" s="1769"/>
      <c r="X1550" s="1768"/>
      <c r="Z1550" s="1769"/>
      <c r="AA1550" s="557"/>
      <c r="AK1550" s="246"/>
    </row>
    <row r="1551" spans="2:37" ht="18" customHeight="1">
      <c r="B1551" s="199"/>
      <c r="D1551" s="154"/>
      <c r="F1551" s="154"/>
      <c r="G1551" s="217"/>
      <c r="I1551" s="673"/>
      <c r="J1551" s="209"/>
      <c r="K1551" s="520"/>
      <c r="L1551" s="154"/>
      <c r="M1551" s="154"/>
      <c r="N1551" s="154"/>
      <c r="O1551" s="246"/>
      <c r="P1551" s="1597"/>
      <c r="R1551" s="1598"/>
      <c r="S1551" s="557"/>
      <c r="T1551" s="1768"/>
      <c r="V1551" s="1769"/>
      <c r="X1551" s="1768"/>
      <c r="Z1551" s="1769"/>
      <c r="AA1551" s="557"/>
      <c r="AK1551" s="246"/>
    </row>
    <row r="1552" spans="2:37" ht="18" customHeight="1">
      <c r="B1552" s="199"/>
      <c r="D1552" s="154"/>
      <c r="F1552" s="154"/>
      <c r="G1552" s="217"/>
      <c r="I1552" s="673"/>
      <c r="J1552" s="209"/>
      <c r="K1552" s="520"/>
      <c r="L1552" s="154"/>
      <c r="M1552" s="154"/>
      <c r="N1552" s="154"/>
      <c r="O1552" s="246"/>
      <c r="P1552" s="1597"/>
      <c r="R1552" s="1598"/>
      <c r="S1552" s="557"/>
      <c r="T1552" s="1768"/>
      <c r="V1552" s="1769"/>
      <c r="X1552" s="1768"/>
      <c r="Z1552" s="1769"/>
      <c r="AA1552" s="557"/>
      <c r="AK1552" s="246"/>
    </row>
    <row r="1553" spans="2:37" ht="18" customHeight="1">
      <c r="B1553" s="199"/>
      <c r="D1553" s="154"/>
      <c r="F1553" s="154"/>
      <c r="G1553" s="217"/>
      <c r="I1553" s="673"/>
      <c r="J1553" s="209"/>
      <c r="K1553" s="520"/>
      <c r="L1553" s="154"/>
      <c r="M1553" s="154"/>
      <c r="N1553" s="154"/>
      <c r="O1553" s="246"/>
      <c r="P1553" s="1597"/>
      <c r="R1553" s="1598"/>
      <c r="S1553" s="557"/>
      <c r="T1553" s="1768"/>
      <c r="V1553" s="1769"/>
      <c r="X1553" s="1768"/>
      <c r="Z1553" s="1769"/>
      <c r="AA1553" s="557"/>
      <c r="AK1553" s="246"/>
    </row>
    <row r="1554" spans="2:37" ht="18" customHeight="1">
      <c r="B1554" s="199"/>
      <c r="D1554" s="154"/>
      <c r="F1554" s="154"/>
      <c r="G1554" s="217"/>
      <c r="I1554" s="673"/>
      <c r="J1554" s="209"/>
      <c r="K1554" s="520"/>
      <c r="L1554" s="154"/>
      <c r="M1554" s="154"/>
      <c r="N1554" s="154"/>
      <c r="O1554" s="246"/>
      <c r="P1554" s="1597"/>
      <c r="R1554" s="1598"/>
      <c r="S1554" s="557"/>
      <c r="T1554" s="1768"/>
      <c r="V1554" s="1769"/>
      <c r="X1554" s="1768"/>
      <c r="Z1554" s="1769"/>
      <c r="AA1554" s="557"/>
      <c r="AK1554" s="246"/>
    </row>
    <row r="1555" spans="2:37" ht="18" customHeight="1">
      <c r="B1555" s="199"/>
      <c r="D1555" s="154"/>
      <c r="F1555" s="154"/>
      <c r="G1555" s="217"/>
      <c r="I1555" s="673"/>
      <c r="J1555" s="209"/>
      <c r="K1555" s="520"/>
      <c r="L1555" s="154"/>
      <c r="M1555" s="154"/>
      <c r="N1555" s="154"/>
      <c r="O1555" s="246"/>
      <c r="P1555" s="1597"/>
      <c r="R1555" s="1598"/>
      <c r="S1555" s="557"/>
      <c r="T1555" s="1768"/>
      <c r="V1555" s="1769"/>
      <c r="X1555" s="1768"/>
      <c r="Z1555" s="1769"/>
      <c r="AA1555" s="557"/>
      <c r="AK1555" s="246"/>
    </row>
    <row r="1556" spans="2:37" ht="18" customHeight="1">
      <c r="B1556" s="199"/>
      <c r="D1556" s="154"/>
      <c r="F1556" s="154"/>
      <c r="G1556" s="217"/>
      <c r="I1556" s="673"/>
      <c r="J1556" s="209"/>
      <c r="K1556" s="520"/>
      <c r="L1556" s="154"/>
      <c r="M1556" s="154"/>
      <c r="N1556" s="154"/>
      <c r="O1556" s="246"/>
      <c r="P1556" s="1597"/>
      <c r="R1556" s="1598"/>
      <c r="S1556" s="557"/>
      <c r="T1556" s="1768"/>
      <c r="V1556" s="1769"/>
      <c r="X1556" s="1768"/>
      <c r="Z1556" s="1769"/>
      <c r="AA1556" s="557"/>
      <c r="AK1556" s="246"/>
    </row>
    <row r="1557" spans="2:37" ht="18" customHeight="1">
      <c r="B1557" s="199"/>
      <c r="D1557" s="154"/>
      <c r="F1557" s="154"/>
      <c r="G1557" s="217"/>
      <c r="I1557" s="673"/>
      <c r="J1557" s="209"/>
      <c r="K1557" s="520"/>
      <c r="L1557" s="154"/>
      <c r="M1557" s="154"/>
      <c r="N1557" s="154"/>
      <c r="O1557" s="246"/>
      <c r="P1557" s="1597"/>
      <c r="R1557" s="1598"/>
      <c r="S1557" s="557"/>
      <c r="T1557" s="1768"/>
      <c r="V1557" s="1769"/>
      <c r="X1557" s="1768"/>
      <c r="Z1557" s="1769"/>
      <c r="AA1557" s="557"/>
      <c r="AK1557" s="246"/>
    </row>
    <row r="1558" spans="2:37" ht="18" customHeight="1">
      <c r="B1558" s="199"/>
      <c r="D1558" s="154"/>
      <c r="F1558" s="154"/>
      <c r="G1558" s="217"/>
      <c r="I1558" s="673"/>
      <c r="J1558" s="209"/>
      <c r="K1558" s="520"/>
      <c r="L1558" s="154"/>
      <c r="M1558" s="154"/>
      <c r="N1558" s="154"/>
      <c r="O1558" s="246"/>
      <c r="P1558" s="1597"/>
      <c r="R1558" s="1598"/>
      <c r="S1558" s="557"/>
      <c r="T1558" s="1768"/>
      <c r="V1558" s="1769"/>
      <c r="X1558" s="1768"/>
      <c r="Z1558" s="1769"/>
      <c r="AA1558" s="557"/>
      <c r="AK1558" s="246"/>
    </row>
    <row r="1559" spans="2:37" ht="18" customHeight="1">
      <c r="B1559" s="199"/>
      <c r="D1559" s="154"/>
      <c r="F1559" s="154"/>
      <c r="G1559" s="217"/>
      <c r="I1559" s="673"/>
      <c r="J1559" s="209"/>
      <c r="K1559" s="520"/>
      <c r="L1559" s="154"/>
      <c r="M1559" s="154"/>
      <c r="N1559" s="154"/>
      <c r="O1559" s="246"/>
      <c r="P1559" s="1597"/>
      <c r="R1559" s="1598"/>
      <c r="S1559" s="557"/>
      <c r="T1559" s="1768"/>
      <c r="V1559" s="1769"/>
      <c r="X1559" s="1768"/>
      <c r="Z1559" s="1769"/>
      <c r="AA1559" s="557"/>
      <c r="AK1559" s="246"/>
    </row>
    <row r="1560" spans="2:37" ht="18" customHeight="1">
      <c r="B1560" s="199"/>
      <c r="D1560" s="154"/>
      <c r="F1560" s="154"/>
      <c r="G1560" s="217"/>
      <c r="I1560" s="673"/>
      <c r="J1560" s="209"/>
      <c r="K1560" s="520"/>
      <c r="L1560" s="154"/>
      <c r="M1560" s="154"/>
      <c r="N1560" s="154"/>
      <c r="O1560" s="246"/>
      <c r="P1560" s="1597"/>
      <c r="R1560" s="1598"/>
      <c r="S1560" s="557"/>
      <c r="T1560" s="1768"/>
      <c r="V1560" s="1769"/>
      <c r="X1560" s="1768"/>
      <c r="Z1560" s="1769"/>
      <c r="AA1560" s="557"/>
      <c r="AK1560" s="246"/>
    </row>
    <row r="1561" spans="2:37" ht="18" customHeight="1">
      <c r="B1561" s="199"/>
      <c r="D1561" s="154"/>
      <c r="F1561" s="154"/>
      <c r="G1561" s="217"/>
      <c r="I1561" s="673"/>
      <c r="J1561" s="209"/>
      <c r="K1561" s="520"/>
      <c r="L1561" s="154"/>
      <c r="M1561" s="154"/>
      <c r="N1561" s="154"/>
      <c r="O1561" s="246"/>
      <c r="P1561" s="1597"/>
      <c r="R1561" s="1598"/>
      <c r="S1561" s="557"/>
      <c r="T1561" s="1768"/>
      <c r="V1561" s="1769"/>
      <c r="X1561" s="1768"/>
      <c r="Z1561" s="1769"/>
      <c r="AA1561" s="557"/>
      <c r="AK1561" s="246"/>
    </row>
    <row r="1562" spans="2:37" ht="18" customHeight="1">
      <c r="B1562" s="199"/>
      <c r="D1562" s="154"/>
      <c r="F1562" s="154"/>
      <c r="G1562" s="217"/>
      <c r="I1562" s="673"/>
      <c r="J1562" s="209"/>
      <c r="K1562" s="520"/>
      <c r="L1562" s="154"/>
      <c r="M1562" s="154"/>
      <c r="N1562" s="154"/>
      <c r="O1562" s="246"/>
      <c r="P1562" s="1597"/>
      <c r="R1562" s="1598"/>
      <c r="S1562" s="557"/>
      <c r="T1562" s="1768"/>
      <c r="V1562" s="1769"/>
      <c r="X1562" s="1768"/>
      <c r="Z1562" s="1769"/>
      <c r="AA1562" s="557"/>
      <c r="AK1562" s="246"/>
    </row>
    <row r="1563" spans="2:37" ht="18" customHeight="1">
      <c r="B1563" s="199"/>
      <c r="D1563" s="154"/>
      <c r="F1563" s="154"/>
      <c r="G1563" s="217"/>
      <c r="I1563" s="673"/>
      <c r="J1563" s="209"/>
      <c r="K1563" s="520"/>
      <c r="L1563" s="154"/>
      <c r="M1563" s="154"/>
      <c r="N1563" s="154"/>
      <c r="O1563" s="246"/>
      <c r="P1563" s="1597"/>
      <c r="R1563" s="1598"/>
      <c r="S1563" s="557"/>
      <c r="T1563" s="1768"/>
      <c r="V1563" s="1769"/>
      <c r="X1563" s="1768"/>
      <c r="Z1563" s="1769"/>
      <c r="AA1563" s="557"/>
      <c r="AK1563" s="246"/>
    </row>
    <row r="1564" spans="2:37" ht="18" customHeight="1">
      <c r="B1564" s="199"/>
      <c r="D1564" s="154"/>
      <c r="F1564" s="154"/>
      <c r="G1564" s="217"/>
      <c r="I1564" s="673"/>
      <c r="J1564" s="209"/>
      <c r="K1564" s="520"/>
      <c r="L1564" s="154"/>
      <c r="M1564" s="154"/>
      <c r="N1564" s="154"/>
      <c r="O1564" s="246"/>
      <c r="P1564" s="1597"/>
      <c r="R1564" s="1598"/>
      <c r="S1564" s="557"/>
      <c r="T1564" s="1768"/>
      <c r="V1564" s="1769"/>
      <c r="X1564" s="1768"/>
      <c r="Z1564" s="1769"/>
      <c r="AA1564" s="557"/>
      <c r="AK1564" s="246"/>
    </row>
    <row r="1565" spans="2:37" ht="18" customHeight="1">
      <c r="B1565" s="199"/>
      <c r="D1565" s="154"/>
      <c r="F1565" s="154"/>
      <c r="G1565" s="217"/>
      <c r="I1565" s="673"/>
      <c r="J1565" s="209"/>
      <c r="K1565" s="520"/>
      <c r="L1565" s="154"/>
      <c r="M1565" s="154"/>
      <c r="N1565" s="154"/>
      <c r="O1565" s="246"/>
      <c r="P1565" s="1597"/>
      <c r="R1565" s="1598"/>
      <c r="S1565" s="557"/>
      <c r="T1565" s="1768"/>
      <c r="V1565" s="1769"/>
      <c r="X1565" s="1768"/>
      <c r="Z1565" s="1769"/>
      <c r="AA1565" s="557"/>
      <c r="AK1565" s="246"/>
    </row>
    <row r="1566" spans="2:37" ht="18" customHeight="1">
      <c r="B1566" s="199"/>
      <c r="D1566" s="154"/>
      <c r="F1566" s="154"/>
      <c r="G1566" s="217"/>
      <c r="I1566" s="673"/>
      <c r="J1566" s="209"/>
      <c r="K1566" s="520"/>
      <c r="L1566" s="154"/>
      <c r="M1566" s="154"/>
      <c r="N1566" s="154"/>
      <c r="O1566" s="246"/>
      <c r="P1566" s="1597"/>
      <c r="R1566" s="1598"/>
      <c r="S1566" s="557"/>
      <c r="T1566" s="1768"/>
      <c r="V1566" s="1769"/>
      <c r="X1566" s="1768"/>
      <c r="Z1566" s="1769"/>
      <c r="AA1566" s="557"/>
      <c r="AK1566" s="246"/>
    </row>
    <row r="1567" spans="2:37" ht="18" customHeight="1">
      <c r="B1567" s="199"/>
      <c r="D1567" s="154"/>
      <c r="F1567" s="154"/>
      <c r="G1567" s="217"/>
      <c r="I1567" s="673"/>
      <c r="J1567" s="209"/>
      <c r="K1567" s="520"/>
      <c r="L1567" s="154"/>
      <c r="M1567" s="154"/>
      <c r="N1567" s="154"/>
      <c r="O1567" s="246"/>
      <c r="P1567" s="1597"/>
      <c r="R1567" s="1598"/>
      <c r="S1567" s="557"/>
      <c r="T1567" s="1768"/>
      <c r="V1567" s="1769"/>
      <c r="X1567" s="1768"/>
      <c r="Z1567" s="1769"/>
      <c r="AA1567" s="557"/>
      <c r="AK1567" s="246"/>
    </row>
    <row r="1568" spans="2:37" ht="18" customHeight="1">
      <c r="B1568" s="199"/>
      <c r="D1568" s="154"/>
      <c r="F1568" s="154"/>
      <c r="G1568" s="217"/>
      <c r="I1568" s="673"/>
      <c r="J1568" s="209"/>
      <c r="K1568" s="520"/>
      <c r="L1568" s="154"/>
      <c r="M1568" s="154"/>
      <c r="N1568" s="154"/>
      <c r="O1568" s="246"/>
      <c r="P1568" s="1597"/>
      <c r="R1568" s="1598"/>
      <c r="S1568" s="557"/>
      <c r="T1568" s="1768"/>
      <c r="V1568" s="1769"/>
      <c r="X1568" s="1768"/>
      <c r="Z1568" s="1769"/>
      <c r="AA1568" s="557"/>
      <c r="AK1568" s="246"/>
    </row>
    <row r="1569" spans="2:37" ht="18" customHeight="1">
      <c r="B1569" s="199"/>
      <c r="D1569" s="154"/>
      <c r="F1569" s="154"/>
      <c r="G1569" s="217"/>
      <c r="I1569" s="673"/>
      <c r="J1569" s="209"/>
      <c r="K1569" s="520"/>
      <c r="L1569" s="154"/>
      <c r="M1569" s="154"/>
      <c r="N1569" s="154"/>
      <c r="O1569" s="246"/>
      <c r="P1569" s="1597"/>
      <c r="R1569" s="1598"/>
      <c r="S1569" s="557"/>
      <c r="T1569" s="1768"/>
      <c r="V1569" s="1769"/>
      <c r="X1569" s="1768"/>
      <c r="Z1569" s="1769"/>
      <c r="AA1569" s="557"/>
      <c r="AK1569" s="246"/>
    </row>
    <row r="1570" spans="2:37" ht="18" customHeight="1">
      <c r="B1570" s="199"/>
      <c r="D1570" s="154"/>
      <c r="F1570" s="154"/>
      <c r="G1570" s="217"/>
      <c r="I1570" s="673"/>
      <c r="J1570" s="209"/>
      <c r="K1570" s="520"/>
      <c r="L1570" s="154"/>
      <c r="M1570" s="154"/>
      <c r="N1570" s="154"/>
      <c r="O1570" s="246"/>
      <c r="P1570" s="1597"/>
      <c r="R1570" s="1598"/>
      <c r="S1570" s="557"/>
      <c r="T1570" s="1768"/>
      <c r="V1570" s="1769"/>
      <c r="X1570" s="1768"/>
      <c r="Z1570" s="1769"/>
      <c r="AA1570" s="557"/>
      <c r="AK1570" s="246"/>
    </row>
    <row r="1571" spans="2:37" ht="18" customHeight="1">
      <c r="B1571" s="199"/>
      <c r="D1571" s="154"/>
      <c r="F1571" s="154"/>
      <c r="G1571" s="217"/>
      <c r="I1571" s="673"/>
      <c r="J1571" s="209"/>
      <c r="K1571" s="520"/>
      <c r="L1571" s="154"/>
      <c r="M1571" s="154"/>
      <c r="N1571" s="154"/>
      <c r="O1571" s="246"/>
      <c r="P1571" s="1597"/>
      <c r="R1571" s="1598"/>
      <c r="S1571" s="557"/>
      <c r="T1571" s="1768"/>
      <c r="V1571" s="1769"/>
      <c r="X1571" s="1768"/>
      <c r="Z1571" s="1769"/>
      <c r="AA1571" s="557"/>
      <c r="AK1571" s="246"/>
    </row>
    <row r="1572" spans="2:37" ht="18" customHeight="1">
      <c r="B1572" s="199"/>
      <c r="D1572" s="154"/>
      <c r="F1572" s="154"/>
      <c r="G1572" s="217"/>
      <c r="I1572" s="673"/>
      <c r="J1572" s="209"/>
      <c r="K1572" s="520"/>
      <c r="L1572" s="154"/>
      <c r="M1572" s="154"/>
      <c r="N1572" s="154"/>
      <c r="O1572" s="246"/>
      <c r="P1572" s="1597"/>
      <c r="R1572" s="1598"/>
      <c r="S1572" s="557"/>
      <c r="T1572" s="1768"/>
      <c r="V1572" s="1769"/>
      <c r="X1572" s="1768"/>
      <c r="Z1572" s="1769"/>
      <c r="AA1572" s="557"/>
      <c r="AK1572" s="246"/>
    </row>
    <row r="1573" spans="2:37" ht="18" customHeight="1">
      <c r="B1573" s="199"/>
      <c r="D1573" s="154"/>
      <c r="F1573" s="154"/>
      <c r="G1573" s="217"/>
      <c r="I1573" s="673"/>
      <c r="J1573" s="209"/>
      <c r="K1573" s="520"/>
      <c r="L1573" s="154"/>
      <c r="M1573" s="154"/>
      <c r="N1573" s="154"/>
      <c r="O1573" s="246"/>
      <c r="P1573" s="1597"/>
      <c r="R1573" s="1598"/>
      <c r="S1573" s="557"/>
      <c r="T1573" s="1768"/>
      <c r="V1573" s="1769"/>
      <c r="X1573" s="1768"/>
      <c r="Z1573" s="1769"/>
      <c r="AA1573" s="557"/>
      <c r="AK1573" s="246"/>
    </row>
    <row r="1574" spans="2:37" ht="18" customHeight="1">
      <c r="B1574" s="199"/>
      <c r="D1574" s="154"/>
      <c r="F1574" s="154"/>
      <c r="G1574" s="217"/>
      <c r="I1574" s="673"/>
      <c r="J1574" s="209"/>
      <c r="K1574" s="520"/>
      <c r="L1574" s="154"/>
      <c r="M1574" s="154"/>
      <c r="N1574" s="154"/>
      <c r="O1574" s="246"/>
      <c r="P1574" s="1597"/>
      <c r="R1574" s="1598"/>
      <c r="S1574" s="557"/>
      <c r="T1574" s="1768"/>
      <c r="V1574" s="1769"/>
      <c r="X1574" s="1768"/>
      <c r="Z1574" s="1769"/>
      <c r="AA1574" s="557"/>
      <c r="AK1574" s="246"/>
    </row>
    <row r="1575" spans="2:37" ht="18" customHeight="1">
      <c r="B1575" s="199"/>
      <c r="D1575" s="154"/>
      <c r="F1575" s="154"/>
      <c r="G1575" s="217"/>
      <c r="I1575" s="673"/>
      <c r="J1575" s="209"/>
      <c r="K1575" s="520"/>
      <c r="L1575" s="154"/>
      <c r="M1575" s="154"/>
      <c r="N1575" s="154"/>
      <c r="O1575" s="246"/>
      <c r="P1575" s="1597"/>
      <c r="R1575" s="1598"/>
      <c r="S1575" s="557"/>
      <c r="T1575" s="1768"/>
      <c r="V1575" s="1769"/>
      <c r="X1575" s="1768"/>
      <c r="Z1575" s="1769"/>
      <c r="AA1575" s="557"/>
      <c r="AK1575" s="246"/>
    </row>
    <row r="1576" spans="2:37" ht="18" customHeight="1">
      <c r="B1576" s="199"/>
      <c r="D1576" s="154"/>
      <c r="F1576" s="154"/>
      <c r="G1576" s="217"/>
      <c r="I1576" s="673"/>
      <c r="J1576" s="209"/>
      <c r="K1576" s="520"/>
      <c r="L1576" s="154"/>
      <c r="M1576" s="154"/>
      <c r="N1576" s="154"/>
      <c r="O1576" s="246"/>
      <c r="P1576" s="1597"/>
      <c r="R1576" s="1598"/>
      <c r="S1576" s="557"/>
      <c r="T1576" s="1768"/>
      <c r="V1576" s="1769"/>
      <c r="X1576" s="1768"/>
      <c r="Z1576" s="1769"/>
      <c r="AA1576" s="557"/>
      <c r="AK1576" s="246"/>
    </row>
    <row r="1577" spans="2:37" ht="18" customHeight="1">
      <c r="B1577" s="199"/>
      <c r="D1577" s="154"/>
      <c r="F1577" s="154"/>
      <c r="G1577" s="217"/>
      <c r="I1577" s="673"/>
      <c r="J1577" s="209"/>
      <c r="K1577" s="520"/>
      <c r="L1577" s="154"/>
      <c r="M1577" s="154"/>
      <c r="N1577" s="154"/>
      <c r="O1577" s="246"/>
      <c r="P1577" s="1597"/>
      <c r="R1577" s="1598"/>
      <c r="S1577" s="557"/>
      <c r="T1577" s="1768"/>
      <c r="V1577" s="1769"/>
      <c r="X1577" s="1768"/>
      <c r="Z1577" s="1769"/>
      <c r="AA1577" s="557"/>
      <c r="AK1577" s="246"/>
    </row>
    <row r="1578" spans="2:37" ht="18" customHeight="1">
      <c r="B1578" s="199"/>
      <c r="D1578" s="154"/>
      <c r="F1578" s="154"/>
      <c r="G1578" s="217"/>
      <c r="I1578" s="673"/>
      <c r="J1578" s="209"/>
      <c r="K1578" s="520"/>
      <c r="L1578" s="154"/>
      <c r="M1578" s="154"/>
      <c r="N1578" s="154"/>
      <c r="O1578" s="246"/>
      <c r="P1578" s="1597"/>
      <c r="R1578" s="1598"/>
      <c r="S1578" s="557"/>
      <c r="T1578" s="1768"/>
      <c r="V1578" s="1769"/>
      <c r="X1578" s="1768"/>
      <c r="Z1578" s="1769"/>
      <c r="AA1578" s="557"/>
      <c r="AK1578" s="246"/>
    </row>
    <row r="1579" spans="2:37" ht="18" customHeight="1">
      <c r="B1579" s="199"/>
      <c r="D1579" s="154"/>
      <c r="F1579" s="154"/>
      <c r="G1579" s="217"/>
      <c r="I1579" s="673"/>
      <c r="J1579" s="209"/>
      <c r="K1579" s="520"/>
      <c r="L1579" s="154"/>
      <c r="M1579" s="154"/>
      <c r="N1579" s="154"/>
      <c r="O1579" s="246"/>
      <c r="P1579" s="1597"/>
      <c r="R1579" s="1598"/>
      <c r="S1579" s="557"/>
      <c r="T1579" s="1768"/>
      <c r="V1579" s="1769"/>
      <c r="X1579" s="1768"/>
      <c r="Z1579" s="1769"/>
      <c r="AA1579" s="557"/>
      <c r="AK1579" s="246"/>
    </row>
    <row r="1580" spans="2:37" ht="18" customHeight="1">
      <c r="B1580" s="199"/>
      <c r="D1580" s="154"/>
      <c r="F1580" s="154"/>
      <c r="G1580" s="217"/>
      <c r="I1580" s="673"/>
      <c r="J1580" s="209"/>
      <c r="K1580" s="520"/>
      <c r="L1580" s="154"/>
      <c r="M1580" s="154"/>
      <c r="N1580" s="154"/>
      <c r="O1580" s="246"/>
      <c r="P1580" s="1597"/>
      <c r="R1580" s="1598"/>
      <c r="S1580" s="557"/>
      <c r="T1580" s="1768"/>
      <c r="V1580" s="1769"/>
      <c r="X1580" s="1768"/>
      <c r="Z1580" s="1769"/>
      <c r="AA1580" s="557"/>
      <c r="AK1580" s="246"/>
    </row>
    <row r="1581" spans="2:37" ht="18" customHeight="1">
      <c r="B1581" s="199"/>
      <c r="D1581" s="154"/>
      <c r="F1581" s="154"/>
      <c r="G1581" s="217"/>
      <c r="I1581" s="673"/>
      <c r="J1581" s="209"/>
      <c r="K1581" s="520"/>
      <c r="L1581" s="154"/>
      <c r="M1581" s="154"/>
      <c r="N1581" s="154"/>
      <c r="O1581" s="246"/>
      <c r="P1581" s="1597"/>
      <c r="R1581" s="1598"/>
      <c r="S1581" s="557"/>
      <c r="T1581" s="1768"/>
      <c r="V1581" s="1769"/>
      <c r="X1581" s="1768"/>
      <c r="Z1581" s="1769"/>
      <c r="AA1581" s="557"/>
      <c r="AK1581" s="246"/>
    </row>
    <row r="1582" spans="2:37" ht="18" customHeight="1">
      <c r="B1582" s="199"/>
      <c r="D1582" s="154"/>
      <c r="F1582" s="154"/>
      <c r="G1582" s="217"/>
      <c r="I1582" s="673"/>
      <c r="J1582" s="209"/>
      <c r="K1582" s="520"/>
      <c r="L1582" s="154"/>
      <c r="M1582" s="154"/>
      <c r="N1582" s="154"/>
      <c r="O1582" s="246"/>
      <c r="P1582" s="1597"/>
      <c r="R1582" s="1598"/>
      <c r="S1582" s="557"/>
      <c r="T1582" s="1768"/>
      <c r="V1582" s="1769"/>
      <c r="X1582" s="1768"/>
      <c r="Z1582" s="1769"/>
      <c r="AA1582" s="557"/>
      <c r="AK1582" s="246"/>
    </row>
    <row r="1583" spans="2:37" ht="18" customHeight="1">
      <c r="B1583" s="199"/>
      <c r="D1583" s="154"/>
      <c r="F1583" s="154"/>
      <c r="G1583" s="217"/>
      <c r="I1583" s="673"/>
      <c r="J1583" s="209"/>
      <c r="K1583" s="520"/>
      <c r="L1583" s="154"/>
      <c r="M1583" s="154"/>
      <c r="N1583" s="154"/>
      <c r="O1583" s="246"/>
      <c r="P1583" s="1597"/>
      <c r="R1583" s="1598"/>
      <c r="S1583" s="557"/>
      <c r="T1583" s="1768"/>
      <c r="V1583" s="1769"/>
      <c r="X1583" s="1768"/>
      <c r="Z1583" s="1769"/>
      <c r="AA1583" s="557"/>
      <c r="AK1583" s="246"/>
    </row>
    <row r="1584" spans="2:37" ht="18" customHeight="1">
      <c r="B1584" s="199"/>
      <c r="D1584" s="154"/>
      <c r="F1584" s="154"/>
      <c r="G1584" s="217"/>
      <c r="I1584" s="673"/>
      <c r="J1584" s="209"/>
      <c r="K1584" s="520"/>
      <c r="L1584" s="154"/>
      <c r="M1584" s="154"/>
      <c r="N1584" s="154"/>
      <c r="O1584" s="246"/>
      <c r="P1584" s="1597"/>
      <c r="R1584" s="1598"/>
      <c r="S1584" s="557"/>
      <c r="T1584" s="1768"/>
      <c r="V1584" s="1769"/>
      <c r="X1584" s="1768"/>
      <c r="Z1584" s="1769"/>
      <c r="AA1584" s="557"/>
      <c r="AK1584" s="246"/>
    </row>
    <row r="1585" spans="2:37" ht="18" customHeight="1">
      <c r="B1585" s="199"/>
      <c r="D1585" s="154"/>
      <c r="F1585" s="154"/>
      <c r="G1585" s="217"/>
      <c r="I1585" s="673"/>
      <c r="J1585" s="209"/>
      <c r="K1585" s="520"/>
      <c r="L1585" s="154"/>
      <c r="M1585" s="154"/>
      <c r="N1585" s="154"/>
      <c r="O1585" s="246"/>
      <c r="P1585" s="1597"/>
      <c r="R1585" s="1598"/>
      <c r="S1585" s="557"/>
      <c r="T1585" s="1768"/>
      <c r="V1585" s="1769"/>
      <c r="X1585" s="1768"/>
      <c r="Z1585" s="1769"/>
      <c r="AA1585" s="557"/>
      <c r="AK1585" s="246"/>
    </row>
    <row r="1586" spans="2:37" ht="18" customHeight="1">
      <c r="B1586" s="199"/>
      <c r="D1586" s="154"/>
      <c r="F1586" s="154"/>
      <c r="G1586" s="217"/>
      <c r="I1586" s="673"/>
      <c r="J1586" s="209"/>
      <c r="K1586" s="520"/>
      <c r="L1586" s="154"/>
      <c r="M1586" s="154"/>
      <c r="N1586" s="154"/>
      <c r="O1586" s="246"/>
      <c r="P1586" s="1597"/>
      <c r="R1586" s="1598"/>
      <c r="S1586" s="557"/>
      <c r="T1586" s="1768"/>
      <c r="V1586" s="1769"/>
      <c r="X1586" s="1768"/>
      <c r="Z1586" s="1769"/>
      <c r="AA1586" s="557"/>
      <c r="AK1586" s="246"/>
    </row>
    <row r="1587" spans="2:37" ht="18" customHeight="1">
      <c r="B1587" s="199"/>
      <c r="D1587" s="154"/>
      <c r="F1587" s="154"/>
      <c r="G1587" s="217"/>
      <c r="I1587" s="673"/>
      <c r="J1587" s="209"/>
      <c r="K1587" s="520"/>
      <c r="L1587" s="154"/>
      <c r="M1587" s="154"/>
      <c r="N1587" s="154"/>
      <c r="O1587" s="246"/>
      <c r="P1587" s="1597"/>
      <c r="R1587" s="1598"/>
      <c r="S1587" s="557"/>
      <c r="T1587" s="1768"/>
      <c r="V1587" s="1769"/>
      <c r="X1587" s="1768"/>
      <c r="Z1587" s="1769"/>
      <c r="AA1587" s="557"/>
      <c r="AK1587" s="246"/>
    </row>
    <row r="1588" spans="2:37" ht="18" customHeight="1">
      <c r="B1588" s="199"/>
      <c r="D1588" s="154"/>
      <c r="F1588" s="154"/>
      <c r="G1588" s="217"/>
      <c r="I1588" s="673"/>
      <c r="J1588" s="209"/>
      <c r="K1588" s="520"/>
      <c r="L1588" s="154"/>
      <c r="M1588" s="154"/>
      <c r="N1588" s="154"/>
      <c r="O1588" s="246"/>
      <c r="P1588" s="1597"/>
      <c r="R1588" s="1598"/>
      <c r="S1588" s="557"/>
      <c r="T1588" s="1768"/>
      <c r="V1588" s="1769"/>
      <c r="X1588" s="1768"/>
      <c r="Z1588" s="1769"/>
      <c r="AA1588" s="557"/>
      <c r="AK1588" s="246"/>
    </row>
    <row r="1589" spans="2:37" ht="18" customHeight="1">
      <c r="B1589" s="199"/>
      <c r="D1589" s="154"/>
      <c r="F1589" s="154"/>
      <c r="G1589" s="217"/>
      <c r="I1589" s="673"/>
      <c r="J1589" s="209"/>
      <c r="K1589" s="520"/>
      <c r="L1589" s="154"/>
      <c r="M1589" s="154"/>
      <c r="N1589" s="154"/>
      <c r="O1589" s="246"/>
      <c r="P1589" s="1597"/>
      <c r="R1589" s="1598"/>
      <c r="S1589" s="557"/>
      <c r="T1589" s="1768"/>
      <c r="V1589" s="1769"/>
      <c r="X1589" s="1768"/>
      <c r="Z1589" s="1769"/>
      <c r="AA1589" s="557"/>
      <c r="AK1589" s="246"/>
    </row>
    <row r="1590" spans="2:37" ht="18" customHeight="1">
      <c r="B1590" s="199"/>
      <c r="D1590" s="154"/>
      <c r="F1590" s="154"/>
      <c r="G1590" s="217"/>
      <c r="I1590" s="673"/>
      <c r="J1590" s="209"/>
      <c r="K1590" s="520"/>
      <c r="L1590" s="154"/>
      <c r="M1590" s="154"/>
      <c r="N1590" s="154"/>
      <c r="O1590" s="246"/>
      <c r="P1590" s="1597"/>
      <c r="R1590" s="1598"/>
      <c r="S1590" s="557"/>
      <c r="T1590" s="1768"/>
      <c r="V1590" s="1769"/>
      <c r="X1590" s="1768"/>
      <c r="Z1590" s="1769"/>
      <c r="AA1590" s="557"/>
      <c r="AK1590" s="246"/>
    </row>
    <row r="1591" spans="2:37" ht="18" customHeight="1">
      <c r="B1591" s="199"/>
      <c r="D1591" s="154"/>
      <c r="F1591" s="154"/>
      <c r="G1591" s="217"/>
      <c r="I1591" s="673"/>
      <c r="J1591" s="209"/>
      <c r="K1591" s="520"/>
      <c r="L1591" s="154"/>
      <c r="M1591" s="154"/>
      <c r="N1591" s="154"/>
      <c r="O1591" s="246"/>
      <c r="P1591" s="1597"/>
      <c r="R1591" s="1598"/>
      <c r="S1591" s="557"/>
      <c r="T1591" s="1768"/>
      <c r="V1591" s="1769"/>
      <c r="X1591" s="1768"/>
      <c r="Z1591" s="1769"/>
      <c r="AA1591" s="557"/>
      <c r="AK1591" s="246"/>
    </row>
    <row r="1592" spans="2:37" ht="18" customHeight="1">
      <c r="B1592" s="199"/>
      <c r="D1592" s="154"/>
      <c r="F1592" s="154"/>
      <c r="G1592" s="217"/>
      <c r="I1592" s="673"/>
      <c r="J1592" s="209"/>
      <c r="K1592" s="520"/>
      <c r="L1592" s="154"/>
      <c r="M1592" s="154"/>
      <c r="N1592" s="154"/>
      <c r="O1592" s="246"/>
      <c r="P1592" s="1597"/>
      <c r="R1592" s="1598"/>
      <c r="S1592" s="557"/>
      <c r="T1592" s="1768"/>
      <c r="V1592" s="1769"/>
      <c r="X1592" s="1768"/>
      <c r="Z1592" s="1769"/>
      <c r="AA1592" s="557"/>
      <c r="AK1592" s="246"/>
    </row>
    <row r="1593" spans="2:37" ht="18" customHeight="1">
      <c r="B1593" s="199"/>
      <c r="D1593" s="154"/>
      <c r="F1593" s="154"/>
      <c r="G1593" s="217"/>
      <c r="I1593" s="673"/>
      <c r="J1593" s="209"/>
      <c r="K1593" s="520"/>
      <c r="L1593" s="154"/>
      <c r="M1593" s="154"/>
      <c r="N1593" s="154"/>
      <c r="O1593" s="246"/>
      <c r="P1593" s="1597"/>
      <c r="R1593" s="1598"/>
      <c r="S1593" s="557"/>
      <c r="T1593" s="1768"/>
      <c r="V1593" s="1769"/>
      <c r="X1593" s="1768"/>
      <c r="Z1593" s="1769"/>
      <c r="AA1593" s="557"/>
      <c r="AK1593" s="246"/>
    </row>
    <row r="1594" spans="2:37" ht="18" customHeight="1">
      <c r="B1594" s="199"/>
      <c r="D1594" s="154"/>
      <c r="F1594" s="154"/>
      <c r="G1594" s="217"/>
      <c r="I1594" s="673"/>
      <c r="J1594" s="209"/>
      <c r="K1594" s="520"/>
      <c r="L1594" s="154"/>
      <c r="M1594" s="154"/>
      <c r="N1594" s="154"/>
      <c r="O1594" s="246"/>
      <c r="P1594" s="1597"/>
      <c r="R1594" s="1598"/>
      <c r="S1594" s="557"/>
      <c r="T1594" s="1768"/>
      <c r="V1594" s="1769"/>
      <c r="X1594" s="1768"/>
      <c r="Z1594" s="1769"/>
      <c r="AA1594" s="557"/>
      <c r="AK1594" s="246"/>
    </row>
    <row r="1595" spans="2:37" ht="18" customHeight="1">
      <c r="B1595" s="199"/>
      <c r="D1595" s="154"/>
      <c r="F1595" s="154"/>
      <c r="G1595" s="217"/>
      <c r="I1595" s="673"/>
      <c r="J1595" s="209"/>
      <c r="K1595" s="520"/>
      <c r="L1595" s="154"/>
      <c r="M1595" s="154"/>
      <c r="N1595" s="154"/>
      <c r="O1595" s="246"/>
      <c r="P1595" s="1597"/>
      <c r="R1595" s="1598"/>
      <c r="S1595" s="557"/>
      <c r="T1595" s="1768"/>
      <c r="V1595" s="1769"/>
      <c r="X1595" s="1768"/>
      <c r="Z1595" s="1769"/>
      <c r="AA1595" s="557"/>
      <c r="AK1595" s="246"/>
    </row>
    <row r="1596" spans="2:37" ht="18" customHeight="1">
      <c r="B1596" s="199"/>
      <c r="D1596" s="154"/>
      <c r="F1596" s="154"/>
      <c r="G1596" s="217"/>
      <c r="I1596" s="673"/>
      <c r="J1596" s="209"/>
      <c r="K1596" s="520"/>
      <c r="L1596" s="154"/>
      <c r="M1596" s="154"/>
      <c r="N1596" s="154"/>
      <c r="O1596" s="246"/>
      <c r="P1596" s="1597"/>
      <c r="R1596" s="1598"/>
      <c r="S1596" s="557"/>
      <c r="T1596" s="1768"/>
      <c r="V1596" s="1769"/>
      <c r="X1596" s="1768"/>
      <c r="Z1596" s="1769"/>
      <c r="AA1596" s="557"/>
      <c r="AK1596" s="246"/>
    </row>
    <row r="1597" spans="2:37" ht="18" customHeight="1">
      <c r="B1597" s="199"/>
      <c r="D1597" s="154"/>
      <c r="F1597" s="154"/>
      <c r="G1597" s="217"/>
      <c r="I1597" s="673"/>
      <c r="J1597" s="209"/>
      <c r="K1597" s="520"/>
      <c r="L1597" s="154"/>
      <c r="M1597" s="154"/>
      <c r="N1597" s="154"/>
      <c r="O1597" s="246"/>
      <c r="P1597" s="1597"/>
      <c r="R1597" s="1598"/>
      <c r="S1597" s="557"/>
      <c r="T1597" s="1768"/>
      <c r="V1597" s="1769"/>
      <c r="X1597" s="1768"/>
      <c r="Z1597" s="1769"/>
      <c r="AA1597" s="557"/>
      <c r="AK1597" s="246"/>
    </row>
    <row r="1598" spans="2:37" ht="18" customHeight="1">
      <c r="B1598" s="199"/>
      <c r="D1598" s="154"/>
      <c r="F1598" s="154"/>
      <c r="G1598" s="217"/>
      <c r="I1598" s="673"/>
      <c r="J1598" s="209"/>
      <c r="K1598" s="520"/>
      <c r="L1598" s="154"/>
      <c r="M1598" s="154"/>
      <c r="N1598" s="154"/>
      <c r="O1598" s="246"/>
      <c r="P1598" s="1597"/>
      <c r="R1598" s="1598"/>
      <c r="S1598" s="557"/>
      <c r="T1598" s="1768"/>
      <c r="V1598" s="1769"/>
      <c r="X1598" s="1768"/>
      <c r="Z1598" s="1769"/>
      <c r="AA1598" s="557"/>
      <c r="AK1598" s="246"/>
    </row>
    <row r="1599" spans="2:37" ht="18" customHeight="1">
      <c r="B1599" s="199"/>
      <c r="D1599" s="154"/>
      <c r="F1599" s="154"/>
      <c r="G1599" s="217"/>
      <c r="I1599" s="673"/>
      <c r="J1599" s="209"/>
      <c r="K1599" s="520"/>
      <c r="L1599" s="154"/>
      <c r="M1599" s="154"/>
      <c r="N1599" s="154"/>
      <c r="O1599" s="246"/>
      <c r="P1599" s="1597"/>
      <c r="R1599" s="1598"/>
      <c r="S1599" s="557"/>
      <c r="T1599" s="1768"/>
      <c r="V1599" s="1769"/>
      <c r="X1599" s="1768"/>
      <c r="Z1599" s="1769"/>
      <c r="AA1599" s="557"/>
      <c r="AK1599" s="246"/>
    </row>
    <row r="1600" spans="2:37" ht="18" customHeight="1">
      <c r="B1600" s="199"/>
      <c r="D1600" s="154"/>
      <c r="F1600" s="154"/>
      <c r="G1600" s="217"/>
      <c r="I1600" s="673"/>
      <c r="J1600" s="209"/>
      <c r="K1600" s="520"/>
      <c r="L1600" s="154"/>
      <c r="M1600" s="154"/>
      <c r="N1600" s="154"/>
      <c r="O1600" s="246"/>
      <c r="P1600" s="1597"/>
      <c r="R1600" s="1598"/>
      <c r="S1600" s="557"/>
      <c r="T1600" s="1768"/>
      <c r="V1600" s="1769"/>
      <c r="X1600" s="1768"/>
      <c r="Z1600" s="1769"/>
      <c r="AA1600" s="557"/>
      <c r="AK1600" s="246"/>
    </row>
    <row r="1601" spans="2:37" ht="18" customHeight="1">
      <c r="B1601" s="199"/>
      <c r="D1601" s="154"/>
      <c r="F1601" s="154"/>
      <c r="G1601" s="217"/>
      <c r="I1601" s="673"/>
      <c r="J1601" s="209"/>
      <c r="K1601" s="520"/>
      <c r="L1601" s="154"/>
      <c r="M1601" s="154"/>
      <c r="N1601" s="154"/>
      <c r="O1601" s="246"/>
      <c r="P1601" s="1597"/>
      <c r="R1601" s="1598"/>
      <c r="S1601" s="557"/>
      <c r="T1601" s="1768"/>
      <c r="V1601" s="1769"/>
      <c r="X1601" s="1768"/>
      <c r="Z1601" s="1769"/>
      <c r="AA1601" s="557"/>
      <c r="AK1601" s="246"/>
    </row>
    <row r="1602" spans="2:37" ht="18" customHeight="1">
      <c r="B1602" s="199"/>
      <c r="D1602" s="154"/>
      <c r="F1602" s="154"/>
      <c r="G1602" s="217"/>
      <c r="I1602" s="673"/>
      <c r="J1602" s="209"/>
      <c r="K1602" s="520"/>
      <c r="L1602" s="154"/>
      <c r="M1602" s="154"/>
      <c r="N1602" s="154"/>
      <c r="O1602" s="246"/>
      <c r="P1602" s="1597"/>
      <c r="R1602" s="1598"/>
      <c r="S1602" s="557"/>
      <c r="T1602" s="1768"/>
      <c r="V1602" s="1769"/>
      <c r="X1602" s="1768"/>
      <c r="Z1602" s="1769"/>
      <c r="AA1602" s="557"/>
      <c r="AK1602" s="246"/>
    </row>
    <row r="1603" spans="2:37" ht="18" customHeight="1">
      <c r="B1603" s="199"/>
      <c r="D1603" s="154"/>
      <c r="F1603" s="154"/>
      <c r="G1603" s="217"/>
      <c r="I1603" s="673"/>
      <c r="J1603" s="209"/>
      <c r="K1603" s="520"/>
      <c r="L1603" s="154"/>
      <c r="M1603" s="154"/>
      <c r="N1603" s="154"/>
      <c r="O1603" s="246"/>
      <c r="P1603" s="1597"/>
      <c r="R1603" s="1598"/>
      <c r="S1603" s="557"/>
      <c r="T1603" s="1768"/>
      <c r="V1603" s="1769"/>
      <c r="X1603" s="1768"/>
      <c r="Z1603" s="1769"/>
      <c r="AA1603" s="557"/>
      <c r="AK1603" s="246"/>
    </row>
    <row r="1604" spans="2:37" ht="18" customHeight="1">
      <c r="B1604" s="199"/>
      <c r="D1604" s="154"/>
      <c r="F1604" s="154"/>
      <c r="G1604" s="217"/>
      <c r="I1604" s="673"/>
      <c r="J1604" s="209"/>
      <c r="K1604" s="520"/>
      <c r="L1604" s="154"/>
      <c r="M1604" s="154"/>
      <c r="N1604" s="154"/>
      <c r="O1604" s="246"/>
      <c r="P1604" s="1597"/>
      <c r="R1604" s="1598"/>
      <c r="S1604" s="557"/>
      <c r="T1604" s="1768"/>
      <c r="V1604" s="1769"/>
      <c r="X1604" s="1768"/>
      <c r="Z1604" s="1769"/>
      <c r="AA1604" s="557"/>
      <c r="AK1604" s="246"/>
    </row>
    <row r="1605" spans="2:37" ht="18" customHeight="1">
      <c r="B1605" s="199"/>
      <c r="D1605" s="154"/>
      <c r="F1605" s="154"/>
      <c r="G1605" s="217"/>
      <c r="I1605" s="673"/>
      <c r="J1605" s="209"/>
      <c r="K1605" s="520"/>
      <c r="L1605" s="154"/>
      <c r="M1605" s="154"/>
      <c r="N1605" s="154"/>
      <c r="O1605" s="246"/>
      <c r="P1605" s="1597"/>
      <c r="R1605" s="1598"/>
      <c r="S1605" s="557"/>
      <c r="T1605" s="1768"/>
      <c r="V1605" s="1769"/>
      <c r="X1605" s="1768"/>
      <c r="Z1605" s="1769"/>
      <c r="AA1605" s="557"/>
      <c r="AK1605" s="246"/>
    </row>
    <row r="1606" spans="2:37" ht="18" customHeight="1">
      <c r="B1606" s="199"/>
      <c r="D1606" s="154"/>
      <c r="F1606" s="154"/>
      <c r="G1606" s="217"/>
      <c r="I1606" s="673"/>
      <c r="J1606" s="209"/>
      <c r="K1606" s="520"/>
      <c r="L1606" s="154"/>
      <c r="M1606" s="154"/>
      <c r="N1606" s="154"/>
      <c r="O1606" s="246"/>
      <c r="P1606" s="1597"/>
      <c r="R1606" s="1598"/>
      <c r="S1606" s="557"/>
      <c r="T1606" s="1768"/>
      <c r="V1606" s="1769"/>
      <c r="X1606" s="1768"/>
      <c r="Z1606" s="1769"/>
      <c r="AA1606" s="557"/>
      <c r="AK1606" s="246"/>
    </row>
    <row r="1607" spans="2:37" ht="18" customHeight="1">
      <c r="B1607" s="199"/>
      <c r="D1607" s="154"/>
      <c r="F1607" s="154"/>
      <c r="G1607" s="217"/>
      <c r="I1607" s="673"/>
      <c r="J1607" s="209"/>
      <c r="K1607" s="520"/>
      <c r="L1607" s="154"/>
      <c r="M1607" s="154"/>
      <c r="N1607" s="154"/>
      <c r="O1607" s="246"/>
      <c r="P1607" s="1597"/>
      <c r="R1607" s="1598"/>
      <c r="S1607" s="557"/>
      <c r="T1607" s="1768"/>
      <c r="V1607" s="1769"/>
      <c r="X1607" s="1768"/>
      <c r="Z1607" s="1769"/>
      <c r="AA1607" s="557"/>
      <c r="AK1607" s="246"/>
    </row>
    <row r="1608" spans="2:37" ht="18" customHeight="1">
      <c r="B1608" s="199"/>
      <c r="D1608" s="154"/>
      <c r="F1608" s="154"/>
      <c r="G1608" s="217"/>
      <c r="I1608" s="673"/>
      <c r="J1608" s="209"/>
      <c r="K1608" s="520"/>
      <c r="L1608" s="154"/>
      <c r="M1608" s="154"/>
      <c r="N1608" s="154"/>
      <c r="O1608" s="246"/>
      <c r="P1608" s="1597"/>
      <c r="R1608" s="1598"/>
      <c r="S1608" s="557"/>
      <c r="T1608" s="1768"/>
      <c r="V1608" s="1769"/>
      <c r="X1608" s="1768"/>
      <c r="Z1608" s="1769"/>
      <c r="AA1608" s="557"/>
      <c r="AK1608" s="246"/>
    </row>
    <row r="1609" spans="2:37" ht="18" customHeight="1">
      <c r="B1609" s="199"/>
      <c r="D1609" s="154"/>
      <c r="F1609" s="154"/>
      <c r="G1609" s="217"/>
      <c r="I1609" s="673"/>
      <c r="J1609" s="209"/>
      <c r="K1609" s="520"/>
      <c r="L1609" s="154"/>
      <c r="M1609" s="154"/>
      <c r="N1609" s="154"/>
      <c r="O1609" s="246"/>
      <c r="P1609" s="1597"/>
      <c r="R1609" s="1598"/>
      <c r="S1609" s="557"/>
      <c r="T1609" s="1768"/>
      <c r="V1609" s="1769"/>
      <c r="X1609" s="1768"/>
      <c r="Z1609" s="1769"/>
      <c r="AA1609" s="557"/>
      <c r="AK1609" s="246"/>
    </row>
    <row r="1610" spans="2:37" ht="18" customHeight="1">
      <c r="B1610" s="199"/>
      <c r="D1610" s="154"/>
      <c r="F1610" s="154"/>
      <c r="G1610" s="217"/>
      <c r="I1610" s="673"/>
      <c r="J1610" s="209"/>
      <c r="K1610" s="520"/>
      <c r="L1610" s="154"/>
      <c r="M1610" s="154"/>
      <c r="N1610" s="154"/>
      <c r="O1610" s="246"/>
      <c r="P1610" s="1597"/>
      <c r="R1610" s="1598"/>
      <c r="S1610" s="557"/>
      <c r="T1610" s="1768"/>
      <c r="V1610" s="1769"/>
      <c r="X1610" s="1768"/>
      <c r="Z1610" s="1769"/>
      <c r="AA1610" s="557"/>
      <c r="AK1610" s="246"/>
    </row>
    <row r="1611" spans="2:37" ht="18" customHeight="1">
      <c r="B1611" s="199"/>
      <c r="D1611" s="154"/>
      <c r="F1611" s="154"/>
      <c r="G1611" s="217"/>
      <c r="I1611" s="673"/>
      <c r="J1611" s="209"/>
      <c r="K1611" s="520"/>
      <c r="L1611" s="154"/>
      <c r="M1611" s="154"/>
      <c r="N1611" s="154"/>
      <c r="O1611" s="246"/>
      <c r="P1611" s="1597"/>
      <c r="R1611" s="1598"/>
      <c r="S1611" s="557"/>
      <c r="T1611" s="1768"/>
      <c r="V1611" s="1769"/>
      <c r="X1611" s="1768"/>
      <c r="Z1611" s="1769"/>
      <c r="AA1611" s="557"/>
      <c r="AK1611" s="246"/>
    </row>
    <row r="1612" spans="2:37" ht="18" customHeight="1">
      <c r="B1612" s="199"/>
      <c r="D1612" s="154"/>
      <c r="F1612" s="154"/>
      <c r="G1612" s="217"/>
      <c r="I1612" s="673"/>
      <c r="J1612" s="209"/>
      <c r="K1612" s="520"/>
      <c r="L1612" s="154"/>
      <c r="M1612" s="154"/>
      <c r="N1612" s="154"/>
      <c r="O1612" s="246"/>
      <c r="P1612" s="1597"/>
      <c r="R1612" s="1598"/>
      <c r="S1612" s="557"/>
      <c r="T1612" s="1768"/>
      <c r="V1612" s="1769"/>
      <c r="X1612" s="1768"/>
      <c r="Z1612" s="1769"/>
      <c r="AA1612" s="557"/>
      <c r="AK1612" s="246"/>
    </row>
    <row r="1613" spans="2:37" ht="18" customHeight="1">
      <c r="B1613" s="199"/>
      <c r="D1613" s="154"/>
      <c r="F1613" s="154"/>
      <c r="G1613" s="217"/>
      <c r="I1613" s="673"/>
      <c r="J1613" s="209"/>
      <c r="K1613" s="520"/>
      <c r="L1613" s="154"/>
      <c r="M1613" s="154"/>
      <c r="N1613" s="154"/>
      <c r="O1613" s="246"/>
      <c r="P1613" s="1597"/>
      <c r="R1613" s="1598"/>
      <c r="S1613" s="557"/>
      <c r="T1613" s="1768"/>
      <c r="V1613" s="1769"/>
      <c r="X1613" s="1768"/>
      <c r="Z1613" s="1769"/>
      <c r="AA1613" s="557"/>
      <c r="AK1613" s="246"/>
    </row>
    <row r="1614" spans="2:37" ht="18" customHeight="1">
      <c r="B1614" s="199"/>
      <c r="D1614" s="154"/>
      <c r="F1614" s="154"/>
      <c r="G1614" s="217"/>
      <c r="I1614" s="673"/>
      <c r="J1614" s="209"/>
      <c r="K1614" s="520"/>
      <c r="L1614" s="154"/>
      <c r="M1614" s="154"/>
      <c r="N1614" s="154"/>
      <c r="O1614" s="246"/>
      <c r="P1614" s="1597"/>
      <c r="R1614" s="1598"/>
      <c r="S1614" s="557"/>
      <c r="T1614" s="1768"/>
      <c r="V1614" s="1769"/>
      <c r="X1614" s="1768"/>
      <c r="Z1614" s="1769"/>
      <c r="AA1614" s="557"/>
      <c r="AK1614" s="246"/>
    </row>
    <row r="1615" spans="2:37" ht="18" customHeight="1">
      <c r="B1615" s="199"/>
      <c r="D1615" s="154"/>
      <c r="F1615" s="154"/>
      <c r="G1615" s="217"/>
      <c r="I1615" s="673"/>
      <c r="J1615" s="209"/>
      <c r="K1615" s="520"/>
      <c r="L1615" s="154"/>
      <c r="M1615" s="154"/>
      <c r="N1615" s="154"/>
      <c r="O1615" s="246"/>
      <c r="P1615" s="1597"/>
      <c r="R1615" s="1598"/>
      <c r="S1615" s="557"/>
      <c r="T1615" s="1768"/>
      <c r="V1615" s="1769"/>
      <c r="X1615" s="1768"/>
      <c r="Z1615" s="1769"/>
      <c r="AA1615" s="557"/>
      <c r="AK1615" s="246"/>
    </row>
    <row r="1616" spans="2:37" ht="18" customHeight="1">
      <c r="B1616" s="199"/>
      <c r="D1616" s="154"/>
      <c r="F1616" s="154"/>
      <c r="G1616" s="217"/>
      <c r="I1616" s="673"/>
      <c r="J1616" s="209"/>
      <c r="K1616" s="520"/>
      <c r="L1616" s="154"/>
      <c r="M1616" s="154"/>
      <c r="N1616" s="154"/>
      <c r="O1616" s="246"/>
      <c r="P1616" s="1597"/>
      <c r="R1616" s="1598"/>
      <c r="S1616" s="557"/>
      <c r="T1616" s="1768"/>
      <c r="V1616" s="1769"/>
      <c r="X1616" s="1768"/>
      <c r="Z1616" s="1769"/>
      <c r="AA1616" s="557"/>
      <c r="AK1616" s="246"/>
    </row>
    <row r="1617" spans="2:37" ht="18" customHeight="1">
      <c r="B1617" s="199"/>
      <c r="D1617" s="154"/>
      <c r="F1617" s="154"/>
      <c r="G1617" s="217"/>
      <c r="I1617" s="673"/>
      <c r="J1617" s="209"/>
      <c r="K1617" s="520"/>
      <c r="L1617" s="154"/>
      <c r="M1617" s="154"/>
      <c r="N1617" s="154"/>
      <c r="O1617" s="246"/>
      <c r="P1617" s="1597"/>
      <c r="R1617" s="1598"/>
      <c r="S1617" s="557"/>
      <c r="T1617" s="1768"/>
      <c r="V1617" s="1769"/>
      <c r="X1617" s="1768"/>
      <c r="Z1617" s="1769"/>
      <c r="AA1617" s="557"/>
      <c r="AK1617" s="246"/>
    </row>
    <row r="1618" spans="2:37" ht="18" customHeight="1">
      <c r="B1618" s="199"/>
      <c r="D1618" s="154"/>
      <c r="F1618" s="154"/>
      <c r="G1618" s="217"/>
      <c r="I1618" s="673"/>
      <c r="J1618" s="209"/>
      <c r="K1618" s="520"/>
      <c r="L1618" s="154"/>
      <c r="M1618" s="154"/>
      <c r="N1618" s="154"/>
      <c r="O1618" s="246"/>
      <c r="P1618" s="1597"/>
      <c r="R1618" s="1598"/>
      <c r="S1618" s="557"/>
      <c r="T1618" s="1768"/>
      <c r="V1618" s="1769"/>
      <c r="X1618" s="1768"/>
      <c r="Z1618" s="1769"/>
      <c r="AA1618" s="557"/>
      <c r="AK1618" s="246"/>
    </row>
    <row r="1619" spans="2:37" ht="18" customHeight="1">
      <c r="B1619" s="199"/>
      <c r="D1619" s="154"/>
      <c r="F1619" s="154"/>
      <c r="G1619" s="217"/>
      <c r="I1619" s="673"/>
      <c r="J1619" s="209"/>
      <c r="K1619" s="520"/>
      <c r="L1619" s="154"/>
      <c r="M1619" s="154"/>
      <c r="N1619" s="154"/>
      <c r="O1619" s="246"/>
      <c r="P1619" s="1597"/>
      <c r="R1619" s="1598"/>
      <c r="S1619" s="557"/>
      <c r="T1619" s="1768"/>
      <c r="V1619" s="1769"/>
      <c r="X1619" s="1768"/>
      <c r="Z1619" s="1769"/>
      <c r="AA1619" s="557"/>
      <c r="AK1619" s="246"/>
    </row>
    <row r="1620" spans="2:37" ht="18" customHeight="1">
      <c r="B1620" s="199"/>
      <c r="D1620" s="154"/>
      <c r="F1620" s="154"/>
      <c r="G1620" s="217"/>
      <c r="I1620" s="673"/>
      <c r="J1620" s="209"/>
      <c r="K1620" s="520"/>
      <c r="L1620" s="154"/>
      <c r="M1620" s="154"/>
      <c r="N1620" s="154"/>
      <c r="O1620" s="246"/>
      <c r="P1620" s="1597"/>
      <c r="R1620" s="1598"/>
      <c r="S1620" s="557"/>
      <c r="T1620" s="1768"/>
      <c r="V1620" s="1769"/>
      <c r="X1620" s="1768"/>
      <c r="Z1620" s="1769"/>
      <c r="AA1620" s="557"/>
      <c r="AK1620" s="246"/>
    </row>
    <row r="1621" spans="2:37" ht="18" customHeight="1">
      <c r="B1621" s="199"/>
      <c r="D1621" s="154"/>
      <c r="F1621" s="154"/>
      <c r="G1621" s="217"/>
      <c r="I1621" s="673"/>
      <c r="J1621" s="209"/>
      <c r="K1621" s="520"/>
      <c r="L1621" s="154"/>
      <c r="M1621" s="154"/>
      <c r="N1621" s="154"/>
      <c r="O1621" s="246"/>
      <c r="P1621" s="1597"/>
      <c r="R1621" s="1598"/>
      <c r="S1621" s="557"/>
      <c r="T1621" s="1768"/>
      <c r="V1621" s="1769"/>
      <c r="X1621" s="1768"/>
      <c r="Z1621" s="1769"/>
      <c r="AA1621" s="557"/>
      <c r="AK1621" s="246"/>
    </row>
    <row r="1622" spans="2:37" ht="18" customHeight="1">
      <c r="B1622" s="199"/>
      <c r="D1622" s="154"/>
      <c r="F1622" s="154"/>
      <c r="G1622" s="217"/>
      <c r="I1622" s="673"/>
      <c r="J1622" s="209"/>
      <c r="K1622" s="520"/>
      <c r="L1622" s="154"/>
      <c r="M1622" s="154"/>
      <c r="N1622" s="154"/>
      <c r="O1622" s="246"/>
      <c r="P1622" s="1597"/>
      <c r="R1622" s="1598"/>
      <c r="S1622" s="557"/>
      <c r="T1622" s="1768"/>
      <c r="V1622" s="1769"/>
      <c r="X1622" s="1768"/>
      <c r="Z1622" s="1769"/>
      <c r="AA1622" s="557"/>
      <c r="AK1622" s="246"/>
    </row>
    <row r="1623" spans="2:37" ht="18" customHeight="1">
      <c r="B1623" s="199"/>
      <c r="D1623" s="154"/>
      <c r="F1623" s="154"/>
      <c r="G1623" s="217"/>
      <c r="I1623" s="673"/>
      <c r="J1623" s="209"/>
      <c r="K1623" s="520"/>
      <c r="L1623" s="154"/>
      <c r="M1623" s="154"/>
      <c r="N1623" s="154"/>
      <c r="O1623" s="246"/>
      <c r="P1623" s="1597"/>
      <c r="R1623" s="1598"/>
      <c r="S1623" s="557"/>
      <c r="T1623" s="1768"/>
      <c r="V1623" s="1769"/>
      <c r="X1623" s="1768"/>
      <c r="Z1623" s="1769"/>
      <c r="AA1623" s="557"/>
      <c r="AK1623" s="246"/>
    </row>
    <row r="1624" spans="2:37" ht="18" customHeight="1">
      <c r="B1624" s="199"/>
      <c r="D1624" s="154"/>
      <c r="F1624" s="154"/>
      <c r="G1624" s="217"/>
      <c r="I1624" s="673"/>
      <c r="J1624" s="209"/>
      <c r="K1624" s="520"/>
      <c r="L1624" s="154"/>
      <c r="M1624" s="154"/>
      <c r="N1624" s="154"/>
      <c r="O1624" s="246"/>
      <c r="P1624" s="1597"/>
      <c r="R1624" s="1598"/>
      <c r="S1624" s="557"/>
      <c r="T1624" s="1768"/>
      <c r="V1624" s="1769"/>
      <c r="X1624" s="1768"/>
      <c r="Z1624" s="1769"/>
      <c r="AA1624" s="557"/>
      <c r="AK1624" s="246"/>
    </row>
    <row r="1625" spans="2:37" ht="18" customHeight="1">
      <c r="B1625" s="199"/>
      <c r="D1625" s="154"/>
      <c r="F1625" s="154"/>
      <c r="G1625" s="217"/>
      <c r="I1625" s="673"/>
      <c r="J1625" s="209"/>
      <c r="K1625" s="520"/>
      <c r="L1625" s="154"/>
      <c r="M1625" s="154"/>
      <c r="N1625" s="154"/>
      <c r="O1625" s="246"/>
      <c r="P1625" s="1597"/>
      <c r="R1625" s="1598"/>
      <c r="S1625" s="557"/>
      <c r="T1625" s="1768"/>
      <c r="V1625" s="1769"/>
      <c r="X1625" s="1768"/>
      <c r="Z1625" s="1769"/>
      <c r="AA1625" s="557"/>
      <c r="AK1625" s="246"/>
    </row>
    <row r="1626" spans="2:37" ht="18" customHeight="1">
      <c r="B1626" s="199"/>
      <c r="D1626" s="154"/>
      <c r="F1626" s="154"/>
      <c r="G1626" s="217"/>
      <c r="I1626" s="673"/>
      <c r="J1626" s="209"/>
      <c r="K1626" s="520"/>
      <c r="L1626" s="154"/>
      <c r="M1626" s="154"/>
      <c r="N1626" s="154"/>
      <c r="O1626" s="246"/>
      <c r="P1626" s="1597"/>
      <c r="R1626" s="1598"/>
      <c r="S1626" s="557"/>
      <c r="T1626" s="1768"/>
      <c r="V1626" s="1769"/>
      <c r="X1626" s="1768"/>
      <c r="Z1626" s="1769"/>
      <c r="AA1626" s="557"/>
      <c r="AK1626" s="246"/>
    </row>
    <row r="1627" spans="2:37" ht="18" customHeight="1">
      <c r="B1627" s="199"/>
      <c r="D1627" s="154"/>
      <c r="F1627" s="154"/>
      <c r="G1627" s="217"/>
      <c r="I1627" s="673"/>
      <c r="J1627" s="209"/>
      <c r="K1627" s="520"/>
      <c r="L1627" s="154"/>
      <c r="M1627" s="154"/>
      <c r="N1627" s="154"/>
      <c r="O1627" s="246"/>
      <c r="P1627" s="1597"/>
      <c r="R1627" s="1598"/>
      <c r="S1627" s="557"/>
      <c r="T1627" s="1768"/>
      <c r="V1627" s="1769"/>
      <c r="X1627" s="1768"/>
      <c r="Z1627" s="1769"/>
      <c r="AA1627" s="557"/>
      <c r="AK1627" s="246"/>
    </row>
    <row r="1628" spans="2:37" ht="18" customHeight="1">
      <c r="B1628" s="199"/>
      <c r="D1628" s="154"/>
      <c r="F1628" s="154"/>
      <c r="G1628" s="217"/>
      <c r="I1628" s="673"/>
      <c r="J1628" s="209"/>
      <c r="K1628" s="520"/>
      <c r="L1628" s="154"/>
      <c r="M1628" s="154"/>
      <c r="N1628" s="154"/>
      <c r="O1628" s="246"/>
      <c r="P1628" s="1597"/>
      <c r="R1628" s="1598"/>
      <c r="S1628" s="557"/>
      <c r="T1628" s="1768"/>
      <c r="V1628" s="1769"/>
      <c r="X1628" s="1768"/>
      <c r="Z1628" s="1769"/>
      <c r="AA1628" s="557"/>
      <c r="AK1628" s="246"/>
    </row>
    <row r="1629" spans="2:37" ht="18" customHeight="1">
      <c r="B1629" s="199"/>
      <c r="D1629" s="154"/>
      <c r="F1629" s="154"/>
      <c r="G1629" s="217"/>
      <c r="I1629" s="673"/>
      <c r="J1629" s="209"/>
      <c r="K1629" s="520"/>
      <c r="L1629" s="154"/>
      <c r="M1629" s="154"/>
      <c r="N1629" s="154"/>
      <c r="O1629" s="246"/>
      <c r="P1629" s="1597"/>
      <c r="R1629" s="1598"/>
      <c r="S1629" s="557"/>
      <c r="T1629" s="1768"/>
      <c r="V1629" s="1769"/>
      <c r="X1629" s="1768"/>
      <c r="Z1629" s="1769"/>
      <c r="AA1629" s="557"/>
      <c r="AK1629" s="246"/>
    </row>
    <row r="1630" spans="2:37" ht="18" customHeight="1">
      <c r="B1630" s="199"/>
      <c r="D1630" s="154"/>
      <c r="F1630" s="154"/>
      <c r="G1630" s="217"/>
      <c r="I1630" s="673"/>
      <c r="J1630" s="209"/>
      <c r="K1630" s="520"/>
      <c r="L1630" s="154"/>
      <c r="M1630" s="154"/>
      <c r="N1630" s="154"/>
      <c r="O1630" s="246"/>
      <c r="P1630" s="1597"/>
      <c r="R1630" s="1598"/>
      <c r="S1630" s="557"/>
      <c r="T1630" s="1768"/>
      <c r="V1630" s="1769"/>
      <c r="X1630" s="1768"/>
      <c r="Z1630" s="1769"/>
      <c r="AA1630" s="557"/>
      <c r="AK1630" s="246"/>
    </row>
    <row r="1631" spans="2:37" ht="18" customHeight="1">
      <c r="B1631" s="199"/>
      <c r="D1631" s="154"/>
      <c r="F1631" s="154"/>
      <c r="G1631" s="217"/>
      <c r="I1631" s="673"/>
      <c r="J1631" s="209"/>
      <c r="K1631" s="520"/>
      <c r="L1631" s="154"/>
      <c r="M1631" s="154"/>
      <c r="N1631" s="154"/>
      <c r="O1631" s="246"/>
      <c r="P1631" s="1597"/>
      <c r="R1631" s="1598"/>
      <c r="S1631" s="557"/>
      <c r="T1631" s="1768"/>
      <c r="V1631" s="1769"/>
      <c r="X1631" s="1768"/>
      <c r="Z1631" s="1769"/>
      <c r="AA1631" s="557"/>
      <c r="AK1631" s="246"/>
    </row>
    <row r="1632" spans="2:37" ht="18" customHeight="1">
      <c r="B1632" s="199"/>
      <c r="D1632" s="154"/>
      <c r="F1632" s="154"/>
      <c r="G1632" s="217"/>
      <c r="I1632" s="673"/>
      <c r="J1632" s="209"/>
      <c r="K1632" s="520"/>
      <c r="L1632" s="154"/>
      <c r="M1632" s="154"/>
      <c r="N1632" s="154"/>
      <c r="O1632" s="246"/>
      <c r="P1632" s="1597"/>
      <c r="R1632" s="1598"/>
      <c r="S1632" s="557"/>
      <c r="T1632" s="1768"/>
      <c r="V1632" s="1769"/>
      <c r="X1632" s="1768"/>
      <c r="Z1632" s="1769"/>
      <c r="AA1632" s="557"/>
      <c r="AK1632" s="246"/>
    </row>
    <row r="1633" spans="2:37" ht="18" customHeight="1">
      <c r="B1633" s="199"/>
      <c r="D1633" s="154"/>
      <c r="F1633" s="154"/>
      <c r="G1633" s="217"/>
      <c r="I1633" s="673"/>
      <c r="J1633" s="209"/>
      <c r="K1633" s="520"/>
      <c r="L1633" s="154"/>
      <c r="M1633" s="154"/>
      <c r="N1633" s="154"/>
      <c r="O1633" s="246"/>
      <c r="P1633" s="1597"/>
      <c r="R1633" s="1598"/>
      <c r="S1633" s="557"/>
      <c r="T1633" s="1768"/>
      <c r="V1633" s="1769"/>
      <c r="X1633" s="1768"/>
      <c r="Z1633" s="1769"/>
      <c r="AA1633" s="557"/>
      <c r="AK1633" s="246"/>
    </row>
    <row r="1634" spans="2:37" ht="18" customHeight="1">
      <c r="B1634" s="199"/>
      <c r="D1634" s="154"/>
      <c r="F1634" s="154"/>
      <c r="G1634" s="217"/>
      <c r="I1634" s="673"/>
      <c r="J1634" s="209"/>
      <c r="K1634" s="520"/>
      <c r="L1634" s="154"/>
      <c r="M1634" s="154"/>
      <c r="N1634" s="154"/>
      <c r="O1634" s="246"/>
      <c r="P1634" s="1597"/>
      <c r="R1634" s="1598"/>
      <c r="S1634" s="557"/>
      <c r="T1634" s="1768"/>
      <c r="V1634" s="1769"/>
      <c r="X1634" s="1768"/>
      <c r="Z1634" s="1769"/>
      <c r="AA1634" s="557"/>
      <c r="AK1634" s="246"/>
    </row>
    <row r="1635" spans="2:37" ht="18" customHeight="1">
      <c r="B1635" s="199"/>
      <c r="D1635" s="154"/>
      <c r="F1635" s="154"/>
      <c r="G1635" s="217"/>
      <c r="I1635" s="673"/>
      <c r="J1635" s="209"/>
      <c r="K1635" s="520"/>
      <c r="L1635" s="154"/>
      <c r="M1635" s="154"/>
      <c r="N1635" s="154"/>
      <c r="O1635" s="246"/>
      <c r="P1635" s="1597"/>
      <c r="R1635" s="1598"/>
      <c r="S1635" s="557"/>
      <c r="T1635" s="1768"/>
      <c r="V1635" s="1769"/>
      <c r="X1635" s="1768"/>
      <c r="Z1635" s="1769"/>
      <c r="AA1635" s="557"/>
      <c r="AK1635" s="246"/>
    </row>
    <row r="1636" spans="2:37" ht="18" customHeight="1">
      <c r="B1636" s="199"/>
      <c r="D1636" s="154"/>
      <c r="F1636" s="154"/>
      <c r="G1636" s="217"/>
      <c r="I1636" s="673"/>
      <c r="J1636" s="209"/>
      <c r="K1636" s="520"/>
      <c r="L1636" s="154"/>
      <c r="M1636" s="154"/>
      <c r="N1636" s="154"/>
      <c r="O1636" s="246"/>
      <c r="P1636" s="1597"/>
      <c r="R1636" s="1598"/>
      <c r="S1636" s="557"/>
      <c r="T1636" s="1768"/>
      <c r="V1636" s="1769"/>
      <c r="X1636" s="1768"/>
      <c r="Z1636" s="1769"/>
      <c r="AA1636" s="557"/>
      <c r="AK1636" s="246"/>
    </row>
    <row r="1637" spans="2:37" ht="18" customHeight="1">
      <c r="B1637" s="199"/>
      <c r="D1637" s="154"/>
      <c r="F1637" s="154"/>
      <c r="G1637" s="217"/>
      <c r="I1637" s="673"/>
      <c r="J1637" s="209"/>
      <c r="K1637" s="520"/>
      <c r="L1637" s="154"/>
      <c r="M1637" s="154"/>
      <c r="N1637" s="154"/>
      <c r="O1637" s="246"/>
      <c r="P1637" s="1597"/>
      <c r="R1637" s="1598"/>
      <c r="S1637" s="557"/>
      <c r="T1637" s="1768"/>
      <c r="V1637" s="1769"/>
      <c r="X1637" s="1768"/>
      <c r="Z1637" s="1769"/>
      <c r="AA1637" s="557"/>
      <c r="AK1637" s="246"/>
    </row>
    <row r="1638" spans="2:37" ht="18" customHeight="1">
      <c r="B1638" s="199"/>
      <c r="D1638" s="154"/>
      <c r="F1638" s="154"/>
      <c r="G1638" s="217"/>
      <c r="I1638" s="673"/>
      <c r="J1638" s="209"/>
      <c r="K1638" s="520"/>
      <c r="L1638" s="154"/>
      <c r="M1638" s="154"/>
      <c r="N1638" s="154"/>
      <c r="O1638" s="246"/>
      <c r="P1638" s="1597"/>
      <c r="R1638" s="1598"/>
      <c r="S1638" s="557"/>
      <c r="T1638" s="1768"/>
      <c r="V1638" s="1769"/>
      <c r="X1638" s="1768"/>
      <c r="Z1638" s="1769"/>
      <c r="AA1638" s="557"/>
      <c r="AK1638" s="246"/>
    </row>
    <row r="1639" spans="2:37" ht="18" customHeight="1">
      <c r="B1639" s="199"/>
      <c r="D1639" s="154"/>
      <c r="F1639" s="154"/>
      <c r="G1639" s="217"/>
      <c r="I1639" s="673"/>
      <c r="J1639" s="209"/>
      <c r="K1639" s="520"/>
      <c r="L1639" s="154"/>
      <c r="M1639" s="154"/>
      <c r="N1639" s="154"/>
      <c r="O1639" s="246"/>
      <c r="P1639" s="1597"/>
      <c r="R1639" s="1598"/>
      <c r="S1639" s="557"/>
      <c r="T1639" s="1768"/>
      <c r="V1639" s="1769"/>
      <c r="X1639" s="1768"/>
      <c r="Z1639" s="1769"/>
      <c r="AA1639" s="557"/>
      <c r="AK1639" s="246"/>
    </row>
    <row r="1640" spans="2:37" ht="18" customHeight="1">
      <c r="B1640" s="199"/>
      <c r="D1640" s="154"/>
      <c r="F1640" s="154"/>
      <c r="G1640" s="217"/>
      <c r="I1640" s="673"/>
      <c r="J1640" s="209"/>
      <c r="K1640" s="520"/>
      <c r="L1640" s="154"/>
      <c r="M1640" s="154"/>
      <c r="N1640" s="154"/>
      <c r="O1640" s="246"/>
      <c r="P1640" s="1597"/>
      <c r="R1640" s="1598"/>
      <c r="S1640" s="557"/>
      <c r="T1640" s="1768"/>
      <c r="V1640" s="1769"/>
      <c r="X1640" s="1768"/>
      <c r="Z1640" s="1769"/>
      <c r="AA1640" s="557"/>
      <c r="AK1640" s="246"/>
    </row>
    <row r="1641" spans="2:37" ht="18" customHeight="1">
      <c r="B1641" s="199"/>
      <c r="D1641" s="154"/>
      <c r="F1641" s="154"/>
      <c r="G1641" s="217"/>
      <c r="I1641" s="673"/>
      <c r="J1641" s="209"/>
      <c r="K1641" s="520"/>
      <c r="L1641" s="154"/>
      <c r="M1641" s="154"/>
      <c r="N1641" s="154"/>
      <c r="O1641" s="246"/>
      <c r="P1641" s="1597"/>
      <c r="R1641" s="1598"/>
      <c r="S1641" s="557"/>
      <c r="T1641" s="1768"/>
      <c r="V1641" s="1769"/>
      <c r="X1641" s="1768"/>
      <c r="Z1641" s="1769"/>
      <c r="AA1641" s="557"/>
      <c r="AK1641" s="246"/>
    </row>
    <row r="1642" spans="2:37" ht="18" customHeight="1">
      <c r="B1642" s="199"/>
      <c r="D1642" s="154"/>
      <c r="F1642" s="154"/>
      <c r="G1642" s="217"/>
      <c r="I1642" s="673"/>
      <c r="J1642" s="209"/>
      <c r="K1642" s="520"/>
      <c r="L1642" s="154"/>
      <c r="M1642" s="154"/>
      <c r="N1642" s="154"/>
      <c r="O1642" s="246"/>
      <c r="P1642" s="1597"/>
      <c r="R1642" s="1598"/>
      <c r="S1642" s="557"/>
      <c r="T1642" s="1768"/>
      <c r="V1642" s="1769"/>
      <c r="X1642" s="1768"/>
      <c r="Z1642" s="1769"/>
      <c r="AA1642" s="557"/>
      <c r="AK1642" s="246"/>
    </row>
    <row r="1643" spans="2:37" ht="18" customHeight="1">
      <c r="B1643" s="199"/>
      <c r="D1643" s="154"/>
      <c r="F1643" s="154"/>
      <c r="G1643" s="217"/>
      <c r="I1643" s="673"/>
      <c r="J1643" s="209"/>
      <c r="K1643" s="520"/>
      <c r="L1643" s="154"/>
      <c r="M1643" s="154"/>
      <c r="N1643" s="154"/>
      <c r="O1643" s="246"/>
      <c r="P1643" s="1597"/>
      <c r="R1643" s="1598"/>
      <c r="S1643" s="557"/>
      <c r="T1643" s="1768"/>
      <c r="V1643" s="1769"/>
      <c r="X1643" s="1768"/>
      <c r="Z1643" s="1769"/>
      <c r="AA1643" s="557"/>
      <c r="AK1643" s="246"/>
    </row>
    <row r="1644" spans="2:37" ht="18" customHeight="1">
      <c r="B1644" s="199"/>
      <c r="D1644" s="154"/>
      <c r="F1644" s="154"/>
      <c r="G1644" s="217"/>
      <c r="I1644" s="673"/>
      <c r="J1644" s="209"/>
      <c r="K1644" s="520"/>
      <c r="L1644" s="154"/>
      <c r="M1644" s="154"/>
      <c r="N1644" s="154"/>
      <c r="O1644" s="246"/>
      <c r="P1644" s="1597"/>
      <c r="R1644" s="1598"/>
      <c r="S1644" s="557"/>
      <c r="T1644" s="1768"/>
      <c r="V1644" s="1769"/>
      <c r="X1644" s="1768"/>
      <c r="Z1644" s="1769"/>
      <c r="AA1644" s="557"/>
      <c r="AK1644" s="246"/>
    </row>
    <row r="1645" spans="2:37" ht="18" customHeight="1">
      <c r="B1645" s="199"/>
      <c r="D1645" s="154"/>
      <c r="F1645" s="154"/>
      <c r="G1645" s="217"/>
      <c r="I1645" s="673"/>
      <c r="J1645" s="209"/>
      <c r="K1645" s="520"/>
      <c r="L1645" s="154"/>
      <c r="M1645" s="154"/>
      <c r="N1645" s="154"/>
      <c r="O1645" s="246"/>
      <c r="P1645" s="1597"/>
      <c r="R1645" s="1598"/>
      <c r="S1645" s="557"/>
      <c r="T1645" s="1768"/>
      <c r="V1645" s="1769"/>
      <c r="X1645" s="1768"/>
      <c r="Z1645" s="1769"/>
      <c r="AA1645" s="557"/>
      <c r="AK1645" s="246"/>
    </row>
    <row r="1646" spans="2:37" ht="18" customHeight="1">
      <c r="B1646" s="199"/>
      <c r="D1646" s="154"/>
      <c r="F1646" s="154"/>
      <c r="G1646" s="217"/>
      <c r="I1646" s="673"/>
      <c r="J1646" s="209"/>
      <c r="K1646" s="520"/>
      <c r="L1646" s="154"/>
      <c r="M1646" s="154"/>
      <c r="N1646" s="154"/>
      <c r="O1646" s="246"/>
      <c r="P1646" s="1597"/>
      <c r="R1646" s="1598"/>
      <c r="S1646" s="557"/>
      <c r="T1646" s="1768"/>
      <c r="V1646" s="1769"/>
      <c r="X1646" s="1768"/>
      <c r="Z1646" s="1769"/>
      <c r="AA1646" s="557"/>
      <c r="AK1646" s="246"/>
    </row>
    <row r="1647" spans="2:37" ht="18" customHeight="1">
      <c r="B1647" s="199"/>
      <c r="D1647" s="154"/>
      <c r="F1647" s="154"/>
      <c r="G1647" s="217"/>
      <c r="I1647" s="673"/>
      <c r="J1647" s="209"/>
      <c r="K1647" s="520"/>
      <c r="L1647" s="154"/>
      <c r="M1647" s="154"/>
      <c r="N1647" s="154"/>
      <c r="O1647" s="246"/>
      <c r="P1647" s="1597"/>
      <c r="R1647" s="1598"/>
      <c r="S1647" s="557"/>
      <c r="T1647" s="1768"/>
      <c r="V1647" s="1769"/>
      <c r="X1647" s="1768"/>
      <c r="Z1647" s="1769"/>
      <c r="AA1647" s="557"/>
      <c r="AK1647" s="246"/>
    </row>
    <row r="1648" spans="2:37" ht="18" customHeight="1">
      <c r="B1648" s="199"/>
      <c r="D1648" s="154"/>
      <c r="F1648" s="154"/>
      <c r="G1648" s="217"/>
      <c r="I1648" s="673"/>
      <c r="J1648" s="209"/>
      <c r="K1648" s="520"/>
      <c r="L1648" s="154"/>
      <c r="M1648" s="154"/>
      <c r="N1648" s="154"/>
      <c r="O1648" s="246"/>
      <c r="P1648" s="1597"/>
      <c r="R1648" s="1598"/>
      <c r="S1648" s="557"/>
      <c r="T1648" s="1768"/>
      <c r="V1648" s="1769"/>
      <c r="X1648" s="1768"/>
      <c r="Z1648" s="1769"/>
      <c r="AA1648" s="557"/>
      <c r="AK1648" s="246"/>
    </row>
    <row r="1649" spans="2:37" ht="18" customHeight="1">
      <c r="B1649" s="199"/>
      <c r="D1649" s="154"/>
      <c r="F1649" s="154"/>
      <c r="G1649" s="217"/>
      <c r="I1649" s="673"/>
      <c r="J1649" s="209"/>
      <c r="K1649" s="520"/>
      <c r="L1649" s="154"/>
      <c r="M1649" s="154"/>
      <c r="N1649" s="154"/>
      <c r="O1649" s="246"/>
      <c r="P1649" s="1597"/>
      <c r="R1649" s="1598"/>
      <c r="S1649" s="557"/>
      <c r="T1649" s="1768"/>
      <c r="V1649" s="1769"/>
      <c r="X1649" s="1768"/>
      <c r="Z1649" s="1769"/>
      <c r="AA1649" s="557"/>
      <c r="AK1649" s="246"/>
    </row>
    <row r="1650" spans="2:37" ht="18" customHeight="1">
      <c r="B1650" s="199"/>
      <c r="D1650" s="154"/>
      <c r="F1650" s="154"/>
      <c r="G1650" s="217"/>
      <c r="I1650" s="673"/>
      <c r="J1650" s="209"/>
      <c r="K1650" s="520"/>
      <c r="L1650" s="154"/>
      <c r="M1650" s="154"/>
      <c r="N1650" s="154"/>
      <c r="O1650" s="246"/>
      <c r="P1650" s="1597"/>
      <c r="R1650" s="1598"/>
      <c r="S1650" s="557"/>
      <c r="T1650" s="1768"/>
      <c r="V1650" s="1769"/>
      <c r="X1650" s="1768"/>
      <c r="Z1650" s="1769"/>
      <c r="AA1650" s="557"/>
      <c r="AK1650" s="246"/>
    </row>
    <row r="1651" spans="2:37" ht="18" customHeight="1">
      <c r="B1651" s="199"/>
      <c r="D1651" s="154"/>
      <c r="F1651" s="154"/>
      <c r="G1651" s="217"/>
      <c r="I1651" s="673"/>
      <c r="J1651" s="209"/>
      <c r="K1651" s="520"/>
      <c r="L1651" s="154"/>
      <c r="M1651" s="154"/>
      <c r="N1651" s="154"/>
      <c r="O1651" s="246"/>
      <c r="P1651" s="1597"/>
      <c r="R1651" s="1598"/>
      <c r="S1651" s="557"/>
      <c r="T1651" s="1768"/>
      <c r="V1651" s="1769"/>
      <c r="X1651" s="1768"/>
      <c r="Z1651" s="1769"/>
      <c r="AA1651" s="557"/>
      <c r="AK1651" s="246"/>
    </row>
    <row r="1652" spans="2:37" ht="18" customHeight="1">
      <c r="B1652" s="199"/>
      <c r="D1652" s="154"/>
      <c r="F1652" s="154"/>
      <c r="G1652" s="217"/>
      <c r="I1652" s="673"/>
      <c r="J1652" s="209"/>
      <c r="K1652" s="520"/>
      <c r="L1652" s="154"/>
      <c r="M1652" s="154"/>
      <c r="N1652" s="154"/>
      <c r="O1652" s="246"/>
      <c r="P1652" s="1597"/>
      <c r="R1652" s="1598"/>
      <c r="S1652" s="557"/>
      <c r="T1652" s="1768"/>
      <c r="V1652" s="1769"/>
      <c r="X1652" s="1768"/>
      <c r="Z1652" s="1769"/>
      <c r="AA1652" s="557"/>
      <c r="AK1652" s="246"/>
    </row>
    <row r="1653" spans="2:37" ht="18" customHeight="1">
      <c r="B1653" s="199"/>
      <c r="D1653" s="154"/>
      <c r="F1653" s="154"/>
      <c r="G1653" s="217"/>
      <c r="I1653" s="673"/>
      <c r="J1653" s="209"/>
      <c r="K1653" s="520"/>
      <c r="L1653" s="154"/>
      <c r="M1653" s="154"/>
      <c r="N1653" s="154"/>
      <c r="O1653" s="246"/>
      <c r="P1653" s="1597"/>
      <c r="R1653" s="1598"/>
      <c r="S1653" s="557"/>
      <c r="T1653" s="1768"/>
      <c r="V1653" s="1769"/>
      <c r="X1653" s="1768"/>
      <c r="Z1653" s="1769"/>
      <c r="AA1653" s="557"/>
      <c r="AK1653" s="246"/>
    </row>
    <row r="1654" spans="2:37" ht="18" customHeight="1">
      <c r="B1654" s="199"/>
      <c r="D1654" s="154"/>
      <c r="F1654" s="154"/>
      <c r="G1654" s="217"/>
      <c r="I1654" s="673"/>
      <c r="J1654" s="209"/>
      <c r="K1654" s="520"/>
      <c r="L1654" s="154"/>
      <c r="M1654" s="154"/>
      <c r="N1654" s="154"/>
      <c r="O1654" s="246"/>
      <c r="P1654" s="1597"/>
      <c r="R1654" s="1598"/>
      <c r="S1654" s="557"/>
      <c r="T1654" s="1768"/>
      <c r="V1654" s="1769"/>
      <c r="X1654" s="1768"/>
      <c r="Z1654" s="1769"/>
      <c r="AA1654" s="557"/>
      <c r="AK1654" s="246"/>
    </row>
    <row r="1655" spans="2:37" ht="18" customHeight="1">
      <c r="B1655" s="199"/>
      <c r="D1655" s="154"/>
      <c r="F1655" s="154"/>
      <c r="G1655" s="217"/>
      <c r="I1655" s="673"/>
      <c r="J1655" s="209"/>
      <c r="K1655" s="520"/>
      <c r="L1655" s="154"/>
      <c r="M1655" s="154"/>
      <c r="N1655" s="154"/>
      <c r="O1655" s="246"/>
      <c r="P1655" s="1597"/>
      <c r="R1655" s="1598"/>
      <c r="S1655" s="557"/>
      <c r="T1655" s="1768"/>
      <c r="V1655" s="1769"/>
      <c r="X1655" s="1768"/>
      <c r="Z1655" s="1769"/>
      <c r="AA1655" s="557"/>
      <c r="AK1655" s="246"/>
    </row>
    <row r="1656" spans="2:37" ht="18" customHeight="1">
      <c r="B1656" s="199"/>
      <c r="D1656" s="154"/>
      <c r="F1656" s="154"/>
      <c r="G1656" s="217"/>
      <c r="I1656" s="673"/>
      <c r="J1656" s="209"/>
      <c r="K1656" s="520"/>
      <c r="L1656" s="154"/>
      <c r="M1656" s="154"/>
      <c r="N1656" s="154"/>
      <c r="O1656" s="246"/>
      <c r="P1656" s="1597"/>
      <c r="R1656" s="1598"/>
      <c r="S1656" s="557"/>
      <c r="T1656" s="1768"/>
      <c r="V1656" s="1769"/>
      <c r="X1656" s="1768"/>
      <c r="Z1656" s="1769"/>
      <c r="AA1656" s="557"/>
      <c r="AK1656" s="246"/>
    </row>
    <row r="1657" spans="2:37" ht="18" customHeight="1">
      <c r="B1657" s="199"/>
      <c r="D1657" s="154"/>
      <c r="F1657" s="154"/>
      <c r="G1657" s="217"/>
      <c r="I1657" s="673"/>
      <c r="J1657" s="209"/>
      <c r="K1657" s="520"/>
      <c r="L1657" s="154"/>
      <c r="M1657" s="154"/>
      <c r="N1657" s="154"/>
      <c r="O1657" s="246"/>
      <c r="P1657" s="1597"/>
      <c r="R1657" s="1598"/>
      <c r="S1657" s="557"/>
      <c r="T1657" s="1768"/>
      <c r="V1657" s="1769"/>
      <c r="X1657" s="1768"/>
      <c r="Z1657" s="1769"/>
      <c r="AA1657" s="557"/>
      <c r="AK1657" s="246"/>
    </row>
    <row r="1658" spans="2:37" ht="18" customHeight="1">
      <c r="B1658" s="199"/>
      <c r="D1658" s="154"/>
      <c r="F1658" s="154"/>
      <c r="G1658" s="217"/>
      <c r="I1658" s="673"/>
      <c r="J1658" s="209"/>
      <c r="K1658" s="520"/>
      <c r="L1658" s="154"/>
      <c r="M1658" s="154"/>
      <c r="N1658" s="154"/>
      <c r="O1658" s="246"/>
      <c r="P1658" s="1597"/>
      <c r="R1658" s="1598"/>
      <c r="S1658" s="557"/>
      <c r="T1658" s="1768"/>
      <c r="V1658" s="1769"/>
      <c r="X1658" s="1768"/>
      <c r="Z1658" s="1769"/>
      <c r="AA1658" s="557"/>
      <c r="AK1658" s="246"/>
    </row>
    <row r="1659" spans="2:37" ht="18" customHeight="1">
      <c r="B1659" s="199"/>
      <c r="D1659" s="154"/>
      <c r="F1659" s="154"/>
      <c r="G1659" s="217"/>
      <c r="I1659" s="673"/>
      <c r="J1659" s="209"/>
      <c r="K1659" s="520"/>
      <c r="L1659" s="154"/>
      <c r="M1659" s="154"/>
      <c r="N1659" s="154"/>
      <c r="O1659" s="246"/>
      <c r="P1659" s="1597"/>
      <c r="R1659" s="1598"/>
      <c r="S1659" s="557"/>
      <c r="T1659" s="1768"/>
      <c r="V1659" s="1769"/>
      <c r="X1659" s="1768"/>
      <c r="Z1659" s="1769"/>
      <c r="AA1659" s="557"/>
      <c r="AK1659" s="246"/>
    </row>
    <row r="1660" spans="2:37" ht="18" customHeight="1">
      <c r="B1660" s="199"/>
      <c r="D1660" s="154"/>
      <c r="F1660" s="154"/>
      <c r="G1660" s="217"/>
      <c r="I1660" s="673"/>
      <c r="J1660" s="209"/>
      <c r="K1660" s="520"/>
      <c r="L1660" s="154"/>
      <c r="M1660" s="154"/>
      <c r="N1660" s="154"/>
      <c r="O1660" s="246"/>
      <c r="P1660" s="1597"/>
      <c r="R1660" s="1598"/>
      <c r="S1660" s="557"/>
      <c r="T1660" s="1768"/>
      <c r="V1660" s="1769"/>
      <c r="X1660" s="1768"/>
      <c r="Z1660" s="1769"/>
      <c r="AA1660" s="557"/>
      <c r="AK1660" s="246"/>
    </row>
    <row r="1661" spans="2:37" ht="18" customHeight="1">
      <c r="B1661" s="199"/>
      <c r="D1661" s="154"/>
      <c r="F1661" s="154"/>
      <c r="G1661" s="217"/>
      <c r="I1661" s="673"/>
      <c r="J1661" s="209"/>
      <c r="K1661" s="520"/>
      <c r="L1661" s="154"/>
      <c r="M1661" s="154"/>
      <c r="N1661" s="154"/>
      <c r="O1661" s="246"/>
      <c r="P1661" s="1597"/>
      <c r="R1661" s="1598"/>
      <c r="S1661" s="557"/>
      <c r="T1661" s="1768"/>
      <c r="V1661" s="1769"/>
      <c r="X1661" s="1768"/>
      <c r="Z1661" s="1769"/>
      <c r="AA1661" s="557"/>
      <c r="AK1661" s="246"/>
    </row>
    <row r="1662" spans="2:37" ht="18" customHeight="1">
      <c r="B1662" s="199"/>
      <c r="D1662" s="154"/>
      <c r="F1662" s="154"/>
      <c r="G1662" s="217"/>
      <c r="I1662" s="673"/>
      <c r="J1662" s="209"/>
      <c r="K1662" s="520"/>
      <c r="L1662" s="154"/>
      <c r="M1662" s="154"/>
      <c r="N1662" s="154"/>
      <c r="O1662" s="246"/>
      <c r="P1662" s="1597"/>
      <c r="R1662" s="1598"/>
      <c r="S1662" s="557"/>
      <c r="T1662" s="1768"/>
      <c r="V1662" s="1769"/>
      <c r="X1662" s="1768"/>
      <c r="Z1662" s="1769"/>
      <c r="AA1662" s="557"/>
      <c r="AK1662" s="246"/>
    </row>
    <row r="1663" spans="2:37" ht="18" customHeight="1">
      <c r="B1663" s="199"/>
      <c r="D1663" s="154"/>
      <c r="F1663" s="154"/>
      <c r="G1663" s="217"/>
      <c r="I1663" s="673"/>
      <c r="J1663" s="209"/>
      <c r="K1663" s="520"/>
      <c r="L1663" s="154"/>
      <c r="M1663" s="154"/>
      <c r="N1663" s="154"/>
      <c r="O1663" s="246"/>
      <c r="P1663" s="1597"/>
      <c r="R1663" s="1598"/>
      <c r="S1663" s="557"/>
      <c r="T1663" s="1768"/>
      <c r="V1663" s="1769"/>
      <c r="X1663" s="1768"/>
      <c r="Z1663" s="1769"/>
      <c r="AA1663" s="557"/>
      <c r="AK1663" s="246"/>
    </row>
    <row r="1664" spans="2:37" ht="18" customHeight="1">
      <c r="B1664" s="199"/>
      <c r="D1664" s="154"/>
      <c r="F1664" s="154"/>
      <c r="G1664" s="217"/>
      <c r="I1664" s="673"/>
      <c r="J1664" s="209"/>
      <c r="K1664" s="520"/>
      <c r="L1664" s="154"/>
      <c r="M1664" s="154"/>
      <c r="N1664" s="154"/>
      <c r="O1664" s="246"/>
      <c r="P1664" s="1597"/>
      <c r="R1664" s="1598"/>
      <c r="S1664" s="557"/>
      <c r="T1664" s="1768"/>
      <c r="V1664" s="1769"/>
      <c r="X1664" s="1768"/>
      <c r="Z1664" s="1769"/>
      <c r="AA1664" s="557"/>
      <c r="AK1664" s="246"/>
    </row>
    <row r="1665" spans="2:37" ht="18" customHeight="1">
      <c r="B1665" s="199"/>
      <c r="D1665" s="154"/>
      <c r="F1665" s="154"/>
      <c r="G1665" s="217"/>
      <c r="I1665" s="673"/>
      <c r="J1665" s="209"/>
      <c r="K1665" s="520"/>
      <c r="L1665" s="154"/>
      <c r="M1665" s="154"/>
      <c r="N1665" s="154"/>
      <c r="O1665" s="246"/>
      <c r="P1665" s="1597"/>
      <c r="R1665" s="1598"/>
      <c r="S1665" s="557"/>
      <c r="T1665" s="1768"/>
      <c r="V1665" s="1769"/>
      <c r="X1665" s="1768"/>
      <c r="Z1665" s="1769"/>
      <c r="AA1665" s="557"/>
      <c r="AK1665" s="246"/>
    </row>
    <row r="1666" spans="2:37" ht="18" customHeight="1">
      <c r="B1666" s="199"/>
      <c r="D1666" s="154"/>
      <c r="F1666" s="154"/>
      <c r="G1666" s="217"/>
      <c r="I1666" s="673"/>
      <c r="J1666" s="209"/>
      <c r="K1666" s="520"/>
      <c r="L1666" s="154"/>
      <c r="M1666" s="154"/>
      <c r="N1666" s="154"/>
      <c r="O1666" s="246"/>
      <c r="P1666" s="1597"/>
      <c r="R1666" s="1598"/>
      <c r="S1666" s="557"/>
      <c r="T1666" s="1768"/>
      <c r="V1666" s="1769"/>
      <c r="X1666" s="1768"/>
      <c r="Z1666" s="1769"/>
      <c r="AA1666" s="557"/>
      <c r="AK1666" s="246"/>
    </row>
    <row r="1667" spans="2:37" ht="18" customHeight="1">
      <c r="B1667" s="199"/>
      <c r="D1667" s="154"/>
      <c r="F1667" s="154"/>
      <c r="G1667" s="217"/>
      <c r="I1667" s="673"/>
      <c r="J1667" s="209"/>
      <c r="K1667" s="520"/>
      <c r="L1667" s="154"/>
      <c r="M1667" s="154"/>
      <c r="N1667" s="154"/>
      <c r="O1667" s="246"/>
      <c r="P1667" s="1597"/>
      <c r="R1667" s="1598"/>
      <c r="S1667" s="557"/>
      <c r="T1667" s="1768"/>
      <c r="V1667" s="1769"/>
      <c r="X1667" s="1768"/>
      <c r="Z1667" s="1769"/>
      <c r="AA1667" s="557"/>
      <c r="AK1667" s="246"/>
    </row>
    <row r="1668" spans="2:37" ht="18" customHeight="1">
      <c r="B1668" s="199"/>
      <c r="D1668" s="154"/>
      <c r="F1668" s="154"/>
      <c r="G1668" s="217"/>
      <c r="I1668" s="673"/>
      <c r="J1668" s="209"/>
      <c r="K1668" s="520"/>
      <c r="L1668" s="154"/>
      <c r="M1668" s="154"/>
      <c r="N1668" s="154"/>
      <c r="O1668" s="246"/>
      <c r="P1668" s="1597"/>
      <c r="R1668" s="1598"/>
      <c r="S1668" s="557"/>
      <c r="T1668" s="1768"/>
      <c r="V1668" s="1769"/>
      <c r="X1668" s="1768"/>
      <c r="Z1668" s="1769"/>
      <c r="AA1668" s="557"/>
      <c r="AK1668" s="246"/>
    </row>
    <row r="1669" spans="2:37" ht="18" customHeight="1">
      <c r="B1669" s="199"/>
      <c r="D1669" s="154"/>
      <c r="F1669" s="154"/>
      <c r="G1669" s="217"/>
      <c r="I1669" s="673"/>
      <c r="J1669" s="209"/>
      <c r="K1669" s="520"/>
      <c r="L1669" s="154"/>
      <c r="M1669" s="154"/>
      <c r="N1669" s="154"/>
      <c r="O1669" s="246"/>
      <c r="P1669" s="1597"/>
      <c r="R1669" s="1598"/>
      <c r="S1669" s="557"/>
      <c r="T1669" s="1768"/>
      <c r="V1669" s="1769"/>
      <c r="X1669" s="1768"/>
      <c r="Z1669" s="1769"/>
      <c r="AA1669" s="557"/>
      <c r="AK1669" s="246"/>
    </row>
    <row r="1670" spans="2:37" ht="18" customHeight="1">
      <c r="B1670" s="199"/>
      <c r="D1670" s="154"/>
      <c r="F1670" s="154"/>
      <c r="G1670" s="217"/>
      <c r="I1670" s="673"/>
      <c r="J1670" s="209"/>
      <c r="K1670" s="520"/>
      <c r="L1670" s="154"/>
      <c r="M1670" s="154"/>
      <c r="N1670" s="154"/>
      <c r="O1670" s="246"/>
      <c r="P1670" s="1597"/>
      <c r="R1670" s="1598"/>
      <c r="S1670" s="557"/>
      <c r="T1670" s="1768"/>
      <c r="V1670" s="1769"/>
      <c r="X1670" s="1768"/>
      <c r="Z1670" s="1769"/>
      <c r="AA1670" s="557"/>
      <c r="AK1670" s="246"/>
    </row>
    <row r="1671" spans="2:37" ht="18" customHeight="1">
      <c r="B1671" s="199"/>
      <c r="D1671" s="154"/>
      <c r="F1671" s="154"/>
      <c r="G1671" s="217"/>
      <c r="I1671" s="673"/>
      <c r="J1671" s="209"/>
      <c r="K1671" s="520"/>
      <c r="L1671" s="154"/>
      <c r="M1671" s="154"/>
      <c r="N1671" s="154"/>
      <c r="O1671" s="246"/>
      <c r="P1671" s="1597"/>
      <c r="R1671" s="1598"/>
      <c r="S1671" s="557"/>
      <c r="T1671" s="1768"/>
      <c r="V1671" s="1769"/>
      <c r="X1671" s="1768"/>
      <c r="Z1671" s="1769"/>
      <c r="AA1671" s="557"/>
      <c r="AK1671" s="246"/>
    </row>
    <row r="1672" spans="2:37" ht="18" customHeight="1">
      <c r="B1672" s="199"/>
      <c r="D1672" s="154"/>
      <c r="F1672" s="154"/>
      <c r="G1672" s="217"/>
      <c r="I1672" s="673"/>
      <c r="J1672" s="209"/>
      <c r="K1672" s="520"/>
      <c r="L1672" s="154"/>
      <c r="M1672" s="154"/>
      <c r="N1672" s="154"/>
      <c r="O1672" s="246"/>
      <c r="P1672" s="1597"/>
      <c r="R1672" s="1598"/>
      <c r="S1672" s="557"/>
      <c r="T1672" s="1768"/>
      <c r="V1672" s="1769"/>
      <c r="X1672" s="1768"/>
      <c r="Z1672" s="1769"/>
      <c r="AA1672" s="557"/>
      <c r="AK1672" s="246"/>
    </row>
    <row r="1673" spans="2:37" ht="18" customHeight="1">
      <c r="B1673" s="199"/>
      <c r="D1673" s="154"/>
      <c r="F1673" s="154"/>
      <c r="G1673" s="217"/>
      <c r="I1673" s="673"/>
      <c r="J1673" s="209"/>
      <c r="K1673" s="520"/>
      <c r="L1673" s="154"/>
      <c r="M1673" s="154"/>
      <c r="N1673" s="154"/>
      <c r="O1673" s="246"/>
      <c r="P1673" s="1597"/>
      <c r="R1673" s="1598"/>
      <c r="S1673" s="557"/>
      <c r="T1673" s="1768"/>
      <c r="V1673" s="1769"/>
      <c r="X1673" s="1768"/>
      <c r="Z1673" s="1769"/>
      <c r="AA1673" s="557"/>
      <c r="AK1673" s="246"/>
    </row>
    <row r="1674" spans="2:37" ht="18" customHeight="1">
      <c r="B1674" s="199"/>
      <c r="D1674" s="154"/>
      <c r="F1674" s="154"/>
      <c r="G1674" s="217"/>
      <c r="I1674" s="673"/>
      <c r="J1674" s="209"/>
      <c r="K1674" s="520"/>
      <c r="L1674" s="154"/>
      <c r="M1674" s="154"/>
      <c r="N1674" s="154"/>
      <c r="O1674" s="246"/>
      <c r="P1674" s="1597"/>
      <c r="R1674" s="1598"/>
      <c r="S1674" s="557"/>
      <c r="T1674" s="1768"/>
      <c r="V1674" s="1769"/>
      <c r="X1674" s="1768"/>
      <c r="Z1674" s="1769"/>
      <c r="AA1674" s="557"/>
      <c r="AK1674" s="246"/>
    </row>
    <row r="1675" spans="2:37" ht="18" customHeight="1">
      <c r="B1675" s="199"/>
      <c r="D1675" s="154"/>
      <c r="F1675" s="154"/>
      <c r="G1675" s="217"/>
      <c r="I1675" s="673"/>
      <c r="J1675" s="209"/>
      <c r="K1675" s="520"/>
      <c r="L1675" s="154"/>
      <c r="M1675" s="154"/>
      <c r="N1675" s="154"/>
      <c r="O1675" s="246"/>
      <c r="P1675" s="1597"/>
      <c r="R1675" s="1598"/>
      <c r="S1675" s="557"/>
      <c r="T1675" s="1768"/>
      <c r="V1675" s="1769"/>
      <c r="X1675" s="1768"/>
      <c r="Z1675" s="1769"/>
      <c r="AA1675" s="557"/>
      <c r="AK1675" s="246"/>
    </row>
    <row r="1676" spans="2:37" ht="18" customHeight="1">
      <c r="B1676" s="199"/>
      <c r="D1676" s="154"/>
      <c r="F1676" s="154"/>
      <c r="G1676" s="217"/>
      <c r="I1676" s="673"/>
      <c r="J1676" s="209"/>
      <c r="K1676" s="520"/>
      <c r="L1676" s="154"/>
      <c r="M1676" s="154"/>
      <c r="N1676" s="154"/>
      <c r="O1676" s="246"/>
      <c r="P1676" s="1597"/>
      <c r="R1676" s="1598"/>
      <c r="S1676" s="557"/>
      <c r="T1676" s="1768"/>
      <c r="V1676" s="1769"/>
      <c r="X1676" s="1768"/>
      <c r="Z1676" s="1769"/>
      <c r="AA1676" s="557"/>
      <c r="AK1676" s="246"/>
    </row>
    <row r="1677" spans="2:37" ht="18" customHeight="1">
      <c r="B1677" s="199"/>
      <c r="D1677" s="154"/>
      <c r="F1677" s="154"/>
      <c r="G1677" s="217"/>
      <c r="I1677" s="673"/>
      <c r="J1677" s="209"/>
      <c r="K1677" s="520"/>
      <c r="L1677" s="154"/>
      <c r="M1677" s="154"/>
      <c r="N1677" s="154"/>
      <c r="O1677" s="246"/>
      <c r="P1677" s="1597"/>
      <c r="R1677" s="1598"/>
      <c r="S1677" s="557"/>
      <c r="T1677" s="1768"/>
      <c r="V1677" s="1769"/>
      <c r="X1677" s="1768"/>
      <c r="Z1677" s="1769"/>
      <c r="AA1677" s="557"/>
      <c r="AK1677" s="246"/>
    </row>
    <row r="1678" spans="2:37" ht="18" customHeight="1">
      <c r="B1678" s="199"/>
      <c r="D1678" s="154"/>
      <c r="F1678" s="154"/>
      <c r="G1678" s="217"/>
      <c r="I1678" s="673"/>
      <c r="J1678" s="209"/>
      <c r="K1678" s="520"/>
      <c r="L1678" s="154"/>
      <c r="M1678" s="154"/>
      <c r="N1678" s="154"/>
      <c r="O1678" s="246"/>
      <c r="P1678" s="1597"/>
      <c r="R1678" s="1598"/>
      <c r="S1678" s="557"/>
      <c r="T1678" s="1768"/>
      <c r="V1678" s="1769"/>
      <c r="X1678" s="1768"/>
      <c r="Z1678" s="1769"/>
      <c r="AA1678" s="557"/>
      <c r="AK1678" s="246"/>
    </row>
    <row r="1679" spans="2:37" ht="18" customHeight="1">
      <c r="B1679" s="199"/>
      <c r="D1679" s="154"/>
      <c r="F1679" s="154"/>
      <c r="G1679" s="217"/>
      <c r="I1679" s="673"/>
      <c r="J1679" s="209"/>
      <c r="K1679" s="520"/>
      <c r="L1679" s="154"/>
      <c r="M1679" s="154"/>
      <c r="N1679" s="154"/>
      <c r="O1679" s="246"/>
      <c r="P1679" s="1597"/>
      <c r="R1679" s="1598"/>
      <c r="S1679" s="557"/>
      <c r="T1679" s="1768"/>
      <c r="V1679" s="1769"/>
      <c r="X1679" s="1768"/>
      <c r="Z1679" s="1769"/>
      <c r="AA1679" s="557"/>
      <c r="AK1679" s="246"/>
    </row>
    <row r="1680" spans="2:37" ht="18" customHeight="1">
      <c r="B1680" s="199"/>
      <c r="D1680" s="154"/>
      <c r="F1680" s="154"/>
      <c r="G1680" s="217"/>
      <c r="I1680" s="673"/>
      <c r="J1680" s="209"/>
      <c r="K1680" s="520"/>
      <c r="L1680" s="154"/>
      <c r="M1680" s="154"/>
      <c r="N1680" s="154"/>
      <c r="O1680" s="246"/>
      <c r="P1680" s="1597"/>
      <c r="R1680" s="1598"/>
      <c r="S1680" s="557"/>
      <c r="T1680" s="1768"/>
      <c r="V1680" s="1769"/>
      <c r="X1680" s="1768"/>
      <c r="Z1680" s="1769"/>
      <c r="AA1680" s="557"/>
      <c r="AK1680" s="246"/>
    </row>
    <row r="1681" spans="2:37" ht="18" customHeight="1">
      <c r="B1681" s="199"/>
      <c r="D1681" s="154"/>
      <c r="F1681" s="154"/>
      <c r="G1681" s="217"/>
      <c r="I1681" s="673"/>
      <c r="J1681" s="209"/>
      <c r="K1681" s="520"/>
      <c r="L1681" s="154"/>
      <c r="M1681" s="154"/>
      <c r="N1681" s="154"/>
      <c r="O1681" s="246"/>
      <c r="P1681" s="1597"/>
      <c r="R1681" s="1598"/>
      <c r="S1681" s="557"/>
      <c r="T1681" s="1768"/>
      <c r="V1681" s="1769"/>
      <c r="X1681" s="1768"/>
      <c r="Z1681" s="1769"/>
      <c r="AA1681" s="557"/>
      <c r="AK1681" s="246"/>
    </row>
    <row r="1682" spans="2:37" ht="18" customHeight="1">
      <c r="B1682" s="199"/>
      <c r="D1682" s="154"/>
      <c r="F1682" s="154"/>
      <c r="G1682" s="217"/>
      <c r="I1682" s="673"/>
      <c r="J1682" s="209"/>
      <c r="K1682" s="520"/>
      <c r="L1682" s="154"/>
      <c r="M1682" s="154"/>
      <c r="N1682" s="154"/>
      <c r="O1682" s="246"/>
      <c r="P1682" s="1597"/>
      <c r="R1682" s="1598"/>
      <c r="S1682" s="557"/>
      <c r="T1682" s="1768"/>
      <c r="V1682" s="1769"/>
      <c r="X1682" s="1768"/>
      <c r="Z1682" s="1769"/>
      <c r="AA1682" s="557"/>
      <c r="AK1682" s="246"/>
    </row>
    <row r="1683" spans="2:37" ht="18" customHeight="1">
      <c r="B1683" s="199"/>
      <c r="D1683" s="154"/>
      <c r="F1683" s="154"/>
      <c r="G1683" s="217"/>
      <c r="I1683" s="673"/>
      <c r="J1683" s="209"/>
      <c r="K1683" s="520"/>
      <c r="L1683" s="154"/>
      <c r="M1683" s="154"/>
      <c r="N1683" s="154"/>
      <c r="O1683" s="246"/>
      <c r="P1683" s="1597"/>
      <c r="R1683" s="1598"/>
      <c r="S1683" s="557"/>
      <c r="T1683" s="1768"/>
      <c r="V1683" s="1769"/>
      <c r="X1683" s="1768"/>
      <c r="Z1683" s="1769"/>
      <c r="AA1683" s="557"/>
      <c r="AK1683" s="246"/>
    </row>
    <row r="1684" spans="2:37" ht="18" customHeight="1">
      <c r="B1684" s="199"/>
      <c r="D1684" s="154"/>
      <c r="F1684" s="154"/>
      <c r="G1684" s="217"/>
      <c r="I1684" s="673"/>
      <c r="J1684" s="209"/>
      <c r="K1684" s="520"/>
      <c r="L1684" s="154"/>
      <c r="M1684" s="154"/>
      <c r="N1684" s="154"/>
      <c r="O1684" s="246"/>
      <c r="P1684" s="1597"/>
      <c r="R1684" s="1598"/>
      <c r="S1684" s="557"/>
      <c r="T1684" s="1768"/>
      <c r="V1684" s="1769"/>
      <c r="X1684" s="1768"/>
      <c r="Z1684" s="1769"/>
      <c r="AA1684" s="557"/>
      <c r="AK1684" s="246"/>
    </row>
    <row r="1685" spans="2:37" ht="18" customHeight="1">
      <c r="B1685" s="199"/>
      <c r="D1685" s="154"/>
      <c r="F1685" s="154"/>
      <c r="G1685" s="217"/>
      <c r="I1685" s="673"/>
      <c r="J1685" s="209"/>
      <c r="K1685" s="520"/>
      <c r="L1685" s="154"/>
      <c r="M1685" s="154"/>
      <c r="N1685" s="154"/>
      <c r="O1685" s="246"/>
      <c r="P1685" s="1597"/>
      <c r="R1685" s="1598"/>
      <c r="S1685" s="557"/>
      <c r="T1685" s="1768"/>
      <c r="V1685" s="1769"/>
      <c r="X1685" s="1768"/>
      <c r="Z1685" s="1769"/>
      <c r="AA1685" s="557"/>
      <c r="AK1685" s="246"/>
    </row>
    <row r="1686" spans="2:37" ht="18" customHeight="1">
      <c r="B1686" s="199"/>
      <c r="D1686" s="154"/>
      <c r="F1686" s="154"/>
      <c r="G1686" s="217"/>
      <c r="I1686" s="673"/>
      <c r="J1686" s="209"/>
      <c r="K1686" s="520"/>
      <c r="L1686" s="154"/>
      <c r="M1686" s="154"/>
      <c r="N1686" s="154"/>
      <c r="O1686" s="246"/>
      <c r="P1686" s="1597"/>
      <c r="R1686" s="1598"/>
      <c r="S1686" s="557"/>
      <c r="T1686" s="1768"/>
      <c r="V1686" s="1769"/>
      <c r="X1686" s="1768"/>
      <c r="Z1686" s="1769"/>
      <c r="AA1686" s="557"/>
      <c r="AK1686" s="246"/>
    </row>
    <row r="1687" spans="2:37" ht="18" customHeight="1">
      <c r="B1687" s="199"/>
      <c r="D1687" s="154"/>
      <c r="F1687" s="154"/>
      <c r="G1687" s="217"/>
      <c r="I1687" s="673"/>
      <c r="J1687" s="209"/>
      <c r="K1687" s="520"/>
      <c r="L1687" s="154"/>
      <c r="M1687" s="154"/>
      <c r="N1687" s="154"/>
      <c r="O1687" s="246"/>
      <c r="P1687" s="1597"/>
      <c r="R1687" s="1598"/>
      <c r="S1687" s="557"/>
      <c r="T1687" s="1768"/>
      <c r="V1687" s="1769"/>
      <c r="X1687" s="1768"/>
      <c r="Z1687" s="1769"/>
      <c r="AA1687" s="557"/>
      <c r="AK1687" s="246"/>
    </row>
    <row r="1688" spans="2:37" ht="18" customHeight="1">
      <c r="B1688" s="199"/>
      <c r="D1688" s="154"/>
      <c r="F1688" s="154"/>
      <c r="G1688" s="217"/>
      <c r="I1688" s="673"/>
      <c r="J1688" s="209"/>
      <c r="K1688" s="520"/>
      <c r="L1688" s="154"/>
      <c r="M1688" s="154"/>
      <c r="N1688" s="154"/>
      <c r="O1688" s="246"/>
      <c r="P1688" s="1597"/>
      <c r="R1688" s="1598"/>
      <c r="S1688" s="557"/>
      <c r="T1688" s="1768"/>
      <c r="V1688" s="1769"/>
      <c r="X1688" s="1768"/>
      <c r="Z1688" s="1769"/>
      <c r="AA1688" s="557"/>
      <c r="AK1688" s="246"/>
    </row>
    <row r="1689" spans="2:37" ht="18" customHeight="1">
      <c r="B1689" s="199"/>
      <c r="D1689" s="154"/>
      <c r="F1689" s="154"/>
      <c r="G1689" s="217"/>
      <c r="I1689" s="673"/>
      <c r="J1689" s="209"/>
      <c r="K1689" s="520"/>
      <c r="L1689" s="154"/>
      <c r="M1689" s="154"/>
      <c r="N1689" s="154"/>
      <c r="O1689" s="246"/>
      <c r="P1689" s="1597"/>
      <c r="R1689" s="1598"/>
      <c r="S1689" s="557"/>
      <c r="T1689" s="1768"/>
      <c r="V1689" s="1769"/>
      <c r="X1689" s="1768"/>
      <c r="Z1689" s="1769"/>
      <c r="AA1689" s="557"/>
      <c r="AK1689" s="246"/>
    </row>
    <row r="1690" spans="2:37" ht="18" customHeight="1">
      <c r="B1690" s="199"/>
      <c r="D1690" s="154"/>
      <c r="F1690" s="154"/>
      <c r="G1690" s="217"/>
      <c r="I1690" s="673"/>
      <c r="J1690" s="209"/>
      <c r="K1690" s="520"/>
      <c r="L1690" s="154"/>
      <c r="M1690" s="154"/>
      <c r="N1690" s="154"/>
      <c r="O1690" s="246"/>
      <c r="P1690" s="1597"/>
      <c r="R1690" s="1598"/>
      <c r="S1690" s="557"/>
      <c r="T1690" s="1768"/>
      <c r="V1690" s="1769"/>
      <c r="X1690" s="1768"/>
      <c r="Z1690" s="1769"/>
      <c r="AA1690" s="557"/>
      <c r="AK1690" s="246"/>
    </row>
    <row r="1691" spans="2:37" ht="18" customHeight="1">
      <c r="B1691" s="199"/>
      <c r="D1691" s="154"/>
      <c r="F1691" s="154"/>
      <c r="G1691" s="217"/>
      <c r="I1691" s="673"/>
      <c r="J1691" s="209"/>
      <c r="K1691" s="520"/>
      <c r="L1691" s="154"/>
      <c r="M1691" s="154"/>
      <c r="N1691" s="154"/>
      <c r="O1691" s="246"/>
      <c r="P1691" s="1597"/>
      <c r="R1691" s="1598"/>
      <c r="S1691" s="557"/>
      <c r="T1691" s="1768"/>
      <c r="V1691" s="1769"/>
      <c r="X1691" s="1768"/>
      <c r="Z1691" s="1769"/>
      <c r="AA1691" s="557"/>
      <c r="AK1691" s="246"/>
    </row>
    <row r="1692" spans="2:37" ht="18" customHeight="1">
      <c r="B1692" s="199"/>
      <c r="D1692" s="154"/>
      <c r="F1692" s="154"/>
      <c r="G1692" s="217"/>
      <c r="I1692" s="673"/>
      <c r="J1692" s="209"/>
      <c r="K1692" s="520"/>
      <c r="L1692" s="154"/>
      <c r="M1692" s="154"/>
      <c r="N1692" s="154"/>
      <c r="O1692" s="246"/>
      <c r="P1692" s="1597"/>
      <c r="R1692" s="1598"/>
      <c r="S1692" s="557"/>
      <c r="T1692" s="1768"/>
      <c r="V1692" s="1769"/>
      <c r="X1692" s="1768"/>
      <c r="Z1692" s="1769"/>
      <c r="AA1692" s="557"/>
      <c r="AK1692" s="246"/>
    </row>
    <row r="1693" spans="2:37" ht="18" customHeight="1">
      <c r="B1693" s="199"/>
      <c r="D1693" s="154"/>
      <c r="F1693" s="154"/>
      <c r="G1693" s="217"/>
      <c r="I1693" s="673"/>
      <c r="J1693" s="209"/>
      <c r="K1693" s="520"/>
      <c r="L1693" s="154"/>
      <c r="M1693" s="154"/>
      <c r="N1693" s="154"/>
      <c r="O1693" s="246"/>
      <c r="P1693" s="1597"/>
      <c r="R1693" s="1598"/>
      <c r="S1693" s="557"/>
      <c r="T1693" s="1768"/>
      <c r="V1693" s="1769"/>
      <c r="X1693" s="1768"/>
      <c r="Z1693" s="1769"/>
      <c r="AA1693" s="557"/>
      <c r="AK1693" s="246"/>
    </row>
    <row r="1694" spans="2:37" ht="18" customHeight="1">
      <c r="B1694" s="199"/>
      <c r="D1694" s="154"/>
      <c r="F1694" s="154"/>
      <c r="G1694" s="217"/>
      <c r="I1694" s="673"/>
      <c r="J1694" s="209"/>
      <c r="K1694" s="520"/>
      <c r="L1694" s="154"/>
      <c r="M1694" s="154"/>
      <c r="N1694" s="154"/>
      <c r="O1694" s="246"/>
      <c r="P1694" s="1597"/>
      <c r="R1694" s="1598"/>
      <c r="S1694" s="557"/>
      <c r="T1694" s="1768"/>
      <c r="V1694" s="1769"/>
      <c r="X1694" s="1768"/>
      <c r="Z1694" s="1769"/>
      <c r="AA1694" s="557"/>
      <c r="AK1694" s="246"/>
    </row>
    <row r="1695" spans="2:37" ht="18" customHeight="1">
      <c r="B1695" s="199"/>
      <c r="D1695" s="154"/>
      <c r="F1695" s="154"/>
      <c r="G1695" s="217"/>
      <c r="I1695" s="673"/>
      <c r="J1695" s="209"/>
      <c r="K1695" s="520"/>
      <c r="L1695" s="154"/>
      <c r="M1695" s="154"/>
      <c r="N1695" s="154"/>
      <c r="O1695" s="246"/>
      <c r="P1695" s="1597"/>
      <c r="R1695" s="1598"/>
      <c r="S1695" s="557"/>
      <c r="T1695" s="1768"/>
      <c r="V1695" s="1769"/>
      <c r="X1695" s="1768"/>
      <c r="Z1695" s="1769"/>
      <c r="AA1695" s="557"/>
      <c r="AK1695" s="246"/>
    </row>
    <row r="1696" spans="2:37" ht="18" customHeight="1">
      <c r="B1696" s="199"/>
      <c r="D1696" s="154"/>
      <c r="F1696" s="154"/>
      <c r="G1696" s="217"/>
      <c r="I1696" s="673"/>
      <c r="J1696" s="209"/>
      <c r="K1696" s="520"/>
      <c r="L1696" s="154"/>
      <c r="M1696" s="154"/>
      <c r="N1696" s="154"/>
      <c r="O1696" s="246"/>
      <c r="P1696" s="1597"/>
      <c r="R1696" s="1598"/>
      <c r="S1696" s="557"/>
      <c r="T1696" s="1768"/>
      <c r="V1696" s="1769"/>
      <c r="X1696" s="1768"/>
      <c r="Z1696" s="1769"/>
      <c r="AA1696" s="557"/>
      <c r="AK1696" s="246"/>
    </row>
    <row r="1697" spans="2:37" ht="18" customHeight="1">
      <c r="B1697" s="199"/>
      <c r="D1697" s="154"/>
      <c r="F1697" s="154"/>
      <c r="G1697" s="217"/>
      <c r="I1697" s="673"/>
      <c r="J1697" s="209"/>
      <c r="K1697" s="520"/>
      <c r="L1697" s="154"/>
      <c r="M1697" s="154"/>
      <c r="N1697" s="154"/>
      <c r="O1697" s="246"/>
      <c r="P1697" s="1597"/>
      <c r="R1697" s="1598"/>
      <c r="S1697" s="557"/>
      <c r="T1697" s="1768"/>
      <c r="V1697" s="1769"/>
      <c r="X1697" s="1768"/>
      <c r="Z1697" s="1769"/>
      <c r="AA1697" s="557"/>
      <c r="AK1697" s="246"/>
    </row>
    <row r="1698" spans="2:37" ht="18" customHeight="1">
      <c r="B1698" s="199"/>
      <c r="D1698" s="154"/>
      <c r="F1698" s="154"/>
      <c r="G1698" s="217"/>
      <c r="I1698" s="673"/>
      <c r="J1698" s="209"/>
      <c r="K1698" s="520"/>
      <c r="L1698" s="154"/>
      <c r="M1698" s="154"/>
      <c r="N1698" s="154"/>
      <c r="O1698" s="246"/>
      <c r="P1698" s="1597"/>
      <c r="R1698" s="1598"/>
      <c r="S1698" s="557"/>
      <c r="T1698" s="1768"/>
      <c r="V1698" s="1769"/>
      <c r="X1698" s="1768"/>
      <c r="Z1698" s="1769"/>
      <c r="AA1698" s="557"/>
      <c r="AK1698" s="246"/>
    </row>
    <row r="1699" spans="2:37" ht="18" customHeight="1">
      <c r="B1699" s="199"/>
      <c r="D1699" s="154"/>
      <c r="F1699" s="154"/>
      <c r="G1699" s="217"/>
      <c r="I1699" s="673"/>
      <c r="J1699" s="209"/>
      <c r="K1699" s="520"/>
      <c r="L1699" s="154"/>
      <c r="M1699" s="154"/>
      <c r="N1699" s="154"/>
      <c r="O1699" s="246"/>
      <c r="P1699" s="1597"/>
      <c r="R1699" s="1598"/>
      <c r="S1699" s="557"/>
      <c r="T1699" s="1768"/>
      <c r="V1699" s="1769"/>
      <c r="X1699" s="1768"/>
      <c r="Z1699" s="1769"/>
      <c r="AA1699" s="557"/>
      <c r="AK1699" s="246"/>
    </row>
    <row r="1700" spans="2:37" ht="18" customHeight="1">
      <c r="B1700" s="199"/>
      <c r="D1700" s="154"/>
      <c r="F1700" s="154"/>
      <c r="G1700" s="217"/>
      <c r="I1700" s="673"/>
      <c r="J1700" s="209"/>
      <c r="K1700" s="520"/>
      <c r="L1700" s="154"/>
      <c r="M1700" s="154"/>
      <c r="N1700" s="154"/>
      <c r="O1700" s="246"/>
      <c r="P1700" s="1597"/>
      <c r="R1700" s="1598"/>
      <c r="S1700" s="557"/>
      <c r="T1700" s="1768"/>
      <c r="V1700" s="1769"/>
      <c r="X1700" s="1768"/>
      <c r="Z1700" s="1769"/>
      <c r="AA1700" s="557"/>
      <c r="AK1700" s="246"/>
    </row>
    <row r="1701" spans="2:37" ht="18" customHeight="1">
      <c r="B1701" s="199"/>
      <c r="D1701" s="154"/>
      <c r="F1701" s="154"/>
      <c r="G1701" s="217"/>
      <c r="I1701" s="673"/>
      <c r="J1701" s="209"/>
      <c r="K1701" s="520"/>
      <c r="L1701" s="154"/>
      <c r="M1701" s="154"/>
      <c r="N1701" s="154"/>
      <c r="O1701" s="246"/>
      <c r="P1701" s="1597"/>
      <c r="R1701" s="1598"/>
      <c r="S1701" s="557"/>
      <c r="T1701" s="1768"/>
      <c r="V1701" s="1769"/>
      <c r="X1701" s="1768"/>
      <c r="Z1701" s="1769"/>
      <c r="AA1701" s="557"/>
      <c r="AK1701" s="246"/>
    </row>
    <row r="1702" spans="2:37" ht="18" customHeight="1">
      <c r="B1702" s="199"/>
      <c r="D1702" s="154"/>
      <c r="F1702" s="154"/>
      <c r="G1702" s="217"/>
      <c r="I1702" s="673"/>
      <c r="J1702" s="209"/>
      <c r="K1702" s="520"/>
      <c r="L1702" s="154"/>
      <c r="M1702" s="154"/>
      <c r="N1702" s="154"/>
      <c r="O1702" s="246"/>
      <c r="P1702" s="1597"/>
      <c r="R1702" s="1598"/>
      <c r="S1702" s="557"/>
      <c r="T1702" s="1768"/>
      <c r="V1702" s="1769"/>
      <c r="X1702" s="1768"/>
      <c r="Z1702" s="1769"/>
      <c r="AA1702" s="557"/>
      <c r="AK1702" s="246"/>
    </row>
    <row r="1703" spans="2:37" ht="18" customHeight="1">
      <c r="B1703" s="199"/>
      <c r="D1703" s="154"/>
      <c r="F1703" s="154"/>
      <c r="G1703" s="217"/>
      <c r="I1703" s="673"/>
      <c r="J1703" s="209"/>
      <c r="K1703" s="520"/>
      <c r="L1703" s="154"/>
      <c r="M1703" s="154"/>
      <c r="N1703" s="154"/>
      <c r="O1703" s="246"/>
      <c r="P1703" s="1597"/>
      <c r="R1703" s="1598"/>
      <c r="S1703" s="557"/>
      <c r="T1703" s="1768"/>
      <c r="V1703" s="1769"/>
      <c r="X1703" s="1768"/>
      <c r="Z1703" s="1769"/>
      <c r="AA1703" s="557"/>
      <c r="AK1703" s="246"/>
    </row>
    <row r="1704" spans="2:37" ht="18" customHeight="1">
      <c r="B1704" s="199"/>
      <c r="D1704" s="154"/>
      <c r="F1704" s="154"/>
      <c r="G1704" s="217"/>
      <c r="I1704" s="673"/>
      <c r="J1704" s="209"/>
      <c r="K1704" s="520"/>
      <c r="L1704" s="154"/>
      <c r="M1704" s="154"/>
      <c r="N1704" s="154"/>
      <c r="O1704" s="246"/>
      <c r="P1704" s="1597"/>
      <c r="R1704" s="1598"/>
      <c r="S1704" s="557"/>
      <c r="T1704" s="1768"/>
      <c r="V1704" s="1769"/>
      <c r="X1704" s="1768"/>
      <c r="Z1704" s="1769"/>
      <c r="AA1704" s="557"/>
      <c r="AK1704" s="246"/>
    </row>
    <row r="1705" spans="2:37" ht="18" customHeight="1">
      <c r="B1705" s="199"/>
      <c r="D1705" s="154"/>
      <c r="F1705" s="154"/>
      <c r="G1705" s="217"/>
      <c r="I1705" s="673"/>
      <c r="J1705" s="209"/>
      <c r="K1705" s="520"/>
      <c r="L1705" s="154"/>
      <c r="M1705" s="154"/>
      <c r="N1705" s="154"/>
      <c r="O1705" s="246"/>
      <c r="P1705" s="1597"/>
      <c r="R1705" s="1598"/>
      <c r="S1705" s="557"/>
      <c r="T1705" s="1768"/>
      <c r="V1705" s="1769"/>
      <c r="X1705" s="1768"/>
      <c r="Z1705" s="1769"/>
      <c r="AA1705" s="557"/>
      <c r="AK1705" s="246"/>
    </row>
    <row r="1706" spans="2:37" ht="18" customHeight="1">
      <c r="B1706" s="199"/>
      <c r="D1706" s="154"/>
      <c r="F1706" s="154"/>
      <c r="G1706" s="217"/>
      <c r="I1706" s="673"/>
      <c r="J1706" s="209"/>
      <c r="K1706" s="520"/>
      <c r="L1706" s="154"/>
      <c r="M1706" s="154"/>
      <c r="N1706" s="154"/>
      <c r="O1706" s="246"/>
      <c r="P1706" s="1597"/>
      <c r="R1706" s="1598"/>
      <c r="S1706" s="557"/>
      <c r="T1706" s="1768"/>
      <c r="V1706" s="1769"/>
      <c r="X1706" s="1768"/>
      <c r="Z1706" s="1769"/>
      <c r="AA1706" s="557"/>
      <c r="AK1706" s="246"/>
    </row>
    <row r="1707" spans="2:37" ht="18" customHeight="1">
      <c r="B1707" s="199"/>
      <c r="D1707" s="154"/>
      <c r="F1707" s="154"/>
      <c r="G1707" s="217"/>
      <c r="I1707" s="673"/>
      <c r="J1707" s="209"/>
      <c r="K1707" s="520"/>
      <c r="L1707" s="154"/>
      <c r="M1707" s="154"/>
      <c r="N1707" s="154"/>
      <c r="O1707" s="246"/>
      <c r="P1707" s="1597"/>
      <c r="R1707" s="1598"/>
      <c r="S1707" s="557"/>
      <c r="T1707" s="1768"/>
      <c r="V1707" s="1769"/>
      <c r="X1707" s="1768"/>
      <c r="Z1707" s="1769"/>
      <c r="AA1707" s="557"/>
      <c r="AK1707" s="246"/>
    </row>
    <row r="1708" spans="2:37" ht="18" customHeight="1">
      <c r="B1708" s="199"/>
      <c r="D1708" s="154"/>
      <c r="F1708" s="154"/>
      <c r="G1708" s="217"/>
      <c r="I1708" s="673"/>
      <c r="J1708" s="209"/>
      <c r="K1708" s="520"/>
      <c r="L1708" s="154"/>
      <c r="M1708" s="154"/>
      <c r="N1708" s="154"/>
      <c r="O1708" s="246"/>
      <c r="P1708" s="1597"/>
      <c r="R1708" s="1598"/>
      <c r="S1708" s="557"/>
      <c r="T1708" s="1768"/>
      <c r="V1708" s="1769"/>
      <c r="X1708" s="1768"/>
      <c r="Z1708" s="1769"/>
      <c r="AA1708" s="557"/>
      <c r="AK1708" s="246"/>
    </row>
    <row r="1709" spans="2:37" ht="18" customHeight="1">
      <c r="B1709" s="199"/>
      <c r="D1709" s="154"/>
      <c r="F1709" s="154"/>
      <c r="G1709" s="217"/>
      <c r="I1709" s="673"/>
      <c r="J1709" s="209"/>
      <c r="K1709" s="520"/>
      <c r="L1709" s="154"/>
      <c r="M1709" s="154"/>
      <c r="N1709" s="154"/>
      <c r="O1709" s="246"/>
      <c r="P1709" s="1597"/>
      <c r="R1709" s="1598"/>
      <c r="S1709" s="557"/>
      <c r="T1709" s="1768"/>
      <c r="V1709" s="1769"/>
      <c r="X1709" s="1768"/>
      <c r="Z1709" s="1769"/>
      <c r="AA1709" s="557"/>
      <c r="AK1709" s="246"/>
    </row>
    <row r="1710" spans="2:37" ht="18" customHeight="1">
      <c r="B1710" s="199"/>
      <c r="D1710" s="154"/>
      <c r="F1710" s="154"/>
      <c r="G1710" s="217"/>
      <c r="I1710" s="673"/>
      <c r="J1710" s="209"/>
      <c r="K1710" s="520"/>
      <c r="L1710" s="154"/>
      <c r="M1710" s="154"/>
      <c r="N1710" s="154"/>
      <c r="O1710" s="246"/>
      <c r="P1710" s="1597"/>
      <c r="R1710" s="1598"/>
      <c r="S1710" s="557"/>
      <c r="T1710" s="1768"/>
      <c r="V1710" s="1769"/>
      <c r="X1710" s="1768"/>
      <c r="Z1710" s="1769"/>
      <c r="AA1710" s="557"/>
      <c r="AK1710" s="246"/>
    </row>
    <row r="1711" spans="2:37" ht="18" customHeight="1">
      <c r="B1711" s="199"/>
      <c r="D1711" s="154"/>
      <c r="F1711" s="154"/>
      <c r="G1711" s="217"/>
      <c r="I1711" s="673"/>
      <c r="J1711" s="209"/>
      <c r="K1711" s="520"/>
      <c r="L1711" s="154"/>
      <c r="M1711" s="154"/>
      <c r="N1711" s="154"/>
      <c r="O1711" s="246"/>
      <c r="P1711" s="1597"/>
      <c r="R1711" s="1598"/>
      <c r="S1711" s="557"/>
      <c r="T1711" s="1768"/>
      <c r="V1711" s="1769"/>
      <c r="X1711" s="1768"/>
      <c r="Z1711" s="1769"/>
      <c r="AA1711" s="557"/>
      <c r="AK1711" s="246"/>
    </row>
    <row r="1712" spans="2:37" ht="18" customHeight="1">
      <c r="B1712" s="199"/>
      <c r="D1712" s="154"/>
      <c r="F1712" s="154"/>
      <c r="G1712" s="217"/>
      <c r="I1712" s="673"/>
      <c r="J1712" s="209"/>
      <c r="K1712" s="520"/>
      <c r="L1712" s="154"/>
      <c r="M1712" s="154"/>
      <c r="N1712" s="154"/>
      <c r="O1712" s="246"/>
      <c r="P1712" s="1597"/>
      <c r="R1712" s="1598"/>
      <c r="S1712" s="557"/>
      <c r="T1712" s="1768"/>
      <c r="V1712" s="1769"/>
      <c r="X1712" s="1768"/>
      <c r="Z1712" s="1769"/>
      <c r="AA1712" s="557"/>
      <c r="AK1712" s="246"/>
    </row>
    <row r="1713" spans="2:37" ht="18" customHeight="1">
      <c r="B1713" s="199"/>
      <c r="D1713" s="154"/>
      <c r="F1713" s="154"/>
      <c r="G1713" s="217"/>
      <c r="I1713" s="673"/>
      <c r="J1713" s="209"/>
      <c r="K1713" s="520"/>
      <c r="L1713" s="154"/>
      <c r="M1713" s="154"/>
      <c r="N1713" s="154"/>
      <c r="O1713" s="246"/>
      <c r="P1713" s="1597"/>
      <c r="R1713" s="1598"/>
      <c r="S1713" s="557"/>
      <c r="T1713" s="1768"/>
      <c r="V1713" s="1769"/>
      <c r="X1713" s="1768"/>
      <c r="Z1713" s="1769"/>
      <c r="AA1713" s="557"/>
      <c r="AK1713" s="246"/>
    </row>
    <row r="1714" spans="2:37" ht="18" customHeight="1">
      <c r="B1714" s="199"/>
      <c r="D1714" s="154"/>
      <c r="F1714" s="154"/>
      <c r="G1714" s="217"/>
      <c r="I1714" s="673"/>
      <c r="J1714" s="209"/>
      <c r="K1714" s="520"/>
      <c r="L1714" s="154"/>
      <c r="M1714" s="154"/>
      <c r="N1714" s="154"/>
      <c r="O1714" s="246"/>
      <c r="P1714" s="1597"/>
      <c r="R1714" s="1598"/>
      <c r="S1714" s="557"/>
      <c r="T1714" s="1768"/>
      <c r="V1714" s="1769"/>
      <c r="X1714" s="1768"/>
      <c r="Z1714" s="1769"/>
      <c r="AA1714" s="557"/>
      <c r="AK1714" s="246"/>
    </row>
    <row r="1715" spans="2:37" ht="18" customHeight="1">
      <c r="B1715" s="199"/>
      <c r="D1715" s="154"/>
      <c r="F1715" s="154"/>
      <c r="G1715" s="217"/>
      <c r="I1715" s="673"/>
      <c r="J1715" s="209"/>
      <c r="K1715" s="520"/>
      <c r="L1715" s="154"/>
      <c r="M1715" s="154"/>
      <c r="N1715" s="154"/>
      <c r="O1715" s="246"/>
      <c r="P1715" s="1597"/>
      <c r="R1715" s="1598"/>
      <c r="S1715" s="557"/>
      <c r="T1715" s="1768"/>
      <c r="V1715" s="1769"/>
      <c r="X1715" s="1768"/>
      <c r="Z1715" s="1769"/>
      <c r="AA1715" s="557"/>
      <c r="AK1715" s="246"/>
    </row>
    <row r="1716" spans="2:37" ht="18" customHeight="1">
      <c r="B1716" s="199"/>
      <c r="D1716" s="154"/>
      <c r="F1716" s="154"/>
      <c r="G1716" s="217"/>
      <c r="I1716" s="673"/>
      <c r="J1716" s="209"/>
      <c r="K1716" s="520"/>
      <c r="L1716" s="154"/>
      <c r="M1716" s="154"/>
      <c r="N1716" s="154"/>
      <c r="O1716" s="246"/>
      <c r="P1716" s="1597"/>
      <c r="R1716" s="1598"/>
      <c r="S1716" s="557"/>
      <c r="T1716" s="1768"/>
      <c r="V1716" s="1769"/>
      <c r="X1716" s="1768"/>
      <c r="Z1716" s="1769"/>
      <c r="AA1716" s="557"/>
      <c r="AK1716" s="246"/>
    </row>
    <row r="1717" spans="2:37" ht="18" customHeight="1">
      <c r="B1717" s="199"/>
      <c r="D1717" s="154"/>
      <c r="F1717" s="154"/>
      <c r="G1717" s="217"/>
      <c r="I1717" s="673"/>
      <c r="J1717" s="209"/>
      <c r="K1717" s="520"/>
      <c r="L1717" s="154"/>
      <c r="M1717" s="154"/>
      <c r="N1717" s="154"/>
      <c r="O1717" s="246"/>
      <c r="P1717" s="1597"/>
      <c r="R1717" s="1598"/>
      <c r="S1717" s="557"/>
      <c r="T1717" s="1768"/>
      <c r="V1717" s="1769"/>
      <c r="X1717" s="1768"/>
      <c r="Z1717" s="1769"/>
      <c r="AA1717" s="557"/>
      <c r="AK1717" s="246"/>
    </row>
    <row r="1718" spans="2:37" ht="18" customHeight="1">
      <c r="B1718" s="199"/>
      <c r="D1718" s="154"/>
      <c r="F1718" s="154"/>
      <c r="G1718" s="217"/>
      <c r="I1718" s="673"/>
      <c r="J1718" s="209"/>
      <c r="K1718" s="520"/>
      <c r="L1718" s="154"/>
      <c r="M1718" s="154"/>
      <c r="N1718" s="154"/>
      <c r="O1718" s="246"/>
      <c r="P1718" s="1597"/>
      <c r="R1718" s="1598"/>
      <c r="S1718" s="557"/>
      <c r="T1718" s="1768"/>
      <c r="V1718" s="1769"/>
      <c r="X1718" s="1768"/>
      <c r="Z1718" s="1769"/>
      <c r="AA1718" s="557"/>
      <c r="AK1718" s="246"/>
    </row>
    <row r="1719" spans="2:37" ht="18" customHeight="1">
      <c r="B1719" s="199"/>
      <c r="D1719" s="154"/>
      <c r="F1719" s="154"/>
      <c r="G1719" s="217"/>
      <c r="I1719" s="673"/>
      <c r="J1719" s="209"/>
      <c r="K1719" s="520"/>
      <c r="L1719" s="154"/>
      <c r="M1719" s="154"/>
      <c r="N1719" s="154"/>
      <c r="O1719" s="246"/>
      <c r="P1719" s="1597"/>
      <c r="R1719" s="1598"/>
      <c r="S1719" s="557"/>
      <c r="T1719" s="1768"/>
      <c r="V1719" s="1769"/>
      <c r="X1719" s="1768"/>
      <c r="Z1719" s="1769"/>
      <c r="AA1719" s="557"/>
      <c r="AK1719" s="246"/>
    </row>
    <row r="1720" spans="2:37" ht="18" customHeight="1">
      <c r="B1720" s="199"/>
      <c r="D1720" s="154"/>
      <c r="F1720" s="154"/>
      <c r="G1720" s="217"/>
      <c r="I1720" s="673"/>
      <c r="J1720" s="209"/>
      <c r="K1720" s="520"/>
      <c r="L1720" s="154"/>
      <c r="M1720" s="154"/>
      <c r="N1720" s="154"/>
      <c r="O1720" s="246"/>
      <c r="P1720" s="1597"/>
      <c r="R1720" s="1598"/>
      <c r="S1720" s="557"/>
      <c r="T1720" s="1768"/>
      <c r="V1720" s="1769"/>
      <c r="X1720" s="1768"/>
      <c r="Z1720" s="1769"/>
      <c r="AA1720" s="557"/>
      <c r="AK1720" s="246"/>
    </row>
    <row r="1721" spans="2:37" ht="18" customHeight="1">
      <c r="B1721" s="199"/>
      <c r="D1721" s="154"/>
      <c r="F1721" s="154"/>
      <c r="G1721" s="217"/>
      <c r="I1721" s="673"/>
      <c r="J1721" s="209"/>
      <c r="K1721" s="520"/>
      <c r="L1721" s="154"/>
      <c r="M1721" s="154"/>
      <c r="N1721" s="154"/>
      <c r="O1721" s="246"/>
      <c r="P1721" s="1597"/>
      <c r="R1721" s="1598"/>
      <c r="S1721" s="557"/>
      <c r="T1721" s="1768"/>
      <c r="V1721" s="1769"/>
      <c r="X1721" s="1768"/>
      <c r="Z1721" s="1769"/>
      <c r="AA1721" s="557"/>
      <c r="AK1721" s="246"/>
    </row>
    <row r="1722" spans="2:37" ht="18" customHeight="1">
      <c r="B1722" s="199"/>
      <c r="D1722" s="154"/>
      <c r="F1722" s="154"/>
      <c r="G1722" s="217"/>
      <c r="I1722" s="673"/>
      <c r="J1722" s="209"/>
      <c r="K1722" s="520"/>
      <c r="L1722" s="154"/>
      <c r="M1722" s="154"/>
      <c r="N1722" s="154"/>
      <c r="O1722" s="246"/>
      <c r="P1722" s="1597"/>
      <c r="R1722" s="1598"/>
      <c r="S1722" s="557"/>
      <c r="T1722" s="1768"/>
      <c r="V1722" s="1769"/>
      <c r="X1722" s="1768"/>
      <c r="Z1722" s="1769"/>
      <c r="AA1722" s="557"/>
      <c r="AK1722" s="246"/>
    </row>
    <row r="1723" spans="2:37" ht="18" customHeight="1">
      <c r="B1723" s="199"/>
      <c r="D1723" s="154"/>
      <c r="F1723" s="154"/>
      <c r="G1723" s="217"/>
      <c r="I1723" s="673"/>
      <c r="J1723" s="209"/>
      <c r="K1723" s="520"/>
      <c r="L1723" s="154"/>
      <c r="M1723" s="154"/>
      <c r="N1723" s="154"/>
      <c r="O1723" s="246"/>
      <c r="P1723" s="1597"/>
      <c r="R1723" s="1598"/>
      <c r="S1723" s="557"/>
      <c r="T1723" s="1768"/>
      <c r="V1723" s="1769"/>
      <c r="X1723" s="1768"/>
      <c r="Z1723" s="1769"/>
      <c r="AA1723" s="557"/>
      <c r="AK1723" s="246"/>
    </row>
    <row r="1724" spans="2:37" ht="18" customHeight="1">
      <c r="B1724" s="199"/>
      <c r="D1724" s="154"/>
      <c r="F1724" s="154"/>
      <c r="G1724" s="217"/>
      <c r="I1724" s="673"/>
      <c r="J1724" s="209"/>
      <c r="K1724" s="520"/>
      <c r="L1724" s="154"/>
      <c r="M1724" s="154"/>
      <c r="N1724" s="154"/>
      <c r="O1724" s="246"/>
      <c r="P1724" s="1597"/>
      <c r="R1724" s="1598"/>
      <c r="S1724" s="557"/>
      <c r="T1724" s="1768"/>
      <c r="V1724" s="1769"/>
      <c r="X1724" s="1768"/>
      <c r="Z1724" s="1769"/>
      <c r="AA1724" s="557"/>
      <c r="AK1724" s="246"/>
    </row>
    <row r="1725" spans="2:37" ht="18" customHeight="1">
      <c r="B1725" s="199"/>
      <c r="D1725" s="154"/>
      <c r="F1725" s="154"/>
      <c r="G1725" s="217"/>
      <c r="I1725" s="673"/>
      <c r="J1725" s="209"/>
      <c r="K1725" s="520"/>
      <c r="L1725" s="154"/>
      <c r="M1725" s="154"/>
      <c r="N1725" s="154"/>
      <c r="O1725" s="246"/>
      <c r="P1725" s="1597"/>
      <c r="R1725" s="1598"/>
      <c r="S1725" s="557"/>
      <c r="T1725" s="1768"/>
      <c r="V1725" s="1769"/>
      <c r="X1725" s="1768"/>
      <c r="Z1725" s="1769"/>
      <c r="AA1725" s="557"/>
      <c r="AK1725" s="246"/>
    </row>
    <row r="1726" spans="2:37" ht="18" customHeight="1">
      <c r="B1726" s="199"/>
      <c r="D1726" s="154"/>
      <c r="F1726" s="154"/>
      <c r="G1726" s="217"/>
      <c r="I1726" s="673"/>
      <c r="J1726" s="209"/>
      <c r="K1726" s="520"/>
      <c r="L1726" s="154"/>
      <c r="M1726" s="154"/>
      <c r="N1726" s="154"/>
      <c r="O1726" s="246"/>
      <c r="P1726" s="1597"/>
      <c r="R1726" s="1598"/>
      <c r="S1726" s="557"/>
      <c r="T1726" s="1768"/>
      <c r="V1726" s="1769"/>
      <c r="X1726" s="1768"/>
      <c r="Z1726" s="1769"/>
      <c r="AA1726" s="557"/>
      <c r="AK1726" s="246"/>
    </row>
    <row r="1727" spans="2:37" ht="18" customHeight="1">
      <c r="B1727" s="199"/>
      <c r="D1727" s="154"/>
      <c r="F1727" s="154"/>
      <c r="G1727" s="217"/>
      <c r="I1727" s="673"/>
      <c r="J1727" s="209"/>
      <c r="K1727" s="520"/>
      <c r="L1727" s="154"/>
      <c r="M1727" s="154"/>
      <c r="N1727" s="154"/>
      <c r="O1727" s="246"/>
      <c r="P1727" s="1597"/>
      <c r="R1727" s="1598"/>
      <c r="S1727" s="557"/>
      <c r="T1727" s="1768"/>
      <c r="V1727" s="1769"/>
      <c r="X1727" s="1768"/>
      <c r="Z1727" s="1769"/>
      <c r="AA1727" s="557"/>
      <c r="AK1727" s="246"/>
    </row>
    <row r="1728" spans="2:37" ht="18" customHeight="1">
      <c r="B1728" s="199"/>
      <c r="D1728" s="154"/>
      <c r="F1728" s="154"/>
      <c r="G1728" s="217"/>
      <c r="I1728" s="673"/>
      <c r="J1728" s="209"/>
      <c r="K1728" s="520"/>
      <c r="L1728" s="154"/>
      <c r="M1728" s="154"/>
      <c r="N1728" s="154"/>
      <c r="O1728" s="246"/>
      <c r="P1728" s="1597"/>
      <c r="R1728" s="1598"/>
      <c r="S1728" s="557"/>
      <c r="T1728" s="1768"/>
      <c r="V1728" s="1769"/>
      <c r="X1728" s="1768"/>
      <c r="Z1728" s="1769"/>
      <c r="AA1728" s="557"/>
      <c r="AK1728" s="246"/>
    </row>
    <row r="1729" spans="2:37" ht="18" customHeight="1">
      <c r="B1729" s="199"/>
      <c r="D1729" s="154"/>
      <c r="F1729" s="154"/>
      <c r="G1729" s="217"/>
      <c r="I1729" s="673"/>
      <c r="J1729" s="209"/>
      <c r="K1729" s="520"/>
      <c r="L1729" s="154"/>
      <c r="M1729" s="154"/>
      <c r="N1729" s="154"/>
      <c r="O1729" s="246"/>
      <c r="P1729" s="1597"/>
      <c r="R1729" s="1598"/>
      <c r="S1729" s="557"/>
      <c r="T1729" s="1768"/>
      <c r="V1729" s="1769"/>
      <c r="X1729" s="1768"/>
      <c r="Z1729" s="1769"/>
      <c r="AA1729" s="557"/>
      <c r="AK1729" s="246"/>
    </row>
    <row r="1730" spans="2:37" ht="18" customHeight="1">
      <c r="B1730" s="199"/>
      <c r="D1730" s="154"/>
      <c r="F1730" s="154"/>
      <c r="G1730" s="217"/>
      <c r="I1730" s="673"/>
      <c r="J1730" s="209"/>
      <c r="K1730" s="520"/>
      <c r="L1730" s="154"/>
      <c r="M1730" s="154"/>
      <c r="N1730" s="154"/>
      <c r="O1730" s="246"/>
      <c r="P1730" s="1597"/>
      <c r="R1730" s="1598"/>
      <c r="S1730" s="557"/>
      <c r="T1730" s="1768"/>
      <c r="V1730" s="1769"/>
      <c r="X1730" s="1768"/>
      <c r="Z1730" s="1769"/>
      <c r="AA1730" s="557"/>
      <c r="AK1730" s="246"/>
    </row>
    <row r="1731" spans="2:37" ht="18" customHeight="1">
      <c r="B1731" s="199"/>
      <c r="D1731" s="154"/>
      <c r="F1731" s="154"/>
      <c r="G1731" s="217"/>
      <c r="I1731" s="673"/>
      <c r="J1731" s="209"/>
      <c r="K1731" s="520"/>
      <c r="L1731" s="154"/>
      <c r="M1731" s="154"/>
      <c r="N1731" s="154"/>
      <c r="O1731" s="246"/>
      <c r="P1731" s="1597"/>
      <c r="R1731" s="1598"/>
      <c r="S1731" s="557"/>
      <c r="T1731" s="1768"/>
      <c r="V1731" s="1769"/>
      <c r="X1731" s="1768"/>
      <c r="Z1731" s="1769"/>
      <c r="AA1731" s="557"/>
      <c r="AK1731" s="246"/>
    </row>
    <row r="1732" spans="2:37" ht="18" customHeight="1">
      <c r="B1732" s="199"/>
      <c r="D1732" s="154"/>
      <c r="F1732" s="154"/>
      <c r="G1732" s="217"/>
      <c r="I1732" s="673"/>
      <c r="J1732" s="209"/>
      <c r="K1732" s="520"/>
      <c r="L1732" s="154"/>
      <c r="M1732" s="154"/>
      <c r="N1732" s="154"/>
      <c r="O1732" s="246"/>
      <c r="P1732" s="1597"/>
      <c r="R1732" s="1598"/>
      <c r="S1732" s="557"/>
      <c r="T1732" s="1768"/>
      <c r="V1732" s="1769"/>
      <c r="X1732" s="1768"/>
      <c r="Z1732" s="1769"/>
      <c r="AA1732" s="557"/>
      <c r="AK1732" s="246"/>
    </row>
    <row r="1733" spans="2:37" ht="18" customHeight="1">
      <c r="B1733" s="199"/>
      <c r="D1733" s="154"/>
      <c r="F1733" s="154"/>
      <c r="G1733" s="217"/>
      <c r="I1733" s="673"/>
      <c r="J1733" s="209"/>
      <c r="K1733" s="520"/>
      <c r="L1733" s="154"/>
      <c r="M1733" s="154"/>
      <c r="N1733" s="154"/>
      <c r="O1733" s="246"/>
      <c r="P1733" s="1597"/>
      <c r="R1733" s="1598"/>
      <c r="S1733" s="557"/>
      <c r="T1733" s="1768"/>
      <c r="V1733" s="1769"/>
      <c r="X1733" s="1768"/>
      <c r="Z1733" s="1769"/>
      <c r="AA1733" s="557"/>
      <c r="AK1733" s="246"/>
    </row>
    <row r="1734" spans="2:37" ht="18" customHeight="1">
      <c r="B1734" s="199"/>
      <c r="D1734" s="154"/>
      <c r="F1734" s="154"/>
      <c r="G1734" s="217"/>
      <c r="I1734" s="673"/>
      <c r="J1734" s="209"/>
      <c r="K1734" s="520"/>
      <c r="L1734" s="154"/>
      <c r="M1734" s="154"/>
      <c r="N1734" s="154"/>
      <c r="O1734" s="246"/>
      <c r="P1734" s="1597"/>
      <c r="R1734" s="1598"/>
      <c r="S1734" s="557"/>
      <c r="T1734" s="1768"/>
      <c r="V1734" s="1769"/>
      <c r="X1734" s="1768"/>
      <c r="Z1734" s="1769"/>
      <c r="AA1734" s="557"/>
      <c r="AK1734" s="246"/>
    </row>
    <row r="1735" spans="2:37" ht="18" customHeight="1">
      <c r="B1735" s="199"/>
      <c r="D1735" s="154"/>
      <c r="F1735" s="154"/>
      <c r="G1735" s="217"/>
      <c r="I1735" s="673"/>
      <c r="J1735" s="209"/>
      <c r="K1735" s="520"/>
      <c r="L1735" s="154"/>
      <c r="M1735" s="154"/>
      <c r="N1735" s="154"/>
      <c r="O1735" s="246"/>
      <c r="P1735" s="1597"/>
      <c r="R1735" s="1598"/>
      <c r="S1735" s="557"/>
      <c r="T1735" s="1768"/>
      <c r="V1735" s="1769"/>
      <c r="X1735" s="1768"/>
      <c r="Z1735" s="1769"/>
      <c r="AA1735" s="557"/>
      <c r="AK1735" s="246"/>
    </row>
    <row r="1736" spans="2:37" ht="18" customHeight="1">
      <c r="B1736" s="199"/>
      <c r="D1736" s="154"/>
      <c r="F1736" s="154"/>
      <c r="G1736" s="217"/>
      <c r="I1736" s="673"/>
      <c r="J1736" s="209"/>
      <c r="K1736" s="520"/>
      <c r="L1736" s="154"/>
      <c r="M1736" s="154"/>
      <c r="N1736" s="154"/>
      <c r="O1736" s="246"/>
      <c r="P1736" s="1597"/>
      <c r="R1736" s="1598"/>
      <c r="S1736" s="557"/>
      <c r="T1736" s="1768"/>
      <c r="V1736" s="1769"/>
      <c r="X1736" s="1768"/>
      <c r="Z1736" s="1769"/>
      <c r="AA1736" s="557"/>
      <c r="AK1736" s="246"/>
    </row>
    <row r="1737" spans="2:37" ht="18" customHeight="1">
      <c r="B1737" s="199"/>
      <c r="D1737" s="154"/>
      <c r="F1737" s="154"/>
      <c r="G1737" s="217"/>
      <c r="I1737" s="673"/>
      <c r="J1737" s="209"/>
      <c r="K1737" s="520"/>
      <c r="L1737" s="154"/>
      <c r="M1737" s="154"/>
      <c r="N1737" s="154"/>
      <c r="O1737" s="246"/>
      <c r="P1737" s="1597"/>
      <c r="R1737" s="1598"/>
      <c r="S1737" s="557"/>
      <c r="T1737" s="1768"/>
      <c r="V1737" s="1769"/>
      <c r="X1737" s="1768"/>
      <c r="Z1737" s="1769"/>
      <c r="AA1737" s="557"/>
      <c r="AK1737" s="246"/>
    </row>
    <row r="1738" spans="2:37" ht="18" customHeight="1">
      <c r="B1738" s="199"/>
      <c r="D1738" s="154"/>
      <c r="F1738" s="154"/>
      <c r="G1738" s="217"/>
      <c r="I1738" s="673"/>
      <c r="J1738" s="209"/>
      <c r="K1738" s="520"/>
      <c r="L1738" s="154"/>
      <c r="M1738" s="154"/>
      <c r="N1738" s="154"/>
      <c r="O1738" s="246"/>
      <c r="P1738" s="1597"/>
      <c r="R1738" s="1598"/>
      <c r="S1738" s="557"/>
      <c r="T1738" s="1768"/>
      <c r="V1738" s="1769"/>
      <c r="X1738" s="1768"/>
      <c r="Z1738" s="1769"/>
      <c r="AA1738" s="557"/>
      <c r="AK1738" s="246"/>
    </row>
    <row r="1739" spans="2:37" ht="18" customHeight="1">
      <c r="B1739" s="199"/>
      <c r="D1739" s="154"/>
      <c r="F1739" s="154"/>
      <c r="G1739" s="217"/>
      <c r="I1739" s="673"/>
      <c r="J1739" s="209"/>
      <c r="K1739" s="520"/>
      <c r="L1739" s="154"/>
      <c r="M1739" s="154"/>
      <c r="N1739" s="154"/>
      <c r="O1739" s="246"/>
      <c r="P1739" s="1597"/>
      <c r="R1739" s="1598"/>
      <c r="S1739" s="557"/>
      <c r="T1739" s="1768"/>
      <c r="V1739" s="1769"/>
      <c r="X1739" s="1768"/>
      <c r="Z1739" s="1769"/>
      <c r="AA1739" s="557"/>
      <c r="AK1739" s="246"/>
    </row>
    <row r="1740" spans="2:37" ht="18" customHeight="1">
      <c r="B1740" s="199"/>
      <c r="D1740" s="154"/>
      <c r="F1740" s="154"/>
      <c r="G1740" s="217"/>
      <c r="I1740" s="673"/>
      <c r="J1740" s="209"/>
      <c r="K1740" s="520"/>
      <c r="L1740" s="154"/>
      <c r="M1740" s="154"/>
      <c r="N1740" s="154"/>
      <c r="O1740" s="246"/>
      <c r="P1740" s="1597"/>
      <c r="R1740" s="1598"/>
      <c r="S1740" s="557"/>
      <c r="T1740" s="1768"/>
      <c r="V1740" s="1769"/>
      <c r="X1740" s="1768"/>
      <c r="Z1740" s="1769"/>
      <c r="AA1740" s="557"/>
      <c r="AK1740" s="246"/>
    </row>
    <row r="1741" spans="2:37" ht="18" customHeight="1">
      <c r="B1741" s="199"/>
      <c r="D1741" s="154"/>
      <c r="F1741" s="154"/>
      <c r="G1741" s="217"/>
      <c r="I1741" s="673"/>
      <c r="J1741" s="209"/>
      <c r="K1741" s="520"/>
      <c r="L1741" s="154"/>
      <c r="M1741" s="154"/>
      <c r="N1741" s="154"/>
      <c r="O1741" s="246"/>
      <c r="P1741" s="1597"/>
      <c r="R1741" s="1598"/>
      <c r="S1741" s="557"/>
      <c r="T1741" s="1768"/>
      <c r="V1741" s="1769"/>
      <c r="X1741" s="1768"/>
      <c r="Z1741" s="1769"/>
      <c r="AA1741" s="557"/>
      <c r="AK1741" s="246"/>
    </row>
    <row r="1742" spans="2:37" ht="18" customHeight="1">
      <c r="B1742" s="199"/>
      <c r="D1742" s="154"/>
      <c r="F1742" s="154"/>
      <c r="G1742" s="217"/>
      <c r="I1742" s="673"/>
      <c r="J1742" s="209"/>
      <c r="K1742" s="520"/>
      <c r="L1742" s="154"/>
      <c r="M1742" s="154"/>
      <c r="N1742" s="154"/>
      <c r="O1742" s="246"/>
      <c r="P1742" s="1597"/>
      <c r="R1742" s="1598"/>
      <c r="S1742" s="557"/>
      <c r="T1742" s="1768"/>
      <c r="V1742" s="1769"/>
      <c r="X1742" s="1768"/>
      <c r="Z1742" s="1769"/>
      <c r="AA1742" s="557"/>
      <c r="AK1742" s="246"/>
    </row>
    <row r="1743" spans="2:37" ht="18" customHeight="1">
      <c r="B1743" s="199"/>
      <c r="D1743" s="154"/>
      <c r="F1743" s="154"/>
      <c r="G1743" s="217"/>
      <c r="I1743" s="673"/>
      <c r="J1743" s="209"/>
      <c r="K1743" s="520"/>
      <c r="L1743" s="154"/>
      <c r="M1743" s="154"/>
      <c r="N1743" s="154"/>
      <c r="O1743" s="246"/>
      <c r="P1743" s="1597"/>
      <c r="R1743" s="1598"/>
      <c r="S1743" s="557"/>
      <c r="T1743" s="1768"/>
      <c r="V1743" s="1769"/>
      <c r="X1743" s="1768"/>
      <c r="Z1743" s="1769"/>
      <c r="AA1743" s="557"/>
      <c r="AK1743" s="246"/>
    </row>
    <row r="1744" spans="2:37" ht="18" customHeight="1">
      <c r="B1744" s="199"/>
      <c r="D1744" s="154"/>
      <c r="F1744" s="154"/>
      <c r="G1744" s="217"/>
      <c r="I1744" s="673"/>
      <c r="J1744" s="209"/>
      <c r="K1744" s="520"/>
      <c r="L1744" s="154"/>
      <c r="M1744" s="154"/>
      <c r="N1744" s="154"/>
      <c r="O1744" s="246"/>
      <c r="P1744" s="1597"/>
      <c r="R1744" s="1598"/>
      <c r="S1744" s="557"/>
      <c r="T1744" s="1768"/>
      <c r="V1744" s="1769"/>
      <c r="X1744" s="1768"/>
      <c r="Z1744" s="1769"/>
      <c r="AA1744" s="557"/>
      <c r="AK1744" s="246"/>
    </row>
    <row r="1745" spans="2:37" ht="18" customHeight="1">
      <c r="B1745" s="199"/>
      <c r="D1745" s="154"/>
      <c r="F1745" s="154"/>
      <c r="G1745" s="217"/>
      <c r="I1745" s="673"/>
      <c r="J1745" s="209"/>
      <c r="K1745" s="520"/>
      <c r="L1745" s="154"/>
      <c r="M1745" s="154"/>
      <c r="N1745" s="154"/>
      <c r="O1745" s="246"/>
      <c r="P1745" s="1597"/>
      <c r="R1745" s="1598"/>
      <c r="S1745" s="557"/>
      <c r="T1745" s="1768"/>
      <c r="V1745" s="1769"/>
      <c r="X1745" s="1768"/>
      <c r="Z1745" s="1769"/>
      <c r="AA1745" s="557"/>
      <c r="AK1745" s="246"/>
    </row>
    <row r="1746" spans="2:37" ht="18" customHeight="1">
      <c r="B1746" s="199"/>
      <c r="D1746" s="154"/>
      <c r="F1746" s="154"/>
      <c r="G1746" s="217"/>
      <c r="I1746" s="673"/>
      <c r="J1746" s="209"/>
      <c r="K1746" s="520"/>
      <c r="L1746" s="154"/>
      <c r="M1746" s="154"/>
      <c r="N1746" s="154"/>
      <c r="O1746" s="246"/>
      <c r="P1746" s="1597"/>
      <c r="R1746" s="1598"/>
      <c r="S1746" s="557"/>
      <c r="T1746" s="1768"/>
      <c r="V1746" s="1769"/>
      <c r="X1746" s="1768"/>
      <c r="Z1746" s="1769"/>
      <c r="AA1746" s="557"/>
      <c r="AK1746" s="246"/>
    </row>
    <row r="1747" spans="2:37" ht="18" customHeight="1">
      <c r="B1747" s="199"/>
      <c r="D1747" s="154"/>
      <c r="F1747" s="154"/>
      <c r="G1747" s="217"/>
      <c r="I1747" s="673"/>
      <c r="J1747" s="209"/>
      <c r="K1747" s="520"/>
      <c r="L1747" s="154"/>
      <c r="M1747" s="154"/>
      <c r="N1747" s="154"/>
      <c r="O1747" s="246"/>
      <c r="P1747" s="1597"/>
      <c r="R1747" s="1598"/>
      <c r="S1747" s="557"/>
      <c r="T1747" s="1768"/>
      <c r="V1747" s="1769"/>
      <c r="X1747" s="1768"/>
      <c r="Z1747" s="1769"/>
      <c r="AA1747" s="557"/>
      <c r="AK1747" s="246"/>
    </row>
    <row r="1748" spans="2:37" ht="18" customHeight="1">
      <c r="B1748" s="199"/>
      <c r="D1748" s="154"/>
      <c r="F1748" s="154"/>
      <c r="G1748" s="217"/>
      <c r="I1748" s="673"/>
      <c r="J1748" s="209"/>
      <c r="K1748" s="520"/>
      <c r="L1748" s="154"/>
      <c r="M1748" s="154"/>
      <c r="N1748" s="154"/>
      <c r="O1748" s="246"/>
      <c r="P1748" s="1597"/>
      <c r="R1748" s="1598"/>
      <c r="S1748" s="557"/>
      <c r="T1748" s="1768"/>
      <c r="V1748" s="1769"/>
      <c r="X1748" s="1768"/>
      <c r="Z1748" s="1769"/>
      <c r="AA1748" s="557"/>
      <c r="AK1748" s="246"/>
    </row>
    <row r="1749" spans="2:37" ht="18" customHeight="1">
      <c r="B1749" s="199"/>
      <c r="D1749" s="154"/>
      <c r="F1749" s="154"/>
      <c r="G1749" s="217"/>
      <c r="I1749" s="673"/>
      <c r="J1749" s="209"/>
      <c r="K1749" s="520"/>
      <c r="L1749" s="154"/>
      <c r="M1749" s="154"/>
      <c r="N1749" s="154"/>
      <c r="O1749" s="246"/>
      <c r="P1749" s="1597"/>
      <c r="R1749" s="1598"/>
      <c r="S1749" s="557"/>
      <c r="T1749" s="1768"/>
      <c r="V1749" s="1769"/>
      <c r="X1749" s="1768"/>
      <c r="Z1749" s="1769"/>
      <c r="AA1749" s="557"/>
      <c r="AK1749" s="246"/>
    </row>
    <row r="1750" spans="2:37" ht="18" customHeight="1">
      <c r="B1750" s="199"/>
      <c r="D1750" s="154"/>
      <c r="F1750" s="154"/>
      <c r="G1750" s="217"/>
      <c r="I1750" s="673"/>
      <c r="J1750" s="209"/>
      <c r="K1750" s="520"/>
      <c r="L1750" s="154"/>
      <c r="M1750" s="154"/>
      <c r="N1750" s="154"/>
      <c r="O1750" s="246"/>
      <c r="P1750" s="1597"/>
      <c r="R1750" s="1598"/>
      <c r="S1750" s="557"/>
      <c r="T1750" s="1768"/>
      <c r="V1750" s="1769"/>
      <c r="X1750" s="1768"/>
      <c r="Z1750" s="1769"/>
      <c r="AA1750" s="557"/>
      <c r="AK1750" s="246"/>
    </row>
    <row r="1751" spans="2:37" ht="18" customHeight="1">
      <c r="B1751" s="199"/>
      <c r="D1751" s="154"/>
      <c r="F1751" s="154"/>
      <c r="G1751" s="217"/>
      <c r="I1751" s="673"/>
      <c r="J1751" s="209"/>
      <c r="K1751" s="520"/>
      <c r="L1751" s="154"/>
      <c r="M1751" s="154"/>
      <c r="N1751" s="154"/>
      <c r="O1751" s="246"/>
      <c r="P1751" s="1597"/>
      <c r="R1751" s="1598"/>
      <c r="S1751" s="557"/>
      <c r="T1751" s="1768"/>
      <c r="V1751" s="1769"/>
      <c r="X1751" s="1768"/>
      <c r="Z1751" s="1769"/>
      <c r="AA1751" s="557"/>
      <c r="AK1751" s="246"/>
    </row>
    <row r="1752" spans="2:37" ht="18" customHeight="1">
      <c r="B1752" s="199"/>
      <c r="D1752" s="154"/>
      <c r="F1752" s="154"/>
      <c r="G1752" s="217"/>
      <c r="I1752" s="673"/>
      <c r="J1752" s="209"/>
      <c r="K1752" s="520"/>
      <c r="L1752" s="154"/>
      <c r="M1752" s="154"/>
      <c r="N1752" s="154"/>
      <c r="O1752" s="246"/>
      <c r="P1752" s="1597"/>
      <c r="R1752" s="1598"/>
      <c r="S1752" s="557"/>
      <c r="T1752" s="1768"/>
      <c r="V1752" s="1769"/>
      <c r="X1752" s="1768"/>
      <c r="Z1752" s="1769"/>
      <c r="AA1752" s="557"/>
      <c r="AK1752" s="246"/>
    </row>
    <row r="1753" spans="2:37" ht="18" customHeight="1">
      <c r="B1753" s="199"/>
      <c r="D1753" s="154"/>
      <c r="F1753" s="154"/>
      <c r="G1753" s="217"/>
      <c r="I1753" s="673"/>
      <c r="J1753" s="209"/>
      <c r="K1753" s="520"/>
      <c r="L1753" s="154"/>
      <c r="M1753" s="154"/>
      <c r="N1753" s="154"/>
      <c r="O1753" s="246"/>
      <c r="P1753" s="1597"/>
      <c r="R1753" s="1598"/>
      <c r="S1753" s="557"/>
      <c r="T1753" s="1768"/>
      <c r="V1753" s="1769"/>
      <c r="X1753" s="1768"/>
      <c r="Z1753" s="1769"/>
      <c r="AA1753" s="557"/>
      <c r="AK1753" s="246"/>
    </row>
    <row r="1754" spans="2:37" ht="18" customHeight="1">
      <c r="B1754" s="199"/>
      <c r="D1754" s="154"/>
      <c r="F1754" s="154"/>
      <c r="G1754" s="217"/>
      <c r="I1754" s="673"/>
      <c r="J1754" s="209"/>
      <c r="K1754" s="520"/>
      <c r="L1754" s="154"/>
      <c r="M1754" s="154"/>
      <c r="N1754" s="154"/>
      <c r="O1754" s="246"/>
      <c r="P1754" s="1597"/>
      <c r="R1754" s="1598"/>
      <c r="S1754" s="557"/>
      <c r="T1754" s="1768"/>
      <c r="V1754" s="1769"/>
      <c r="X1754" s="1768"/>
      <c r="Z1754" s="1769"/>
      <c r="AA1754" s="557"/>
      <c r="AK1754" s="246"/>
    </row>
    <row r="1755" spans="2:37" ht="18" customHeight="1">
      <c r="B1755" s="199"/>
      <c r="D1755" s="154"/>
      <c r="F1755" s="154"/>
      <c r="G1755" s="217"/>
      <c r="I1755" s="673"/>
      <c r="J1755" s="209"/>
      <c r="K1755" s="520"/>
      <c r="L1755" s="154"/>
      <c r="M1755" s="154"/>
      <c r="N1755" s="154"/>
      <c r="O1755" s="246"/>
      <c r="P1755" s="1597"/>
      <c r="R1755" s="1598"/>
      <c r="S1755" s="557"/>
      <c r="T1755" s="1768"/>
      <c r="V1755" s="1769"/>
      <c r="X1755" s="1768"/>
      <c r="Z1755" s="1769"/>
      <c r="AA1755" s="557"/>
      <c r="AK1755" s="246"/>
    </row>
    <row r="1756" spans="2:37" ht="18" customHeight="1">
      <c r="B1756" s="199"/>
      <c r="D1756" s="154"/>
      <c r="F1756" s="154"/>
      <c r="G1756" s="217"/>
      <c r="I1756" s="673"/>
      <c r="J1756" s="209"/>
      <c r="K1756" s="520"/>
      <c r="L1756" s="154"/>
      <c r="M1756" s="154"/>
      <c r="N1756" s="154"/>
      <c r="O1756" s="246"/>
      <c r="P1756" s="1597"/>
      <c r="R1756" s="1598"/>
      <c r="S1756" s="557"/>
      <c r="T1756" s="1768"/>
      <c r="V1756" s="1769"/>
      <c r="X1756" s="1768"/>
      <c r="Z1756" s="1769"/>
      <c r="AA1756" s="557"/>
      <c r="AK1756" s="246"/>
    </row>
    <row r="1757" spans="2:37" ht="18" customHeight="1">
      <c r="B1757" s="199"/>
      <c r="D1757" s="154"/>
      <c r="F1757" s="154"/>
      <c r="G1757" s="217"/>
      <c r="I1757" s="673"/>
      <c r="J1757" s="209"/>
      <c r="K1757" s="520"/>
      <c r="L1757" s="154"/>
      <c r="M1757" s="154"/>
      <c r="N1757" s="154"/>
      <c r="O1757" s="246"/>
      <c r="P1757" s="1597"/>
      <c r="R1757" s="1598"/>
      <c r="S1757" s="557"/>
      <c r="T1757" s="1768"/>
      <c r="V1757" s="1769"/>
      <c r="X1757" s="1768"/>
      <c r="Z1757" s="1769"/>
      <c r="AA1757" s="557"/>
      <c r="AK1757" s="246"/>
    </row>
    <row r="1758" spans="2:37" ht="18" customHeight="1">
      <c r="B1758" s="199"/>
      <c r="D1758" s="154"/>
      <c r="F1758" s="154"/>
      <c r="G1758" s="217"/>
      <c r="I1758" s="673"/>
      <c r="J1758" s="209"/>
      <c r="K1758" s="520"/>
      <c r="L1758" s="154"/>
      <c r="M1758" s="154"/>
      <c r="N1758" s="154"/>
      <c r="O1758" s="246"/>
      <c r="P1758" s="1597"/>
      <c r="R1758" s="1598"/>
      <c r="S1758" s="557"/>
      <c r="T1758" s="1768"/>
      <c r="V1758" s="1769"/>
      <c r="X1758" s="1768"/>
      <c r="Z1758" s="1769"/>
      <c r="AA1758" s="557"/>
      <c r="AK1758" s="246"/>
    </row>
    <row r="1759" spans="2:37" ht="18" customHeight="1">
      <c r="B1759" s="199"/>
      <c r="D1759" s="154"/>
      <c r="F1759" s="154"/>
      <c r="G1759" s="217"/>
      <c r="I1759" s="673"/>
      <c r="J1759" s="209"/>
      <c r="K1759" s="520"/>
      <c r="L1759" s="154"/>
      <c r="M1759" s="154"/>
      <c r="N1759" s="154"/>
      <c r="O1759" s="246"/>
      <c r="P1759" s="1597"/>
      <c r="R1759" s="1598"/>
      <c r="S1759" s="557"/>
      <c r="T1759" s="1768"/>
      <c r="V1759" s="1769"/>
      <c r="X1759" s="1768"/>
      <c r="Z1759" s="1769"/>
      <c r="AA1759" s="557"/>
      <c r="AK1759" s="246"/>
    </row>
    <row r="1760" spans="2:37" ht="18" customHeight="1">
      <c r="B1760" s="199"/>
      <c r="D1760" s="154"/>
      <c r="F1760" s="154"/>
      <c r="G1760" s="217"/>
      <c r="I1760" s="673"/>
      <c r="J1760" s="209"/>
      <c r="K1760" s="520"/>
      <c r="L1760" s="154"/>
      <c r="M1760" s="154"/>
      <c r="N1760" s="154"/>
      <c r="O1760" s="246"/>
      <c r="P1760" s="1597"/>
      <c r="R1760" s="1598"/>
      <c r="S1760" s="557"/>
      <c r="T1760" s="1768"/>
      <c r="V1760" s="1769"/>
      <c r="X1760" s="1768"/>
      <c r="Z1760" s="1769"/>
      <c r="AA1760" s="557"/>
      <c r="AK1760" s="246"/>
    </row>
    <row r="1761" spans="2:37" ht="18" customHeight="1">
      <c r="B1761" s="199"/>
      <c r="D1761" s="154"/>
      <c r="F1761" s="154"/>
      <c r="G1761" s="217"/>
      <c r="I1761" s="673"/>
      <c r="J1761" s="209"/>
      <c r="K1761" s="520"/>
      <c r="L1761" s="154"/>
      <c r="M1761" s="154"/>
      <c r="N1761" s="154"/>
      <c r="O1761" s="246"/>
      <c r="P1761" s="1597"/>
      <c r="R1761" s="1598"/>
      <c r="S1761" s="557"/>
      <c r="T1761" s="1768"/>
      <c r="V1761" s="1769"/>
      <c r="X1761" s="1768"/>
      <c r="Z1761" s="1769"/>
      <c r="AA1761" s="557"/>
      <c r="AK1761" s="246"/>
    </row>
    <row r="1762" spans="2:37" ht="18" customHeight="1">
      <c r="B1762" s="199"/>
      <c r="D1762" s="154"/>
      <c r="F1762" s="154"/>
      <c r="G1762" s="217"/>
      <c r="I1762" s="673"/>
      <c r="J1762" s="209"/>
      <c r="K1762" s="520"/>
      <c r="L1762" s="154"/>
      <c r="M1762" s="154"/>
      <c r="N1762" s="154"/>
      <c r="O1762" s="246"/>
      <c r="P1762" s="1597"/>
      <c r="R1762" s="1598"/>
      <c r="S1762" s="557"/>
      <c r="T1762" s="1768"/>
      <c r="V1762" s="1769"/>
      <c r="X1762" s="1768"/>
      <c r="Z1762" s="1769"/>
      <c r="AA1762" s="557"/>
      <c r="AK1762" s="246"/>
    </row>
    <row r="1763" spans="2:37" ht="18" customHeight="1">
      <c r="B1763" s="199"/>
      <c r="D1763" s="154"/>
      <c r="F1763" s="154"/>
      <c r="G1763" s="217"/>
      <c r="I1763" s="673"/>
      <c r="J1763" s="209"/>
      <c r="K1763" s="520"/>
      <c r="L1763" s="154"/>
      <c r="M1763" s="154"/>
      <c r="N1763" s="154"/>
      <c r="O1763" s="246"/>
      <c r="P1763" s="1597"/>
      <c r="R1763" s="1598"/>
      <c r="S1763" s="557"/>
      <c r="T1763" s="1768"/>
      <c r="V1763" s="1769"/>
      <c r="X1763" s="1768"/>
      <c r="Z1763" s="1769"/>
      <c r="AA1763" s="557"/>
      <c r="AK1763" s="246"/>
    </row>
    <row r="1764" spans="2:37" ht="18" customHeight="1">
      <c r="B1764" s="199"/>
      <c r="D1764" s="154"/>
      <c r="F1764" s="154"/>
      <c r="G1764" s="217"/>
      <c r="I1764" s="673"/>
      <c r="J1764" s="209"/>
      <c r="K1764" s="520"/>
      <c r="L1764" s="154"/>
      <c r="M1764" s="154"/>
      <c r="N1764" s="154"/>
      <c r="O1764" s="246"/>
      <c r="P1764" s="1597"/>
      <c r="R1764" s="1598"/>
      <c r="S1764" s="557"/>
      <c r="T1764" s="1768"/>
      <c r="V1764" s="1769"/>
      <c r="X1764" s="1768"/>
      <c r="Z1764" s="1769"/>
      <c r="AA1764" s="557"/>
      <c r="AK1764" s="246"/>
    </row>
    <row r="1765" spans="2:37" ht="18" customHeight="1">
      <c r="B1765" s="199"/>
      <c r="D1765" s="154"/>
      <c r="F1765" s="154"/>
      <c r="G1765" s="217"/>
      <c r="I1765" s="673"/>
      <c r="J1765" s="209"/>
      <c r="K1765" s="520"/>
      <c r="L1765" s="154"/>
      <c r="M1765" s="154"/>
      <c r="N1765" s="154"/>
      <c r="O1765" s="246"/>
      <c r="P1765" s="1597"/>
      <c r="R1765" s="1598"/>
      <c r="S1765" s="557"/>
      <c r="T1765" s="1768"/>
      <c r="V1765" s="1769"/>
      <c r="X1765" s="1768"/>
      <c r="Z1765" s="1769"/>
      <c r="AA1765" s="557"/>
      <c r="AK1765" s="246"/>
    </row>
    <row r="1766" spans="2:37" ht="18" customHeight="1">
      <c r="B1766" s="199"/>
      <c r="D1766" s="154"/>
      <c r="F1766" s="154"/>
      <c r="G1766" s="217"/>
      <c r="I1766" s="673"/>
      <c r="J1766" s="209"/>
      <c r="K1766" s="520"/>
      <c r="L1766" s="154"/>
      <c r="M1766" s="154"/>
      <c r="N1766" s="154"/>
      <c r="O1766" s="246"/>
      <c r="P1766" s="1597"/>
      <c r="R1766" s="1598"/>
      <c r="S1766" s="557"/>
      <c r="T1766" s="1768"/>
      <c r="V1766" s="1769"/>
      <c r="X1766" s="1768"/>
      <c r="Z1766" s="1769"/>
      <c r="AA1766" s="557"/>
      <c r="AK1766" s="246"/>
    </row>
    <row r="1767" spans="2:37" ht="18" customHeight="1">
      <c r="B1767" s="199"/>
      <c r="D1767" s="154"/>
      <c r="F1767" s="154"/>
      <c r="G1767" s="217"/>
      <c r="I1767" s="673"/>
      <c r="J1767" s="209"/>
      <c r="K1767" s="520"/>
      <c r="L1767" s="154"/>
      <c r="M1767" s="154"/>
      <c r="N1767" s="154"/>
      <c r="O1767" s="246"/>
      <c r="P1767" s="1597"/>
      <c r="R1767" s="1598"/>
      <c r="S1767" s="557"/>
      <c r="T1767" s="1768"/>
      <c r="V1767" s="1769"/>
      <c r="X1767" s="1768"/>
      <c r="Z1767" s="1769"/>
      <c r="AA1767" s="557"/>
      <c r="AK1767" s="246"/>
    </row>
    <row r="1768" spans="2:37" ht="18" customHeight="1">
      <c r="B1768" s="199"/>
      <c r="D1768" s="154"/>
      <c r="F1768" s="154"/>
      <c r="G1768" s="217"/>
      <c r="I1768" s="673"/>
      <c r="J1768" s="209"/>
      <c r="K1768" s="520"/>
      <c r="L1768" s="154"/>
      <c r="M1768" s="154"/>
      <c r="N1768" s="154"/>
      <c r="O1768" s="246"/>
      <c r="P1768" s="1597"/>
      <c r="R1768" s="1598"/>
      <c r="S1768" s="557"/>
      <c r="T1768" s="1768"/>
      <c r="V1768" s="1769"/>
      <c r="X1768" s="1768"/>
      <c r="Z1768" s="1769"/>
      <c r="AA1768" s="557"/>
      <c r="AK1768" s="246"/>
    </row>
    <row r="1769" spans="2:37" ht="18" customHeight="1">
      <c r="B1769" s="199"/>
      <c r="D1769" s="154"/>
      <c r="F1769" s="154"/>
      <c r="G1769" s="217"/>
      <c r="I1769" s="673"/>
      <c r="J1769" s="209"/>
      <c r="K1769" s="520"/>
      <c r="L1769" s="154"/>
      <c r="M1769" s="154"/>
      <c r="N1769" s="154"/>
      <c r="O1769" s="246"/>
      <c r="P1769" s="1597"/>
      <c r="R1769" s="1598"/>
      <c r="S1769" s="557"/>
      <c r="T1769" s="1768"/>
      <c r="V1769" s="1769"/>
      <c r="X1769" s="1768"/>
      <c r="Z1769" s="1769"/>
      <c r="AA1769" s="557"/>
      <c r="AK1769" s="246"/>
    </row>
    <row r="1770" spans="2:37" ht="18" customHeight="1">
      <c r="B1770" s="199"/>
      <c r="D1770" s="154"/>
      <c r="F1770" s="154"/>
      <c r="G1770" s="217"/>
      <c r="I1770" s="673"/>
      <c r="J1770" s="209"/>
      <c r="K1770" s="520"/>
      <c r="L1770" s="154"/>
      <c r="M1770" s="154"/>
      <c r="N1770" s="154"/>
      <c r="O1770" s="246"/>
      <c r="P1770" s="1597"/>
      <c r="R1770" s="1598"/>
      <c r="S1770" s="557"/>
      <c r="T1770" s="1768"/>
      <c r="V1770" s="1769"/>
      <c r="X1770" s="1768"/>
      <c r="Z1770" s="1769"/>
      <c r="AA1770" s="557"/>
      <c r="AK1770" s="246"/>
    </row>
    <row r="1771" spans="2:37" ht="18" customHeight="1">
      <c r="B1771" s="199"/>
      <c r="D1771" s="154"/>
      <c r="F1771" s="154"/>
      <c r="G1771" s="217"/>
      <c r="I1771" s="673"/>
      <c r="J1771" s="209"/>
      <c r="K1771" s="520"/>
      <c r="L1771" s="154"/>
      <c r="M1771" s="154"/>
      <c r="N1771" s="154"/>
      <c r="O1771" s="246"/>
      <c r="P1771" s="1597"/>
      <c r="R1771" s="1598"/>
      <c r="S1771" s="557"/>
      <c r="T1771" s="1768"/>
      <c r="V1771" s="1769"/>
      <c r="X1771" s="1768"/>
      <c r="Z1771" s="1769"/>
      <c r="AA1771" s="557"/>
      <c r="AK1771" s="246"/>
    </row>
    <row r="1772" spans="2:37" ht="18" customHeight="1">
      <c r="B1772" s="199"/>
      <c r="D1772" s="154"/>
      <c r="F1772" s="154"/>
      <c r="G1772" s="217"/>
      <c r="I1772" s="673"/>
      <c r="J1772" s="209"/>
      <c r="K1772" s="520"/>
      <c r="L1772" s="154"/>
      <c r="M1772" s="154"/>
      <c r="N1772" s="154"/>
      <c r="O1772" s="246"/>
      <c r="P1772" s="1597"/>
      <c r="R1772" s="1598"/>
      <c r="S1772" s="557"/>
      <c r="T1772" s="1768"/>
      <c r="V1772" s="1769"/>
      <c r="X1772" s="1768"/>
      <c r="Z1772" s="1769"/>
      <c r="AA1772" s="557"/>
      <c r="AK1772" s="246"/>
    </row>
    <row r="1773" spans="2:37" ht="18" customHeight="1">
      <c r="B1773" s="199"/>
      <c r="D1773" s="154"/>
      <c r="F1773" s="154"/>
      <c r="G1773" s="217"/>
      <c r="I1773" s="673"/>
      <c r="J1773" s="209"/>
      <c r="K1773" s="520"/>
      <c r="L1773" s="154"/>
      <c r="M1773" s="154"/>
      <c r="N1773" s="154"/>
      <c r="O1773" s="246"/>
      <c r="P1773" s="1597"/>
      <c r="R1773" s="1598"/>
      <c r="S1773" s="557"/>
      <c r="T1773" s="1768"/>
      <c r="V1773" s="1769"/>
      <c r="X1773" s="1768"/>
      <c r="Z1773" s="1769"/>
      <c r="AA1773" s="557"/>
      <c r="AK1773" s="246"/>
    </row>
    <row r="1774" spans="2:37" ht="18" customHeight="1">
      <c r="B1774" s="199"/>
      <c r="D1774" s="154"/>
      <c r="F1774" s="154"/>
      <c r="G1774" s="217"/>
      <c r="I1774" s="673"/>
      <c r="J1774" s="209"/>
      <c r="K1774" s="520"/>
      <c r="L1774" s="154"/>
      <c r="M1774" s="154"/>
      <c r="N1774" s="154"/>
      <c r="O1774" s="246"/>
      <c r="P1774" s="1597"/>
      <c r="R1774" s="1598"/>
      <c r="S1774" s="557"/>
      <c r="T1774" s="1768"/>
      <c r="V1774" s="1769"/>
      <c r="X1774" s="1768"/>
      <c r="Z1774" s="1769"/>
      <c r="AA1774" s="557"/>
      <c r="AK1774" s="246"/>
    </row>
    <row r="1775" spans="2:37" ht="18" customHeight="1">
      <c r="B1775" s="199"/>
      <c r="D1775" s="154"/>
      <c r="F1775" s="154"/>
      <c r="G1775" s="217"/>
      <c r="I1775" s="673"/>
      <c r="J1775" s="209"/>
      <c r="K1775" s="520"/>
      <c r="L1775" s="154"/>
      <c r="M1775" s="154"/>
      <c r="N1775" s="154"/>
      <c r="O1775" s="246"/>
      <c r="P1775" s="1597"/>
      <c r="R1775" s="1598"/>
      <c r="S1775" s="557"/>
      <c r="T1775" s="1768"/>
      <c r="V1775" s="1769"/>
      <c r="X1775" s="1768"/>
      <c r="Z1775" s="1769"/>
      <c r="AA1775" s="557"/>
      <c r="AK1775" s="246"/>
    </row>
    <row r="1776" spans="2:37" ht="18" customHeight="1">
      <c r="B1776" s="199"/>
      <c r="D1776" s="154"/>
      <c r="F1776" s="154"/>
      <c r="G1776" s="217"/>
      <c r="I1776" s="673"/>
      <c r="J1776" s="209"/>
      <c r="K1776" s="520"/>
      <c r="L1776" s="154"/>
      <c r="M1776" s="154"/>
      <c r="N1776" s="154"/>
      <c r="O1776" s="246"/>
      <c r="P1776" s="1597"/>
      <c r="R1776" s="1598"/>
      <c r="S1776" s="557"/>
      <c r="T1776" s="1768"/>
      <c r="V1776" s="1769"/>
      <c r="X1776" s="1768"/>
      <c r="Z1776" s="1769"/>
      <c r="AA1776" s="557"/>
      <c r="AK1776" s="246"/>
    </row>
    <row r="1777" spans="2:37" ht="18" customHeight="1">
      <c r="B1777" s="199"/>
      <c r="D1777" s="154"/>
      <c r="F1777" s="154"/>
      <c r="G1777" s="217"/>
      <c r="I1777" s="673"/>
      <c r="J1777" s="209"/>
      <c r="K1777" s="520"/>
      <c r="L1777" s="154"/>
      <c r="M1777" s="154"/>
      <c r="N1777" s="154"/>
      <c r="O1777" s="246"/>
      <c r="P1777" s="1597"/>
      <c r="R1777" s="1598"/>
      <c r="S1777" s="557"/>
      <c r="T1777" s="1768"/>
      <c r="V1777" s="1769"/>
      <c r="X1777" s="1768"/>
      <c r="Z1777" s="1769"/>
      <c r="AA1777" s="557"/>
      <c r="AK1777" s="246"/>
    </row>
    <row r="1778" spans="2:37" ht="18" customHeight="1">
      <c r="B1778" s="199"/>
      <c r="D1778" s="154"/>
      <c r="F1778" s="154"/>
      <c r="G1778" s="217"/>
      <c r="I1778" s="673"/>
      <c r="J1778" s="209"/>
      <c r="K1778" s="520"/>
      <c r="L1778" s="154"/>
      <c r="M1778" s="154"/>
      <c r="N1778" s="154"/>
      <c r="O1778" s="246"/>
      <c r="P1778" s="1597"/>
      <c r="R1778" s="1598"/>
      <c r="S1778" s="557"/>
      <c r="T1778" s="1768"/>
      <c r="V1778" s="1769"/>
      <c r="X1778" s="1768"/>
      <c r="Z1778" s="1769"/>
      <c r="AA1778" s="557"/>
      <c r="AK1778" s="246"/>
    </row>
    <row r="1779" spans="2:37" ht="18" customHeight="1">
      <c r="B1779" s="199"/>
      <c r="D1779" s="154"/>
      <c r="F1779" s="154"/>
      <c r="G1779" s="217"/>
      <c r="I1779" s="673"/>
      <c r="J1779" s="209"/>
      <c r="K1779" s="520"/>
      <c r="L1779" s="154"/>
      <c r="M1779" s="154"/>
      <c r="N1779" s="154"/>
      <c r="O1779" s="246"/>
      <c r="P1779" s="1597"/>
      <c r="R1779" s="1598"/>
      <c r="S1779" s="557"/>
      <c r="T1779" s="1768"/>
      <c r="V1779" s="1769"/>
      <c r="X1779" s="1768"/>
      <c r="Z1779" s="1769"/>
      <c r="AA1779" s="557"/>
      <c r="AK1779" s="246"/>
    </row>
    <row r="1780" spans="2:37" ht="18" customHeight="1">
      <c r="B1780" s="199"/>
      <c r="D1780" s="154"/>
      <c r="F1780" s="154"/>
      <c r="G1780" s="217"/>
      <c r="I1780" s="673"/>
      <c r="J1780" s="209"/>
      <c r="K1780" s="520"/>
      <c r="L1780" s="154"/>
      <c r="M1780" s="154"/>
      <c r="N1780" s="154"/>
      <c r="O1780" s="246"/>
      <c r="P1780" s="1597"/>
      <c r="R1780" s="1598"/>
      <c r="S1780" s="557"/>
      <c r="T1780" s="1768"/>
      <c r="V1780" s="1769"/>
      <c r="X1780" s="1768"/>
      <c r="Z1780" s="1769"/>
      <c r="AA1780" s="557"/>
      <c r="AK1780" s="246"/>
    </row>
    <row r="1781" spans="2:37" ht="18" customHeight="1">
      <c r="B1781" s="199"/>
      <c r="D1781" s="154"/>
      <c r="F1781" s="154"/>
      <c r="G1781" s="217"/>
      <c r="I1781" s="673"/>
      <c r="J1781" s="209"/>
      <c r="K1781" s="520"/>
      <c r="L1781" s="154"/>
      <c r="M1781" s="154"/>
      <c r="N1781" s="154"/>
      <c r="O1781" s="246"/>
      <c r="P1781" s="1597"/>
      <c r="R1781" s="1598"/>
      <c r="S1781" s="557"/>
      <c r="T1781" s="1768"/>
      <c r="V1781" s="1769"/>
      <c r="X1781" s="1768"/>
      <c r="Z1781" s="1769"/>
      <c r="AA1781" s="557"/>
      <c r="AK1781" s="246"/>
    </row>
    <row r="1782" spans="2:37" ht="18" customHeight="1">
      <c r="B1782" s="199"/>
      <c r="D1782" s="154"/>
      <c r="F1782" s="154"/>
      <c r="G1782" s="217"/>
      <c r="I1782" s="673"/>
      <c r="J1782" s="209"/>
      <c r="K1782" s="520"/>
      <c r="L1782" s="154"/>
      <c r="M1782" s="154"/>
      <c r="N1782" s="154"/>
      <c r="O1782" s="246"/>
      <c r="P1782" s="1597"/>
      <c r="R1782" s="1598"/>
      <c r="S1782" s="557"/>
      <c r="T1782" s="1768"/>
      <c r="V1782" s="1769"/>
      <c r="X1782" s="1768"/>
      <c r="Z1782" s="1769"/>
      <c r="AA1782" s="557"/>
      <c r="AK1782" s="246"/>
    </row>
    <row r="1783" spans="2:37" ht="18" customHeight="1">
      <c r="B1783" s="199"/>
      <c r="D1783" s="154"/>
      <c r="F1783" s="154"/>
      <c r="G1783" s="217"/>
      <c r="I1783" s="673"/>
      <c r="J1783" s="209"/>
      <c r="K1783" s="520"/>
      <c r="L1783" s="154"/>
      <c r="M1783" s="154"/>
      <c r="N1783" s="154"/>
      <c r="O1783" s="246"/>
      <c r="P1783" s="1597"/>
      <c r="R1783" s="1598"/>
      <c r="S1783" s="557"/>
      <c r="T1783" s="1768"/>
      <c r="V1783" s="1769"/>
      <c r="X1783" s="1768"/>
      <c r="Z1783" s="1769"/>
      <c r="AA1783" s="557"/>
      <c r="AK1783" s="246"/>
    </row>
    <row r="1784" spans="2:37" ht="18" customHeight="1">
      <c r="B1784" s="199"/>
      <c r="D1784" s="154"/>
      <c r="F1784" s="154"/>
      <c r="G1784" s="217"/>
      <c r="I1784" s="673"/>
      <c r="J1784" s="209"/>
      <c r="K1784" s="520"/>
      <c r="L1784" s="154"/>
      <c r="M1784" s="154"/>
      <c r="N1784" s="154"/>
      <c r="O1784" s="246"/>
      <c r="P1784" s="1597"/>
      <c r="R1784" s="1598"/>
      <c r="S1784" s="557"/>
      <c r="T1784" s="1768"/>
      <c r="V1784" s="1769"/>
      <c r="X1784" s="1768"/>
      <c r="Z1784" s="1769"/>
      <c r="AA1784" s="557"/>
      <c r="AK1784" s="246"/>
    </row>
    <row r="1785" spans="2:37" ht="18" customHeight="1">
      <c r="B1785" s="199"/>
      <c r="D1785" s="154"/>
      <c r="F1785" s="154"/>
      <c r="G1785" s="217"/>
      <c r="I1785" s="673"/>
      <c r="J1785" s="209"/>
      <c r="K1785" s="520"/>
      <c r="L1785" s="154"/>
      <c r="M1785" s="154"/>
      <c r="N1785" s="154"/>
      <c r="O1785" s="246"/>
      <c r="P1785" s="1597"/>
      <c r="R1785" s="1598"/>
      <c r="S1785" s="557"/>
      <c r="T1785" s="1768"/>
      <c r="V1785" s="1769"/>
      <c r="X1785" s="1768"/>
      <c r="Z1785" s="1769"/>
      <c r="AA1785" s="557"/>
      <c r="AK1785" s="246"/>
    </row>
    <row r="1786" spans="2:37" ht="18" customHeight="1">
      <c r="B1786" s="199"/>
      <c r="D1786" s="154"/>
      <c r="F1786" s="154"/>
      <c r="G1786" s="217"/>
      <c r="I1786" s="673"/>
      <c r="J1786" s="209"/>
      <c r="K1786" s="520"/>
      <c r="L1786" s="154"/>
      <c r="M1786" s="154"/>
      <c r="N1786" s="154"/>
      <c r="O1786" s="246"/>
      <c r="P1786" s="1597"/>
      <c r="R1786" s="1598"/>
      <c r="S1786" s="557"/>
      <c r="T1786" s="1768"/>
      <c r="V1786" s="1769"/>
      <c r="X1786" s="1768"/>
      <c r="Z1786" s="1769"/>
      <c r="AA1786" s="557"/>
      <c r="AK1786" s="246"/>
    </row>
    <row r="1787" spans="2:37" ht="18" customHeight="1">
      <c r="B1787" s="199"/>
      <c r="D1787" s="154"/>
      <c r="F1787" s="154"/>
      <c r="G1787" s="217"/>
      <c r="I1787" s="673"/>
      <c r="J1787" s="209"/>
      <c r="K1787" s="520"/>
      <c r="L1787" s="154"/>
      <c r="M1787" s="154"/>
      <c r="N1787" s="154"/>
      <c r="O1787" s="246"/>
      <c r="P1787" s="1597"/>
      <c r="R1787" s="1598"/>
      <c r="S1787" s="557"/>
      <c r="T1787" s="1768"/>
      <c r="V1787" s="1769"/>
      <c r="X1787" s="1768"/>
      <c r="Z1787" s="1769"/>
      <c r="AA1787" s="557"/>
      <c r="AK1787" s="246"/>
    </row>
    <row r="1788" spans="2:37" ht="18" customHeight="1">
      <c r="B1788" s="199"/>
      <c r="D1788" s="154"/>
      <c r="F1788" s="154"/>
      <c r="G1788" s="217"/>
      <c r="I1788" s="673"/>
      <c r="J1788" s="209"/>
      <c r="K1788" s="520"/>
      <c r="L1788" s="154"/>
      <c r="M1788" s="154"/>
      <c r="N1788" s="154"/>
      <c r="O1788" s="246"/>
      <c r="P1788" s="1597"/>
      <c r="R1788" s="1598"/>
      <c r="S1788" s="557"/>
      <c r="T1788" s="1768"/>
      <c r="V1788" s="1769"/>
      <c r="X1788" s="1768"/>
      <c r="Z1788" s="1769"/>
      <c r="AA1788" s="557"/>
      <c r="AK1788" s="246"/>
    </row>
    <row r="1789" spans="2:37" ht="18" customHeight="1">
      <c r="B1789" s="199"/>
      <c r="D1789" s="154"/>
      <c r="F1789" s="154"/>
      <c r="G1789" s="217"/>
      <c r="I1789" s="673"/>
      <c r="J1789" s="209"/>
      <c r="K1789" s="520"/>
      <c r="L1789" s="154"/>
      <c r="M1789" s="154"/>
      <c r="N1789" s="154"/>
      <c r="O1789" s="246"/>
      <c r="P1789" s="1597"/>
      <c r="R1789" s="1598"/>
      <c r="S1789" s="557"/>
      <c r="T1789" s="1768"/>
      <c r="V1789" s="1769"/>
      <c r="X1789" s="1768"/>
      <c r="Z1789" s="1769"/>
      <c r="AA1789" s="557"/>
      <c r="AK1789" s="246"/>
    </row>
    <row r="1790" spans="2:37" ht="18" customHeight="1">
      <c r="B1790" s="199"/>
      <c r="D1790" s="154"/>
      <c r="F1790" s="154"/>
      <c r="G1790" s="217"/>
      <c r="I1790" s="673"/>
      <c r="J1790" s="209"/>
      <c r="K1790" s="520"/>
      <c r="L1790" s="154"/>
      <c r="M1790" s="154"/>
      <c r="N1790" s="154"/>
      <c r="O1790" s="246"/>
      <c r="P1790" s="1597"/>
      <c r="R1790" s="1598"/>
      <c r="S1790" s="557"/>
      <c r="T1790" s="1768"/>
      <c r="V1790" s="1769"/>
      <c r="X1790" s="1768"/>
      <c r="Z1790" s="1769"/>
      <c r="AA1790" s="557"/>
      <c r="AK1790" s="246"/>
    </row>
    <row r="1791" spans="2:37" ht="18" customHeight="1">
      <c r="B1791" s="199"/>
      <c r="D1791" s="154"/>
      <c r="F1791" s="154"/>
      <c r="G1791" s="217"/>
      <c r="I1791" s="673"/>
      <c r="J1791" s="209"/>
      <c r="K1791" s="520"/>
      <c r="L1791" s="154"/>
      <c r="M1791" s="154"/>
      <c r="N1791" s="154"/>
      <c r="O1791" s="246"/>
      <c r="P1791" s="1597"/>
      <c r="R1791" s="1598"/>
      <c r="S1791" s="557"/>
      <c r="T1791" s="1768"/>
      <c r="V1791" s="1769"/>
      <c r="X1791" s="1768"/>
      <c r="Z1791" s="1769"/>
      <c r="AA1791" s="557"/>
      <c r="AK1791" s="246"/>
    </row>
    <row r="1792" spans="2:37" ht="18" customHeight="1">
      <c r="B1792" s="199"/>
      <c r="D1792" s="154"/>
      <c r="F1792" s="154"/>
      <c r="G1792" s="217"/>
      <c r="I1792" s="673"/>
      <c r="J1792" s="209"/>
      <c r="K1792" s="520"/>
      <c r="L1792" s="154"/>
      <c r="M1792" s="154"/>
      <c r="N1792" s="154"/>
      <c r="O1792" s="246"/>
      <c r="P1792" s="1597"/>
      <c r="R1792" s="1598"/>
      <c r="S1792" s="557"/>
      <c r="T1792" s="1768"/>
      <c r="V1792" s="1769"/>
      <c r="X1792" s="1768"/>
      <c r="Z1792" s="1769"/>
      <c r="AA1792" s="557"/>
      <c r="AK1792" s="246"/>
    </row>
    <row r="1793" spans="2:37" ht="18" customHeight="1">
      <c r="B1793" s="199"/>
      <c r="D1793" s="154"/>
      <c r="F1793" s="154"/>
      <c r="G1793" s="217"/>
      <c r="I1793" s="673"/>
      <c r="J1793" s="209"/>
      <c r="K1793" s="520"/>
      <c r="L1793" s="154"/>
      <c r="M1793" s="154"/>
      <c r="N1793" s="154"/>
      <c r="O1793" s="246"/>
      <c r="P1793" s="1597"/>
      <c r="R1793" s="1598"/>
      <c r="S1793" s="557"/>
      <c r="T1793" s="1768"/>
      <c r="V1793" s="1769"/>
      <c r="X1793" s="1768"/>
      <c r="Z1793" s="1769"/>
      <c r="AA1793" s="557"/>
      <c r="AK1793" s="246"/>
    </row>
    <row r="1794" spans="2:37" ht="18" customHeight="1">
      <c r="B1794" s="199"/>
      <c r="D1794" s="154"/>
      <c r="F1794" s="154"/>
      <c r="G1794" s="217"/>
      <c r="I1794" s="673"/>
      <c r="J1794" s="209"/>
      <c r="K1794" s="520"/>
      <c r="L1794" s="154"/>
      <c r="M1794" s="154"/>
      <c r="N1794" s="154"/>
      <c r="O1794" s="246"/>
      <c r="P1794" s="1597"/>
      <c r="R1794" s="1598"/>
      <c r="S1794" s="557"/>
      <c r="T1794" s="1768"/>
      <c r="V1794" s="1769"/>
      <c r="X1794" s="1768"/>
      <c r="Z1794" s="1769"/>
      <c r="AA1794" s="557"/>
      <c r="AK1794" s="246"/>
    </row>
    <row r="1795" spans="2:37" ht="18" customHeight="1">
      <c r="B1795" s="199"/>
      <c r="D1795" s="154"/>
      <c r="F1795" s="154"/>
      <c r="G1795" s="217"/>
      <c r="I1795" s="673"/>
      <c r="J1795" s="209"/>
      <c r="K1795" s="520"/>
      <c r="L1795" s="154"/>
      <c r="M1795" s="154"/>
      <c r="N1795" s="154"/>
      <c r="O1795" s="246"/>
      <c r="P1795" s="1597"/>
      <c r="R1795" s="1598"/>
      <c r="S1795" s="557"/>
      <c r="T1795" s="1768"/>
      <c r="V1795" s="1769"/>
      <c r="X1795" s="1768"/>
      <c r="Z1795" s="1769"/>
      <c r="AA1795" s="557"/>
      <c r="AK1795" s="246"/>
    </row>
    <row r="1796" spans="2:37" ht="18" customHeight="1">
      <c r="B1796" s="199"/>
      <c r="D1796" s="154"/>
      <c r="F1796" s="154"/>
      <c r="G1796" s="217"/>
      <c r="I1796" s="673"/>
      <c r="J1796" s="209"/>
      <c r="K1796" s="520"/>
      <c r="L1796" s="154"/>
      <c r="M1796" s="154"/>
      <c r="N1796" s="154"/>
      <c r="O1796" s="246"/>
      <c r="P1796" s="1597"/>
      <c r="R1796" s="1598"/>
      <c r="S1796" s="557"/>
      <c r="T1796" s="1768"/>
      <c r="V1796" s="1769"/>
      <c r="X1796" s="1768"/>
      <c r="Z1796" s="1769"/>
      <c r="AA1796" s="557"/>
      <c r="AK1796" s="246"/>
    </row>
    <row r="1797" spans="2:37" ht="18" customHeight="1">
      <c r="B1797" s="199"/>
      <c r="D1797" s="154"/>
      <c r="F1797" s="154"/>
      <c r="G1797" s="217"/>
      <c r="I1797" s="673"/>
      <c r="J1797" s="209"/>
      <c r="K1797" s="520"/>
      <c r="L1797" s="154"/>
      <c r="M1797" s="154"/>
      <c r="N1797" s="154"/>
      <c r="O1797" s="246"/>
      <c r="P1797" s="1597"/>
      <c r="R1797" s="1598"/>
      <c r="S1797" s="557"/>
      <c r="T1797" s="1768"/>
      <c r="V1797" s="1769"/>
      <c r="X1797" s="1768"/>
      <c r="Z1797" s="1769"/>
      <c r="AA1797" s="557"/>
      <c r="AK1797" s="246"/>
    </row>
    <row r="1798" spans="2:37" ht="18" customHeight="1">
      <c r="B1798" s="199"/>
      <c r="D1798" s="154"/>
      <c r="F1798" s="154"/>
      <c r="G1798" s="217"/>
      <c r="I1798" s="673"/>
      <c r="J1798" s="209"/>
      <c r="K1798" s="520"/>
      <c r="L1798" s="154"/>
      <c r="M1798" s="154"/>
      <c r="N1798" s="154"/>
      <c r="O1798" s="246"/>
      <c r="P1798" s="1597"/>
      <c r="R1798" s="1598"/>
      <c r="S1798" s="557"/>
      <c r="T1798" s="1768"/>
      <c r="V1798" s="1769"/>
      <c r="X1798" s="1768"/>
      <c r="Z1798" s="1769"/>
      <c r="AA1798" s="557"/>
      <c r="AK1798" s="246"/>
    </row>
    <row r="1799" spans="2:37" ht="18" customHeight="1">
      <c r="B1799" s="199"/>
      <c r="D1799" s="154"/>
      <c r="F1799" s="154"/>
      <c r="G1799" s="217"/>
      <c r="I1799" s="673"/>
      <c r="J1799" s="209"/>
      <c r="K1799" s="520"/>
      <c r="L1799" s="154"/>
      <c r="M1799" s="154"/>
      <c r="N1799" s="154"/>
      <c r="O1799" s="246"/>
      <c r="P1799" s="1597"/>
      <c r="R1799" s="1598"/>
      <c r="S1799" s="557"/>
      <c r="T1799" s="1768"/>
      <c r="V1799" s="1769"/>
      <c r="X1799" s="1768"/>
      <c r="Z1799" s="1769"/>
      <c r="AA1799" s="557"/>
      <c r="AK1799" s="246"/>
    </row>
    <row r="1800" spans="2:37" ht="18" customHeight="1">
      <c r="B1800" s="199"/>
      <c r="D1800" s="154"/>
      <c r="F1800" s="154"/>
      <c r="G1800" s="217"/>
      <c r="I1800" s="673"/>
      <c r="J1800" s="209"/>
      <c r="K1800" s="520"/>
      <c r="L1800" s="154"/>
      <c r="M1800" s="154"/>
      <c r="N1800" s="154"/>
      <c r="O1800" s="246"/>
      <c r="P1800" s="1597"/>
      <c r="R1800" s="1598"/>
      <c r="S1800" s="557"/>
      <c r="T1800" s="1768"/>
      <c r="V1800" s="1769"/>
      <c r="X1800" s="1768"/>
      <c r="Z1800" s="1769"/>
      <c r="AA1800" s="557"/>
      <c r="AK1800" s="246"/>
    </row>
    <row r="1801" spans="2:37" ht="18" customHeight="1">
      <c r="B1801" s="199"/>
      <c r="D1801" s="154"/>
      <c r="F1801" s="154"/>
      <c r="G1801" s="217"/>
      <c r="I1801" s="673"/>
      <c r="J1801" s="209"/>
      <c r="K1801" s="520"/>
      <c r="L1801" s="154"/>
      <c r="M1801" s="154"/>
      <c r="N1801" s="154"/>
      <c r="O1801" s="246"/>
      <c r="P1801" s="1597"/>
      <c r="R1801" s="1598"/>
      <c r="S1801" s="557"/>
      <c r="T1801" s="1768"/>
      <c r="V1801" s="1769"/>
      <c r="X1801" s="1768"/>
      <c r="Z1801" s="1769"/>
      <c r="AA1801" s="557"/>
      <c r="AK1801" s="246"/>
    </row>
    <row r="1802" spans="2:37" ht="18" customHeight="1">
      <c r="B1802" s="199"/>
      <c r="D1802" s="154"/>
      <c r="F1802" s="154"/>
      <c r="G1802" s="217"/>
      <c r="I1802" s="673"/>
      <c r="J1802" s="209"/>
      <c r="K1802" s="520"/>
      <c r="L1802" s="154"/>
      <c r="M1802" s="154"/>
      <c r="N1802" s="154"/>
      <c r="O1802" s="246"/>
      <c r="P1802" s="1597"/>
      <c r="R1802" s="1598"/>
      <c r="S1802" s="557"/>
      <c r="T1802" s="1768"/>
      <c r="V1802" s="1769"/>
      <c r="X1802" s="1768"/>
      <c r="Z1802" s="1769"/>
      <c r="AA1802" s="557"/>
      <c r="AK1802" s="246"/>
    </row>
    <row r="1803" spans="2:37" ht="18" customHeight="1">
      <c r="B1803" s="199"/>
      <c r="D1803" s="154"/>
      <c r="F1803" s="154"/>
      <c r="G1803" s="217"/>
      <c r="I1803" s="673"/>
      <c r="J1803" s="209"/>
      <c r="K1803" s="520"/>
      <c r="L1803" s="154"/>
      <c r="M1803" s="154"/>
      <c r="N1803" s="154"/>
      <c r="O1803" s="246"/>
      <c r="P1803" s="1597"/>
      <c r="R1803" s="1598"/>
      <c r="S1803" s="557"/>
      <c r="T1803" s="1768"/>
      <c r="V1803" s="1769"/>
      <c r="X1803" s="1768"/>
      <c r="Z1803" s="1769"/>
      <c r="AA1803" s="557"/>
      <c r="AK1803" s="246"/>
    </row>
    <row r="1804" spans="2:37" ht="18" customHeight="1">
      <c r="B1804" s="199"/>
      <c r="D1804" s="154"/>
      <c r="F1804" s="154"/>
      <c r="G1804" s="217"/>
      <c r="I1804" s="673"/>
      <c r="J1804" s="209"/>
      <c r="K1804" s="520"/>
      <c r="L1804" s="154"/>
      <c r="M1804" s="154"/>
      <c r="N1804" s="154"/>
      <c r="O1804" s="246"/>
      <c r="P1804" s="1597"/>
      <c r="R1804" s="1598"/>
      <c r="S1804" s="557"/>
      <c r="T1804" s="1768"/>
      <c r="V1804" s="1769"/>
      <c r="X1804" s="1768"/>
      <c r="Z1804" s="1769"/>
      <c r="AA1804" s="557"/>
      <c r="AK1804" s="246"/>
    </row>
    <row r="1805" spans="2:37" ht="18" customHeight="1">
      <c r="B1805" s="199"/>
      <c r="D1805" s="154"/>
      <c r="F1805" s="154"/>
      <c r="G1805" s="217"/>
      <c r="I1805" s="673"/>
      <c r="J1805" s="209"/>
      <c r="K1805" s="520"/>
      <c r="L1805" s="154"/>
      <c r="M1805" s="154"/>
      <c r="N1805" s="154"/>
      <c r="O1805" s="246"/>
      <c r="P1805" s="1597"/>
      <c r="R1805" s="1598"/>
      <c r="S1805" s="557"/>
      <c r="T1805" s="1768"/>
      <c r="V1805" s="1769"/>
      <c r="X1805" s="1768"/>
      <c r="Z1805" s="1769"/>
      <c r="AA1805" s="557"/>
      <c r="AK1805" s="246"/>
    </row>
    <row r="1806" spans="2:37" ht="18" customHeight="1">
      <c r="B1806" s="199"/>
      <c r="D1806" s="154"/>
      <c r="F1806" s="154"/>
      <c r="G1806" s="217"/>
      <c r="I1806" s="673"/>
      <c r="J1806" s="209"/>
      <c r="K1806" s="520"/>
      <c r="L1806" s="154"/>
      <c r="M1806" s="154"/>
      <c r="N1806" s="154"/>
      <c r="O1806" s="246"/>
      <c r="P1806" s="1597"/>
      <c r="R1806" s="1598"/>
      <c r="S1806" s="557"/>
      <c r="T1806" s="1768"/>
      <c r="V1806" s="1769"/>
      <c r="X1806" s="1768"/>
      <c r="Z1806" s="1769"/>
      <c r="AA1806" s="557"/>
      <c r="AK1806" s="246"/>
    </row>
    <row r="1807" spans="2:37" ht="18" customHeight="1">
      <c r="B1807" s="199"/>
      <c r="D1807" s="154"/>
      <c r="F1807" s="154"/>
      <c r="G1807" s="217"/>
      <c r="I1807" s="673"/>
      <c r="J1807" s="209"/>
      <c r="K1807" s="520"/>
      <c r="L1807" s="154"/>
      <c r="M1807" s="154"/>
      <c r="N1807" s="154"/>
      <c r="O1807" s="246"/>
      <c r="P1807" s="1597"/>
      <c r="R1807" s="1598"/>
      <c r="S1807" s="557"/>
      <c r="T1807" s="1768"/>
      <c r="V1807" s="1769"/>
      <c r="X1807" s="1768"/>
      <c r="Z1807" s="1769"/>
      <c r="AA1807" s="557"/>
      <c r="AK1807" s="246"/>
    </row>
    <row r="1808" spans="2:37" ht="18" customHeight="1">
      <c r="B1808" s="199"/>
      <c r="D1808" s="154"/>
      <c r="F1808" s="154"/>
      <c r="G1808" s="217"/>
      <c r="I1808" s="673"/>
      <c r="J1808" s="209"/>
      <c r="K1808" s="520"/>
      <c r="L1808" s="154"/>
      <c r="M1808" s="154"/>
      <c r="N1808" s="154"/>
      <c r="O1808" s="246"/>
      <c r="P1808" s="1597"/>
      <c r="R1808" s="1598"/>
      <c r="S1808" s="557"/>
      <c r="T1808" s="1768"/>
      <c r="V1808" s="1769"/>
      <c r="X1808" s="1768"/>
      <c r="Z1808" s="1769"/>
      <c r="AA1808" s="557"/>
      <c r="AK1808" s="246"/>
    </row>
    <row r="1809" spans="2:37" ht="18" customHeight="1">
      <c r="B1809" s="199"/>
      <c r="D1809" s="154"/>
      <c r="F1809" s="154"/>
      <c r="G1809" s="217"/>
      <c r="I1809" s="673"/>
      <c r="J1809" s="209"/>
      <c r="K1809" s="520"/>
      <c r="L1809" s="154"/>
      <c r="M1809" s="154"/>
      <c r="N1809" s="154"/>
      <c r="O1809" s="246"/>
      <c r="P1809" s="1597"/>
      <c r="R1809" s="1598"/>
      <c r="S1809" s="557"/>
      <c r="T1809" s="1768"/>
      <c r="V1809" s="1769"/>
      <c r="X1809" s="1768"/>
      <c r="Z1809" s="1769"/>
      <c r="AA1809" s="557"/>
      <c r="AK1809" s="246"/>
    </row>
    <row r="1810" spans="2:37" ht="18" customHeight="1">
      <c r="B1810" s="199"/>
      <c r="D1810" s="154"/>
      <c r="F1810" s="154"/>
      <c r="G1810" s="217"/>
      <c r="I1810" s="673"/>
      <c r="J1810" s="209"/>
      <c r="K1810" s="520"/>
      <c r="L1810" s="154"/>
      <c r="M1810" s="154"/>
      <c r="N1810" s="154"/>
      <c r="O1810" s="246"/>
      <c r="P1810" s="1597"/>
      <c r="R1810" s="1598"/>
      <c r="S1810" s="557"/>
      <c r="T1810" s="1768"/>
      <c r="V1810" s="1769"/>
      <c r="X1810" s="1768"/>
      <c r="Z1810" s="1769"/>
      <c r="AA1810" s="557"/>
      <c r="AK1810" s="246"/>
    </row>
    <row r="1811" spans="2:37" ht="18" customHeight="1">
      <c r="B1811" s="199"/>
      <c r="D1811" s="154"/>
      <c r="F1811" s="154"/>
      <c r="G1811" s="217"/>
      <c r="I1811" s="673"/>
      <c r="J1811" s="209"/>
      <c r="K1811" s="520"/>
      <c r="L1811" s="154"/>
      <c r="M1811" s="154"/>
      <c r="N1811" s="154"/>
      <c r="O1811" s="246"/>
      <c r="P1811" s="1597"/>
      <c r="R1811" s="1598"/>
      <c r="S1811" s="557"/>
      <c r="T1811" s="1768"/>
      <c r="V1811" s="1769"/>
      <c r="X1811" s="1768"/>
      <c r="Z1811" s="1769"/>
      <c r="AA1811" s="557"/>
      <c r="AK1811" s="246"/>
    </row>
    <row r="1812" spans="2:37" ht="18" customHeight="1">
      <c r="B1812" s="199"/>
      <c r="D1812" s="154"/>
      <c r="F1812" s="154"/>
      <c r="G1812" s="217"/>
      <c r="I1812" s="673"/>
      <c r="J1812" s="209"/>
      <c r="K1812" s="520"/>
      <c r="L1812" s="154"/>
      <c r="M1812" s="154"/>
      <c r="N1812" s="154"/>
      <c r="O1812" s="246"/>
      <c r="P1812" s="1597"/>
      <c r="R1812" s="1598"/>
      <c r="S1812" s="557"/>
      <c r="T1812" s="1768"/>
      <c r="V1812" s="1769"/>
      <c r="X1812" s="1768"/>
      <c r="Z1812" s="1769"/>
      <c r="AA1812" s="557"/>
      <c r="AK1812" s="246"/>
    </row>
    <row r="1813" spans="2:37" ht="18" customHeight="1">
      <c r="B1813" s="199"/>
      <c r="D1813" s="154"/>
      <c r="F1813" s="154"/>
      <c r="G1813" s="217"/>
      <c r="I1813" s="673"/>
      <c r="J1813" s="209"/>
      <c r="K1813" s="520"/>
      <c r="L1813" s="154"/>
      <c r="M1813" s="154"/>
      <c r="N1813" s="154"/>
      <c r="O1813" s="246"/>
      <c r="P1813" s="1597"/>
      <c r="R1813" s="1598"/>
      <c r="S1813" s="557"/>
      <c r="T1813" s="1768"/>
      <c r="V1813" s="1769"/>
      <c r="X1813" s="1768"/>
      <c r="Z1813" s="1769"/>
      <c r="AA1813" s="557"/>
      <c r="AK1813" s="246"/>
    </row>
    <row r="1814" spans="2:37" ht="18" customHeight="1">
      <c r="B1814" s="199"/>
      <c r="D1814" s="154"/>
      <c r="F1814" s="154"/>
      <c r="G1814" s="217"/>
      <c r="I1814" s="673"/>
      <c r="J1814" s="209"/>
      <c r="K1814" s="520"/>
      <c r="L1814" s="154"/>
      <c r="M1814" s="154"/>
      <c r="N1814" s="154"/>
      <c r="O1814" s="246"/>
      <c r="P1814" s="1597"/>
      <c r="R1814" s="1598"/>
      <c r="S1814" s="557"/>
      <c r="T1814" s="1768"/>
      <c r="V1814" s="1769"/>
      <c r="X1814" s="1768"/>
      <c r="Z1814" s="1769"/>
      <c r="AA1814" s="557"/>
      <c r="AK1814" s="246"/>
    </row>
    <row r="1815" spans="2:37" ht="18" customHeight="1">
      <c r="B1815" s="199"/>
      <c r="D1815" s="154"/>
      <c r="F1815" s="154"/>
      <c r="G1815" s="217"/>
      <c r="I1815" s="673"/>
      <c r="J1815" s="209"/>
      <c r="K1815" s="520"/>
      <c r="L1815" s="154"/>
      <c r="M1815" s="154"/>
      <c r="N1815" s="154"/>
      <c r="O1815" s="246"/>
      <c r="P1815" s="1597"/>
      <c r="R1815" s="1598"/>
      <c r="S1815" s="557"/>
      <c r="T1815" s="1768"/>
      <c r="V1815" s="1769"/>
      <c r="X1815" s="1768"/>
      <c r="Z1815" s="1769"/>
      <c r="AA1815" s="557"/>
      <c r="AK1815" s="246"/>
    </row>
    <row r="1816" spans="2:37" ht="18" customHeight="1">
      <c r="B1816" s="199"/>
      <c r="D1816" s="154"/>
      <c r="F1816" s="154"/>
      <c r="G1816" s="217"/>
      <c r="I1816" s="673"/>
      <c r="J1816" s="209"/>
      <c r="K1816" s="520"/>
      <c r="L1816" s="154"/>
      <c r="M1816" s="154"/>
      <c r="N1816" s="154"/>
      <c r="O1816" s="246"/>
      <c r="P1816" s="1597"/>
      <c r="R1816" s="1598"/>
      <c r="S1816" s="557"/>
      <c r="T1816" s="1768"/>
      <c r="V1816" s="1769"/>
      <c r="X1816" s="1768"/>
      <c r="Z1816" s="1769"/>
      <c r="AA1816" s="557"/>
      <c r="AK1816" s="246"/>
    </row>
    <row r="1817" spans="2:37" ht="18" customHeight="1">
      <c r="B1817" s="199"/>
      <c r="D1817" s="154"/>
      <c r="F1817" s="154"/>
      <c r="G1817" s="217"/>
      <c r="I1817" s="673"/>
      <c r="J1817" s="209"/>
      <c r="K1817" s="520"/>
      <c r="L1817" s="154"/>
      <c r="M1817" s="154"/>
      <c r="N1817" s="154"/>
      <c r="O1817" s="246"/>
      <c r="P1817" s="1597"/>
      <c r="R1817" s="1598"/>
      <c r="S1817" s="557"/>
      <c r="T1817" s="1768"/>
      <c r="V1817" s="1769"/>
      <c r="X1817" s="1768"/>
      <c r="Z1817" s="1769"/>
      <c r="AA1817" s="557"/>
      <c r="AK1817" s="246"/>
    </row>
    <row r="1818" spans="2:37" ht="18" customHeight="1">
      <c r="B1818" s="199"/>
      <c r="D1818" s="154"/>
      <c r="F1818" s="154"/>
      <c r="G1818" s="217"/>
      <c r="I1818" s="673"/>
      <c r="J1818" s="209"/>
      <c r="K1818" s="520"/>
      <c r="L1818" s="154"/>
      <c r="M1818" s="154"/>
      <c r="N1818" s="154"/>
      <c r="O1818" s="246"/>
      <c r="P1818" s="1597"/>
      <c r="R1818" s="1598"/>
      <c r="S1818" s="557"/>
      <c r="T1818" s="1768"/>
      <c r="V1818" s="1769"/>
      <c r="X1818" s="1768"/>
      <c r="Z1818" s="1769"/>
      <c r="AA1818" s="557"/>
      <c r="AK1818" s="246"/>
    </row>
    <row r="1819" spans="2:37" ht="18" customHeight="1">
      <c r="B1819" s="199"/>
      <c r="D1819" s="154"/>
      <c r="F1819" s="154"/>
      <c r="G1819" s="217"/>
      <c r="I1819" s="673"/>
      <c r="J1819" s="209"/>
      <c r="K1819" s="520"/>
      <c r="L1819" s="154"/>
      <c r="M1819" s="154"/>
      <c r="N1819" s="154"/>
      <c r="O1819" s="246"/>
      <c r="P1819" s="1597"/>
      <c r="R1819" s="1598"/>
      <c r="S1819" s="557"/>
      <c r="T1819" s="1768"/>
      <c r="V1819" s="1769"/>
      <c r="X1819" s="1768"/>
      <c r="Z1819" s="1769"/>
      <c r="AA1819" s="557"/>
      <c r="AK1819" s="246"/>
    </row>
    <row r="1820" spans="2:37" ht="18" customHeight="1">
      <c r="B1820" s="199"/>
      <c r="D1820" s="154"/>
      <c r="F1820" s="154"/>
      <c r="G1820" s="217"/>
      <c r="I1820" s="673"/>
      <c r="J1820" s="209"/>
      <c r="K1820" s="520"/>
      <c r="L1820" s="154"/>
      <c r="M1820" s="154"/>
      <c r="N1820" s="154"/>
      <c r="O1820" s="246"/>
      <c r="P1820" s="1597"/>
      <c r="R1820" s="1598"/>
      <c r="S1820" s="557"/>
      <c r="T1820" s="1768"/>
      <c r="V1820" s="1769"/>
      <c r="X1820" s="1768"/>
      <c r="Z1820" s="1769"/>
      <c r="AA1820" s="557"/>
      <c r="AK1820" s="246"/>
    </row>
    <row r="1821" spans="2:37" ht="18" customHeight="1">
      <c r="B1821" s="199"/>
      <c r="D1821" s="154"/>
      <c r="F1821" s="154"/>
      <c r="G1821" s="217"/>
      <c r="I1821" s="673"/>
      <c r="J1821" s="209"/>
      <c r="K1821" s="520"/>
      <c r="L1821" s="154"/>
      <c r="M1821" s="154"/>
      <c r="N1821" s="154"/>
      <c r="O1821" s="246"/>
      <c r="P1821" s="1597"/>
      <c r="R1821" s="1598"/>
      <c r="S1821" s="557"/>
      <c r="T1821" s="1768"/>
      <c r="V1821" s="1769"/>
      <c r="X1821" s="1768"/>
      <c r="Z1821" s="1769"/>
      <c r="AA1821" s="557"/>
      <c r="AK1821" s="246"/>
    </row>
    <row r="1822" spans="2:37" ht="18" customHeight="1">
      <c r="B1822" s="199"/>
      <c r="D1822" s="154"/>
      <c r="F1822" s="154"/>
      <c r="G1822" s="217"/>
      <c r="I1822" s="673"/>
      <c r="J1822" s="209"/>
      <c r="K1822" s="520"/>
      <c r="L1822" s="154"/>
      <c r="M1822" s="154"/>
      <c r="N1822" s="154"/>
      <c r="O1822" s="246"/>
      <c r="P1822" s="1597"/>
      <c r="R1822" s="1598"/>
      <c r="S1822" s="557"/>
      <c r="T1822" s="1768"/>
      <c r="V1822" s="1769"/>
      <c r="X1822" s="1768"/>
      <c r="Z1822" s="1769"/>
      <c r="AA1822" s="557"/>
      <c r="AK1822" s="246"/>
    </row>
    <row r="1823" spans="2:37" ht="18" customHeight="1">
      <c r="B1823" s="199"/>
      <c r="D1823" s="154"/>
      <c r="F1823" s="154"/>
      <c r="G1823" s="217"/>
      <c r="I1823" s="673"/>
      <c r="J1823" s="209"/>
      <c r="K1823" s="520"/>
      <c r="L1823" s="154"/>
      <c r="M1823" s="154"/>
      <c r="N1823" s="154"/>
      <c r="O1823" s="246"/>
      <c r="P1823" s="1597"/>
      <c r="R1823" s="1598"/>
      <c r="S1823" s="557"/>
      <c r="T1823" s="1768"/>
      <c r="V1823" s="1769"/>
      <c r="X1823" s="1768"/>
      <c r="Z1823" s="1769"/>
      <c r="AA1823" s="557"/>
      <c r="AK1823" s="246"/>
    </row>
    <row r="1824" spans="2:37" ht="18" customHeight="1">
      <c r="B1824" s="199"/>
      <c r="D1824" s="154"/>
      <c r="F1824" s="154"/>
      <c r="G1824" s="217"/>
      <c r="I1824" s="673"/>
      <c r="J1824" s="209"/>
      <c r="K1824" s="520"/>
      <c r="L1824" s="154"/>
      <c r="M1824" s="154"/>
      <c r="N1824" s="154"/>
      <c r="O1824" s="246"/>
      <c r="P1824" s="1597"/>
      <c r="R1824" s="1598"/>
      <c r="S1824" s="557"/>
      <c r="T1824" s="1768"/>
      <c r="V1824" s="1769"/>
      <c r="X1824" s="1768"/>
      <c r="Z1824" s="1769"/>
      <c r="AA1824" s="557"/>
      <c r="AK1824" s="246"/>
    </row>
    <row r="1825" spans="2:37" ht="18" customHeight="1">
      <c r="B1825" s="199"/>
      <c r="D1825" s="154"/>
      <c r="F1825" s="154"/>
      <c r="G1825" s="217"/>
      <c r="I1825" s="673"/>
      <c r="J1825" s="209"/>
      <c r="K1825" s="520"/>
      <c r="L1825" s="154"/>
      <c r="M1825" s="154"/>
      <c r="N1825" s="154"/>
      <c r="O1825" s="246"/>
      <c r="P1825" s="1597"/>
      <c r="R1825" s="1598"/>
      <c r="S1825" s="557"/>
      <c r="T1825" s="1768"/>
      <c r="V1825" s="1769"/>
      <c r="X1825" s="1768"/>
      <c r="Z1825" s="1769"/>
      <c r="AA1825" s="557"/>
      <c r="AK1825" s="246"/>
    </row>
    <row r="1826" spans="2:37" ht="18" customHeight="1">
      <c r="B1826" s="199"/>
      <c r="D1826" s="154"/>
      <c r="F1826" s="154"/>
      <c r="G1826" s="217"/>
      <c r="I1826" s="673"/>
      <c r="J1826" s="209"/>
      <c r="K1826" s="520"/>
      <c r="L1826" s="154"/>
      <c r="M1826" s="154"/>
      <c r="N1826" s="154"/>
      <c r="O1826" s="246"/>
      <c r="P1826" s="1597"/>
      <c r="R1826" s="1598"/>
      <c r="S1826" s="557"/>
      <c r="T1826" s="1768"/>
      <c r="V1826" s="1769"/>
      <c r="X1826" s="1768"/>
      <c r="Z1826" s="1769"/>
      <c r="AA1826" s="557"/>
      <c r="AK1826" s="246"/>
    </row>
    <row r="1827" spans="2:37" ht="18" customHeight="1">
      <c r="B1827" s="199"/>
      <c r="D1827" s="154"/>
      <c r="F1827" s="154"/>
      <c r="G1827" s="217"/>
      <c r="I1827" s="673"/>
      <c r="J1827" s="209"/>
      <c r="K1827" s="520"/>
      <c r="L1827" s="154"/>
      <c r="M1827" s="154"/>
      <c r="N1827" s="154"/>
      <c r="O1827" s="246"/>
      <c r="P1827" s="1597"/>
      <c r="R1827" s="1598"/>
      <c r="S1827" s="557"/>
      <c r="T1827" s="1768"/>
      <c r="V1827" s="1769"/>
      <c r="X1827" s="1768"/>
      <c r="Z1827" s="1769"/>
      <c r="AA1827" s="557"/>
      <c r="AK1827" s="246"/>
    </row>
    <row r="1828" spans="2:37" ht="18" customHeight="1">
      <c r="B1828" s="199"/>
      <c r="D1828" s="154"/>
      <c r="F1828" s="154"/>
      <c r="G1828" s="217"/>
      <c r="I1828" s="673"/>
      <c r="J1828" s="209"/>
      <c r="K1828" s="520"/>
      <c r="L1828" s="154"/>
      <c r="M1828" s="154"/>
      <c r="N1828" s="154"/>
      <c r="O1828" s="246"/>
      <c r="P1828" s="1597"/>
      <c r="R1828" s="1598"/>
      <c r="S1828" s="557"/>
      <c r="T1828" s="1768"/>
      <c r="V1828" s="1769"/>
      <c r="X1828" s="1768"/>
      <c r="Z1828" s="1769"/>
      <c r="AA1828" s="557"/>
      <c r="AK1828" s="246"/>
    </row>
    <row r="1829" spans="2:37" ht="18" customHeight="1">
      <c r="B1829" s="199"/>
      <c r="D1829" s="154"/>
      <c r="F1829" s="154"/>
      <c r="G1829" s="217"/>
      <c r="I1829" s="673"/>
      <c r="J1829" s="209"/>
      <c r="K1829" s="520"/>
      <c r="L1829" s="154"/>
      <c r="M1829" s="154"/>
      <c r="N1829" s="154"/>
      <c r="O1829" s="246"/>
      <c r="P1829" s="1597"/>
      <c r="R1829" s="1598"/>
      <c r="S1829" s="557"/>
      <c r="T1829" s="1768"/>
      <c r="V1829" s="1769"/>
      <c r="X1829" s="1768"/>
      <c r="Z1829" s="1769"/>
      <c r="AA1829" s="557"/>
      <c r="AK1829" s="246"/>
    </row>
    <row r="1830" spans="2:37" ht="18" customHeight="1">
      <c r="B1830" s="199"/>
      <c r="D1830" s="154"/>
      <c r="F1830" s="154"/>
      <c r="G1830" s="217"/>
      <c r="I1830" s="673"/>
      <c r="J1830" s="209"/>
      <c r="K1830" s="520"/>
      <c r="L1830" s="154"/>
      <c r="M1830" s="154"/>
      <c r="N1830" s="154"/>
      <c r="O1830" s="246"/>
      <c r="P1830" s="1597"/>
      <c r="R1830" s="1598"/>
      <c r="S1830" s="557"/>
      <c r="T1830" s="1768"/>
      <c r="V1830" s="1769"/>
      <c r="X1830" s="1768"/>
      <c r="Z1830" s="1769"/>
      <c r="AA1830" s="557"/>
      <c r="AK1830" s="246"/>
    </row>
    <row r="1831" spans="2:37" ht="18" customHeight="1">
      <c r="B1831" s="199"/>
      <c r="D1831" s="154"/>
      <c r="F1831" s="154"/>
      <c r="G1831" s="217"/>
      <c r="I1831" s="673"/>
      <c r="J1831" s="209"/>
      <c r="K1831" s="520"/>
      <c r="L1831" s="154"/>
      <c r="M1831" s="154"/>
      <c r="N1831" s="154"/>
      <c r="O1831" s="246"/>
      <c r="P1831" s="1597"/>
      <c r="R1831" s="1598"/>
      <c r="S1831" s="557"/>
      <c r="T1831" s="1768"/>
      <c r="V1831" s="1769"/>
      <c r="X1831" s="1768"/>
      <c r="Z1831" s="1769"/>
      <c r="AA1831" s="557"/>
      <c r="AK1831" s="246"/>
    </row>
    <row r="1832" spans="2:37" ht="18" customHeight="1">
      <c r="B1832" s="199"/>
      <c r="D1832" s="154"/>
      <c r="F1832" s="154"/>
      <c r="G1832" s="217"/>
      <c r="I1832" s="673"/>
      <c r="J1832" s="209"/>
      <c r="K1832" s="520"/>
      <c r="L1832" s="154"/>
      <c r="M1832" s="154"/>
      <c r="N1832" s="154"/>
      <c r="O1832" s="246"/>
      <c r="P1832" s="1597"/>
      <c r="R1832" s="1598"/>
      <c r="S1832" s="557"/>
      <c r="T1832" s="1768"/>
      <c r="V1832" s="1769"/>
      <c r="X1832" s="1768"/>
      <c r="Z1832" s="1769"/>
      <c r="AA1832" s="557"/>
      <c r="AK1832" s="246"/>
    </row>
    <row r="1833" spans="2:37" ht="18" customHeight="1">
      <c r="B1833" s="199"/>
      <c r="D1833" s="154"/>
      <c r="F1833" s="154"/>
      <c r="G1833" s="217"/>
      <c r="I1833" s="673"/>
      <c r="J1833" s="209"/>
      <c r="K1833" s="520"/>
      <c r="L1833" s="154"/>
      <c r="M1833" s="154"/>
      <c r="N1833" s="154"/>
      <c r="O1833" s="246"/>
      <c r="P1833" s="1597"/>
      <c r="R1833" s="1598"/>
      <c r="S1833" s="557"/>
      <c r="T1833" s="1768"/>
      <c r="V1833" s="1769"/>
      <c r="X1833" s="1768"/>
      <c r="Z1833" s="1769"/>
      <c r="AA1833" s="557"/>
      <c r="AK1833" s="246"/>
    </row>
    <row r="1834" spans="2:37" ht="18" customHeight="1">
      <c r="B1834" s="199"/>
      <c r="D1834" s="154"/>
      <c r="F1834" s="154"/>
      <c r="G1834" s="217"/>
      <c r="I1834" s="673"/>
      <c r="J1834" s="209"/>
      <c r="K1834" s="520"/>
      <c r="L1834" s="154"/>
      <c r="M1834" s="154"/>
      <c r="N1834" s="154"/>
      <c r="O1834" s="246"/>
      <c r="P1834" s="1597"/>
      <c r="R1834" s="1598"/>
      <c r="S1834" s="557"/>
      <c r="T1834" s="1768"/>
      <c r="V1834" s="1769"/>
      <c r="X1834" s="1768"/>
      <c r="Z1834" s="1769"/>
      <c r="AA1834" s="557"/>
      <c r="AK1834" s="246"/>
    </row>
    <row r="1835" spans="2:37" ht="18" customHeight="1">
      <c r="B1835" s="199"/>
      <c r="D1835" s="154"/>
      <c r="F1835" s="154"/>
      <c r="G1835" s="217"/>
      <c r="I1835" s="673"/>
      <c r="J1835" s="209"/>
      <c r="K1835" s="520"/>
      <c r="L1835" s="154"/>
      <c r="M1835" s="154"/>
      <c r="N1835" s="154"/>
      <c r="O1835" s="246"/>
      <c r="P1835" s="1597"/>
      <c r="R1835" s="1598"/>
      <c r="S1835" s="557"/>
      <c r="T1835" s="1768"/>
      <c r="V1835" s="1769"/>
      <c r="X1835" s="1768"/>
      <c r="Z1835" s="1769"/>
      <c r="AA1835" s="557"/>
      <c r="AK1835" s="246"/>
    </row>
    <row r="1836" spans="2:37" ht="18" customHeight="1">
      <c r="B1836" s="199"/>
      <c r="D1836" s="154"/>
      <c r="F1836" s="154"/>
      <c r="G1836" s="217"/>
      <c r="I1836" s="673"/>
      <c r="J1836" s="209"/>
      <c r="K1836" s="520"/>
      <c r="L1836" s="154"/>
      <c r="M1836" s="154"/>
      <c r="N1836" s="154"/>
      <c r="O1836" s="246"/>
      <c r="P1836" s="1597"/>
      <c r="R1836" s="1598"/>
      <c r="S1836" s="557"/>
      <c r="T1836" s="1768"/>
      <c r="V1836" s="1769"/>
      <c r="X1836" s="1768"/>
      <c r="Z1836" s="1769"/>
      <c r="AA1836" s="557"/>
      <c r="AK1836" s="246"/>
    </row>
    <row r="1837" spans="2:37" ht="18" customHeight="1">
      <c r="B1837" s="199"/>
      <c r="D1837" s="154"/>
      <c r="F1837" s="154"/>
      <c r="G1837" s="217"/>
      <c r="I1837" s="673"/>
      <c r="J1837" s="209"/>
      <c r="K1837" s="520"/>
      <c r="L1837" s="154"/>
      <c r="M1837" s="154"/>
      <c r="N1837" s="154"/>
      <c r="O1837" s="246"/>
      <c r="P1837" s="1597"/>
      <c r="R1837" s="1598"/>
      <c r="S1837" s="557"/>
      <c r="T1837" s="1768"/>
      <c r="V1837" s="1769"/>
      <c r="X1837" s="1768"/>
      <c r="Z1837" s="1769"/>
      <c r="AA1837" s="557"/>
      <c r="AK1837" s="246"/>
    </row>
    <row r="1838" spans="2:37" ht="18" customHeight="1">
      <c r="B1838" s="199"/>
      <c r="D1838" s="154"/>
      <c r="F1838" s="154"/>
      <c r="G1838" s="217"/>
      <c r="I1838" s="673"/>
      <c r="J1838" s="209"/>
      <c r="K1838" s="520"/>
      <c r="L1838" s="154"/>
      <c r="M1838" s="154"/>
      <c r="N1838" s="154"/>
      <c r="O1838" s="246"/>
      <c r="P1838" s="1597"/>
      <c r="R1838" s="1598"/>
      <c r="S1838" s="557"/>
      <c r="T1838" s="1768"/>
      <c r="V1838" s="1769"/>
      <c r="X1838" s="1768"/>
      <c r="Z1838" s="1769"/>
      <c r="AA1838" s="557"/>
      <c r="AK1838" s="246"/>
    </row>
    <row r="1839" spans="2:37" ht="18" customHeight="1">
      <c r="B1839" s="199"/>
      <c r="D1839" s="154"/>
      <c r="F1839" s="154"/>
      <c r="G1839" s="217"/>
      <c r="I1839" s="673"/>
      <c r="J1839" s="209"/>
      <c r="K1839" s="520"/>
      <c r="L1839" s="154"/>
      <c r="M1839" s="154"/>
      <c r="N1839" s="154"/>
      <c r="O1839" s="246"/>
      <c r="P1839" s="1597"/>
      <c r="R1839" s="1598"/>
      <c r="S1839" s="557"/>
      <c r="T1839" s="1768"/>
      <c r="V1839" s="1769"/>
      <c r="X1839" s="1768"/>
      <c r="Z1839" s="1769"/>
      <c r="AA1839" s="557"/>
      <c r="AK1839" s="246"/>
    </row>
    <row r="1840" spans="2:37" ht="18" customHeight="1">
      <c r="B1840" s="199"/>
      <c r="D1840" s="154"/>
      <c r="F1840" s="154"/>
      <c r="G1840" s="217"/>
      <c r="I1840" s="673"/>
      <c r="J1840" s="209"/>
      <c r="K1840" s="520"/>
      <c r="L1840" s="154"/>
      <c r="M1840" s="154"/>
      <c r="N1840" s="154"/>
      <c r="O1840" s="246"/>
      <c r="P1840" s="1597"/>
      <c r="R1840" s="1598"/>
      <c r="S1840" s="557"/>
      <c r="T1840" s="1768"/>
      <c r="V1840" s="1769"/>
      <c r="X1840" s="1768"/>
      <c r="Z1840" s="1769"/>
      <c r="AA1840" s="557"/>
      <c r="AK1840" s="246"/>
    </row>
    <row r="1841" spans="2:37" ht="18" customHeight="1">
      <c r="B1841" s="199"/>
      <c r="D1841" s="154"/>
      <c r="F1841" s="154"/>
      <c r="G1841" s="217"/>
      <c r="I1841" s="673"/>
      <c r="J1841" s="209"/>
      <c r="K1841" s="520"/>
      <c r="L1841" s="154"/>
      <c r="M1841" s="154"/>
      <c r="N1841" s="154"/>
      <c r="O1841" s="246"/>
      <c r="P1841" s="1597"/>
      <c r="R1841" s="1598"/>
      <c r="S1841" s="557"/>
      <c r="T1841" s="1768"/>
      <c r="V1841" s="1769"/>
      <c r="X1841" s="1768"/>
      <c r="Z1841" s="1769"/>
      <c r="AA1841" s="557"/>
      <c r="AK1841" s="246"/>
    </row>
    <row r="1842" spans="2:37" ht="18" customHeight="1">
      <c r="B1842" s="199"/>
      <c r="D1842" s="154"/>
      <c r="F1842" s="154"/>
      <c r="G1842" s="217"/>
      <c r="I1842" s="673"/>
      <c r="J1842" s="209"/>
      <c r="K1842" s="520"/>
      <c r="L1842" s="154"/>
      <c r="M1842" s="154"/>
      <c r="N1842" s="154"/>
      <c r="O1842" s="246"/>
      <c r="P1842" s="1597"/>
      <c r="R1842" s="1598"/>
      <c r="S1842" s="557"/>
      <c r="T1842" s="1768"/>
      <c r="V1842" s="1769"/>
      <c r="X1842" s="1768"/>
      <c r="Z1842" s="1769"/>
      <c r="AA1842" s="557"/>
      <c r="AK1842" s="246"/>
    </row>
    <row r="1843" spans="2:37" ht="18" customHeight="1">
      <c r="B1843" s="199"/>
      <c r="D1843" s="154"/>
      <c r="F1843" s="154"/>
      <c r="G1843" s="217"/>
      <c r="I1843" s="673"/>
      <c r="J1843" s="209"/>
      <c r="K1843" s="520"/>
      <c r="L1843" s="154"/>
      <c r="M1843" s="154"/>
      <c r="N1843" s="154"/>
      <c r="O1843" s="246"/>
      <c r="P1843" s="1597"/>
      <c r="R1843" s="1598"/>
      <c r="S1843" s="557"/>
      <c r="T1843" s="1768"/>
      <c r="V1843" s="1769"/>
      <c r="X1843" s="1768"/>
      <c r="Z1843" s="1769"/>
      <c r="AA1843" s="557"/>
      <c r="AK1843" s="246"/>
    </row>
    <row r="1844" spans="2:37" ht="18" customHeight="1">
      <c r="B1844" s="199"/>
      <c r="D1844" s="154"/>
      <c r="F1844" s="154"/>
      <c r="G1844" s="217"/>
      <c r="I1844" s="673"/>
      <c r="J1844" s="209"/>
      <c r="K1844" s="520"/>
      <c r="L1844" s="154"/>
      <c r="M1844" s="154"/>
      <c r="N1844" s="154"/>
      <c r="O1844" s="246"/>
      <c r="P1844" s="1597"/>
      <c r="R1844" s="1598"/>
      <c r="S1844" s="557"/>
      <c r="T1844" s="1768"/>
      <c r="V1844" s="1769"/>
      <c r="X1844" s="1768"/>
      <c r="Z1844" s="1769"/>
      <c r="AA1844" s="557"/>
      <c r="AK1844" s="246"/>
    </row>
    <row r="1845" spans="2:37" ht="18" customHeight="1">
      <c r="B1845" s="199"/>
      <c r="D1845" s="154"/>
      <c r="F1845" s="154"/>
      <c r="G1845" s="217"/>
      <c r="I1845" s="673"/>
      <c r="J1845" s="209"/>
      <c r="K1845" s="520"/>
      <c r="L1845" s="154"/>
      <c r="M1845" s="154"/>
      <c r="N1845" s="154"/>
      <c r="O1845" s="246"/>
      <c r="P1845" s="1597"/>
      <c r="R1845" s="1598"/>
      <c r="S1845" s="557"/>
      <c r="T1845" s="1768"/>
      <c r="V1845" s="1769"/>
      <c r="X1845" s="1768"/>
      <c r="Z1845" s="1769"/>
      <c r="AA1845" s="557"/>
      <c r="AK1845" s="246"/>
    </row>
    <row r="1846" spans="2:37" ht="18" customHeight="1">
      <c r="B1846" s="199"/>
      <c r="D1846" s="154"/>
      <c r="F1846" s="154"/>
      <c r="G1846" s="217"/>
      <c r="I1846" s="673"/>
      <c r="J1846" s="209"/>
      <c r="K1846" s="520"/>
      <c r="L1846" s="154"/>
      <c r="M1846" s="154"/>
      <c r="N1846" s="154"/>
      <c r="O1846" s="246"/>
      <c r="P1846" s="1597"/>
      <c r="R1846" s="1598"/>
      <c r="S1846" s="557"/>
      <c r="T1846" s="1768"/>
      <c r="V1846" s="1769"/>
      <c r="X1846" s="1768"/>
      <c r="Z1846" s="1769"/>
      <c r="AA1846" s="557"/>
      <c r="AK1846" s="246"/>
    </row>
    <row r="1847" spans="2:37" ht="18" customHeight="1">
      <c r="B1847" s="199"/>
      <c r="D1847" s="154"/>
      <c r="F1847" s="154"/>
      <c r="G1847" s="217"/>
      <c r="I1847" s="673"/>
      <c r="J1847" s="209"/>
      <c r="K1847" s="520"/>
      <c r="L1847" s="154"/>
      <c r="M1847" s="154"/>
      <c r="N1847" s="154"/>
      <c r="O1847" s="246"/>
      <c r="P1847" s="1597"/>
      <c r="R1847" s="1598"/>
      <c r="S1847" s="557"/>
      <c r="T1847" s="1768"/>
      <c r="V1847" s="1769"/>
      <c r="X1847" s="1768"/>
      <c r="Z1847" s="1769"/>
      <c r="AA1847" s="557"/>
      <c r="AK1847" s="246"/>
    </row>
    <row r="1848" spans="2:37" ht="18" customHeight="1">
      <c r="B1848" s="199"/>
      <c r="D1848" s="154"/>
      <c r="F1848" s="154"/>
      <c r="G1848" s="217"/>
      <c r="I1848" s="673"/>
      <c r="J1848" s="209"/>
      <c r="K1848" s="520"/>
      <c r="L1848" s="154"/>
      <c r="M1848" s="154"/>
      <c r="N1848" s="154"/>
      <c r="O1848" s="246"/>
      <c r="P1848" s="1597"/>
      <c r="R1848" s="1598"/>
      <c r="S1848" s="557"/>
      <c r="T1848" s="1768"/>
      <c r="V1848" s="1769"/>
      <c r="X1848" s="1768"/>
      <c r="Z1848" s="1769"/>
      <c r="AA1848" s="557"/>
      <c r="AK1848" s="246"/>
    </row>
    <row r="1849" spans="2:37" ht="18" customHeight="1">
      <c r="B1849" s="199"/>
      <c r="D1849" s="154"/>
      <c r="F1849" s="154"/>
      <c r="G1849" s="217"/>
      <c r="I1849" s="673"/>
      <c r="J1849" s="209"/>
      <c r="K1849" s="520"/>
      <c r="L1849" s="154"/>
      <c r="M1849" s="154"/>
      <c r="N1849" s="154"/>
      <c r="O1849" s="246"/>
      <c r="P1849" s="1597"/>
      <c r="R1849" s="1598"/>
      <c r="S1849" s="557"/>
      <c r="T1849" s="1768"/>
      <c r="V1849" s="1769"/>
      <c r="X1849" s="1768"/>
      <c r="Z1849" s="1769"/>
      <c r="AA1849" s="557"/>
      <c r="AK1849" s="246"/>
    </row>
    <row r="1850" spans="2:37" ht="18" customHeight="1">
      <c r="B1850" s="199"/>
      <c r="D1850" s="154"/>
      <c r="F1850" s="154"/>
      <c r="G1850" s="217"/>
      <c r="I1850" s="673"/>
      <c r="J1850" s="209"/>
      <c r="K1850" s="520"/>
      <c r="L1850" s="154"/>
      <c r="M1850" s="154"/>
      <c r="N1850" s="154"/>
      <c r="O1850" s="246"/>
      <c r="P1850" s="1597"/>
      <c r="R1850" s="1598"/>
      <c r="S1850" s="557"/>
      <c r="T1850" s="1768"/>
      <c r="V1850" s="1769"/>
      <c r="X1850" s="1768"/>
      <c r="Z1850" s="1769"/>
      <c r="AA1850" s="557"/>
      <c r="AK1850" s="246"/>
    </row>
    <row r="1851" spans="2:37" ht="18" customHeight="1">
      <c r="B1851" s="199"/>
      <c r="D1851" s="154"/>
      <c r="F1851" s="154"/>
      <c r="G1851" s="217"/>
      <c r="I1851" s="673"/>
      <c r="J1851" s="209"/>
      <c r="K1851" s="520"/>
      <c r="L1851" s="154"/>
      <c r="M1851" s="154"/>
      <c r="N1851" s="154"/>
      <c r="O1851" s="246"/>
      <c r="P1851" s="1597"/>
      <c r="R1851" s="1598"/>
      <c r="S1851" s="557"/>
      <c r="T1851" s="1768"/>
      <c r="V1851" s="1769"/>
      <c r="X1851" s="1768"/>
      <c r="Z1851" s="1769"/>
      <c r="AA1851" s="557"/>
      <c r="AK1851" s="246"/>
    </row>
    <row r="1852" spans="2:37" ht="18" customHeight="1">
      <c r="B1852" s="199"/>
      <c r="D1852" s="154"/>
      <c r="F1852" s="154"/>
      <c r="G1852" s="217"/>
      <c r="I1852" s="673"/>
      <c r="J1852" s="209"/>
      <c r="K1852" s="520"/>
      <c r="L1852" s="154"/>
      <c r="M1852" s="154"/>
      <c r="N1852" s="154"/>
      <c r="O1852" s="246"/>
      <c r="P1852" s="1597"/>
      <c r="R1852" s="1598"/>
      <c r="S1852" s="557"/>
      <c r="T1852" s="1768"/>
      <c r="V1852" s="1769"/>
      <c r="X1852" s="1768"/>
      <c r="Z1852" s="1769"/>
      <c r="AA1852" s="557"/>
      <c r="AK1852" s="246"/>
    </row>
    <row r="1853" spans="2:37" ht="18" customHeight="1">
      <c r="B1853" s="199"/>
      <c r="D1853" s="154"/>
      <c r="F1853" s="154"/>
      <c r="G1853" s="217"/>
      <c r="I1853" s="673"/>
      <c r="J1853" s="209"/>
      <c r="K1853" s="520"/>
      <c r="L1853" s="154"/>
      <c r="M1853" s="154"/>
      <c r="N1853" s="154"/>
      <c r="O1853" s="246"/>
      <c r="P1853" s="1597"/>
      <c r="R1853" s="1598"/>
      <c r="S1853" s="557"/>
      <c r="T1853" s="1768"/>
      <c r="V1853" s="1769"/>
      <c r="X1853" s="1768"/>
      <c r="Z1853" s="1769"/>
      <c r="AA1853" s="557"/>
      <c r="AK1853" s="246"/>
    </row>
    <row r="1854" spans="2:37" ht="18" customHeight="1">
      <c r="B1854" s="199"/>
      <c r="D1854" s="154"/>
      <c r="F1854" s="154"/>
      <c r="G1854" s="217"/>
      <c r="I1854" s="673"/>
      <c r="J1854" s="209"/>
      <c r="K1854" s="520"/>
      <c r="L1854" s="154"/>
      <c r="M1854" s="154"/>
      <c r="N1854" s="154"/>
      <c r="O1854" s="246"/>
      <c r="P1854" s="1597"/>
      <c r="R1854" s="1598"/>
      <c r="S1854" s="557"/>
      <c r="T1854" s="1768"/>
      <c r="V1854" s="1769"/>
      <c r="X1854" s="1768"/>
      <c r="Z1854" s="1769"/>
      <c r="AA1854" s="557"/>
      <c r="AK1854" s="246"/>
    </row>
    <row r="1855" spans="2:37" ht="18" customHeight="1">
      <c r="B1855" s="199"/>
      <c r="D1855" s="154"/>
      <c r="F1855" s="154"/>
      <c r="G1855" s="217"/>
      <c r="I1855" s="673"/>
      <c r="J1855" s="209"/>
      <c r="K1855" s="520"/>
      <c r="L1855" s="154"/>
      <c r="M1855" s="154"/>
      <c r="N1855" s="154"/>
      <c r="O1855" s="246"/>
      <c r="P1855" s="1597"/>
      <c r="R1855" s="1598"/>
      <c r="S1855" s="557"/>
      <c r="T1855" s="1768"/>
      <c r="V1855" s="1769"/>
      <c r="X1855" s="1768"/>
      <c r="Z1855" s="1769"/>
      <c r="AA1855" s="557"/>
      <c r="AK1855" s="246"/>
    </row>
    <row r="1856" spans="2:37" ht="18" customHeight="1">
      <c r="B1856" s="199"/>
      <c r="D1856" s="154"/>
      <c r="F1856" s="154"/>
      <c r="G1856" s="217"/>
      <c r="I1856" s="673"/>
      <c r="J1856" s="209"/>
      <c r="K1856" s="520"/>
      <c r="L1856" s="154"/>
      <c r="M1856" s="154"/>
      <c r="N1856" s="154"/>
      <c r="O1856" s="246"/>
      <c r="P1856" s="1597"/>
      <c r="R1856" s="1598"/>
      <c r="S1856" s="557"/>
      <c r="T1856" s="1768"/>
      <c r="V1856" s="1769"/>
      <c r="X1856" s="1768"/>
      <c r="Z1856" s="1769"/>
      <c r="AA1856" s="557"/>
      <c r="AK1856" s="246"/>
    </row>
    <row r="1857" spans="2:37" ht="18" customHeight="1">
      <c r="B1857" s="199"/>
      <c r="D1857" s="154"/>
      <c r="F1857" s="154"/>
      <c r="G1857" s="217"/>
      <c r="I1857" s="673"/>
      <c r="J1857" s="209"/>
      <c r="K1857" s="520"/>
      <c r="L1857" s="154"/>
      <c r="M1857" s="154"/>
      <c r="N1857" s="154"/>
      <c r="O1857" s="246"/>
      <c r="P1857" s="1597"/>
      <c r="R1857" s="1598"/>
      <c r="S1857" s="557"/>
      <c r="T1857" s="1768"/>
      <c r="V1857" s="1769"/>
      <c r="X1857" s="1768"/>
      <c r="Z1857" s="1769"/>
      <c r="AA1857" s="557"/>
      <c r="AK1857" s="246"/>
    </row>
    <row r="1858" spans="2:37" ht="18" customHeight="1">
      <c r="B1858" s="199"/>
      <c r="D1858" s="154"/>
      <c r="F1858" s="154"/>
      <c r="G1858" s="217"/>
      <c r="I1858" s="673"/>
      <c r="J1858" s="209"/>
      <c r="K1858" s="520"/>
      <c r="L1858" s="154"/>
      <c r="M1858" s="154"/>
      <c r="N1858" s="154"/>
      <c r="O1858" s="246"/>
      <c r="P1858" s="1597"/>
      <c r="R1858" s="1598"/>
      <c r="S1858" s="557"/>
      <c r="T1858" s="1768"/>
      <c r="V1858" s="1769"/>
      <c r="X1858" s="1768"/>
      <c r="Z1858" s="1769"/>
      <c r="AA1858" s="557"/>
      <c r="AK1858" s="246"/>
    </row>
    <row r="1859" spans="2:37" ht="18" customHeight="1">
      <c r="B1859" s="199"/>
      <c r="D1859" s="154"/>
      <c r="F1859" s="154"/>
      <c r="G1859" s="217"/>
      <c r="I1859" s="673"/>
      <c r="J1859" s="209"/>
      <c r="K1859" s="520"/>
      <c r="L1859" s="154"/>
      <c r="M1859" s="154"/>
      <c r="N1859" s="154"/>
      <c r="O1859" s="246"/>
      <c r="P1859" s="1597"/>
      <c r="R1859" s="1598"/>
      <c r="S1859" s="557"/>
      <c r="T1859" s="1768"/>
      <c r="V1859" s="1769"/>
      <c r="X1859" s="1768"/>
      <c r="Z1859" s="1769"/>
      <c r="AA1859" s="557"/>
      <c r="AK1859" s="246"/>
    </row>
    <row r="1860" spans="2:37" ht="18" customHeight="1">
      <c r="B1860" s="199"/>
      <c r="D1860" s="154"/>
      <c r="F1860" s="154"/>
      <c r="G1860" s="217"/>
      <c r="I1860" s="673"/>
      <c r="J1860" s="209"/>
      <c r="K1860" s="520"/>
      <c r="L1860" s="154"/>
      <c r="M1860" s="154"/>
      <c r="N1860" s="154"/>
      <c r="O1860" s="246"/>
      <c r="P1860" s="1597"/>
      <c r="R1860" s="1598"/>
      <c r="S1860" s="557"/>
      <c r="T1860" s="1768"/>
      <c r="V1860" s="1769"/>
      <c r="X1860" s="1768"/>
      <c r="Z1860" s="1769"/>
      <c r="AA1860" s="557"/>
      <c r="AK1860" s="246"/>
    </row>
    <row r="1861" spans="2:37" ht="18" customHeight="1">
      <c r="B1861" s="199"/>
      <c r="D1861" s="154"/>
      <c r="F1861" s="154"/>
      <c r="G1861" s="217"/>
      <c r="I1861" s="673"/>
      <c r="J1861" s="209"/>
      <c r="K1861" s="520"/>
      <c r="L1861" s="154"/>
      <c r="M1861" s="154"/>
      <c r="N1861" s="154"/>
      <c r="O1861" s="246"/>
      <c r="P1861" s="1597"/>
      <c r="R1861" s="1598"/>
      <c r="S1861" s="557"/>
      <c r="T1861" s="1768"/>
      <c r="V1861" s="1769"/>
      <c r="X1861" s="1768"/>
      <c r="Z1861" s="1769"/>
      <c r="AA1861" s="557"/>
      <c r="AK1861" s="246"/>
    </row>
    <row r="1862" spans="2:37" ht="18" customHeight="1">
      <c r="B1862" s="199"/>
      <c r="D1862" s="154"/>
      <c r="F1862" s="154"/>
      <c r="G1862" s="217"/>
      <c r="I1862" s="673"/>
      <c r="J1862" s="209"/>
      <c r="K1862" s="520"/>
      <c r="L1862" s="154"/>
      <c r="M1862" s="154"/>
      <c r="N1862" s="154"/>
      <c r="O1862" s="246"/>
      <c r="P1862" s="1597"/>
      <c r="R1862" s="1598"/>
      <c r="S1862" s="557"/>
      <c r="T1862" s="1768"/>
      <c r="V1862" s="1769"/>
      <c r="X1862" s="1768"/>
      <c r="Z1862" s="1769"/>
      <c r="AA1862" s="557"/>
      <c r="AK1862" s="246"/>
    </row>
    <row r="1863" spans="2:37" ht="18" customHeight="1">
      <c r="B1863" s="199"/>
      <c r="D1863" s="154"/>
      <c r="F1863" s="154"/>
      <c r="G1863" s="217"/>
      <c r="I1863" s="673"/>
      <c r="J1863" s="209"/>
      <c r="K1863" s="520"/>
      <c r="L1863" s="154"/>
      <c r="M1863" s="154"/>
      <c r="N1863" s="154"/>
      <c r="O1863" s="246"/>
      <c r="P1863" s="1597"/>
      <c r="R1863" s="1598"/>
      <c r="S1863" s="557"/>
      <c r="T1863" s="1768"/>
      <c r="V1863" s="1769"/>
      <c r="X1863" s="1768"/>
      <c r="Z1863" s="1769"/>
      <c r="AA1863" s="557"/>
      <c r="AK1863" s="246"/>
    </row>
    <row r="1864" spans="2:37" ht="18" customHeight="1">
      <c r="B1864" s="199"/>
      <c r="D1864" s="154"/>
      <c r="F1864" s="154"/>
      <c r="G1864" s="217"/>
      <c r="I1864" s="673"/>
      <c r="J1864" s="209"/>
      <c r="K1864" s="520"/>
      <c r="L1864" s="154"/>
      <c r="M1864" s="154"/>
      <c r="N1864" s="154"/>
      <c r="O1864" s="246"/>
      <c r="P1864" s="1597"/>
      <c r="R1864" s="1598"/>
      <c r="S1864" s="557"/>
      <c r="T1864" s="1768"/>
      <c r="V1864" s="1769"/>
      <c r="X1864" s="1768"/>
      <c r="Z1864" s="1769"/>
      <c r="AA1864" s="557"/>
      <c r="AK1864" s="246"/>
    </row>
    <row r="1865" spans="2:37" ht="18" customHeight="1">
      <c r="B1865" s="199"/>
      <c r="D1865" s="154"/>
      <c r="F1865" s="154"/>
      <c r="G1865" s="217"/>
      <c r="I1865" s="673"/>
      <c r="J1865" s="209"/>
      <c r="K1865" s="520"/>
      <c r="L1865" s="154"/>
      <c r="M1865" s="154"/>
      <c r="N1865" s="154"/>
      <c r="O1865" s="246"/>
      <c r="P1865" s="1597"/>
      <c r="R1865" s="1598"/>
      <c r="S1865" s="557"/>
      <c r="T1865" s="1768"/>
      <c r="V1865" s="1769"/>
      <c r="X1865" s="1768"/>
      <c r="Z1865" s="1769"/>
      <c r="AA1865" s="557"/>
      <c r="AK1865" s="246"/>
    </row>
    <row r="1866" spans="2:37" ht="18" customHeight="1">
      <c r="B1866" s="199"/>
      <c r="D1866" s="154"/>
      <c r="F1866" s="154"/>
      <c r="G1866" s="217"/>
      <c r="I1866" s="673"/>
      <c r="J1866" s="209"/>
      <c r="K1866" s="520"/>
      <c r="L1866" s="154"/>
      <c r="M1866" s="154"/>
      <c r="N1866" s="154"/>
      <c r="O1866" s="246"/>
      <c r="P1866" s="1597"/>
      <c r="R1866" s="1598"/>
      <c r="S1866" s="557"/>
      <c r="T1866" s="1768"/>
      <c r="V1866" s="1769"/>
      <c r="X1866" s="1768"/>
      <c r="Z1866" s="1769"/>
      <c r="AA1866" s="557"/>
      <c r="AK1866" s="246"/>
    </row>
    <row r="1867" spans="2:37" ht="18" customHeight="1">
      <c r="B1867" s="199"/>
      <c r="D1867" s="154"/>
      <c r="F1867" s="154"/>
      <c r="G1867" s="217"/>
      <c r="I1867" s="673"/>
      <c r="J1867" s="209"/>
      <c r="K1867" s="520"/>
      <c r="L1867" s="154"/>
      <c r="M1867" s="154"/>
      <c r="N1867" s="154"/>
      <c r="O1867" s="246"/>
      <c r="P1867" s="1597"/>
      <c r="R1867" s="1598"/>
      <c r="S1867" s="557"/>
      <c r="T1867" s="1768"/>
      <c r="V1867" s="1769"/>
      <c r="X1867" s="1768"/>
      <c r="Z1867" s="1769"/>
      <c r="AA1867" s="557"/>
      <c r="AK1867" s="246"/>
    </row>
    <row r="1868" spans="2:37" ht="18" customHeight="1">
      <c r="B1868" s="199"/>
      <c r="D1868" s="154"/>
      <c r="F1868" s="154"/>
      <c r="G1868" s="217"/>
      <c r="I1868" s="673"/>
      <c r="J1868" s="209"/>
      <c r="K1868" s="520"/>
      <c r="L1868" s="154"/>
      <c r="M1868" s="154"/>
      <c r="N1868" s="154"/>
      <c r="O1868" s="246"/>
      <c r="P1868" s="1597"/>
      <c r="R1868" s="1598"/>
      <c r="S1868" s="557"/>
      <c r="T1868" s="1768"/>
      <c r="V1868" s="1769"/>
      <c r="X1868" s="1768"/>
      <c r="Z1868" s="1769"/>
      <c r="AA1868" s="557"/>
      <c r="AK1868" s="246"/>
    </row>
    <row r="1869" spans="2:37" ht="18" customHeight="1">
      <c r="B1869" s="199"/>
      <c r="D1869" s="154"/>
      <c r="F1869" s="154"/>
      <c r="G1869" s="217"/>
      <c r="I1869" s="673"/>
      <c r="J1869" s="209"/>
      <c r="K1869" s="520"/>
      <c r="L1869" s="154"/>
      <c r="M1869" s="154"/>
      <c r="N1869" s="154"/>
      <c r="O1869" s="246"/>
      <c r="P1869" s="1597"/>
      <c r="R1869" s="1598"/>
      <c r="S1869" s="557"/>
      <c r="T1869" s="1768"/>
      <c r="V1869" s="1769"/>
      <c r="X1869" s="1768"/>
      <c r="Z1869" s="1769"/>
      <c r="AA1869" s="557"/>
      <c r="AK1869" s="246"/>
    </row>
    <row r="1870" spans="2:37" ht="18" customHeight="1">
      <c r="B1870" s="199"/>
      <c r="D1870" s="154"/>
      <c r="F1870" s="154"/>
      <c r="G1870" s="217"/>
      <c r="I1870" s="673"/>
      <c r="J1870" s="209"/>
      <c r="K1870" s="520"/>
      <c r="L1870" s="154"/>
      <c r="M1870" s="154"/>
      <c r="N1870" s="154"/>
      <c r="O1870" s="246"/>
      <c r="P1870" s="1597"/>
      <c r="R1870" s="1598"/>
      <c r="S1870" s="557"/>
      <c r="T1870" s="1768"/>
      <c r="V1870" s="1769"/>
      <c r="X1870" s="1768"/>
      <c r="Z1870" s="1769"/>
      <c r="AA1870" s="557"/>
      <c r="AK1870" s="246"/>
    </row>
    <row r="1871" spans="2:37" ht="18" customHeight="1">
      <c r="B1871" s="199"/>
      <c r="D1871" s="154"/>
      <c r="F1871" s="154"/>
      <c r="G1871" s="217"/>
      <c r="I1871" s="673"/>
      <c r="J1871" s="209"/>
      <c r="K1871" s="520"/>
      <c r="L1871" s="154"/>
      <c r="M1871" s="154"/>
      <c r="N1871" s="154"/>
      <c r="O1871" s="246"/>
      <c r="P1871" s="1597"/>
      <c r="R1871" s="1598"/>
      <c r="S1871" s="557"/>
      <c r="T1871" s="1768"/>
      <c r="V1871" s="1769"/>
      <c r="X1871" s="1768"/>
      <c r="Z1871" s="1769"/>
      <c r="AA1871" s="557"/>
      <c r="AK1871" s="246"/>
    </row>
    <row r="1872" spans="2:37" ht="18" customHeight="1">
      <c r="B1872" s="199"/>
      <c r="D1872" s="154"/>
      <c r="F1872" s="154"/>
      <c r="G1872" s="217"/>
      <c r="I1872" s="673"/>
      <c r="J1872" s="209"/>
      <c r="K1872" s="520"/>
      <c r="L1872" s="154"/>
      <c r="M1872" s="154"/>
      <c r="N1872" s="154"/>
      <c r="O1872" s="246"/>
      <c r="P1872" s="1597"/>
      <c r="R1872" s="1598"/>
      <c r="S1872" s="557"/>
      <c r="T1872" s="1768"/>
      <c r="V1872" s="1769"/>
      <c r="X1872" s="1768"/>
      <c r="Z1872" s="1769"/>
      <c r="AA1872" s="557"/>
      <c r="AK1872" s="246"/>
    </row>
    <row r="1873" spans="2:37" ht="18" customHeight="1">
      <c r="B1873" s="199"/>
      <c r="D1873" s="154"/>
      <c r="F1873" s="154"/>
      <c r="G1873" s="217"/>
      <c r="I1873" s="673"/>
      <c r="J1873" s="209"/>
      <c r="K1873" s="520"/>
      <c r="L1873" s="154"/>
      <c r="M1873" s="154"/>
      <c r="N1873" s="154"/>
      <c r="O1873" s="246"/>
      <c r="P1873" s="1597"/>
      <c r="R1873" s="1598"/>
      <c r="S1873" s="557"/>
      <c r="T1873" s="1768"/>
      <c r="V1873" s="1769"/>
      <c r="X1873" s="1768"/>
      <c r="Z1873" s="1769"/>
      <c r="AA1873" s="557"/>
      <c r="AK1873" s="246"/>
    </row>
    <row r="1874" spans="2:37" ht="18" customHeight="1">
      <c r="B1874" s="199"/>
      <c r="D1874" s="154"/>
      <c r="F1874" s="154"/>
      <c r="G1874" s="217"/>
      <c r="I1874" s="673"/>
      <c r="J1874" s="209"/>
      <c r="K1874" s="520"/>
      <c r="L1874" s="154"/>
      <c r="M1874" s="154"/>
      <c r="N1874" s="154"/>
      <c r="O1874" s="246"/>
      <c r="P1874" s="1597"/>
      <c r="R1874" s="1598"/>
      <c r="S1874" s="557"/>
      <c r="T1874" s="1768"/>
      <c r="V1874" s="1769"/>
      <c r="X1874" s="1768"/>
      <c r="Z1874" s="1769"/>
      <c r="AA1874" s="557"/>
      <c r="AK1874" s="246"/>
    </row>
    <row r="1875" spans="2:37" ht="18" customHeight="1">
      <c r="B1875" s="199"/>
      <c r="D1875" s="154"/>
      <c r="F1875" s="154"/>
      <c r="G1875" s="217"/>
      <c r="I1875" s="673"/>
      <c r="J1875" s="209"/>
      <c r="K1875" s="520"/>
      <c r="L1875" s="154"/>
      <c r="M1875" s="154"/>
      <c r="N1875" s="154"/>
      <c r="O1875" s="246"/>
      <c r="P1875" s="1597"/>
      <c r="R1875" s="1598"/>
      <c r="S1875" s="557"/>
      <c r="T1875" s="1768"/>
      <c r="V1875" s="1769"/>
      <c r="X1875" s="1768"/>
      <c r="Z1875" s="1769"/>
      <c r="AA1875" s="557"/>
      <c r="AK1875" s="246"/>
    </row>
    <row r="1876" spans="2:37" ht="18" customHeight="1">
      <c r="B1876" s="199"/>
      <c r="D1876" s="154"/>
      <c r="F1876" s="154"/>
      <c r="G1876" s="217"/>
      <c r="I1876" s="673"/>
      <c r="J1876" s="209"/>
      <c r="K1876" s="520"/>
      <c r="L1876" s="154"/>
      <c r="M1876" s="154"/>
      <c r="N1876" s="154"/>
      <c r="O1876" s="246"/>
      <c r="P1876" s="1597"/>
      <c r="R1876" s="1598"/>
      <c r="S1876" s="557"/>
      <c r="T1876" s="1768"/>
      <c r="V1876" s="1769"/>
      <c r="X1876" s="1768"/>
      <c r="Z1876" s="1769"/>
      <c r="AA1876" s="557"/>
      <c r="AK1876" s="246"/>
    </row>
    <row r="1877" spans="2:37" ht="18" customHeight="1">
      <c r="B1877" s="199"/>
      <c r="D1877" s="154"/>
      <c r="F1877" s="154"/>
      <c r="G1877" s="217"/>
      <c r="I1877" s="673"/>
      <c r="J1877" s="209"/>
      <c r="K1877" s="520"/>
      <c r="L1877" s="154"/>
      <c r="M1877" s="154"/>
      <c r="N1877" s="154"/>
      <c r="O1877" s="246"/>
      <c r="P1877" s="1597"/>
      <c r="R1877" s="1598"/>
      <c r="S1877" s="557"/>
      <c r="T1877" s="1768"/>
      <c r="V1877" s="1769"/>
      <c r="X1877" s="1768"/>
      <c r="Z1877" s="1769"/>
      <c r="AA1877" s="557"/>
      <c r="AK1877" s="246"/>
    </row>
    <row r="1878" spans="2:37" ht="18" customHeight="1">
      <c r="B1878" s="199"/>
      <c r="D1878" s="154"/>
      <c r="F1878" s="154"/>
      <c r="G1878" s="217"/>
      <c r="I1878" s="673"/>
      <c r="J1878" s="209"/>
      <c r="K1878" s="520"/>
      <c r="L1878" s="154"/>
      <c r="M1878" s="154"/>
      <c r="N1878" s="154"/>
      <c r="O1878" s="246"/>
      <c r="P1878" s="1597"/>
      <c r="R1878" s="1598"/>
      <c r="S1878" s="557"/>
      <c r="T1878" s="1768"/>
      <c r="V1878" s="1769"/>
      <c r="X1878" s="1768"/>
      <c r="Z1878" s="1769"/>
      <c r="AA1878" s="557"/>
      <c r="AK1878" s="246"/>
    </row>
    <row r="1879" spans="2:37" ht="18" customHeight="1">
      <c r="B1879" s="199"/>
      <c r="D1879" s="154"/>
      <c r="F1879" s="154"/>
      <c r="G1879" s="217"/>
      <c r="I1879" s="673"/>
      <c r="J1879" s="209"/>
      <c r="K1879" s="520"/>
      <c r="L1879" s="154"/>
      <c r="M1879" s="154"/>
      <c r="N1879" s="154"/>
      <c r="O1879" s="246"/>
      <c r="P1879" s="1597"/>
      <c r="R1879" s="1598"/>
      <c r="S1879" s="557"/>
      <c r="T1879" s="1768"/>
      <c r="V1879" s="1769"/>
      <c r="X1879" s="1768"/>
      <c r="Z1879" s="1769"/>
      <c r="AA1879" s="557"/>
      <c r="AK1879" s="246"/>
    </row>
    <row r="1880" spans="2:37" ht="18" customHeight="1">
      <c r="B1880" s="199"/>
      <c r="D1880" s="154"/>
      <c r="F1880" s="154"/>
      <c r="G1880" s="217"/>
      <c r="I1880" s="673"/>
      <c r="J1880" s="209"/>
      <c r="K1880" s="520"/>
      <c r="L1880" s="154"/>
      <c r="M1880" s="154"/>
      <c r="N1880" s="154"/>
      <c r="O1880" s="246"/>
      <c r="P1880" s="1597"/>
      <c r="R1880" s="1598"/>
      <c r="S1880" s="557"/>
      <c r="T1880" s="1768"/>
      <c r="V1880" s="1769"/>
      <c r="X1880" s="1768"/>
      <c r="Z1880" s="1769"/>
      <c r="AA1880" s="557"/>
      <c r="AK1880" s="246"/>
    </row>
    <row r="1881" spans="2:37" ht="18" customHeight="1">
      <c r="B1881" s="199"/>
      <c r="D1881" s="154"/>
      <c r="F1881" s="154"/>
      <c r="G1881" s="217"/>
      <c r="I1881" s="673"/>
      <c r="J1881" s="209"/>
      <c r="K1881" s="520"/>
      <c r="L1881" s="154"/>
      <c r="M1881" s="154"/>
      <c r="N1881" s="154"/>
      <c r="O1881" s="246"/>
      <c r="P1881" s="1597"/>
      <c r="R1881" s="1598"/>
      <c r="S1881" s="557"/>
      <c r="T1881" s="1768"/>
      <c r="V1881" s="1769"/>
      <c r="X1881" s="1768"/>
      <c r="Z1881" s="1769"/>
      <c r="AA1881" s="557"/>
      <c r="AK1881" s="246"/>
    </row>
    <row r="1882" spans="2:37" ht="18" customHeight="1">
      <c r="B1882" s="199"/>
      <c r="D1882" s="154"/>
      <c r="F1882" s="154"/>
      <c r="G1882" s="217"/>
      <c r="I1882" s="673"/>
      <c r="J1882" s="209"/>
      <c r="K1882" s="520"/>
      <c r="L1882" s="154"/>
      <c r="M1882" s="154"/>
      <c r="N1882" s="154"/>
      <c r="O1882" s="246"/>
      <c r="P1882" s="1597"/>
      <c r="R1882" s="1598"/>
      <c r="S1882" s="557"/>
      <c r="T1882" s="1768"/>
      <c r="V1882" s="1769"/>
      <c r="X1882" s="1768"/>
      <c r="Z1882" s="1769"/>
      <c r="AA1882" s="557"/>
      <c r="AK1882" s="246"/>
    </row>
    <row r="1883" spans="2:37" ht="18" customHeight="1">
      <c r="B1883" s="199"/>
      <c r="D1883" s="154"/>
      <c r="F1883" s="154"/>
      <c r="G1883" s="217"/>
      <c r="I1883" s="673"/>
      <c r="J1883" s="209"/>
      <c r="K1883" s="520"/>
      <c r="L1883" s="154"/>
      <c r="M1883" s="154"/>
      <c r="N1883" s="154"/>
      <c r="O1883" s="246"/>
      <c r="P1883" s="1597"/>
      <c r="R1883" s="1598"/>
      <c r="S1883" s="557"/>
      <c r="T1883" s="1768"/>
      <c r="V1883" s="1769"/>
      <c r="X1883" s="1768"/>
      <c r="Z1883" s="1769"/>
      <c r="AA1883" s="557"/>
      <c r="AK1883" s="246"/>
    </row>
    <row r="1884" spans="2:37" ht="18" customHeight="1">
      <c r="B1884" s="199"/>
      <c r="D1884" s="154"/>
      <c r="F1884" s="154"/>
      <c r="G1884" s="217"/>
      <c r="I1884" s="673"/>
      <c r="J1884" s="209"/>
      <c r="K1884" s="520"/>
      <c r="L1884" s="154"/>
      <c r="M1884" s="154"/>
      <c r="N1884" s="154"/>
      <c r="O1884" s="246"/>
      <c r="P1884" s="1597"/>
      <c r="R1884" s="1598"/>
      <c r="S1884" s="557"/>
      <c r="T1884" s="1768"/>
      <c r="V1884" s="1769"/>
      <c r="X1884" s="1768"/>
      <c r="Z1884" s="1769"/>
      <c r="AA1884" s="557"/>
      <c r="AK1884" s="246"/>
    </row>
    <row r="1885" spans="2:37" ht="18" customHeight="1">
      <c r="B1885" s="199"/>
      <c r="D1885" s="154"/>
      <c r="F1885" s="154"/>
      <c r="G1885" s="217"/>
      <c r="I1885" s="673"/>
      <c r="J1885" s="209"/>
      <c r="K1885" s="520"/>
      <c r="L1885" s="154"/>
      <c r="M1885" s="154"/>
      <c r="N1885" s="154"/>
      <c r="O1885" s="246"/>
      <c r="P1885" s="1597"/>
      <c r="R1885" s="1598"/>
      <c r="S1885" s="557"/>
      <c r="T1885" s="1768"/>
      <c r="V1885" s="1769"/>
      <c r="X1885" s="1768"/>
      <c r="Z1885" s="1769"/>
      <c r="AA1885" s="557"/>
      <c r="AK1885" s="246"/>
    </row>
    <row r="1886" spans="2:37" ht="18" customHeight="1">
      <c r="B1886" s="199"/>
      <c r="D1886" s="154"/>
      <c r="F1886" s="154"/>
      <c r="G1886" s="217"/>
      <c r="I1886" s="673"/>
      <c r="J1886" s="209"/>
      <c r="K1886" s="520"/>
      <c r="L1886" s="154"/>
      <c r="M1886" s="154"/>
      <c r="N1886" s="154"/>
      <c r="O1886" s="246"/>
      <c r="P1886" s="1597"/>
      <c r="R1886" s="1598"/>
      <c r="S1886" s="557"/>
      <c r="T1886" s="1768"/>
      <c r="V1886" s="1769"/>
      <c r="X1886" s="1768"/>
      <c r="Z1886" s="1769"/>
      <c r="AA1886" s="557"/>
      <c r="AK1886" s="246"/>
    </row>
    <row r="1887" spans="2:37" ht="18" customHeight="1">
      <c r="B1887" s="199"/>
      <c r="D1887" s="154"/>
      <c r="F1887" s="154"/>
      <c r="G1887" s="217"/>
      <c r="I1887" s="673"/>
      <c r="J1887" s="209"/>
      <c r="K1887" s="520"/>
      <c r="L1887" s="154"/>
      <c r="M1887" s="154"/>
      <c r="N1887" s="154"/>
      <c r="O1887" s="246"/>
      <c r="P1887" s="1597"/>
      <c r="R1887" s="1598"/>
      <c r="S1887" s="557"/>
      <c r="T1887" s="1768"/>
      <c r="V1887" s="1769"/>
      <c r="X1887" s="1768"/>
      <c r="Z1887" s="1769"/>
      <c r="AA1887" s="557"/>
      <c r="AK1887" s="246"/>
    </row>
    <row r="1888" spans="2:37" ht="18" customHeight="1">
      <c r="B1888" s="199"/>
      <c r="D1888" s="154"/>
      <c r="F1888" s="154"/>
      <c r="G1888" s="217"/>
      <c r="I1888" s="673"/>
      <c r="J1888" s="209"/>
      <c r="K1888" s="520"/>
      <c r="L1888" s="154"/>
      <c r="M1888" s="154"/>
      <c r="N1888" s="154"/>
      <c r="O1888" s="246"/>
      <c r="P1888" s="1597"/>
      <c r="R1888" s="1598"/>
      <c r="S1888" s="557"/>
      <c r="T1888" s="1768"/>
      <c r="V1888" s="1769"/>
      <c r="X1888" s="1768"/>
      <c r="Z1888" s="1769"/>
      <c r="AA1888" s="557"/>
      <c r="AK1888" s="246"/>
    </row>
    <row r="1889" spans="2:37" ht="18" customHeight="1">
      <c r="B1889" s="199"/>
      <c r="D1889" s="154"/>
      <c r="F1889" s="154"/>
      <c r="G1889" s="217"/>
      <c r="I1889" s="673"/>
      <c r="J1889" s="209"/>
      <c r="K1889" s="520"/>
      <c r="L1889" s="154"/>
      <c r="M1889" s="154"/>
      <c r="N1889" s="154"/>
      <c r="O1889" s="246"/>
      <c r="P1889" s="1597"/>
      <c r="R1889" s="1598"/>
      <c r="S1889" s="557"/>
      <c r="T1889" s="1768"/>
      <c r="V1889" s="1769"/>
      <c r="X1889" s="1768"/>
      <c r="Z1889" s="1769"/>
      <c r="AA1889" s="557"/>
      <c r="AK1889" s="246"/>
    </row>
    <row r="1890" spans="2:37" ht="18" customHeight="1">
      <c r="B1890" s="199"/>
      <c r="D1890" s="154"/>
      <c r="F1890" s="154"/>
      <c r="G1890" s="217"/>
      <c r="I1890" s="673"/>
      <c r="J1890" s="209"/>
      <c r="K1890" s="520"/>
      <c r="L1890" s="154"/>
      <c r="M1890" s="154"/>
      <c r="N1890" s="154"/>
      <c r="O1890" s="246"/>
      <c r="P1890" s="1597"/>
      <c r="R1890" s="1598"/>
      <c r="S1890" s="557"/>
      <c r="T1890" s="1768"/>
      <c r="V1890" s="1769"/>
      <c r="X1890" s="1768"/>
      <c r="Z1890" s="1769"/>
      <c r="AA1890" s="557"/>
      <c r="AK1890" s="246"/>
    </row>
    <row r="1891" spans="2:37" ht="18" customHeight="1">
      <c r="B1891" s="199"/>
      <c r="D1891" s="154"/>
      <c r="F1891" s="154"/>
      <c r="G1891" s="217"/>
      <c r="I1891" s="673"/>
      <c r="J1891" s="209"/>
      <c r="K1891" s="520"/>
      <c r="L1891" s="154"/>
      <c r="M1891" s="154"/>
      <c r="N1891" s="154"/>
      <c r="O1891" s="246"/>
      <c r="P1891" s="1597"/>
      <c r="R1891" s="1598"/>
      <c r="S1891" s="557"/>
      <c r="T1891" s="1768"/>
      <c r="V1891" s="1769"/>
      <c r="X1891" s="1768"/>
      <c r="Z1891" s="1769"/>
      <c r="AA1891" s="557"/>
      <c r="AK1891" s="246"/>
    </row>
    <row r="1892" spans="2:37" ht="18" customHeight="1">
      <c r="B1892" s="199"/>
      <c r="D1892" s="154"/>
      <c r="F1892" s="154"/>
      <c r="G1892" s="217"/>
      <c r="I1892" s="673"/>
      <c r="J1892" s="209"/>
      <c r="K1892" s="520"/>
      <c r="L1892" s="154"/>
      <c r="M1892" s="154"/>
      <c r="N1892" s="154"/>
      <c r="O1892" s="246"/>
      <c r="P1892" s="1597"/>
      <c r="R1892" s="1598"/>
      <c r="S1892" s="557"/>
      <c r="T1892" s="1768"/>
      <c r="V1892" s="1769"/>
      <c r="X1892" s="1768"/>
      <c r="Z1892" s="1769"/>
      <c r="AA1892" s="557"/>
      <c r="AK1892" s="246"/>
    </row>
    <row r="1893" spans="2:37" ht="18" customHeight="1">
      <c r="B1893" s="199"/>
      <c r="D1893" s="154"/>
      <c r="F1893" s="154"/>
      <c r="G1893" s="217"/>
      <c r="I1893" s="673"/>
      <c r="J1893" s="209"/>
      <c r="K1893" s="520"/>
      <c r="L1893" s="154"/>
      <c r="M1893" s="154"/>
      <c r="N1893" s="154"/>
      <c r="O1893" s="246"/>
      <c r="P1893" s="1597"/>
      <c r="R1893" s="1598"/>
      <c r="S1893" s="557"/>
      <c r="T1893" s="1768"/>
      <c r="V1893" s="1769"/>
      <c r="X1893" s="1768"/>
      <c r="Z1893" s="1769"/>
      <c r="AA1893" s="557"/>
      <c r="AK1893" s="246"/>
    </row>
    <row r="1894" spans="2:37" ht="18" customHeight="1">
      <c r="B1894" s="199"/>
      <c r="D1894" s="154"/>
      <c r="F1894" s="154"/>
      <c r="G1894" s="217"/>
      <c r="I1894" s="673"/>
      <c r="J1894" s="209"/>
      <c r="K1894" s="520"/>
      <c r="L1894" s="154"/>
      <c r="M1894" s="154"/>
      <c r="N1894" s="154"/>
      <c r="O1894" s="246"/>
      <c r="P1894" s="1597"/>
      <c r="R1894" s="1598"/>
      <c r="S1894" s="557"/>
      <c r="T1894" s="1768"/>
      <c r="V1894" s="1769"/>
      <c r="X1894" s="1768"/>
      <c r="Z1894" s="1769"/>
      <c r="AA1894" s="557"/>
      <c r="AK1894" s="246"/>
    </row>
    <row r="1895" spans="2:37" ht="18" customHeight="1">
      <c r="B1895" s="199"/>
      <c r="D1895" s="154"/>
      <c r="F1895" s="154"/>
      <c r="G1895" s="217"/>
      <c r="I1895" s="673"/>
      <c r="J1895" s="209"/>
      <c r="K1895" s="520"/>
      <c r="L1895" s="154"/>
      <c r="M1895" s="154"/>
      <c r="N1895" s="154"/>
      <c r="O1895" s="246"/>
      <c r="P1895" s="1597"/>
      <c r="R1895" s="1598"/>
      <c r="S1895" s="557"/>
      <c r="T1895" s="1768"/>
      <c r="V1895" s="1769"/>
      <c r="X1895" s="1768"/>
      <c r="Z1895" s="1769"/>
      <c r="AA1895" s="557"/>
      <c r="AK1895" s="246"/>
    </row>
    <row r="1896" spans="2:37" ht="18" customHeight="1">
      <c r="B1896" s="199"/>
      <c r="D1896" s="154"/>
      <c r="F1896" s="154"/>
      <c r="G1896" s="217"/>
      <c r="I1896" s="673"/>
      <c r="J1896" s="209"/>
      <c r="K1896" s="520"/>
      <c r="L1896" s="154"/>
      <c r="M1896" s="154"/>
      <c r="N1896" s="154"/>
      <c r="O1896" s="246"/>
      <c r="P1896" s="1597"/>
      <c r="R1896" s="1598"/>
      <c r="S1896" s="557"/>
      <c r="T1896" s="1768"/>
      <c r="V1896" s="1769"/>
      <c r="X1896" s="1768"/>
      <c r="Z1896" s="1769"/>
      <c r="AA1896" s="557"/>
      <c r="AK1896" s="246"/>
    </row>
    <row r="1897" spans="2:37" ht="18" customHeight="1">
      <c r="B1897" s="199"/>
      <c r="D1897" s="154"/>
      <c r="F1897" s="154"/>
      <c r="G1897" s="217"/>
      <c r="I1897" s="673"/>
      <c r="J1897" s="209"/>
      <c r="K1897" s="520"/>
      <c r="L1897" s="154"/>
      <c r="M1897" s="154"/>
      <c r="N1897" s="154"/>
      <c r="O1897" s="246"/>
      <c r="P1897" s="1597"/>
      <c r="R1897" s="1598"/>
      <c r="S1897" s="557"/>
      <c r="T1897" s="1768"/>
      <c r="V1897" s="1769"/>
      <c r="X1897" s="1768"/>
      <c r="Z1897" s="1769"/>
      <c r="AA1897" s="557"/>
      <c r="AK1897" s="246"/>
    </row>
    <row r="1898" spans="2:37" ht="18" customHeight="1">
      <c r="B1898" s="199"/>
      <c r="D1898" s="154"/>
      <c r="F1898" s="154"/>
      <c r="G1898" s="217"/>
      <c r="I1898" s="673"/>
      <c r="J1898" s="209"/>
      <c r="K1898" s="520"/>
      <c r="L1898" s="154"/>
      <c r="M1898" s="154"/>
      <c r="N1898" s="154"/>
      <c r="O1898" s="246"/>
      <c r="P1898" s="1597"/>
      <c r="R1898" s="1598"/>
      <c r="S1898" s="557"/>
      <c r="T1898" s="1768"/>
      <c r="V1898" s="1769"/>
      <c r="X1898" s="1768"/>
      <c r="Z1898" s="1769"/>
      <c r="AA1898" s="557"/>
      <c r="AK1898" s="246"/>
    </row>
    <row r="1899" spans="2:37" ht="18" customHeight="1">
      <c r="B1899" s="199"/>
      <c r="D1899" s="154"/>
      <c r="F1899" s="154"/>
      <c r="G1899" s="217"/>
      <c r="I1899" s="673"/>
      <c r="J1899" s="209"/>
      <c r="K1899" s="520"/>
      <c r="L1899" s="154"/>
      <c r="M1899" s="154"/>
      <c r="N1899" s="154"/>
      <c r="O1899" s="246"/>
      <c r="P1899" s="1597"/>
      <c r="R1899" s="1598"/>
      <c r="S1899" s="557"/>
      <c r="T1899" s="1768"/>
      <c r="V1899" s="1769"/>
      <c r="X1899" s="1768"/>
      <c r="Z1899" s="1769"/>
      <c r="AA1899" s="557"/>
      <c r="AK1899" s="246"/>
    </row>
    <row r="1900" spans="2:37" ht="18" customHeight="1">
      <c r="B1900" s="199"/>
      <c r="D1900" s="154"/>
      <c r="F1900" s="154"/>
      <c r="G1900" s="217"/>
      <c r="I1900" s="673"/>
      <c r="J1900" s="209"/>
      <c r="K1900" s="520"/>
      <c r="L1900" s="154"/>
      <c r="M1900" s="154"/>
      <c r="N1900" s="154"/>
      <c r="O1900" s="246"/>
      <c r="P1900" s="1597"/>
      <c r="R1900" s="1598"/>
      <c r="S1900" s="557"/>
      <c r="T1900" s="1768"/>
      <c r="V1900" s="1769"/>
      <c r="X1900" s="1768"/>
      <c r="Z1900" s="1769"/>
      <c r="AA1900" s="557"/>
      <c r="AK1900" s="246"/>
    </row>
    <row r="1901" spans="2:37" ht="18" customHeight="1">
      <c r="B1901" s="199"/>
      <c r="D1901" s="154"/>
      <c r="F1901" s="154"/>
      <c r="G1901" s="217"/>
      <c r="I1901" s="673"/>
      <c r="J1901" s="209"/>
      <c r="K1901" s="520"/>
      <c r="L1901" s="154"/>
      <c r="M1901" s="154"/>
      <c r="N1901" s="154"/>
      <c r="O1901" s="246"/>
      <c r="P1901" s="1597"/>
      <c r="R1901" s="1598"/>
      <c r="S1901" s="557"/>
      <c r="T1901" s="1768"/>
      <c r="V1901" s="1769"/>
      <c r="X1901" s="1768"/>
      <c r="Z1901" s="1769"/>
      <c r="AA1901" s="557"/>
      <c r="AK1901" s="246"/>
    </row>
    <row r="1902" spans="2:37" ht="18" customHeight="1">
      <c r="B1902" s="199"/>
      <c r="D1902" s="154"/>
      <c r="F1902" s="154"/>
      <c r="G1902" s="217"/>
      <c r="I1902" s="673"/>
      <c r="J1902" s="209"/>
      <c r="K1902" s="520"/>
      <c r="L1902" s="154"/>
      <c r="M1902" s="154"/>
      <c r="N1902" s="154"/>
      <c r="O1902" s="246"/>
      <c r="P1902" s="1597"/>
      <c r="R1902" s="1598"/>
      <c r="S1902" s="557"/>
      <c r="T1902" s="1768"/>
      <c r="V1902" s="1769"/>
      <c r="X1902" s="1768"/>
      <c r="Z1902" s="1769"/>
      <c r="AA1902" s="557"/>
      <c r="AK1902" s="246"/>
    </row>
    <row r="1903" spans="2:37" ht="18" customHeight="1">
      <c r="B1903" s="199"/>
      <c r="D1903" s="154"/>
      <c r="F1903" s="154"/>
      <c r="G1903" s="217"/>
      <c r="I1903" s="673"/>
      <c r="J1903" s="209"/>
      <c r="K1903" s="520"/>
      <c r="L1903" s="154"/>
      <c r="M1903" s="154"/>
      <c r="N1903" s="154"/>
      <c r="O1903" s="246"/>
      <c r="P1903" s="1597"/>
      <c r="R1903" s="1598"/>
      <c r="S1903" s="557"/>
      <c r="T1903" s="1768"/>
      <c r="V1903" s="1769"/>
      <c r="X1903" s="1768"/>
      <c r="Z1903" s="1769"/>
      <c r="AA1903" s="557"/>
      <c r="AK1903" s="246"/>
    </row>
    <row r="1904" spans="2:37" ht="18" customHeight="1">
      <c r="B1904" s="199"/>
      <c r="D1904" s="154"/>
      <c r="F1904" s="154"/>
      <c r="G1904" s="217"/>
      <c r="I1904" s="673"/>
      <c r="J1904" s="209"/>
      <c r="K1904" s="520"/>
      <c r="L1904" s="154"/>
      <c r="M1904" s="154"/>
      <c r="N1904" s="154"/>
      <c r="O1904" s="246"/>
      <c r="P1904" s="1597"/>
      <c r="R1904" s="1598"/>
      <c r="S1904" s="557"/>
      <c r="T1904" s="1768"/>
      <c r="V1904" s="1769"/>
      <c r="X1904" s="1768"/>
      <c r="Z1904" s="1769"/>
      <c r="AA1904" s="557"/>
      <c r="AK1904" s="246"/>
    </row>
    <row r="1905" spans="2:37" ht="18" customHeight="1">
      <c r="B1905" s="199"/>
      <c r="D1905" s="154"/>
      <c r="F1905" s="154"/>
      <c r="G1905" s="217"/>
      <c r="I1905" s="673"/>
      <c r="J1905" s="209"/>
      <c r="K1905" s="520"/>
      <c r="L1905" s="154"/>
      <c r="M1905" s="154"/>
      <c r="N1905" s="154"/>
      <c r="O1905" s="246"/>
      <c r="P1905" s="1597"/>
      <c r="R1905" s="1598"/>
      <c r="S1905" s="557"/>
      <c r="T1905" s="1768"/>
      <c r="V1905" s="1769"/>
      <c r="X1905" s="1768"/>
      <c r="Z1905" s="1769"/>
      <c r="AA1905" s="557"/>
      <c r="AK1905" s="246"/>
    </row>
    <row r="1906" spans="2:37" ht="18" customHeight="1">
      <c r="B1906" s="199"/>
      <c r="D1906" s="154"/>
      <c r="F1906" s="154"/>
      <c r="G1906" s="217"/>
      <c r="I1906" s="673"/>
      <c r="J1906" s="209"/>
      <c r="K1906" s="520"/>
      <c r="L1906" s="154"/>
      <c r="M1906" s="154"/>
      <c r="N1906" s="154"/>
      <c r="O1906" s="246"/>
      <c r="P1906" s="1597"/>
      <c r="R1906" s="1598"/>
      <c r="S1906" s="557"/>
      <c r="T1906" s="1768"/>
      <c r="V1906" s="1769"/>
      <c r="X1906" s="1768"/>
      <c r="Z1906" s="1769"/>
      <c r="AA1906" s="557"/>
      <c r="AK1906" s="246"/>
    </row>
    <row r="1907" spans="2:37" ht="18" customHeight="1">
      <c r="B1907" s="199"/>
      <c r="D1907" s="154"/>
      <c r="F1907" s="154"/>
      <c r="G1907" s="217"/>
      <c r="I1907" s="673"/>
      <c r="J1907" s="209"/>
      <c r="K1907" s="520"/>
      <c r="L1907" s="154"/>
      <c r="M1907" s="154"/>
      <c r="N1907" s="154"/>
      <c r="O1907" s="246"/>
      <c r="P1907" s="1597"/>
      <c r="R1907" s="1598"/>
      <c r="S1907" s="557"/>
      <c r="T1907" s="1768"/>
      <c r="V1907" s="1769"/>
      <c r="X1907" s="1768"/>
      <c r="Z1907" s="1769"/>
      <c r="AA1907" s="557"/>
      <c r="AK1907" s="246"/>
    </row>
    <row r="1908" spans="2:37" ht="18" customHeight="1">
      <c r="B1908" s="199"/>
      <c r="D1908" s="154"/>
      <c r="F1908" s="154"/>
      <c r="G1908" s="217"/>
      <c r="I1908" s="673"/>
      <c r="J1908" s="209"/>
      <c r="K1908" s="520"/>
      <c r="L1908" s="154"/>
      <c r="M1908" s="154"/>
      <c r="N1908" s="154"/>
      <c r="O1908" s="246"/>
      <c r="P1908" s="1597"/>
      <c r="R1908" s="1598"/>
      <c r="S1908" s="557"/>
      <c r="T1908" s="1768"/>
      <c r="V1908" s="1769"/>
      <c r="X1908" s="1768"/>
      <c r="Z1908" s="1769"/>
      <c r="AA1908" s="557"/>
      <c r="AK1908" s="246"/>
    </row>
    <row r="1909" spans="2:37" ht="18" customHeight="1">
      <c r="B1909" s="199"/>
      <c r="D1909" s="154"/>
      <c r="F1909" s="154"/>
      <c r="G1909" s="217"/>
      <c r="I1909" s="673"/>
      <c r="J1909" s="209"/>
      <c r="K1909" s="520"/>
      <c r="L1909" s="154"/>
      <c r="M1909" s="154"/>
      <c r="N1909" s="154"/>
      <c r="O1909" s="246"/>
      <c r="P1909" s="1597"/>
      <c r="R1909" s="1598"/>
      <c r="S1909" s="557"/>
      <c r="T1909" s="1768"/>
      <c r="V1909" s="1769"/>
      <c r="X1909" s="1768"/>
      <c r="Z1909" s="1769"/>
      <c r="AA1909" s="557"/>
      <c r="AK1909" s="246"/>
    </row>
    <row r="1910" spans="2:37" ht="18" customHeight="1">
      <c r="B1910" s="199"/>
      <c r="D1910" s="154"/>
      <c r="F1910" s="154"/>
      <c r="G1910" s="217"/>
      <c r="I1910" s="673"/>
      <c r="J1910" s="209"/>
      <c r="K1910" s="520"/>
      <c r="L1910" s="154"/>
      <c r="M1910" s="154"/>
      <c r="N1910" s="154"/>
      <c r="O1910" s="246"/>
      <c r="P1910" s="1597"/>
      <c r="R1910" s="1598"/>
      <c r="S1910" s="557"/>
      <c r="T1910" s="1768"/>
      <c r="V1910" s="1769"/>
      <c r="X1910" s="1768"/>
      <c r="Z1910" s="1769"/>
      <c r="AA1910" s="557"/>
      <c r="AK1910" s="246"/>
    </row>
    <row r="1911" spans="2:37" ht="18" customHeight="1">
      <c r="B1911" s="199"/>
      <c r="D1911" s="154"/>
      <c r="F1911" s="154"/>
      <c r="G1911" s="217"/>
      <c r="I1911" s="673"/>
      <c r="J1911" s="209"/>
      <c r="K1911" s="520"/>
      <c r="L1911" s="154"/>
      <c r="M1911" s="154"/>
      <c r="N1911" s="154"/>
      <c r="O1911" s="246"/>
      <c r="P1911" s="1597"/>
      <c r="R1911" s="1598"/>
      <c r="S1911" s="557"/>
      <c r="T1911" s="1768"/>
      <c r="V1911" s="1769"/>
      <c r="X1911" s="1768"/>
      <c r="Z1911" s="1769"/>
      <c r="AA1911" s="557"/>
      <c r="AK1911" s="246"/>
    </row>
    <row r="1912" spans="2:37" ht="18" customHeight="1">
      <c r="B1912" s="199"/>
      <c r="D1912" s="154"/>
      <c r="F1912" s="154"/>
      <c r="G1912" s="217"/>
      <c r="I1912" s="673"/>
      <c r="J1912" s="209"/>
      <c r="K1912" s="520"/>
      <c r="L1912" s="154"/>
      <c r="M1912" s="154"/>
      <c r="N1912" s="154"/>
      <c r="O1912" s="246"/>
      <c r="P1912" s="1597"/>
      <c r="R1912" s="1598"/>
      <c r="S1912" s="557"/>
      <c r="T1912" s="1768"/>
      <c r="V1912" s="1769"/>
      <c r="X1912" s="1768"/>
      <c r="Z1912" s="1769"/>
      <c r="AA1912" s="557"/>
      <c r="AK1912" s="246"/>
    </row>
    <row r="1913" spans="2:37" ht="18" customHeight="1">
      <c r="B1913" s="199"/>
      <c r="D1913" s="154"/>
      <c r="F1913" s="154"/>
      <c r="G1913" s="217"/>
      <c r="I1913" s="673"/>
      <c r="J1913" s="209"/>
      <c r="K1913" s="520"/>
      <c r="L1913" s="154"/>
      <c r="M1913" s="154"/>
      <c r="N1913" s="154"/>
      <c r="O1913" s="246"/>
      <c r="P1913" s="1597"/>
      <c r="R1913" s="1598"/>
      <c r="S1913" s="557"/>
      <c r="T1913" s="1768"/>
      <c r="V1913" s="1769"/>
      <c r="X1913" s="1768"/>
      <c r="Z1913" s="1769"/>
      <c r="AA1913" s="557"/>
      <c r="AK1913" s="246"/>
    </row>
    <row r="1914" spans="2:37" ht="18" customHeight="1">
      <c r="B1914" s="199"/>
      <c r="D1914" s="154"/>
      <c r="F1914" s="154"/>
      <c r="G1914" s="217"/>
      <c r="I1914" s="673"/>
      <c r="J1914" s="209"/>
      <c r="K1914" s="520"/>
      <c r="L1914" s="154"/>
      <c r="M1914" s="154"/>
      <c r="N1914" s="154"/>
      <c r="O1914" s="246"/>
      <c r="P1914" s="1597"/>
      <c r="R1914" s="1598"/>
      <c r="S1914" s="557"/>
      <c r="T1914" s="1768"/>
      <c r="V1914" s="1769"/>
      <c r="X1914" s="1768"/>
      <c r="Z1914" s="1769"/>
      <c r="AA1914" s="557"/>
      <c r="AK1914" s="246"/>
    </row>
    <row r="1915" spans="2:37" ht="18" customHeight="1">
      <c r="B1915" s="199"/>
      <c r="D1915" s="154"/>
      <c r="F1915" s="154"/>
      <c r="G1915" s="217"/>
      <c r="I1915" s="673"/>
      <c r="J1915" s="209"/>
      <c r="K1915" s="520"/>
      <c r="L1915" s="154"/>
      <c r="M1915" s="154"/>
      <c r="N1915" s="154"/>
      <c r="O1915" s="246"/>
      <c r="P1915" s="1597"/>
      <c r="R1915" s="1598"/>
      <c r="S1915" s="557"/>
      <c r="T1915" s="1768"/>
      <c r="V1915" s="1769"/>
      <c r="X1915" s="1768"/>
      <c r="Z1915" s="1769"/>
      <c r="AA1915" s="557"/>
      <c r="AK1915" s="246"/>
    </row>
    <row r="1916" spans="2:37" ht="18" customHeight="1">
      <c r="B1916" s="199"/>
      <c r="D1916" s="154"/>
      <c r="F1916" s="154"/>
      <c r="G1916" s="217"/>
      <c r="I1916" s="673"/>
      <c r="J1916" s="209"/>
      <c r="K1916" s="520"/>
      <c r="L1916" s="154"/>
      <c r="M1916" s="154"/>
      <c r="N1916" s="154"/>
      <c r="O1916" s="246"/>
      <c r="P1916" s="1597"/>
      <c r="R1916" s="1598"/>
      <c r="S1916" s="557"/>
      <c r="T1916" s="1768"/>
      <c r="V1916" s="1769"/>
      <c r="X1916" s="1768"/>
      <c r="Z1916" s="1769"/>
      <c r="AA1916" s="557"/>
      <c r="AK1916" s="246"/>
    </row>
    <row r="1917" spans="2:37" ht="18" customHeight="1">
      <c r="B1917" s="199"/>
      <c r="D1917" s="154"/>
      <c r="F1917" s="154"/>
      <c r="G1917" s="217"/>
      <c r="I1917" s="673"/>
      <c r="J1917" s="209"/>
      <c r="K1917" s="520"/>
      <c r="L1917" s="154"/>
      <c r="M1917" s="154"/>
      <c r="N1917" s="154"/>
      <c r="O1917" s="246"/>
      <c r="P1917" s="1597"/>
      <c r="R1917" s="1598"/>
      <c r="S1917" s="557"/>
      <c r="T1917" s="1768"/>
      <c r="V1917" s="1769"/>
      <c r="X1917" s="1768"/>
      <c r="Z1917" s="1769"/>
      <c r="AA1917" s="557"/>
      <c r="AK1917" s="246"/>
    </row>
    <row r="1918" spans="2:37" ht="18" customHeight="1">
      <c r="B1918" s="199"/>
      <c r="D1918" s="154"/>
      <c r="F1918" s="154"/>
      <c r="G1918" s="217"/>
      <c r="I1918" s="673"/>
      <c r="J1918" s="209"/>
      <c r="K1918" s="520"/>
      <c r="L1918" s="154"/>
      <c r="M1918" s="154"/>
      <c r="N1918" s="154"/>
      <c r="O1918" s="246"/>
      <c r="P1918" s="1597"/>
      <c r="R1918" s="1598"/>
      <c r="S1918" s="557"/>
      <c r="T1918" s="1768"/>
      <c r="V1918" s="1769"/>
      <c r="X1918" s="1768"/>
      <c r="Z1918" s="1769"/>
      <c r="AA1918" s="557"/>
      <c r="AK1918" s="246"/>
    </row>
    <row r="1919" spans="2:37" ht="18" customHeight="1">
      <c r="B1919" s="199"/>
      <c r="D1919" s="154"/>
      <c r="F1919" s="154"/>
      <c r="G1919" s="217"/>
      <c r="I1919" s="673"/>
      <c r="J1919" s="209"/>
      <c r="K1919" s="520"/>
      <c r="L1919" s="154"/>
      <c r="M1919" s="154"/>
      <c r="N1919" s="154"/>
      <c r="O1919" s="246"/>
      <c r="P1919" s="1597"/>
      <c r="R1919" s="1598"/>
      <c r="S1919" s="557"/>
      <c r="T1919" s="1768"/>
      <c r="V1919" s="1769"/>
      <c r="X1919" s="1768"/>
      <c r="Z1919" s="1769"/>
      <c r="AA1919" s="557"/>
      <c r="AK1919" s="246"/>
    </row>
    <row r="1920" spans="2:37" ht="18" customHeight="1">
      <c r="B1920" s="199"/>
      <c r="D1920" s="154"/>
      <c r="F1920" s="154"/>
      <c r="G1920" s="217"/>
      <c r="I1920" s="673"/>
      <c r="J1920" s="209"/>
      <c r="K1920" s="520"/>
      <c r="L1920" s="154"/>
      <c r="M1920" s="154"/>
      <c r="N1920" s="154"/>
      <c r="O1920" s="246"/>
      <c r="P1920" s="1597"/>
      <c r="R1920" s="1598"/>
      <c r="S1920" s="557"/>
      <c r="T1920" s="1768"/>
      <c r="V1920" s="1769"/>
      <c r="X1920" s="1768"/>
      <c r="Z1920" s="1769"/>
      <c r="AA1920" s="557"/>
      <c r="AK1920" s="246"/>
    </row>
    <row r="1921" spans="2:37" ht="18" customHeight="1">
      <c r="B1921" s="199"/>
      <c r="D1921" s="154"/>
      <c r="F1921" s="154"/>
      <c r="G1921" s="217"/>
      <c r="I1921" s="673"/>
      <c r="J1921" s="209"/>
      <c r="K1921" s="520"/>
      <c r="L1921" s="154"/>
      <c r="M1921" s="154"/>
      <c r="N1921" s="154"/>
      <c r="O1921" s="246"/>
      <c r="P1921" s="1597"/>
      <c r="R1921" s="1598"/>
      <c r="S1921" s="557"/>
      <c r="T1921" s="1768"/>
      <c r="V1921" s="1769"/>
      <c r="X1921" s="1768"/>
      <c r="Z1921" s="1769"/>
      <c r="AA1921" s="557"/>
      <c r="AK1921" s="246"/>
    </row>
    <row r="1922" spans="2:37" ht="18" customHeight="1">
      <c r="B1922" s="199"/>
      <c r="D1922" s="154"/>
      <c r="F1922" s="154"/>
      <c r="G1922" s="217"/>
      <c r="I1922" s="673"/>
      <c r="J1922" s="209"/>
      <c r="K1922" s="520"/>
      <c r="L1922" s="154"/>
      <c r="M1922" s="154"/>
      <c r="N1922" s="154"/>
      <c r="O1922" s="246"/>
      <c r="P1922" s="1597"/>
      <c r="R1922" s="1598"/>
      <c r="S1922" s="557"/>
      <c r="T1922" s="1768"/>
      <c r="V1922" s="1769"/>
      <c r="X1922" s="1768"/>
      <c r="Z1922" s="1769"/>
      <c r="AA1922" s="557"/>
      <c r="AK1922" s="246"/>
    </row>
    <row r="1923" spans="2:37" ht="18" customHeight="1">
      <c r="B1923" s="199"/>
      <c r="D1923" s="154"/>
      <c r="F1923" s="154"/>
      <c r="G1923" s="217"/>
      <c r="I1923" s="673"/>
      <c r="J1923" s="209"/>
      <c r="K1923" s="520"/>
      <c r="L1923" s="154"/>
      <c r="M1923" s="154"/>
      <c r="N1923" s="154"/>
      <c r="O1923" s="246"/>
      <c r="P1923" s="1597"/>
      <c r="R1923" s="1598"/>
      <c r="S1923" s="557"/>
      <c r="T1923" s="1768"/>
      <c r="V1923" s="1769"/>
      <c r="X1923" s="1768"/>
      <c r="Z1923" s="1769"/>
      <c r="AA1923" s="557"/>
      <c r="AK1923" s="246"/>
    </row>
    <row r="1924" spans="2:37" ht="18" customHeight="1">
      <c r="B1924" s="199"/>
      <c r="D1924" s="154"/>
      <c r="F1924" s="154"/>
      <c r="G1924" s="217"/>
      <c r="I1924" s="673"/>
      <c r="J1924" s="209"/>
      <c r="K1924" s="520"/>
      <c r="L1924" s="154"/>
      <c r="M1924" s="154"/>
      <c r="N1924" s="154"/>
      <c r="O1924" s="246"/>
      <c r="P1924" s="1597"/>
      <c r="R1924" s="1598"/>
      <c r="S1924" s="557"/>
      <c r="T1924" s="1768"/>
      <c r="V1924" s="1769"/>
      <c r="X1924" s="1768"/>
      <c r="Z1924" s="1769"/>
      <c r="AA1924" s="557"/>
      <c r="AK1924" s="246"/>
    </row>
    <row r="1925" spans="2:37" ht="18" customHeight="1">
      <c r="B1925" s="199"/>
      <c r="D1925" s="154"/>
      <c r="F1925" s="154"/>
      <c r="G1925" s="217"/>
      <c r="I1925" s="673"/>
      <c r="J1925" s="209"/>
      <c r="K1925" s="520"/>
      <c r="L1925" s="154"/>
      <c r="M1925" s="154"/>
      <c r="N1925" s="154"/>
      <c r="O1925" s="246"/>
      <c r="P1925" s="1597"/>
      <c r="R1925" s="1598"/>
      <c r="S1925" s="557"/>
      <c r="T1925" s="1768"/>
      <c r="V1925" s="1769"/>
      <c r="X1925" s="1768"/>
      <c r="Z1925" s="1769"/>
      <c r="AA1925" s="557"/>
      <c r="AK1925" s="246"/>
    </row>
    <row r="1926" spans="2:37" ht="18" customHeight="1">
      <c r="B1926" s="199"/>
      <c r="D1926" s="154"/>
      <c r="F1926" s="154"/>
      <c r="G1926" s="217"/>
      <c r="I1926" s="673"/>
      <c r="J1926" s="209"/>
      <c r="K1926" s="520"/>
      <c r="L1926" s="154"/>
      <c r="M1926" s="154"/>
      <c r="N1926" s="154"/>
      <c r="O1926" s="246"/>
      <c r="P1926" s="1597"/>
      <c r="R1926" s="1598"/>
      <c r="S1926" s="557"/>
      <c r="T1926" s="1768"/>
      <c r="V1926" s="1769"/>
      <c r="X1926" s="1768"/>
      <c r="Z1926" s="1769"/>
      <c r="AA1926" s="557"/>
      <c r="AK1926" s="246"/>
    </row>
    <row r="1927" spans="2:37" ht="18" customHeight="1">
      <c r="B1927" s="199"/>
      <c r="D1927" s="154"/>
      <c r="F1927" s="154"/>
      <c r="G1927" s="217"/>
      <c r="I1927" s="673"/>
      <c r="J1927" s="209"/>
      <c r="K1927" s="520"/>
      <c r="L1927" s="154"/>
      <c r="M1927" s="154"/>
      <c r="N1927" s="154"/>
      <c r="O1927" s="246"/>
      <c r="P1927" s="1597"/>
      <c r="R1927" s="1598"/>
      <c r="S1927" s="557"/>
      <c r="T1927" s="1768"/>
      <c r="V1927" s="1769"/>
      <c r="X1927" s="1768"/>
      <c r="Z1927" s="1769"/>
      <c r="AA1927" s="557"/>
      <c r="AK1927" s="246"/>
    </row>
    <row r="1928" spans="2:37" ht="18" customHeight="1">
      <c r="B1928" s="199"/>
      <c r="D1928" s="154"/>
      <c r="F1928" s="154"/>
      <c r="G1928" s="217"/>
      <c r="I1928" s="673"/>
      <c r="J1928" s="209"/>
      <c r="K1928" s="520"/>
      <c r="L1928" s="154"/>
      <c r="M1928" s="154"/>
      <c r="N1928" s="154"/>
      <c r="O1928" s="246"/>
      <c r="P1928" s="1597"/>
      <c r="R1928" s="1598"/>
      <c r="S1928" s="557"/>
      <c r="T1928" s="1768"/>
      <c r="V1928" s="1769"/>
      <c r="X1928" s="1768"/>
      <c r="Z1928" s="1769"/>
      <c r="AA1928" s="557"/>
      <c r="AK1928" s="246"/>
    </row>
    <row r="1929" spans="2:37" ht="18" customHeight="1">
      <c r="B1929" s="199"/>
      <c r="D1929" s="154"/>
      <c r="F1929" s="154"/>
      <c r="G1929" s="217"/>
      <c r="I1929" s="673"/>
      <c r="J1929" s="209"/>
      <c r="K1929" s="520"/>
      <c r="L1929" s="154"/>
      <c r="M1929" s="154"/>
      <c r="N1929" s="154"/>
      <c r="O1929" s="246"/>
      <c r="P1929" s="1597"/>
      <c r="R1929" s="1598"/>
      <c r="S1929" s="557"/>
      <c r="T1929" s="1768"/>
      <c r="V1929" s="1769"/>
      <c r="X1929" s="1768"/>
      <c r="Z1929" s="1769"/>
      <c r="AA1929" s="557"/>
      <c r="AK1929" s="246"/>
    </row>
    <row r="1930" spans="2:37" ht="18" customHeight="1">
      <c r="B1930" s="199"/>
      <c r="D1930" s="154"/>
      <c r="F1930" s="154"/>
      <c r="G1930" s="217"/>
      <c r="I1930" s="673"/>
      <c r="J1930" s="209"/>
      <c r="K1930" s="520"/>
      <c r="L1930" s="154"/>
      <c r="M1930" s="154"/>
      <c r="N1930" s="154"/>
      <c r="O1930" s="246"/>
      <c r="P1930" s="1597"/>
      <c r="R1930" s="1598"/>
      <c r="S1930" s="557"/>
      <c r="T1930" s="1768"/>
      <c r="V1930" s="1769"/>
      <c r="X1930" s="1768"/>
      <c r="Z1930" s="1769"/>
      <c r="AA1930" s="557"/>
      <c r="AK1930" s="246"/>
    </row>
    <row r="1931" spans="2:37" ht="18" customHeight="1">
      <c r="B1931" s="199"/>
      <c r="D1931" s="154"/>
      <c r="F1931" s="154"/>
      <c r="G1931" s="217"/>
      <c r="I1931" s="673"/>
      <c r="J1931" s="209"/>
      <c r="K1931" s="520"/>
      <c r="L1931" s="154"/>
      <c r="M1931" s="154"/>
      <c r="N1931" s="154"/>
      <c r="O1931" s="246"/>
      <c r="P1931" s="1597"/>
      <c r="R1931" s="1598"/>
      <c r="S1931" s="557"/>
      <c r="T1931" s="1768"/>
      <c r="V1931" s="1769"/>
      <c r="X1931" s="1768"/>
      <c r="Z1931" s="1769"/>
      <c r="AA1931" s="557"/>
      <c r="AK1931" s="246"/>
    </row>
    <row r="1932" spans="2:37" ht="18" customHeight="1">
      <c r="B1932" s="199"/>
      <c r="D1932" s="154"/>
      <c r="F1932" s="154"/>
      <c r="G1932" s="217"/>
      <c r="I1932" s="673"/>
      <c r="J1932" s="209"/>
      <c r="K1932" s="520"/>
      <c r="L1932" s="154"/>
      <c r="M1932" s="154"/>
      <c r="N1932" s="154"/>
      <c r="O1932" s="246"/>
      <c r="P1932" s="1597"/>
      <c r="R1932" s="1598"/>
      <c r="S1932" s="557"/>
      <c r="T1932" s="1768"/>
      <c r="V1932" s="1769"/>
      <c r="X1932" s="1768"/>
      <c r="Z1932" s="1769"/>
      <c r="AA1932" s="557"/>
      <c r="AK1932" s="246"/>
    </row>
    <row r="1933" spans="2:37" ht="18" customHeight="1">
      <c r="B1933" s="199"/>
      <c r="D1933" s="154"/>
      <c r="F1933" s="154"/>
      <c r="G1933" s="217"/>
      <c r="I1933" s="673"/>
      <c r="J1933" s="209"/>
      <c r="K1933" s="520"/>
      <c r="L1933" s="154"/>
      <c r="M1933" s="154"/>
      <c r="N1933" s="154"/>
      <c r="O1933" s="246"/>
      <c r="P1933" s="1597"/>
      <c r="R1933" s="1598"/>
      <c r="S1933" s="557"/>
      <c r="T1933" s="1768"/>
      <c r="V1933" s="1769"/>
      <c r="X1933" s="1768"/>
      <c r="Z1933" s="1769"/>
      <c r="AA1933" s="557"/>
      <c r="AK1933" s="246"/>
    </row>
    <row r="1934" spans="2:37" ht="18" customHeight="1">
      <c r="B1934" s="199"/>
      <c r="D1934" s="154"/>
      <c r="F1934" s="154"/>
      <c r="G1934" s="217"/>
      <c r="I1934" s="673"/>
      <c r="J1934" s="209"/>
      <c r="K1934" s="520"/>
      <c r="L1934" s="154"/>
      <c r="M1934" s="154"/>
      <c r="N1934" s="154"/>
      <c r="O1934" s="246"/>
      <c r="P1934" s="1597"/>
      <c r="R1934" s="1598"/>
      <c r="S1934" s="557"/>
      <c r="T1934" s="1768"/>
      <c r="V1934" s="1769"/>
      <c r="X1934" s="1768"/>
      <c r="Z1934" s="1769"/>
      <c r="AA1934" s="557"/>
      <c r="AK1934" s="246"/>
    </row>
    <row r="1935" spans="2:37" ht="18" customHeight="1">
      <c r="B1935" s="199"/>
      <c r="D1935" s="154"/>
      <c r="F1935" s="154"/>
      <c r="G1935" s="217"/>
      <c r="I1935" s="673"/>
      <c r="J1935" s="209"/>
      <c r="K1935" s="520"/>
      <c r="L1935" s="154"/>
      <c r="M1935" s="154"/>
      <c r="N1935" s="154"/>
      <c r="O1935" s="246"/>
      <c r="P1935" s="1597"/>
      <c r="R1935" s="1598"/>
      <c r="S1935" s="557"/>
      <c r="T1935" s="1768"/>
      <c r="V1935" s="1769"/>
      <c r="X1935" s="1768"/>
      <c r="Z1935" s="1769"/>
      <c r="AA1935" s="557"/>
      <c r="AK1935" s="246"/>
    </row>
    <row r="1936" spans="2:37" ht="18" customHeight="1">
      <c r="B1936" s="199"/>
      <c r="D1936" s="154"/>
      <c r="F1936" s="154"/>
      <c r="G1936" s="217"/>
      <c r="I1936" s="673"/>
      <c r="J1936" s="209"/>
      <c r="K1936" s="520"/>
      <c r="L1936" s="154"/>
      <c r="M1936" s="154"/>
      <c r="N1936" s="154"/>
      <c r="O1936" s="246"/>
      <c r="P1936" s="1597"/>
      <c r="R1936" s="1598"/>
      <c r="S1936" s="557"/>
      <c r="T1936" s="1768"/>
      <c r="V1936" s="1769"/>
      <c r="X1936" s="1768"/>
      <c r="Z1936" s="1769"/>
      <c r="AA1936" s="557"/>
      <c r="AK1936" s="246"/>
    </row>
    <row r="1937" spans="2:37" ht="18" customHeight="1">
      <c r="B1937" s="199"/>
      <c r="D1937" s="154"/>
      <c r="F1937" s="154"/>
      <c r="G1937" s="217"/>
      <c r="I1937" s="673"/>
      <c r="J1937" s="209"/>
      <c r="K1937" s="520"/>
      <c r="L1937" s="154"/>
      <c r="M1937" s="154"/>
      <c r="N1937" s="154"/>
      <c r="O1937" s="246"/>
      <c r="P1937" s="1597"/>
      <c r="R1937" s="1598"/>
      <c r="S1937" s="557"/>
      <c r="T1937" s="1768"/>
      <c r="V1937" s="1769"/>
      <c r="X1937" s="1768"/>
      <c r="Z1937" s="1769"/>
      <c r="AA1937" s="557"/>
      <c r="AK1937" s="246"/>
    </row>
    <row r="1938" spans="2:37" ht="18" customHeight="1">
      <c r="B1938" s="199"/>
      <c r="D1938" s="154"/>
      <c r="F1938" s="154"/>
      <c r="G1938" s="217"/>
      <c r="I1938" s="673"/>
      <c r="J1938" s="209"/>
      <c r="K1938" s="520"/>
      <c r="L1938" s="154"/>
      <c r="M1938" s="154"/>
      <c r="N1938" s="154"/>
      <c r="O1938" s="246"/>
      <c r="P1938" s="1597"/>
      <c r="R1938" s="1598"/>
      <c r="S1938" s="557"/>
      <c r="T1938" s="1768"/>
      <c r="V1938" s="1769"/>
      <c r="X1938" s="1768"/>
      <c r="Z1938" s="1769"/>
      <c r="AA1938" s="557"/>
      <c r="AK1938" s="246"/>
    </row>
    <row r="1939" spans="2:37" ht="18" customHeight="1">
      <c r="B1939" s="199"/>
      <c r="D1939" s="154"/>
      <c r="F1939" s="154"/>
      <c r="G1939" s="217"/>
      <c r="I1939" s="673"/>
      <c r="J1939" s="209"/>
      <c r="K1939" s="520"/>
      <c r="L1939" s="154"/>
      <c r="M1939" s="154"/>
      <c r="N1939" s="154"/>
      <c r="O1939" s="246"/>
      <c r="P1939" s="1597"/>
      <c r="R1939" s="1598"/>
      <c r="S1939" s="557"/>
      <c r="T1939" s="1768"/>
      <c r="V1939" s="1769"/>
      <c r="X1939" s="1768"/>
      <c r="Z1939" s="1769"/>
      <c r="AA1939" s="557"/>
      <c r="AK1939" s="246"/>
    </row>
    <row r="1940" spans="2:37" ht="18" customHeight="1">
      <c r="B1940" s="199"/>
      <c r="D1940" s="154"/>
      <c r="F1940" s="154"/>
      <c r="G1940" s="217"/>
      <c r="I1940" s="673"/>
      <c r="J1940" s="209"/>
      <c r="K1940" s="520"/>
      <c r="L1940" s="154"/>
      <c r="M1940" s="154"/>
      <c r="N1940" s="154"/>
      <c r="O1940" s="246"/>
      <c r="P1940" s="1597"/>
      <c r="R1940" s="1598"/>
      <c r="S1940" s="557"/>
      <c r="T1940" s="1768"/>
      <c r="V1940" s="1769"/>
      <c r="X1940" s="1768"/>
      <c r="Z1940" s="1769"/>
      <c r="AA1940" s="557"/>
      <c r="AK1940" s="246"/>
    </row>
    <row r="1941" spans="2:37" ht="18" customHeight="1">
      <c r="B1941" s="199"/>
      <c r="D1941" s="154"/>
      <c r="F1941" s="154"/>
      <c r="G1941" s="217"/>
      <c r="I1941" s="673"/>
      <c r="J1941" s="209"/>
      <c r="K1941" s="520"/>
      <c r="L1941" s="154"/>
      <c r="M1941" s="154"/>
      <c r="N1941" s="154"/>
      <c r="O1941" s="246"/>
      <c r="P1941" s="1597"/>
      <c r="R1941" s="1598"/>
      <c r="S1941" s="557"/>
      <c r="T1941" s="1768"/>
      <c r="V1941" s="1769"/>
      <c r="X1941" s="1768"/>
      <c r="Z1941" s="1769"/>
      <c r="AA1941" s="557"/>
      <c r="AK1941" s="246"/>
    </row>
    <row r="1942" spans="2:37" ht="18" customHeight="1">
      <c r="B1942" s="199"/>
      <c r="D1942" s="154"/>
      <c r="F1942" s="154"/>
      <c r="G1942" s="217"/>
      <c r="I1942" s="673"/>
      <c r="J1942" s="209"/>
      <c r="K1942" s="520"/>
      <c r="L1942" s="154"/>
      <c r="M1942" s="154"/>
      <c r="N1942" s="154"/>
      <c r="O1942" s="246"/>
      <c r="P1942" s="1597"/>
      <c r="R1942" s="1598"/>
      <c r="S1942" s="557"/>
      <c r="T1942" s="1768"/>
      <c r="V1942" s="1769"/>
      <c r="X1942" s="1768"/>
      <c r="Z1942" s="1769"/>
      <c r="AA1942" s="557"/>
      <c r="AK1942" s="246"/>
    </row>
    <row r="1943" spans="2:37" ht="18" customHeight="1">
      <c r="B1943" s="199"/>
      <c r="D1943" s="154"/>
      <c r="F1943" s="154"/>
      <c r="G1943" s="217"/>
      <c r="I1943" s="673"/>
      <c r="J1943" s="209"/>
      <c r="K1943" s="520"/>
      <c r="L1943" s="154"/>
      <c r="M1943" s="154"/>
      <c r="N1943" s="154"/>
      <c r="O1943" s="246"/>
      <c r="P1943" s="1597"/>
      <c r="R1943" s="1598"/>
      <c r="S1943" s="557"/>
      <c r="T1943" s="1768"/>
      <c r="V1943" s="1769"/>
      <c r="X1943" s="1768"/>
      <c r="Z1943" s="1769"/>
      <c r="AA1943" s="557"/>
      <c r="AK1943" s="246"/>
    </row>
    <row r="1944" spans="2:37" ht="18" customHeight="1">
      <c r="B1944" s="199"/>
      <c r="D1944" s="154"/>
      <c r="F1944" s="154"/>
      <c r="G1944" s="217"/>
      <c r="I1944" s="673"/>
      <c r="J1944" s="209"/>
      <c r="K1944" s="520"/>
      <c r="L1944" s="154"/>
      <c r="M1944" s="154"/>
      <c r="N1944" s="154"/>
      <c r="O1944" s="246"/>
      <c r="P1944" s="1597"/>
      <c r="R1944" s="1598"/>
      <c r="S1944" s="557"/>
      <c r="T1944" s="1768"/>
      <c r="V1944" s="1769"/>
      <c r="X1944" s="1768"/>
      <c r="Z1944" s="1769"/>
      <c r="AA1944" s="557"/>
      <c r="AK1944" s="246"/>
    </row>
    <row r="1945" spans="2:37" ht="18" customHeight="1">
      <c r="B1945" s="199"/>
      <c r="D1945" s="154"/>
      <c r="F1945" s="154"/>
      <c r="G1945" s="217"/>
      <c r="I1945" s="673"/>
      <c r="J1945" s="209"/>
      <c r="K1945" s="520"/>
      <c r="L1945" s="154"/>
      <c r="M1945" s="154"/>
      <c r="N1945" s="154"/>
      <c r="O1945" s="246"/>
      <c r="P1945" s="1597"/>
      <c r="R1945" s="1598"/>
      <c r="S1945" s="557"/>
      <c r="T1945" s="1768"/>
      <c r="V1945" s="1769"/>
      <c r="X1945" s="1768"/>
      <c r="Z1945" s="1769"/>
      <c r="AA1945" s="557"/>
      <c r="AK1945" s="246"/>
    </row>
    <row r="1946" spans="2:37" ht="18" customHeight="1">
      <c r="B1946" s="199"/>
      <c r="D1946" s="154"/>
      <c r="F1946" s="154"/>
      <c r="G1946" s="217"/>
      <c r="I1946" s="673"/>
      <c r="J1946" s="209"/>
      <c r="K1946" s="520"/>
      <c r="L1946" s="154"/>
      <c r="M1946" s="154"/>
      <c r="N1946" s="154"/>
      <c r="O1946" s="246"/>
      <c r="P1946" s="1597"/>
      <c r="R1946" s="1598"/>
      <c r="S1946" s="557"/>
      <c r="T1946" s="1768"/>
      <c r="V1946" s="1769"/>
      <c r="X1946" s="1768"/>
      <c r="Z1946" s="1769"/>
      <c r="AA1946" s="557"/>
      <c r="AK1946" s="246"/>
    </row>
    <row r="1947" spans="2:37" ht="18" customHeight="1">
      <c r="B1947" s="199"/>
      <c r="D1947" s="154"/>
      <c r="F1947" s="154"/>
      <c r="G1947" s="217"/>
      <c r="I1947" s="673"/>
      <c r="J1947" s="209"/>
      <c r="K1947" s="520"/>
      <c r="L1947" s="154"/>
      <c r="M1947" s="154"/>
      <c r="N1947" s="154"/>
      <c r="O1947" s="246"/>
      <c r="P1947" s="1597"/>
      <c r="R1947" s="1598"/>
      <c r="S1947" s="557"/>
      <c r="T1947" s="1768"/>
      <c r="V1947" s="1769"/>
      <c r="X1947" s="1768"/>
      <c r="Z1947" s="1769"/>
      <c r="AA1947" s="557"/>
      <c r="AK1947" s="246"/>
    </row>
    <row r="1948" spans="2:37" ht="18" customHeight="1">
      <c r="B1948" s="199"/>
      <c r="D1948" s="154"/>
      <c r="F1948" s="154"/>
      <c r="G1948" s="217"/>
      <c r="I1948" s="673"/>
      <c r="J1948" s="209"/>
      <c r="K1948" s="520"/>
      <c r="L1948" s="154"/>
      <c r="M1948" s="154"/>
      <c r="N1948" s="154"/>
      <c r="O1948" s="246"/>
      <c r="P1948" s="1597"/>
      <c r="R1948" s="1598"/>
      <c r="S1948" s="557"/>
      <c r="T1948" s="1768"/>
      <c r="V1948" s="1769"/>
      <c r="X1948" s="1768"/>
      <c r="Z1948" s="1769"/>
      <c r="AA1948" s="557"/>
      <c r="AK1948" s="246"/>
    </row>
    <row r="1949" spans="2:37" ht="18" customHeight="1">
      <c r="B1949" s="199"/>
      <c r="D1949" s="154"/>
      <c r="F1949" s="154"/>
      <c r="G1949" s="217"/>
      <c r="I1949" s="673"/>
      <c r="J1949" s="209"/>
      <c r="K1949" s="520"/>
      <c r="L1949" s="154"/>
      <c r="M1949" s="154"/>
      <c r="N1949" s="154"/>
      <c r="O1949" s="246"/>
      <c r="P1949" s="1597"/>
      <c r="R1949" s="1598"/>
      <c r="S1949" s="557"/>
      <c r="T1949" s="1768"/>
      <c r="V1949" s="1769"/>
      <c r="X1949" s="1768"/>
      <c r="Z1949" s="1769"/>
      <c r="AA1949" s="557"/>
      <c r="AK1949" s="246"/>
    </row>
    <row r="1950" spans="2:37" ht="18" customHeight="1">
      <c r="B1950" s="199"/>
      <c r="D1950" s="154"/>
      <c r="F1950" s="154"/>
      <c r="G1950" s="217"/>
      <c r="I1950" s="673"/>
      <c r="J1950" s="209"/>
      <c r="K1950" s="520"/>
      <c r="L1950" s="154"/>
      <c r="M1950" s="154"/>
      <c r="N1950" s="154"/>
      <c r="O1950" s="246"/>
      <c r="P1950" s="1597"/>
      <c r="R1950" s="1598"/>
      <c r="S1950" s="557"/>
      <c r="T1950" s="1768"/>
      <c r="V1950" s="1769"/>
      <c r="X1950" s="1768"/>
      <c r="Z1950" s="1769"/>
      <c r="AA1950" s="557"/>
      <c r="AK1950" s="246"/>
    </row>
    <row r="1951" spans="2:37" ht="18" customHeight="1">
      <c r="B1951" s="199"/>
      <c r="D1951" s="154"/>
      <c r="F1951" s="154"/>
      <c r="G1951" s="217"/>
      <c r="I1951" s="673"/>
      <c r="J1951" s="209"/>
      <c r="K1951" s="520"/>
      <c r="L1951" s="154"/>
      <c r="M1951" s="154"/>
      <c r="N1951" s="154"/>
      <c r="O1951" s="246"/>
      <c r="P1951" s="1597"/>
      <c r="R1951" s="1598"/>
      <c r="S1951" s="557"/>
      <c r="T1951" s="1768"/>
      <c r="V1951" s="1769"/>
      <c r="X1951" s="1768"/>
      <c r="Z1951" s="1769"/>
      <c r="AA1951" s="557"/>
      <c r="AK1951" s="246"/>
    </row>
    <row r="1952" spans="2:37" ht="18" customHeight="1">
      <c r="B1952" s="199"/>
      <c r="D1952" s="154"/>
      <c r="F1952" s="154"/>
      <c r="G1952" s="217"/>
      <c r="I1952" s="673"/>
      <c r="J1952" s="209"/>
      <c r="K1952" s="520"/>
      <c r="L1952" s="154"/>
      <c r="M1952" s="154"/>
      <c r="N1952" s="154"/>
      <c r="O1952" s="246"/>
      <c r="P1952" s="1597"/>
      <c r="R1952" s="1598"/>
      <c r="S1952" s="557"/>
      <c r="T1952" s="1768"/>
      <c r="V1952" s="1769"/>
      <c r="X1952" s="1768"/>
      <c r="Z1952" s="1769"/>
      <c r="AA1952" s="557"/>
      <c r="AK1952" s="246"/>
    </row>
    <row r="1953" spans="2:37" ht="18" customHeight="1">
      <c r="B1953" s="199"/>
      <c r="D1953" s="154"/>
      <c r="F1953" s="154"/>
      <c r="G1953" s="217"/>
      <c r="I1953" s="673"/>
      <c r="J1953" s="209"/>
      <c r="K1953" s="520"/>
      <c r="L1953" s="154"/>
      <c r="M1953" s="154"/>
      <c r="N1953" s="154"/>
      <c r="O1953" s="246"/>
      <c r="P1953" s="1597"/>
      <c r="R1953" s="1598"/>
      <c r="S1953" s="557"/>
      <c r="T1953" s="1768"/>
      <c r="V1953" s="1769"/>
      <c r="X1953" s="1768"/>
      <c r="Z1953" s="1769"/>
      <c r="AA1953" s="557"/>
      <c r="AK1953" s="246"/>
    </row>
    <row r="1954" spans="2:37" ht="18" customHeight="1">
      <c r="B1954" s="199"/>
      <c r="D1954" s="154"/>
      <c r="F1954" s="154"/>
      <c r="G1954" s="217"/>
      <c r="I1954" s="673"/>
      <c r="J1954" s="209"/>
      <c r="K1954" s="520"/>
      <c r="L1954" s="154"/>
      <c r="M1954" s="154"/>
      <c r="N1954" s="154"/>
      <c r="O1954" s="246"/>
      <c r="P1954" s="1597"/>
      <c r="R1954" s="1598"/>
      <c r="S1954" s="557"/>
      <c r="T1954" s="1768"/>
      <c r="V1954" s="1769"/>
      <c r="X1954" s="1768"/>
      <c r="Z1954" s="1769"/>
      <c r="AA1954" s="557"/>
      <c r="AK1954" s="246"/>
    </row>
    <row r="1955" spans="2:37" ht="18" customHeight="1">
      <c r="B1955" s="199"/>
      <c r="D1955" s="154"/>
      <c r="F1955" s="154"/>
      <c r="G1955" s="217"/>
      <c r="I1955" s="673"/>
      <c r="J1955" s="209"/>
      <c r="K1955" s="520"/>
      <c r="L1955" s="154"/>
      <c r="M1955" s="154"/>
      <c r="N1955" s="154"/>
      <c r="O1955" s="246"/>
      <c r="P1955" s="1597"/>
      <c r="R1955" s="1598"/>
      <c r="S1955" s="557"/>
      <c r="T1955" s="1768"/>
      <c r="V1955" s="1769"/>
      <c r="X1955" s="1768"/>
      <c r="Z1955" s="1769"/>
      <c r="AA1955" s="557"/>
      <c r="AK1955" s="246"/>
    </row>
    <row r="1956" spans="2:37" ht="18" customHeight="1">
      <c r="B1956" s="199"/>
      <c r="D1956" s="154"/>
      <c r="F1956" s="154"/>
      <c r="G1956" s="217"/>
      <c r="I1956" s="673"/>
      <c r="J1956" s="209"/>
      <c r="K1956" s="520"/>
      <c r="L1956" s="154"/>
      <c r="M1956" s="154"/>
      <c r="N1956" s="154"/>
      <c r="O1956" s="246"/>
      <c r="P1956" s="1597"/>
      <c r="R1956" s="1598"/>
      <c r="S1956" s="557"/>
      <c r="T1956" s="1768"/>
      <c r="V1956" s="1769"/>
      <c r="X1956" s="1768"/>
      <c r="Z1956" s="1769"/>
      <c r="AA1956" s="557"/>
      <c r="AK1956" s="246"/>
    </row>
    <row r="1957" spans="2:37" ht="18" customHeight="1">
      <c r="B1957" s="199"/>
      <c r="D1957" s="154"/>
      <c r="F1957" s="154"/>
      <c r="G1957" s="217"/>
      <c r="I1957" s="673"/>
      <c r="J1957" s="209"/>
      <c r="K1957" s="520"/>
      <c r="L1957" s="154"/>
      <c r="M1957" s="154"/>
      <c r="N1957" s="154"/>
      <c r="O1957" s="246"/>
      <c r="P1957" s="1597"/>
      <c r="R1957" s="1598"/>
      <c r="S1957" s="557"/>
      <c r="T1957" s="1768"/>
      <c r="V1957" s="1769"/>
      <c r="X1957" s="1768"/>
      <c r="Z1957" s="1769"/>
      <c r="AA1957" s="557"/>
      <c r="AK1957" s="246"/>
    </row>
    <row r="1958" spans="2:37" ht="18" customHeight="1">
      <c r="B1958" s="199"/>
      <c r="D1958" s="154"/>
      <c r="F1958" s="154"/>
      <c r="G1958" s="217"/>
      <c r="I1958" s="673"/>
      <c r="J1958" s="209"/>
      <c r="K1958" s="520"/>
      <c r="L1958" s="154"/>
      <c r="M1958" s="154"/>
      <c r="N1958" s="154"/>
      <c r="O1958" s="246"/>
      <c r="P1958" s="1597"/>
      <c r="R1958" s="1598"/>
      <c r="S1958" s="557"/>
      <c r="T1958" s="1768"/>
      <c r="V1958" s="1769"/>
      <c r="X1958" s="1768"/>
      <c r="Z1958" s="1769"/>
      <c r="AA1958" s="557"/>
      <c r="AK1958" s="246"/>
    </row>
    <row r="1959" spans="2:37" ht="18" customHeight="1">
      <c r="B1959" s="199"/>
      <c r="D1959" s="154"/>
      <c r="F1959" s="154"/>
      <c r="G1959" s="217"/>
      <c r="I1959" s="673"/>
      <c r="J1959" s="209"/>
      <c r="K1959" s="520"/>
      <c r="L1959" s="154"/>
      <c r="M1959" s="154"/>
      <c r="N1959" s="154"/>
      <c r="O1959" s="246"/>
      <c r="P1959" s="1597"/>
      <c r="R1959" s="1598"/>
      <c r="S1959" s="557"/>
      <c r="T1959" s="1768"/>
      <c r="V1959" s="1769"/>
      <c r="X1959" s="1768"/>
      <c r="Z1959" s="1769"/>
      <c r="AA1959" s="557"/>
      <c r="AK1959" s="246"/>
    </row>
    <row r="1960" spans="2:37" ht="18" customHeight="1">
      <c r="B1960" s="199"/>
      <c r="D1960" s="154"/>
      <c r="F1960" s="154"/>
      <c r="G1960" s="217"/>
      <c r="I1960" s="673"/>
      <c r="J1960" s="209"/>
      <c r="K1960" s="520"/>
      <c r="L1960" s="154"/>
      <c r="M1960" s="154"/>
      <c r="N1960" s="154"/>
      <c r="O1960" s="246"/>
      <c r="P1960" s="1597"/>
      <c r="R1960" s="1598"/>
      <c r="S1960" s="557"/>
      <c r="T1960" s="1768"/>
      <c r="V1960" s="1769"/>
      <c r="X1960" s="1768"/>
      <c r="Z1960" s="1769"/>
      <c r="AA1960" s="557"/>
      <c r="AK1960" s="246"/>
    </row>
    <row r="1961" spans="2:37" ht="18" customHeight="1">
      <c r="B1961" s="199"/>
      <c r="D1961" s="154"/>
      <c r="F1961" s="154"/>
      <c r="G1961" s="217"/>
      <c r="I1961" s="673"/>
      <c r="J1961" s="209"/>
      <c r="K1961" s="520"/>
      <c r="L1961" s="154"/>
      <c r="M1961" s="154"/>
      <c r="N1961" s="154"/>
      <c r="O1961" s="246"/>
      <c r="P1961" s="1597"/>
      <c r="R1961" s="1598"/>
      <c r="S1961" s="557"/>
      <c r="T1961" s="1768"/>
      <c r="V1961" s="1769"/>
      <c r="X1961" s="1768"/>
      <c r="Z1961" s="1769"/>
      <c r="AA1961" s="557"/>
      <c r="AK1961" s="246"/>
    </row>
    <row r="1962" spans="2:37" ht="18" customHeight="1">
      <c r="B1962" s="199"/>
      <c r="D1962" s="154"/>
      <c r="F1962" s="154"/>
      <c r="G1962" s="217"/>
      <c r="I1962" s="673"/>
      <c r="J1962" s="209"/>
      <c r="K1962" s="520"/>
      <c r="L1962" s="154"/>
      <c r="M1962" s="154"/>
      <c r="N1962" s="154"/>
      <c r="O1962" s="246"/>
      <c r="P1962" s="1597"/>
      <c r="R1962" s="1598"/>
      <c r="S1962" s="557"/>
      <c r="T1962" s="1768"/>
      <c r="V1962" s="1769"/>
      <c r="X1962" s="1768"/>
      <c r="Z1962" s="1769"/>
      <c r="AA1962" s="557"/>
      <c r="AK1962" s="246"/>
    </row>
    <row r="1963" spans="2:37" ht="18" customHeight="1">
      <c r="B1963" s="199"/>
      <c r="D1963" s="154"/>
      <c r="F1963" s="154"/>
      <c r="G1963" s="217"/>
      <c r="I1963" s="673"/>
      <c r="J1963" s="209"/>
      <c r="K1963" s="520"/>
      <c r="L1963" s="154"/>
      <c r="M1963" s="154"/>
      <c r="N1963" s="154"/>
      <c r="O1963" s="246"/>
      <c r="P1963" s="1597"/>
      <c r="R1963" s="1598"/>
      <c r="S1963" s="557"/>
      <c r="T1963" s="1768"/>
      <c r="V1963" s="1769"/>
      <c r="X1963" s="1768"/>
      <c r="Z1963" s="1769"/>
      <c r="AA1963" s="557"/>
      <c r="AK1963" s="246"/>
    </row>
    <row r="1964" spans="2:37" ht="18" customHeight="1">
      <c r="B1964" s="199"/>
      <c r="D1964" s="154"/>
      <c r="F1964" s="154"/>
      <c r="G1964" s="217"/>
      <c r="I1964" s="673"/>
      <c r="J1964" s="209"/>
      <c r="K1964" s="520"/>
      <c r="L1964" s="154"/>
      <c r="M1964" s="154"/>
      <c r="N1964" s="154"/>
      <c r="O1964" s="246"/>
      <c r="P1964" s="1597"/>
      <c r="R1964" s="1598"/>
      <c r="S1964" s="557"/>
      <c r="T1964" s="1768"/>
      <c r="V1964" s="1769"/>
      <c r="X1964" s="1768"/>
      <c r="Z1964" s="1769"/>
      <c r="AA1964" s="557"/>
      <c r="AK1964" s="246"/>
    </row>
    <row r="1965" spans="2:37" ht="18" customHeight="1">
      <c r="B1965" s="199"/>
      <c r="D1965" s="154"/>
      <c r="F1965" s="154"/>
      <c r="G1965" s="217"/>
      <c r="I1965" s="673"/>
      <c r="J1965" s="209"/>
      <c r="K1965" s="520"/>
      <c r="L1965" s="154"/>
      <c r="M1965" s="154"/>
      <c r="N1965" s="154"/>
      <c r="O1965" s="246"/>
      <c r="P1965" s="1597"/>
      <c r="R1965" s="1598"/>
      <c r="S1965" s="557"/>
      <c r="T1965" s="1768"/>
      <c r="V1965" s="1769"/>
      <c r="X1965" s="1768"/>
      <c r="Z1965" s="1769"/>
      <c r="AA1965" s="557"/>
      <c r="AK1965" s="246"/>
    </row>
    <row r="1966" spans="2:37" ht="18" customHeight="1">
      <c r="B1966" s="199"/>
      <c r="D1966" s="154"/>
      <c r="F1966" s="154"/>
      <c r="G1966" s="217"/>
      <c r="I1966" s="673"/>
      <c r="J1966" s="209"/>
      <c r="K1966" s="520"/>
      <c r="L1966" s="154"/>
      <c r="M1966" s="154"/>
      <c r="N1966" s="154"/>
      <c r="O1966" s="246"/>
      <c r="P1966" s="1597"/>
      <c r="R1966" s="1598"/>
      <c r="S1966" s="557"/>
      <c r="T1966" s="1768"/>
      <c r="V1966" s="1769"/>
      <c r="X1966" s="1768"/>
      <c r="Z1966" s="1769"/>
      <c r="AA1966" s="557"/>
      <c r="AK1966" s="246"/>
    </row>
    <row r="1967" spans="2:37" ht="18" customHeight="1">
      <c r="B1967" s="199"/>
      <c r="D1967" s="154"/>
      <c r="F1967" s="154"/>
      <c r="G1967" s="217"/>
      <c r="I1967" s="673"/>
      <c r="J1967" s="209"/>
      <c r="K1967" s="520"/>
      <c r="L1967" s="154"/>
      <c r="M1967" s="154"/>
      <c r="N1967" s="154"/>
      <c r="O1967" s="246"/>
      <c r="P1967" s="1597"/>
      <c r="R1967" s="1598"/>
      <c r="S1967" s="557"/>
      <c r="T1967" s="1768"/>
      <c r="V1967" s="1769"/>
      <c r="X1967" s="1768"/>
      <c r="Z1967" s="1769"/>
      <c r="AA1967" s="557"/>
      <c r="AK1967" s="246"/>
    </row>
    <row r="1968" spans="2:37" ht="18" customHeight="1">
      <c r="B1968" s="199"/>
      <c r="D1968" s="154"/>
      <c r="F1968" s="154"/>
      <c r="G1968" s="217"/>
      <c r="I1968" s="673"/>
      <c r="J1968" s="209"/>
      <c r="K1968" s="520"/>
      <c r="L1968" s="154"/>
      <c r="M1968" s="154"/>
      <c r="N1968" s="154"/>
      <c r="O1968" s="246"/>
      <c r="P1968" s="1597"/>
      <c r="R1968" s="1598"/>
      <c r="S1968" s="557"/>
      <c r="T1968" s="1768"/>
      <c r="V1968" s="1769"/>
      <c r="X1968" s="1768"/>
      <c r="Z1968" s="1769"/>
      <c r="AA1968" s="557"/>
      <c r="AK1968" s="246"/>
    </row>
    <row r="1969" spans="2:37" ht="18" customHeight="1">
      <c r="B1969" s="199"/>
      <c r="D1969" s="154"/>
      <c r="F1969" s="154"/>
      <c r="G1969" s="217"/>
      <c r="I1969" s="673"/>
      <c r="J1969" s="209"/>
      <c r="K1969" s="520"/>
      <c r="L1969" s="154"/>
      <c r="M1969" s="154"/>
      <c r="N1969" s="154"/>
      <c r="O1969" s="246"/>
      <c r="P1969" s="1597"/>
      <c r="R1969" s="1598"/>
      <c r="S1969" s="557"/>
      <c r="T1969" s="1768"/>
      <c r="V1969" s="1769"/>
      <c r="X1969" s="1768"/>
      <c r="Z1969" s="1769"/>
      <c r="AA1969" s="557"/>
      <c r="AK1969" s="246"/>
    </row>
    <row r="1970" spans="2:37" ht="18" customHeight="1">
      <c r="B1970" s="199"/>
      <c r="D1970" s="154"/>
      <c r="F1970" s="154"/>
      <c r="G1970" s="217"/>
      <c r="I1970" s="673"/>
      <c r="J1970" s="209"/>
      <c r="K1970" s="520"/>
      <c r="L1970" s="154"/>
      <c r="M1970" s="154"/>
      <c r="N1970" s="154"/>
      <c r="O1970" s="246"/>
      <c r="P1970" s="1597"/>
      <c r="R1970" s="1598"/>
      <c r="S1970" s="557"/>
      <c r="T1970" s="1768"/>
      <c r="V1970" s="1769"/>
      <c r="X1970" s="1768"/>
      <c r="Z1970" s="1769"/>
      <c r="AA1970" s="557"/>
      <c r="AK1970" s="246"/>
    </row>
    <row r="1971" spans="2:37" ht="18" customHeight="1">
      <c r="B1971" s="199"/>
      <c r="D1971" s="154"/>
      <c r="F1971" s="154"/>
      <c r="G1971" s="217"/>
      <c r="I1971" s="673"/>
      <c r="J1971" s="209"/>
      <c r="K1971" s="520"/>
      <c r="L1971" s="154"/>
      <c r="M1971" s="154"/>
      <c r="N1971" s="154"/>
      <c r="O1971" s="246"/>
      <c r="P1971" s="1597"/>
      <c r="R1971" s="1598"/>
      <c r="S1971" s="557"/>
      <c r="T1971" s="1768"/>
      <c r="V1971" s="1769"/>
      <c r="X1971" s="1768"/>
      <c r="Z1971" s="1769"/>
      <c r="AA1971" s="557"/>
      <c r="AK1971" s="246"/>
    </row>
    <row r="1972" spans="2:37" ht="18" customHeight="1">
      <c r="B1972" s="199"/>
      <c r="D1972" s="154"/>
      <c r="F1972" s="154"/>
      <c r="G1972" s="217"/>
      <c r="I1972" s="673"/>
      <c r="J1972" s="209"/>
      <c r="K1972" s="520"/>
      <c r="L1972" s="154"/>
      <c r="M1972" s="154"/>
      <c r="N1972" s="154"/>
      <c r="O1972" s="246"/>
      <c r="P1972" s="1597"/>
      <c r="R1972" s="1598"/>
      <c r="S1972" s="557"/>
      <c r="T1972" s="1768"/>
      <c r="V1972" s="1769"/>
      <c r="X1972" s="1768"/>
      <c r="Z1972" s="1769"/>
      <c r="AA1972" s="557"/>
      <c r="AK1972" s="246"/>
    </row>
    <row r="1973" spans="2:37" ht="18" customHeight="1">
      <c r="B1973" s="199"/>
      <c r="D1973" s="154"/>
      <c r="F1973" s="154"/>
      <c r="G1973" s="217"/>
      <c r="I1973" s="673"/>
      <c r="J1973" s="209"/>
      <c r="K1973" s="520"/>
      <c r="L1973" s="154"/>
      <c r="M1973" s="154"/>
      <c r="N1973" s="154"/>
      <c r="O1973" s="246"/>
      <c r="P1973" s="1597"/>
      <c r="R1973" s="1598"/>
      <c r="S1973" s="557"/>
      <c r="T1973" s="1768"/>
      <c r="V1973" s="1769"/>
      <c r="X1973" s="1768"/>
      <c r="Z1973" s="1769"/>
      <c r="AA1973" s="557"/>
      <c r="AK1973" s="246"/>
    </row>
    <row r="1974" spans="2:37" ht="18" customHeight="1">
      <c r="B1974" s="199"/>
      <c r="D1974" s="154"/>
      <c r="F1974" s="154"/>
      <c r="G1974" s="217"/>
      <c r="I1974" s="673"/>
      <c r="J1974" s="209"/>
      <c r="K1974" s="520"/>
      <c r="L1974" s="154"/>
      <c r="M1974" s="154"/>
      <c r="N1974" s="154"/>
      <c r="O1974" s="246"/>
      <c r="P1974" s="1597"/>
      <c r="R1974" s="1598"/>
      <c r="S1974" s="557"/>
      <c r="T1974" s="1768"/>
      <c r="V1974" s="1769"/>
      <c r="X1974" s="1768"/>
      <c r="Z1974" s="1769"/>
      <c r="AA1974" s="557"/>
      <c r="AK1974" s="246"/>
    </row>
    <row r="1975" spans="2:37" ht="18" customHeight="1">
      <c r="B1975" s="199"/>
      <c r="D1975" s="154"/>
      <c r="F1975" s="154"/>
      <c r="G1975" s="217"/>
      <c r="I1975" s="673"/>
      <c r="J1975" s="209"/>
      <c r="K1975" s="520"/>
      <c r="L1975" s="154"/>
      <c r="M1975" s="154"/>
      <c r="N1975" s="154"/>
      <c r="O1975" s="246"/>
      <c r="P1975" s="1597"/>
      <c r="R1975" s="1598"/>
      <c r="S1975" s="557"/>
      <c r="T1975" s="1768"/>
      <c r="V1975" s="1769"/>
      <c r="X1975" s="1768"/>
      <c r="Z1975" s="1769"/>
      <c r="AA1975" s="557"/>
      <c r="AK1975" s="246"/>
    </row>
    <row r="1976" spans="2:37" ht="18" customHeight="1">
      <c r="B1976" s="199"/>
      <c r="D1976" s="154"/>
      <c r="F1976" s="154"/>
      <c r="G1976" s="217"/>
      <c r="I1976" s="673"/>
      <c r="J1976" s="209"/>
      <c r="K1976" s="520"/>
      <c r="L1976" s="154"/>
      <c r="M1976" s="154"/>
      <c r="N1976" s="154"/>
      <c r="O1976" s="246"/>
      <c r="P1976" s="1597"/>
      <c r="R1976" s="1598"/>
      <c r="S1976" s="557"/>
      <c r="T1976" s="1768"/>
      <c r="V1976" s="1769"/>
      <c r="X1976" s="1768"/>
      <c r="Z1976" s="1769"/>
      <c r="AA1976" s="557"/>
      <c r="AK1976" s="246"/>
    </row>
    <row r="1977" spans="2:37" ht="18" customHeight="1">
      <c r="B1977" s="199"/>
      <c r="D1977" s="154"/>
      <c r="F1977" s="154"/>
      <c r="G1977" s="217"/>
      <c r="I1977" s="673"/>
      <c r="J1977" s="209"/>
      <c r="K1977" s="520"/>
      <c r="L1977" s="154"/>
      <c r="M1977" s="154"/>
      <c r="N1977" s="154"/>
      <c r="O1977" s="246"/>
      <c r="P1977" s="1597"/>
      <c r="R1977" s="1598"/>
      <c r="S1977" s="557"/>
      <c r="T1977" s="1768"/>
      <c r="V1977" s="1769"/>
      <c r="X1977" s="1768"/>
      <c r="Z1977" s="1769"/>
      <c r="AA1977" s="557"/>
      <c r="AK1977" s="246"/>
    </row>
    <row r="1978" spans="2:37" ht="18" customHeight="1">
      <c r="B1978" s="199"/>
      <c r="D1978" s="154"/>
      <c r="F1978" s="154"/>
      <c r="G1978" s="217"/>
      <c r="I1978" s="673"/>
      <c r="J1978" s="209"/>
      <c r="K1978" s="520"/>
      <c r="L1978" s="154"/>
      <c r="M1978" s="154"/>
      <c r="N1978" s="154"/>
      <c r="O1978" s="246"/>
      <c r="P1978" s="1597"/>
      <c r="R1978" s="1598"/>
      <c r="S1978" s="557"/>
      <c r="T1978" s="1768"/>
      <c r="V1978" s="1769"/>
      <c r="X1978" s="1768"/>
      <c r="Z1978" s="1769"/>
      <c r="AA1978" s="557"/>
      <c r="AK1978" s="246"/>
    </row>
    <row r="1979" spans="2:37" ht="18" customHeight="1">
      <c r="B1979" s="199"/>
      <c r="D1979" s="154"/>
      <c r="F1979" s="154"/>
      <c r="G1979" s="217"/>
      <c r="I1979" s="673"/>
      <c r="J1979" s="209"/>
      <c r="K1979" s="520"/>
      <c r="L1979" s="154"/>
      <c r="M1979" s="154"/>
      <c r="N1979" s="154"/>
      <c r="O1979" s="246"/>
      <c r="P1979" s="1597"/>
      <c r="R1979" s="1598"/>
      <c r="S1979" s="557"/>
      <c r="T1979" s="1768"/>
      <c r="V1979" s="1769"/>
      <c r="X1979" s="1768"/>
      <c r="Z1979" s="1769"/>
      <c r="AA1979" s="557"/>
      <c r="AK1979" s="246"/>
    </row>
    <row r="1980" spans="2:37" ht="18" customHeight="1">
      <c r="B1980" s="199"/>
      <c r="D1980" s="154"/>
      <c r="F1980" s="154"/>
      <c r="G1980" s="217"/>
      <c r="I1980" s="673"/>
      <c r="J1980" s="209"/>
      <c r="K1980" s="520"/>
      <c r="L1980" s="154"/>
      <c r="M1980" s="154"/>
      <c r="N1980" s="154"/>
      <c r="O1980" s="246"/>
      <c r="P1980" s="1597"/>
      <c r="R1980" s="1598"/>
      <c r="S1980" s="557"/>
      <c r="T1980" s="1768"/>
      <c r="V1980" s="1769"/>
      <c r="X1980" s="1768"/>
      <c r="Z1980" s="1769"/>
      <c r="AA1980" s="557"/>
      <c r="AK1980" s="246"/>
    </row>
    <row r="1981" spans="2:37" ht="18" customHeight="1">
      <c r="B1981" s="199"/>
      <c r="D1981" s="154"/>
      <c r="F1981" s="154"/>
      <c r="G1981" s="217"/>
      <c r="I1981" s="673"/>
      <c r="J1981" s="209"/>
      <c r="K1981" s="520"/>
      <c r="L1981" s="154"/>
      <c r="M1981" s="154"/>
      <c r="N1981" s="154"/>
      <c r="O1981" s="246"/>
      <c r="P1981" s="1597"/>
      <c r="R1981" s="1598"/>
      <c r="S1981" s="557"/>
      <c r="T1981" s="1768"/>
      <c r="V1981" s="1769"/>
      <c r="X1981" s="1768"/>
      <c r="Z1981" s="1769"/>
      <c r="AA1981" s="557"/>
      <c r="AK1981" s="246"/>
    </row>
    <row r="1982" spans="2:37" ht="18" customHeight="1">
      <c r="B1982" s="199"/>
      <c r="D1982" s="154"/>
      <c r="F1982" s="154"/>
      <c r="G1982" s="217"/>
      <c r="I1982" s="673"/>
      <c r="J1982" s="209"/>
      <c r="K1982" s="520"/>
      <c r="L1982" s="154"/>
      <c r="M1982" s="154"/>
      <c r="N1982" s="154"/>
      <c r="O1982" s="246"/>
      <c r="P1982" s="1597"/>
      <c r="R1982" s="1598"/>
      <c r="S1982" s="557"/>
      <c r="T1982" s="1768"/>
      <c r="V1982" s="1769"/>
      <c r="X1982" s="1768"/>
      <c r="Z1982" s="1769"/>
      <c r="AA1982" s="557"/>
      <c r="AK1982" s="246"/>
    </row>
    <row r="1983" spans="2:37" ht="18" customHeight="1">
      <c r="B1983" s="199"/>
      <c r="D1983" s="154"/>
      <c r="F1983" s="154"/>
      <c r="G1983" s="217"/>
      <c r="I1983" s="673"/>
      <c r="J1983" s="209"/>
      <c r="K1983" s="520"/>
      <c r="L1983" s="154"/>
      <c r="M1983" s="154"/>
      <c r="N1983" s="154"/>
      <c r="O1983" s="246"/>
      <c r="P1983" s="1597"/>
      <c r="R1983" s="1598"/>
      <c r="S1983" s="557"/>
      <c r="T1983" s="1768"/>
      <c r="V1983" s="1769"/>
      <c r="X1983" s="1768"/>
      <c r="Z1983" s="1769"/>
      <c r="AA1983" s="557"/>
      <c r="AK1983" s="246"/>
    </row>
    <row r="1984" spans="2:37" ht="18" customHeight="1">
      <c r="B1984" s="199"/>
      <c r="D1984" s="154"/>
      <c r="F1984" s="154"/>
      <c r="G1984" s="217"/>
      <c r="I1984" s="673"/>
      <c r="J1984" s="209"/>
      <c r="K1984" s="520"/>
      <c r="L1984" s="154"/>
      <c r="M1984" s="154"/>
      <c r="N1984" s="154"/>
      <c r="O1984" s="246"/>
      <c r="P1984" s="1597"/>
      <c r="R1984" s="1598"/>
      <c r="S1984" s="557"/>
      <c r="T1984" s="1768"/>
      <c r="V1984" s="1769"/>
      <c r="X1984" s="1768"/>
      <c r="Z1984" s="1769"/>
      <c r="AA1984" s="557"/>
      <c r="AK1984" s="246"/>
    </row>
    <row r="1985" spans="2:37" ht="18" customHeight="1">
      <c r="B1985" s="199"/>
      <c r="D1985" s="154"/>
      <c r="F1985" s="154"/>
      <c r="G1985" s="217"/>
      <c r="I1985" s="673"/>
      <c r="J1985" s="209"/>
      <c r="K1985" s="520"/>
      <c r="L1985" s="154"/>
      <c r="M1985" s="154"/>
      <c r="N1985" s="154"/>
      <c r="O1985" s="246"/>
      <c r="P1985" s="1597"/>
      <c r="R1985" s="1598"/>
      <c r="S1985" s="557"/>
      <c r="T1985" s="1768"/>
      <c r="V1985" s="1769"/>
      <c r="X1985" s="1768"/>
      <c r="Z1985" s="1769"/>
      <c r="AA1985" s="557"/>
      <c r="AK1985" s="246"/>
    </row>
    <row r="1986" spans="2:37" ht="18" customHeight="1">
      <c r="B1986" s="199"/>
      <c r="D1986" s="154"/>
      <c r="F1986" s="154"/>
      <c r="G1986" s="217"/>
      <c r="I1986" s="673"/>
      <c r="J1986" s="209"/>
      <c r="K1986" s="520"/>
      <c r="L1986" s="154"/>
      <c r="M1986" s="154"/>
      <c r="N1986" s="154"/>
      <c r="O1986" s="246"/>
      <c r="P1986" s="1597"/>
      <c r="R1986" s="1598"/>
      <c r="S1986" s="557"/>
      <c r="T1986" s="1768"/>
      <c r="V1986" s="1769"/>
      <c r="X1986" s="1768"/>
      <c r="Z1986" s="1769"/>
      <c r="AA1986" s="557"/>
      <c r="AK1986" s="246"/>
    </row>
    <row r="1987" spans="2:37" ht="18" customHeight="1">
      <c r="B1987" s="199"/>
      <c r="D1987" s="154"/>
      <c r="F1987" s="154"/>
      <c r="G1987" s="217"/>
      <c r="I1987" s="673"/>
      <c r="J1987" s="209"/>
      <c r="K1987" s="520"/>
      <c r="L1987" s="154"/>
      <c r="M1987" s="154"/>
      <c r="N1987" s="154"/>
      <c r="O1987" s="246"/>
      <c r="P1987" s="1597"/>
      <c r="R1987" s="1598"/>
      <c r="S1987" s="557"/>
      <c r="T1987" s="1768"/>
      <c r="V1987" s="1769"/>
      <c r="X1987" s="1768"/>
      <c r="Z1987" s="1769"/>
      <c r="AA1987" s="557"/>
      <c r="AK1987" s="246"/>
    </row>
    <row r="1988" spans="2:37" ht="18" customHeight="1">
      <c r="B1988" s="199"/>
      <c r="D1988" s="154"/>
      <c r="F1988" s="154"/>
      <c r="G1988" s="217"/>
      <c r="I1988" s="673"/>
      <c r="J1988" s="209"/>
      <c r="K1988" s="520"/>
      <c r="L1988" s="154"/>
      <c r="M1988" s="154"/>
      <c r="N1988" s="154"/>
      <c r="O1988" s="246"/>
      <c r="P1988" s="1597"/>
      <c r="R1988" s="1598"/>
      <c r="S1988" s="557"/>
      <c r="T1988" s="1768"/>
      <c r="V1988" s="1769"/>
      <c r="X1988" s="1768"/>
      <c r="Z1988" s="1769"/>
      <c r="AA1988" s="557"/>
      <c r="AK1988" s="246"/>
    </row>
    <row r="1989" spans="2:37" ht="18" customHeight="1">
      <c r="B1989" s="199"/>
      <c r="D1989" s="154"/>
      <c r="F1989" s="154"/>
      <c r="G1989" s="217"/>
      <c r="I1989" s="673"/>
      <c r="J1989" s="209"/>
      <c r="K1989" s="520"/>
      <c r="L1989" s="154"/>
      <c r="M1989" s="154"/>
      <c r="N1989" s="154"/>
      <c r="O1989" s="246"/>
      <c r="P1989" s="1597"/>
      <c r="R1989" s="1598"/>
      <c r="S1989" s="557"/>
      <c r="T1989" s="1768"/>
      <c r="V1989" s="1769"/>
      <c r="X1989" s="1768"/>
      <c r="Z1989" s="1769"/>
      <c r="AA1989" s="557"/>
      <c r="AK1989" s="246"/>
    </row>
    <row r="1990" spans="2:37" ht="18" customHeight="1">
      <c r="B1990" s="199"/>
      <c r="D1990" s="154"/>
      <c r="F1990" s="154"/>
      <c r="G1990" s="217"/>
      <c r="I1990" s="673"/>
      <c r="J1990" s="209"/>
      <c r="K1990" s="520"/>
      <c r="L1990" s="154"/>
      <c r="M1990" s="154"/>
      <c r="N1990" s="154"/>
      <c r="O1990" s="246"/>
      <c r="P1990" s="1597"/>
      <c r="R1990" s="1598"/>
      <c r="S1990" s="557"/>
      <c r="T1990" s="1768"/>
      <c r="V1990" s="1769"/>
      <c r="X1990" s="1768"/>
      <c r="Z1990" s="1769"/>
      <c r="AA1990" s="557"/>
      <c r="AK1990" s="246"/>
    </row>
    <row r="1991" spans="2:37" ht="18" customHeight="1">
      <c r="B1991" s="199"/>
      <c r="D1991" s="154"/>
      <c r="F1991" s="154"/>
      <c r="G1991" s="217"/>
      <c r="I1991" s="673"/>
      <c r="J1991" s="209"/>
      <c r="K1991" s="520"/>
      <c r="L1991" s="154"/>
      <c r="M1991" s="154"/>
      <c r="N1991" s="154"/>
      <c r="O1991" s="246"/>
      <c r="P1991" s="1597"/>
      <c r="R1991" s="1598"/>
      <c r="S1991" s="557"/>
      <c r="T1991" s="1768"/>
      <c r="V1991" s="1769"/>
      <c r="X1991" s="1768"/>
      <c r="Z1991" s="1769"/>
      <c r="AA1991" s="557"/>
      <c r="AK1991" s="246"/>
    </row>
    <row r="1992" spans="2:37" ht="18" customHeight="1">
      <c r="B1992" s="199"/>
      <c r="D1992" s="154"/>
      <c r="F1992" s="154"/>
      <c r="G1992" s="217"/>
      <c r="I1992" s="673"/>
      <c r="J1992" s="209"/>
      <c r="K1992" s="520"/>
      <c r="L1992" s="154"/>
      <c r="M1992" s="154"/>
      <c r="N1992" s="154"/>
      <c r="O1992" s="246"/>
      <c r="P1992" s="1597"/>
      <c r="R1992" s="1598"/>
      <c r="S1992" s="557"/>
      <c r="T1992" s="1768"/>
      <c r="V1992" s="1769"/>
      <c r="X1992" s="1768"/>
      <c r="Z1992" s="1769"/>
      <c r="AA1992" s="557"/>
      <c r="AK1992" s="246"/>
    </row>
    <row r="1993" spans="2:37" ht="18" customHeight="1">
      <c r="B1993" s="199"/>
      <c r="D1993" s="154"/>
      <c r="F1993" s="154"/>
      <c r="G1993" s="217"/>
      <c r="I1993" s="673"/>
      <c r="J1993" s="209"/>
      <c r="K1993" s="520"/>
      <c r="L1993" s="154"/>
      <c r="M1993" s="154"/>
      <c r="N1993" s="154"/>
      <c r="O1993" s="246"/>
      <c r="P1993" s="1597"/>
      <c r="R1993" s="1598"/>
      <c r="S1993" s="557"/>
      <c r="T1993" s="1768"/>
      <c r="V1993" s="1769"/>
      <c r="X1993" s="1768"/>
      <c r="Z1993" s="1769"/>
      <c r="AA1993" s="557"/>
      <c r="AK1993" s="246"/>
    </row>
    <row r="1994" spans="2:37" ht="18" customHeight="1">
      <c r="B1994" s="199"/>
      <c r="D1994" s="154"/>
      <c r="F1994" s="154"/>
      <c r="G1994" s="217"/>
      <c r="I1994" s="673"/>
      <c r="J1994" s="209"/>
      <c r="K1994" s="520"/>
      <c r="L1994" s="154"/>
      <c r="M1994" s="154"/>
      <c r="N1994" s="154"/>
      <c r="O1994" s="246"/>
      <c r="P1994" s="1597"/>
      <c r="R1994" s="1598"/>
      <c r="S1994" s="557"/>
      <c r="T1994" s="1768"/>
      <c r="V1994" s="1769"/>
      <c r="X1994" s="1768"/>
      <c r="Z1994" s="1769"/>
      <c r="AA1994" s="557"/>
      <c r="AK1994" s="246"/>
    </row>
    <row r="1995" spans="2:37" ht="18" customHeight="1">
      <c r="B1995" s="199"/>
      <c r="D1995" s="154"/>
      <c r="F1995" s="154"/>
      <c r="G1995" s="217"/>
      <c r="I1995" s="673"/>
      <c r="J1995" s="209"/>
      <c r="K1995" s="520"/>
      <c r="L1995" s="154"/>
      <c r="M1995" s="154"/>
      <c r="N1995" s="154"/>
      <c r="O1995" s="246"/>
      <c r="P1995" s="1597"/>
      <c r="R1995" s="1598"/>
      <c r="S1995" s="557"/>
      <c r="T1995" s="1768"/>
      <c r="V1995" s="1769"/>
      <c r="X1995" s="1768"/>
      <c r="Z1995" s="1769"/>
      <c r="AA1995" s="557"/>
      <c r="AK1995" s="246"/>
    </row>
    <row r="1996" spans="2:37" ht="18" customHeight="1">
      <c r="B1996" s="199"/>
      <c r="D1996" s="154"/>
      <c r="F1996" s="154"/>
      <c r="G1996" s="217"/>
      <c r="I1996" s="673"/>
      <c r="J1996" s="209"/>
      <c r="K1996" s="520"/>
      <c r="L1996" s="154"/>
      <c r="M1996" s="154"/>
      <c r="N1996" s="154"/>
      <c r="O1996" s="246"/>
      <c r="P1996" s="1597"/>
      <c r="R1996" s="1598"/>
      <c r="S1996" s="557"/>
      <c r="T1996" s="1768"/>
      <c r="V1996" s="1769"/>
      <c r="X1996" s="1768"/>
      <c r="Z1996" s="1769"/>
      <c r="AA1996" s="557"/>
      <c r="AK1996" s="246"/>
    </row>
    <row r="1997" spans="2:37" ht="18" customHeight="1">
      <c r="B1997" s="199"/>
      <c r="D1997" s="154"/>
      <c r="F1997" s="154"/>
      <c r="G1997" s="217"/>
      <c r="I1997" s="673"/>
      <c r="J1997" s="209"/>
      <c r="K1997" s="520"/>
      <c r="L1997" s="154"/>
      <c r="M1997" s="154"/>
      <c r="N1997" s="154"/>
      <c r="O1997" s="246"/>
      <c r="P1997" s="1597"/>
      <c r="R1997" s="1598"/>
      <c r="S1997" s="557"/>
      <c r="T1997" s="1768"/>
      <c r="V1997" s="1769"/>
      <c r="X1997" s="1768"/>
      <c r="Z1997" s="1769"/>
      <c r="AA1997" s="557"/>
      <c r="AK1997" s="246"/>
    </row>
    <row r="1998" spans="2:37" ht="18" customHeight="1">
      <c r="B1998" s="199"/>
      <c r="D1998" s="154"/>
      <c r="F1998" s="154"/>
      <c r="G1998" s="217"/>
      <c r="I1998" s="673"/>
      <c r="J1998" s="209"/>
      <c r="K1998" s="520"/>
      <c r="L1998" s="154"/>
      <c r="M1998" s="154"/>
      <c r="N1998" s="154"/>
      <c r="O1998" s="246"/>
      <c r="P1998" s="1597"/>
      <c r="R1998" s="1598"/>
      <c r="S1998" s="557"/>
      <c r="T1998" s="1768"/>
      <c r="V1998" s="1769"/>
      <c r="X1998" s="1768"/>
      <c r="Z1998" s="1769"/>
      <c r="AA1998" s="557"/>
      <c r="AK1998" s="246"/>
    </row>
    <row r="1999" spans="2:37" ht="18" customHeight="1">
      <c r="B1999" s="199"/>
      <c r="D1999" s="154"/>
      <c r="F1999" s="154"/>
      <c r="G1999" s="217"/>
      <c r="I1999" s="673"/>
      <c r="J1999" s="209"/>
      <c r="K1999" s="520"/>
      <c r="L1999" s="154"/>
      <c r="M1999" s="154"/>
      <c r="N1999" s="154"/>
      <c r="O1999" s="246"/>
      <c r="P1999" s="1597"/>
      <c r="R1999" s="1598"/>
      <c r="S1999" s="557"/>
      <c r="T1999" s="1768"/>
      <c r="V1999" s="1769"/>
      <c r="X1999" s="1768"/>
      <c r="Z1999" s="1769"/>
      <c r="AA1999" s="557"/>
      <c r="AK1999" s="246"/>
    </row>
    <row r="2000" spans="2:37" ht="18" customHeight="1">
      <c r="B2000" s="199"/>
      <c r="D2000" s="154"/>
      <c r="F2000" s="154"/>
      <c r="G2000" s="217"/>
      <c r="I2000" s="673"/>
      <c r="J2000" s="209"/>
      <c r="K2000" s="520"/>
      <c r="L2000" s="154"/>
      <c r="M2000" s="154"/>
      <c r="N2000" s="154"/>
      <c r="O2000" s="246"/>
      <c r="P2000" s="1597"/>
      <c r="R2000" s="1598"/>
      <c r="S2000" s="557"/>
      <c r="T2000" s="1768"/>
      <c r="V2000" s="1769"/>
      <c r="X2000" s="1768"/>
      <c r="Z2000" s="1769"/>
      <c r="AA2000" s="557"/>
      <c r="AK2000" s="246"/>
    </row>
    <row r="2001" spans="2:37" ht="18" customHeight="1">
      <c r="B2001" s="199"/>
      <c r="D2001" s="154"/>
      <c r="F2001" s="154"/>
      <c r="G2001" s="217"/>
      <c r="I2001" s="673"/>
      <c r="J2001" s="209"/>
      <c r="K2001" s="520"/>
      <c r="L2001" s="154"/>
      <c r="M2001" s="154"/>
      <c r="N2001" s="154"/>
      <c r="O2001" s="246"/>
      <c r="P2001" s="1597"/>
      <c r="R2001" s="1598"/>
      <c r="S2001" s="557"/>
      <c r="T2001" s="1768"/>
      <c r="V2001" s="1769"/>
      <c r="X2001" s="1768"/>
      <c r="Z2001" s="1769"/>
      <c r="AA2001" s="557"/>
      <c r="AK2001" s="246"/>
    </row>
    <row r="2002" spans="2:37" ht="18" customHeight="1">
      <c r="B2002" s="199"/>
      <c r="D2002" s="154"/>
      <c r="F2002" s="154"/>
      <c r="G2002" s="217"/>
      <c r="I2002" s="673"/>
      <c r="J2002" s="209"/>
      <c r="K2002" s="520"/>
      <c r="L2002" s="154"/>
      <c r="M2002" s="154"/>
      <c r="N2002" s="154"/>
      <c r="O2002" s="246"/>
      <c r="P2002" s="1597"/>
      <c r="R2002" s="1598"/>
      <c r="S2002" s="557"/>
      <c r="T2002" s="1768"/>
      <c r="V2002" s="1769"/>
      <c r="X2002" s="1768"/>
      <c r="Z2002" s="1769"/>
      <c r="AA2002" s="557"/>
      <c r="AK2002" s="246"/>
    </row>
    <row r="2003" spans="2:37" ht="18" customHeight="1">
      <c r="B2003" s="199"/>
      <c r="D2003" s="154"/>
      <c r="F2003" s="154"/>
      <c r="G2003" s="217"/>
      <c r="I2003" s="673"/>
      <c r="J2003" s="209"/>
      <c r="K2003" s="520"/>
      <c r="L2003" s="154"/>
      <c r="M2003" s="154"/>
      <c r="N2003" s="154"/>
      <c r="O2003" s="246"/>
      <c r="P2003" s="1597"/>
      <c r="R2003" s="1598"/>
      <c r="S2003" s="557"/>
      <c r="T2003" s="1768"/>
      <c r="V2003" s="1769"/>
      <c r="X2003" s="1768"/>
      <c r="Z2003" s="1769"/>
      <c r="AA2003" s="557"/>
      <c r="AK2003" s="246"/>
    </row>
    <row r="2004" spans="2:37" ht="18" customHeight="1">
      <c r="B2004" s="199"/>
      <c r="D2004" s="154"/>
      <c r="F2004" s="154"/>
      <c r="G2004" s="217"/>
      <c r="I2004" s="673"/>
      <c r="J2004" s="209"/>
      <c r="K2004" s="520"/>
      <c r="L2004" s="154"/>
      <c r="M2004" s="154"/>
      <c r="N2004" s="154"/>
      <c r="O2004" s="246"/>
      <c r="P2004" s="1597"/>
      <c r="R2004" s="1598"/>
      <c r="S2004" s="557"/>
      <c r="T2004" s="1768"/>
      <c r="V2004" s="1769"/>
      <c r="X2004" s="1768"/>
      <c r="Z2004" s="1769"/>
      <c r="AA2004" s="557"/>
      <c r="AK2004" s="246"/>
    </row>
    <row r="2005" spans="2:37" ht="18" customHeight="1">
      <c r="B2005" s="199"/>
      <c r="D2005" s="154"/>
      <c r="F2005" s="154"/>
      <c r="G2005" s="217"/>
      <c r="I2005" s="673"/>
      <c r="J2005" s="209"/>
      <c r="K2005" s="520"/>
      <c r="L2005" s="154"/>
      <c r="M2005" s="154"/>
      <c r="N2005" s="154"/>
      <c r="O2005" s="246"/>
      <c r="P2005" s="1597"/>
      <c r="R2005" s="1598"/>
      <c r="S2005" s="557"/>
      <c r="T2005" s="1768"/>
      <c r="V2005" s="1769"/>
      <c r="X2005" s="1768"/>
      <c r="Z2005" s="1769"/>
      <c r="AA2005" s="557"/>
      <c r="AK2005" s="246"/>
    </row>
    <row r="2006" spans="2:37" ht="18" customHeight="1">
      <c r="B2006" s="199"/>
      <c r="D2006" s="154"/>
      <c r="F2006" s="154"/>
      <c r="G2006" s="217"/>
      <c r="I2006" s="673"/>
      <c r="J2006" s="209"/>
      <c r="K2006" s="520"/>
      <c r="L2006" s="154"/>
      <c r="M2006" s="154"/>
      <c r="N2006" s="154"/>
      <c r="O2006" s="246"/>
      <c r="P2006" s="1597"/>
      <c r="R2006" s="1598"/>
      <c r="S2006" s="557"/>
      <c r="T2006" s="1768"/>
      <c r="V2006" s="1769"/>
      <c r="X2006" s="1768"/>
      <c r="Z2006" s="1769"/>
      <c r="AA2006" s="557"/>
      <c r="AK2006" s="246"/>
    </row>
    <row r="2007" spans="2:37" ht="18" customHeight="1">
      <c r="B2007" s="199"/>
      <c r="D2007" s="154"/>
      <c r="F2007" s="154"/>
      <c r="G2007" s="217"/>
      <c r="I2007" s="673"/>
      <c r="J2007" s="209"/>
      <c r="K2007" s="520"/>
      <c r="L2007" s="154"/>
      <c r="M2007" s="154"/>
      <c r="N2007" s="154"/>
      <c r="O2007" s="246"/>
      <c r="P2007" s="1597"/>
      <c r="R2007" s="1598"/>
      <c r="S2007" s="557"/>
      <c r="T2007" s="1768"/>
      <c r="V2007" s="1769"/>
      <c r="X2007" s="1768"/>
      <c r="Z2007" s="1769"/>
      <c r="AA2007" s="557"/>
      <c r="AK2007" s="246"/>
    </row>
    <row r="2008" spans="2:37" ht="18" customHeight="1">
      <c r="B2008" s="199"/>
      <c r="D2008" s="154"/>
      <c r="F2008" s="154"/>
      <c r="G2008" s="217"/>
      <c r="I2008" s="673"/>
      <c r="J2008" s="209"/>
      <c r="K2008" s="520"/>
      <c r="L2008" s="154"/>
      <c r="M2008" s="154"/>
      <c r="N2008" s="154"/>
      <c r="O2008" s="246"/>
      <c r="P2008" s="1597"/>
      <c r="R2008" s="1598"/>
      <c r="S2008" s="557"/>
      <c r="T2008" s="1768"/>
      <c r="V2008" s="1769"/>
      <c r="X2008" s="1768"/>
      <c r="Z2008" s="1769"/>
      <c r="AA2008" s="557"/>
      <c r="AK2008" s="246"/>
    </row>
    <row r="2009" spans="2:37" ht="18" customHeight="1">
      <c r="B2009" s="199"/>
      <c r="D2009" s="154"/>
      <c r="F2009" s="154"/>
      <c r="G2009" s="217"/>
      <c r="I2009" s="673"/>
      <c r="J2009" s="209"/>
      <c r="K2009" s="520"/>
      <c r="L2009" s="154"/>
      <c r="M2009" s="154"/>
      <c r="N2009" s="154"/>
      <c r="O2009" s="246"/>
      <c r="P2009" s="1597"/>
      <c r="R2009" s="1598"/>
      <c r="S2009" s="557"/>
      <c r="T2009" s="1768"/>
      <c r="V2009" s="1769"/>
      <c r="X2009" s="1768"/>
      <c r="Z2009" s="1769"/>
      <c r="AA2009" s="557"/>
      <c r="AK2009" s="246"/>
    </row>
    <row r="2010" spans="2:37" ht="18" customHeight="1">
      <c r="B2010" s="199"/>
      <c r="D2010" s="154"/>
      <c r="F2010" s="154"/>
      <c r="G2010" s="217"/>
      <c r="I2010" s="673"/>
      <c r="J2010" s="209"/>
      <c r="K2010" s="520"/>
      <c r="L2010" s="154"/>
      <c r="M2010" s="154"/>
      <c r="N2010" s="154"/>
      <c r="O2010" s="246"/>
      <c r="P2010" s="1597"/>
      <c r="R2010" s="1598"/>
      <c r="S2010" s="557"/>
      <c r="T2010" s="1768"/>
      <c r="V2010" s="1769"/>
      <c r="X2010" s="1768"/>
      <c r="Z2010" s="1769"/>
      <c r="AA2010" s="557"/>
      <c r="AK2010" s="246"/>
    </row>
    <row r="2011" spans="2:37" ht="18" customHeight="1">
      <c r="B2011" s="199"/>
      <c r="D2011" s="154"/>
      <c r="F2011" s="154"/>
      <c r="G2011" s="217"/>
      <c r="I2011" s="673"/>
      <c r="J2011" s="209"/>
      <c r="K2011" s="520"/>
      <c r="L2011" s="154"/>
      <c r="M2011" s="154"/>
      <c r="N2011" s="154"/>
      <c r="O2011" s="246"/>
      <c r="P2011" s="1597"/>
      <c r="R2011" s="1598"/>
      <c r="S2011" s="557"/>
      <c r="T2011" s="1768"/>
      <c r="V2011" s="1769"/>
      <c r="X2011" s="1768"/>
      <c r="Z2011" s="1769"/>
      <c r="AA2011" s="557"/>
      <c r="AK2011" s="246"/>
    </row>
    <row r="2012" spans="2:37" ht="18" customHeight="1">
      <c r="B2012" s="199"/>
      <c r="D2012" s="154"/>
      <c r="F2012" s="154"/>
      <c r="G2012" s="217"/>
      <c r="I2012" s="673"/>
      <c r="J2012" s="209"/>
      <c r="K2012" s="520"/>
      <c r="L2012" s="154"/>
      <c r="M2012" s="154"/>
      <c r="N2012" s="154"/>
      <c r="O2012" s="246"/>
      <c r="P2012" s="1597"/>
      <c r="R2012" s="1598"/>
      <c r="S2012" s="557"/>
      <c r="T2012" s="1768"/>
      <c r="V2012" s="1769"/>
      <c r="X2012" s="1768"/>
      <c r="Z2012" s="1769"/>
      <c r="AA2012" s="557"/>
      <c r="AK2012" s="246"/>
    </row>
    <row r="2013" spans="2:37" ht="18" customHeight="1">
      <c r="B2013" s="199"/>
      <c r="D2013" s="154"/>
      <c r="F2013" s="154"/>
      <c r="G2013" s="217"/>
      <c r="I2013" s="673"/>
      <c r="J2013" s="209"/>
      <c r="K2013" s="520"/>
      <c r="L2013" s="154"/>
      <c r="M2013" s="154"/>
      <c r="N2013" s="154"/>
      <c r="O2013" s="246"/>
      <c r="P2013" s="1597"/>
      <c r="R2013" s="1598"/>
      <c r="S2013" s="557"/>
      <c r="T2013" s="1768"/>
      <c r="V2013" s="1769"/>
      <c r="X2013" s="1768"/>
      <c r="Z2013" s="1769"/>
      <c r="AA2013" s="557"/>
      <c r="AK2013" s="246"/>
    </row>
    <row r="2014" spans="2:37" ht="18" customHeight="1">
      <c r="B2014" s="199"/>
      <c r="D2014" s="154"/>
      <c r="F2014" s="154"/>
      <c r="G2014" s="217"/>
      <c r="I2014" s="673"/>
      <c r="J2014" s="209"/>
      <c r="K2014" s="520"/>
      <c r="L2014" s="154"/>
      <c r="M2014" s="154"/>
      <c r="N2014" s="154"/>
      <c r="O2014" s="246"/>
      <c r="P2014" s="1597"/>
      <c r="R2014" s="1598"/>
      <c r="S2014" s="557"/>
      <c r="T2014" s="1768"/>
      <c r="V2014" s="1769"/>
      <c r="X2014" s="1768"/>
      <c r="Z2014" s="1769"/>
      <c r="AA2014" s="557"/>
      <c r="AK2014" s="246"/>
    </row>
    <row r="2015" spans="2:37" ht="18" customHeight="1">
      <c r="B2015" s="199"/>
      <c r="D2015" s="154"/>
      <c r="F2015" s="154"/>
      <c r="G2015" s="217"/>
      <c r="I2015" s="673"/>
      <c r="J2015" s="209"/>
      <c r="K2015" s="520"/>
      <c r="L2015" s="154"/>
      <c r="M2015" s="154"/>
      <c r="N2015" s="154"/>
      <c r="O2015" s="246"/>
      <c r="P2015" s="1597"/>
      <c r="R2015" s="1598"/>
      <c r="S2015" s="557"/>
      <c r="T2015" s="1768"/>
      <c r="V2015" s="1769"/>
      <c r="X2015" s="1768"/>
      <c r="Z2015" s="1769"/>
      <c r="AA2015" s="557"/>
      <c r="AK2015" s="246"/>
    </row>
    <row r="2016" spans="2:37" ht="18" customHeight="1">
      <c r="B2016" s="199"/>
      <c r="D2016" s="154"/>
      <c r="F2016" s="154"/>
      <c r="G2016" s="217"/>
      <c r="I2016" s="673"/>
      <c r="J2016" s="209"/>
      <c r="K2016" s="520"/>
      <c r="L2016" s="154"/>
      <c r="M2016" s="154"/>
      <c r="N2016" s="154"/>
      <c r="O2016" s="246"/>
      <c r="P2016" s="1597"/>
      <c r="R2016" s="1598"/>
      <c r="S2016" s="557"/>
      <c r="T2016" s="1768"/>
      <c r="V2016" s="1769"/>
      <c r="X2016" s="1768"/>
      <c r="Z2016" s="1769"/>
      <c r="AA2016" s="557"/>
      <c r="AK2016" s="246"/>
    </row>
    <row r="2017" spans="2:37" ht="18" customHeight="1">
      <c r="B2017" s="199"/>
      <c r="D2017" s="154"/>
      <c r="F2017" s="154"/>
      <c r="G2017" s="217"/>
      <c r="I2017" s="673"/>
      <c r="J2017" s="209"/>
      <c r="K2017" s="520"/>
      <c r="L2017" s="154"/>
      <c r="M2017" s="154"/>
      <c r="N2017" s="154"/>
      <c r="O2017" s="246"/>
      <c r="P2017" s="1597"/>
      <c r="R2017" s="1598"/>
      <c r="S2017" s="557"/>
      <c r="T2017" s="1768"/>
      <c r="V2017" s="1769"/>
      <c r="X2017" s="1768"/>
      <c r="Z2017" s="1769"/>
      <c r="AA2017" s="557"/>
      <c r="AK2017" s="246"/>
    </row>
    <row r="2018" spans="2:37" ht="18" customHeight="1">
      <c r="B2018" s="199"/>
      <c r="D2018" s="154"/>
      <c r="F2018" s="154"/>
      <c r="G2018" s="217"/>
      <c r="I2018" s="673"/>
      <c r="J2018" s="209"/>
      <c r="K2018" s="520"/>
      <c r="L2018" s="154"/>
      <c r="M2018" s="154"/>
      <c r="N2018" s="154"/>
      <c r="O2018" s="246"/>
      <c r="P2018" s="1597"/>
      <c r="R2018" s="1598"/>
      <c r="S2018" s="557"/>
      <c r="T2018" s="1768"/>
      <c r="V2018" s="1769"/>
      <c r="X2018" s="1768"/>
      <c r="Z2018" s="1769"/>
      <c r="AA2018" s="557"/>
      <c r="AK2018" s="246"/>
    </row>
    <row r="2019" spans="2:37" ht="18" customHeight="1">
      <c r="B2019" s="199"/>
      <c r="D2019" s="154"/>
      <c r="F2019" s="154"/>
      <c r="G2019" s="217"/>
      <c r="I2019" s="673"/>
      <c r="J2019" s="209"/>
      <c r="K2019" s="520"/>
      <c r="L2019" s="154"/>
      <c r="M2019" s="154"/>
      <c r="N2019" s="154"/>
      <c r="O2019" s="246"/>
      <c r="P2019" s="1597"/>
      <c r="R2019" s="1598"/>
      <c r="S2019" s="557"/>
      <c r="T2019" s="1768"/>
      <c r="V2019" s="1769"/>
      <c r="X2019" s="1768"/>
      <c r="Z2019" s="1769"/>
      <c r="AA2019" s="557"/>
      <c r="AK2019" s="246"/>
    </row>
    <row r="2020" spans="2:37" ht="18" customHeight="1">
      <c r="B2020" s="199"/>
      <c r="D2020" s="154"/>
      <c r="F2020" s="154"/>
      <c r="G2020" s="217"/>
      <c r="I2020" s="673"/>
      <c r="J2020" s="209"/>
      <c r="K2020" s="520"/>
      <c r="L2020" s="154"/>
      <c r="M2020" s="154"/>
      <c r="N2020" s="154"/>
      <c r="O2020" s="246"/>
      <c r="P2020" s="1597"/>
      <c r="R2020" s="1598"/>
      <c r="S2020" s="557"/>
      <c r="T2020" s="1768"/>
      <c r="V2020" s="1769"/>
      <c r="X2020" s="1768"/>
      <c r="Z2020" s="1769"/>
      <c r="AA2020" s="557"/>
      <c r="AK2020" s="246"/>
    </row>
    <row r="2021" spans="2:37" ht="18" customHeight="1">
      <c r="B2021" s="199"/>
      <c r="D2021" s="154"/>
      <c r="F2021" s="154"/>
      <c r="G2021" s="217"/>
      <c r="I2021" s="673"/>
      <c r="J2021" s="209"/>
      <c r="K2021" s="520"/>
      <c r="L2021" s="154"/>
      <c r="M2021" s="154"/>
      <c r="N2021" s="154"/>
      <c r="O2021" s="246"/>
      <c r="P2021" s="1597"/>
      <c r="R2021" s="1598"/>
      <c r="S2021" s="557"/>
      <c r="T2021" s="1768"/>
      <c r="V2021" s="1769"/>
      <c r="X2021" s="1768"/>
      <c r="Z2021" s="1769"/>
      <c r="AA2021" s="557"/>
      <c r="AK2021" s="246"/>
    </row>
    <row r="2022" spans="2:37" ht="18" customHeight="1">
      <c r="B2022" s="199"/>
      <c r="D2022" s="154"/>
      <c r="F2022" s="154"/>
      <c r="G2022" s="217"/>
      <c r="I2022" s="673"/>
      <c r="J2022" s="209"/>
      <c r="K2022" s="520"/>
      <c r="L2022" s="154"/>
      <c r="M2022" s="154"/>
      <c r="N2022" s="154"/>
      <c r="O2022" s="246"/>
      <c r="P2022" s="1597"/>
      <c r="R2022" s="1598"/>
      <c r="S2022" s="557"/>
      <c r="T2022" s="1768"/>
      <c r="V2022" s="1769"/>
      <c r="X2022" s="1768"/>
      <c r="Z2022" s="1769"/>
      <c r="AA2022" s="557"/>
      <c r="AK2022" s="246"/>
    </row>
    <row r="2023" spans="2:37" ht="18" customHeight="1">
      <c r="B2023" s="199"/>
      <c r="D2023" s="154"/>
      <c r="F2023" s="154"/>
      <c r="G2023" s="217"/>
      <c r="I2023" s="673"/>
      <c r="J2023" s="209"/>
      <c r="K2023" s="520"/>
      <c r="L2023" s="154"/>
      <c r="M2023" s="154"/>
      <c r="N2023" s="154"/>
      <c r="O2023" s="246"/>
      <c r="P2023" s="1597"/>
      <c r="R2023" s="1598"/>
      <c r="S2023" s="557"/>
      <c r="T2023" s="1768"/>
      <c r="V2023" s="1769"/>
      <c r="X2023" s="1768"/>
      <c r="Z2023" s="1769"/>
      <c r="AA2023" s="557"/>
      <c r="AK2023" s="246"/>
    </row>
    <row r="2024" spans="2:37" ht="18" customHeight="1">
      <c r="B2024" s="199"/>
      <c r="D2024" s="154"/>
      <c r="F2024" s="154"/>
      <c r="G2024" s="217"/>
      <c r="I2024" s="673"/>
      <c r="J2024" s="209"/>
      <c r="K2024" s="520"/>
      <c r="L2024" s="154"/>
      <c r="M2024" s="154"/>
      <c r="N2024" s="154"/>
      <c r="O2024" s="246"/>
      <c r="P2024" s="1597"/>
      <c r="R2024" s="1598"/>
      <c r="S2024" s="557"/>
      <c r="T2024" s="1768"/>
      <c r="V2024" s="1769"/>
      <c r="X2024" s="1768"/>
      <c r="Z2024" s="1769"/>
      <c r="AA2024" s="557"/>
      <c r="AK2024" s="246"/>
    </row>
    <row r="2025" spans="2:37" ht="18" customHeight="1">
      <c r="B2025" s="199"/>
      <c r="D2025" s="154"/>
      <c r="F2025" s="154"/>
      <c r="G2025" s="217"/>
      <c r="I2025" s="673"/>
      <c r="J2025" s="209"/>
      <c r="K2025" s="520"/>
      <c r="L2025" s="154"/>
      <c r="M2025" s="154"/>
      <c r="N2025" s="154"/>
      <c r="O2025" s="246"/>
      <c r="P2025" s="1597"/>
      <c r="R2025" s="1598"/>
      <c r="S2025" s="557"/>
      <c r="T2025" s="1768"/>
      <c r="V2025" s="1769"/>
      <c r="X2025" s="1768"/>
      <c r="Z2025" s="1769"/>
      <c r="AA2025" s="557"/>
      <c r="AK2025" s="246"/>
    </row>
    <row r="2026" spans="2:37" ht="18" customHeight="1">
      <c r="B2026" s="199"/>
      <c r="D2026" s="154"/>
      <c r="F2026" s="154"/>
      <c r="G2026" s="217"/>
      <c r="I2026" s="673"/>
      <c r="J2026" s="209"/>
      <c r="K2026" s="520"/>
      <c r="L2026" s="154"/>
      <c r="M2026" s="154"/>
      <c r="N2026" s="154"/>
      <c r="O2026" s="246"/>
      <c r="P2026" s="1597"/>
      <c r="R2026" s="1598"/>
      <c r="S2026" s="557"/>
      <c r="T2026" s="1768"/>
      <c r="V2026" s="1769"/>
      <c r="X2026" s="1768"/>
      <c r="Z2026" s="1769"/>
      <c r="AA2026" s="557"/>
      <c r="AK2026" s="246"/>
    </row>
    <row r="2027" spans="2:37" ht="18" customHeight="1">
      <c r="B2027" s="199"/>
      <c r="D2027" s="154"/>
      <c r="F2027" s="154"/>
      <c r="G2027" s="217"/>
      <c r="I2027" s="673"/>
      <c r="J2027" s="209"/>
      <c r="K2027" s="520"/>
      <c r="L2027" s="154"/>
      <c r="M2027" s="154"/>
      <c r="N2027" s="154"/>
      <c r="O2027" s="246"/>
      <c r="P2027" s="1597"/>
      <c r="R2027" s="1598"/>
      <c r="S2027" s="557"/>
      <c r="T2027" s="1768"/>
      <c r="V2027" s="1769"/>
      <c r="X2027" s="1768"/>
      <c r="Z2027" s="1769"/>
      <c r="AA2027" s="557"/>
      <c r="AK2027" s="246"/>
    </row>
    <row r="2028" spans="2:37" ht="18" customHeight="1">
      <c r="B2028" s="199"/>
      <c r="D2028" s="154"/>
      <c r="F2028" s="154"/>
      <c r="G2028" s="217"/>
      <c r="I2028" s="673"/>
      <c r="J2028" s="209"/>
      <c r="K2028" s="520"/>
      <c r="L2028" s="154"/>
      <c r="M2028" s="154"/>
      <c r="N2028" s="154"/>
      <c r="O2028" s="246"/>
      <c r="P2028" s="1597"/>
      <c r="R2028" s="1598"/>
      <c r="S2028" s="557"/>
      <c r="T2028" s="1768"/>
      <c r="V2028" s="1769"/>
      <c r="X2028" s="1768"/>
      <c r="Z2028" s="1769"/>
      <c r="AA2028" s="557"/>
      <c r="AK2028" s="246"/>
    </row>
    <row r="2029" spans="2:37" ht="18" customHeight="1">
      <c r="B2029" s="199"/>
      <c r="D2029" s="154"/>
      <c r="F2029" s="154"/>
      <c r="G2029" s="217"/>
      <c r="I2029" s="673"/>
      <c r="J2029" s="209"/>
      <c r="K2029" s="520"/>
      <c r="L2029" s="154"/>
      <c r="M2029" s="154"/>
      <c r="N2029" s="154"/>
      <c r="O2029" s="246"/>
      <c r="P2029" s="1597"/>
      <c r="R2029" s="1598"/>
      <c r="S2029" s="557"/>
      <c r="T2029" s="1768"/>
      <c r="V2029" s="1769"/>
      <c r="X2029" s="1768"/>
      <c r="Z2029" s="1769"/>
      <c r="AA2029" s="557"/>
      <c r="AK2029" s="246"/>
    </row>
    <row r="2030" spans="2:37" ht="18" customHeight="1">
      <c r="B2030" s="199"/>
      <c r="D2030" s="154"/>
      <c r="F2030" s="154"/>
      <c r="G2030" s="217"/>
      <c r="I2030" s="673"/>
      <c r="J2030" s="209"/>
      <c r="K2030" s="520"/>
      <c r="L2030" s="154"/>
      <c r="M2030" s="154"/>
      <c r="N2030" s="154"/>
      <c r="O2030" s="246"/>
      <c r="P2030" s="1597"/>
      <c r="R2030" s="1598"/>
      <c r="S2030" s="557"/>
      <c r="T2030" s="1768"/>
      <c r="V2030" s="1769"/>
      <c r="X2030" s="1768"/>
      <c r="Z2030" s="1769"/>
      <c r="AA2030" s="557"/>
      <c r="AK2030" s="246"/>
    </row>
    <row r="2031" spans="2:37" ht="18" customHeight="1">
      <c r="F2031" s="154"/>
      <c r="I2031" s="673"/>
      <c r="J2031" s="209"/>
      <c r="L2031" s="154"/>
      <c r="M2031" s="222"/>
      <c r="O2031" s="246"/>
      <c r="P2031" s="1597"/>
      <c r="R2031" s="1598"/>
      <c r="S2031" s="557"/>
      <c r="T2031" s="1768"/>
      <c r="V2031" s="1769"/>
      <c r="X2031" s="1768"/>
      <c r="Z2031" s="1769"/>
      <c r="AA2031" s="557"/>
    </row>
    <row r="2032" spans="2:37" ht="18" customHeight="1">
      <c r="F2032" s="154"/>
      <c r="I2032" s="673"/>
      <c r="J2032" s="209"/>
      <c r="L2032" s="154"/>
      <c r="M2032" s="222"/>
      <c r="O2032" s="246"/>
      <c r="P2032" s="1597"/>
      <c r="R2032" s="1598"/>
      <c r="S2032" s="557"/>
      <c r="T2032" s="1768"/>
      <c r="V2032" s="1769"/>
      <c r="X2032" s="1768"/>
      <c r="Z2032" s="1769"/>
      <c r="AA2032" s="557"/>
    </row>
    <row r="2033" spans="6:27" ht="18" customHeight="1">
      <c r="F2033" s="154"/>
      <c r="I2033" s="673"/>
      <c r="J2033" s="209"/>
      <c r="L2033" s="154"/>
      <c r="M2033" s="222"/>
      <c r="O2033" s="246"/>
      <c r="P2033" s="1597"/>
      <c r="R2033" s="1598"/>
      <c r="S2033" s="557"/>
      <c r="T2033" s="1768"/>
      <c r="V2033" s="1769"/>
      <c r="X2033" s="1768"/>
      <c r="Z2033" s="1769"/>
      <c r="AA2033" s="557"/>
    </row>
    <row r="2034" spans="6:27" ht="18" customHeight="1">
      <c r="F2034" s="154"/>
      <c r="I2034" s="673"/>
      <c r="J2034" s="209"/>
      <c r="L2034" s="154"/>
      <c r="M2034" s="222"/>
      <c r="O2034" s="246"/>
      <c r="P2034" s="1597"/>
      <c r="R2034" s="1598"/>
      <c r="S2034" s="557"/>
      <c r="T2034" s="1768"/>
      <c r="V2034" s="1769"/>
      <c r="X2034" s="1768"/>
      <c r="Z2034" s="1769"/>
      <c r="AA2034" s="557"/>
    </row>
    <row r="2035" spans="6:27" ht="18" customHeight="1">
      <c r="F2035" s="154"/>
      <c r="I2035" s="673"/>
      <c r="J2035" s="209"/>
      <c r="L2035" s="154"/>
      <c r="M2035" s="222"/>
      <c r="O2035" s="246"/>
      <c r="P2035" s="1597"/>
      <c r="R2035" s="1598"/>
      <c r="S2035" s="557"/>
      <c r="T2035" s="1768"/>
      <c r="V2035" s="1769"/>
      <c r="X2035" s="1768"/>
      <c r="Z2035" s="1769"/>
      <c r="AA2035" s="557"/>
    </row>
    <row r="2036" spans="6:27" ht="18" customHeight="1">
      <c r="F2036" s="154"/>
      <c r="I2036" s="673"/>
      <c r="J2036" s="209"/>
      <c r="L2036" s="154"/>
      <c r="M2036" s="222"/>
      <c r="O2036" s="246"/>
      <c r="P2036" s="1597"/>
      <c r="R2036" s="1598"/>
      <c r="S2036" s="557"/>
      <c r="T2036" s="1768"/>
      <c r="V2036" s="1769"/>
      <c r="X2036" s="1768"/>
      <c r="Z2036" s="1769"/>
      <c r="AA2036" s="557"/>
    </row>
    <row r="2037" spans="6:27" ht="18" customHeight="1">
      <c r="F2037" s="154"/>
      <c r="I2037" s="673"/>
      <c r="J2037" s="209"/>
      <c r="L2037" s="154"/>
      <c r="M2037" s="222"/>
      <c r="O2037" s="246"/>
      <c r="P2037" s="1597"/>
      <c r="R2037" s="1598"/>
      <c r="S2037" s="557"/>
      <c r="T2037" s="1768"/>
      <c r="V2037" s="1769"/>
      <c r="X2037" s="1768"/>
      <c r="Z2037" s="1769"/>
      <c r="AA2037" s="557"/>
    </row>
    <row r="2038" spans="6:27" ht="18" customHeight="1">
      <c r="F2038" s="154"/>
      <c r="I2038" s="673"/>
      <c r="J2038" s="209"/>
      <c r="L2038" s="154"/>
      <c r="M2038" s="222"/>
      <c r="P2038" s="1597"/>
      <c r="R2038" s="1598"/>
      <c r="T2038" s="1768"/>
      <c r="V2038" s="1769"/>
      <c r="X2038" s="1768"/>
      <c r="Z2038" s="1769"/>
    </row>
    <row r="2039" spans="6:27" ht="18" customHeight="1">
      <c r="F2039" s="154"/>
      <c r="I2039" s="673"/>
      <c r="J2039" s="209"/>
      <c r="L2039" s="154"/>
      <c r="M2039" s="222"/>
      <c r="P2039" s="1597"/>
      <c r="R2039" s="1598"/>
      <c r="T2039" s="1768"/>
      <c r="V2039" s="1769"/>
      <c r="X2039" s="1768"/>
      <c r="Z2039" s="1769"/>
    </row>
    <row r="2040" spans="6:27" ht="18" customHeight="1">
      <c r="F2040" s="154"/>
      <c r="I2040" s="673"/>
      <c r="J2040" s="209"/>
      <c r="L2040" s="154"/>
      <c r="M2040" s="222"/>
      <c r="P2040" s="1597"/>
      <c r="R2040" s="1598"/>
      <c r="T2040" s="1768"/>
      <c r="V2040" s="1769"/>
      <c r="X2040" s="1768"/>
      <c r="Z2040" s="1769"/>
    </row>
    <row r="2041" spans="6:27" ht="18" customHeight="1">
      <c r="F2041" s="154"/>
      <c r="I2041" s="673"/>
      <c r="J2041" s="209"/>
      <c r="L2041" s="154"/>
      <c r="M2041" s="222"/>
      <c r="P2041" s="1597"/>
      <c r="R2041" s="1598"/>
      <c r="T2041" s="1768"/>
      <c r="V2041" s="1769"/>
      <c r="X2041" s="1768"/>
      <c r="Z2041" s="1769"/>
    </row>
    <row r="2042" spans="6:27" ht="18" customHeight="1">
      <c r="F2042" s="154"/>
      <c r="I2042" s="673"/>
      <c r="J2042" s="209"/>
      <c r="L2042" s="154"/>
      <c r="M2042" s="222"/>
      <c r="P2042" s="1597"/>
      <c r="R2042" s="1598"/>
      <c r="T2042" s="1768"/>
      <c r="V2042" s="1769"/>
      <c r="X2042" s="1768"/>
      <c r="Z2042" s="1769"/>
    </row>
    <row r="2043" spans="6:27" ht="18" customHeight="1">
      <c r="F2043" s="154"/>
      <c r="I2043" s="673"/>
      <c r="J2043" s="209"/>
      <c r="L2043" s="154"/>
      <c r="M2043" s="222"/>
      <c r="P2043" s="1597"/>
      <c r="R2043" s="1598"/>
      <c r="T2043" s="1768"/>
      <c r="V2043" s="1769"/>
      <c r="X2043" s="1768"/>
      <c r="Z2043" s="1769"/>
    </row>
    <row r="2044" spans="6:27" ht="18" customHeight="1">
      <c r="F2044" s="154"/>
      <c r="I2044" s="673"/>
      <c r="J2044" s="209"/>
      <c r="L2044" s="154"/>
      <c r="M2044" s="222"/>
      <c r="P2044" s="1597"/>
      <c r="R2044" s="1598"/>
      <c r="T2044" s="1768"/>
      <c r="V2044" s="1769"/>
      <c r="X2044" s="1768"/>
      <c r="Z2044" s="1769"/>
    </row>
    <row r="2045" spans="6:27" ht="18" customHeight="1">
      <c r="F2045" s="154"/>
      <c r="I2045" s="673"/>
      <c r="J2045" s="209"/>
      <c r="L2045" s="154"/>
      <c r="M2045" s="222"/>
      <c r="P2045" s="1597"/>
      <c r="R2045" s="1598"/>
      <c r="T2045" s="1768"/>
      <c r="V2045" s="1769"/>
      <c r="X2045" s="1768"/>
      <c r="Z2045" s="1769"/>
    </row>
    <row r="2046" spans="6:27" ht="18" customHeight="1">
      <c r="F2046" s="154"/>
      <c r="I2046" s="673"/>
      <c r="J2046" s="209"/>
      <c r="L2046" s="154"/>
      <c r="M2046" s="222"/>
      <c r="P2046" s="1597"/>
      <c r="R2046" s="1598"/>
      <c r="T2046" s="1768"/>
      <c r="V2046" s="1769"/>
      <c r="X2046" s="1768"/>
      <c r="Z2046" s="1769"/>
    </row>
    <row r="2047" spans="6:27" ht="18" customHeight="1">
      <c r="F2047" s="154"/>
      <c r="I2047" s="673"/>
      <c r="J2047" s="209"/>
      <c r="L2047" s="154"/>
      <c r="M2047" s="222"/>
      <c r="P2047" s="1597"/>
      <c r="R2047" s="1598"/>
      <c r="T2047" s="1768"/>
      <c r="V2047" s="1769"/>
      <c r="X2047" s="1768"/>
      <c r="Z2047" s="1769"/>
    </row>
    <row r="2048" spans="6:27" ht="18" customHeight="1">
      <c r="F2048" s="154"/>
      <c r="I2048" s="673"/>
      <c r="J2048" s="209"/>
      <c r="L2048" s="154"/>
      <c r="M2048" s="222"/>
      <c r="P2048" s="1597"/>
      <c r="R2048" s="1598"/>
      <c r="T2048" s="1768"/>
      <c r="V2048" s="1769"/>
      <c r="X2048" s="1768"/>
      <c r="Z2048" s="1769"/>
    </row>
    <row r="2049" spans="6:26" ht="18" customHeight="1">
      <c r="F2049" s="154"/>
      <c r="I2049" s="673"/>
      <c r="J2049" s="209"/>
      <c r="L2049" s="154"/>
      <c r="M2049" s="222"/>
      <c r="P2049" s="1597"/>
      <c r="R2049" s="1598"/>
      <c r="T2049" s="1768"/>
      <c r="V2049" s="1769"/>
      <c r="X2049" s="1768"/>
      <c r="Z2049" s="1769"/>
    </row>
    <row r="2050" spans="6:26" ht="18" customHeight="1">
      <c r="F2050" s="154"/>
      <c r="I2050" s="673"/>
      <c r="J2050" s="209"/>
      <c r="L2050" s="154"/>
      <c r="M2050" s="222"/>
      <c r="P2050" s="1597"/>
      <c r="R2050" s="1598"/>
      <c r="T2050" s="1768"/>
      <c r="V2050" s="1769"/>
      <c r="X2050" s="1768"/>
      <c r="Z2050" s="1769"/>
    </row>
    <row r="2051" spans="6:26" ht="18" customHeight="1">
      <c r="F2051" s="154"/>
      <c r="I2051" s="673"/>
      <c r="J2051" s="209"/>
      <c r="L2051" s="154"/>
      <c r="M2051" s="222"/>
      <c r="P2051" s="1597"/>
      <c r="R2051" s="1598"/>
      <c r="T2051" s="1768"/>
      <c r="V2051" s="1769"/>
      <c r="X2051" s="1768"/>
      <c r="Z2051" s="1769"/>
    </row>
    <row r="2052" spans="6:26" ht="18" customHeight="1">
      <c r="F2052" s="154"/>
      <c r="I2052" s="673"/>
      <c r="J2052" s="209"/>
      <c r="L2052" s="154"/>
      <c r="M2052" s="222"/>
      <c r="P2052" s="1597"/>
      <c r="R2052" s="1598"/>
      <c r="T2052" s="1768"/>
      <c r="V2052" s="1769"/>
      <c r="X2052" s="1768"/>
      <c r="Z2052" s="1769"/>
    </row>
    <row r="2053" spans="6:26" ht="18" customHeight="1">
      <c r="F2053" s="154"/>
      <c r="I2053" s="673"/>
      <c r="J2053" s="209"/>
      <c r="L2053" s="154"/>
      <c r="M2053" s="222"/>
      <c r="P2053" s="1597"/>
      <c r="R2053" s="1598"/>
      <c r="T2053" s="1768"/>
      <c r="V2053" s="1769"/>
      <c r="X2053" s="1768"/>
      <c r="Z2053" s="1769"/>
    </row>
    <row r="2054" spans="6:26" ht="18" customHeight="1">
      <c r="F2054" s="154"/>
      <c r="I2054" s="673"/>
      <c r="J2054" s="209"/>
      <c r="L2054" s="154"/>
      <c r="M2054" s="222"/>
      <c r="P2054" s="1597"/>
      <c r="R2054" s="1598"/>
      <c r="T2054" s="1768"/>
      <c r="V2054" s="1769"/>
      <c r="X2054" s="1768"/>
      <c r="Z2054" s="1769"/>
    </row>
    <row r="2055" spans="6:26" ht="18" customHeight="1">
      <c r="F2055" s="154"/>
      <c r="I2055" s="673"/>
      <c r="J2055" s="209"/>
      <c r="L2055" s="154"/>
      <c r="M2055" s="222"/>
      <c r="P2055" s="1597"/>
      <c r="R2055" s="1598"/>
      <c r="T2055" s="1768"/>
      <c r="V2055" s="1769"/>
      <c r="X2055" s="1768"/>
      <c r="Z2055" s="1769"/>
    </row>
    <row r="2056" spans="6:26" ht="18" customHeight="1">
      <c r="F2056" s="154"/>
      <c r="I2056" s="673"/>
      <c r="J2056" s="209"/>
      <c r="L2056" s="154"/>
      <c r="M2056" s="222"/>
      <c r="P2056" s="1597"/>
      <c r="R2056" s="1598"/>
      <c r="T2056" s="1768"/>
      <c r="V2056" s="1769"/>
      <c r="X2056" s="1768"/>
      <c r="Z2056" s="1769"/>
    </row>
    <row r="2057" spans="6:26" ht="18" customHeight="1">
      <c r="F2057" s="154"/>
      <c r="I2057" s="673"/>
      <c r="J2057" s="209"/>
      <c r="L2057" s="154"/>
      <c r="M2057" s="222"/>
      <c r="P2057" s="1597"/>
      <c r="R2057" s="1598"/>
      <c r="T2057" s="1768"/>
      <c r="V2057" s="1769"/>
      <c r="X2057" s="1768"/>
      <c r="Z2057" s="1769"/>
    </row>
    <row r="2058" spans="6:26" ht="18" customHeight="1">
      <c r="F2058" s="154"/>
      <c r="I2058" s="673"/>
      <c r="J2058" s="209"/>
      <c r="L2058" s="154"/>
      <c r="M2058" s="222"/>
      <c r="P2058" s="1597"/>
      <c r="R2058" s="1598"/>
      <c r="T2058" s="1768"/>
      <c r="V2058" s="1769"/>
      <c r="X2058" s="1768"/>
      <c r="Z2058" s="1769"/>
    </row>
    <row r="2059" spans="6:26" ht="18" customHeight="1">
      <c r="F2059" s="154"/>
      <c r="I2059" s="673"/>
      <c r="J2059" s="209"/>
      <c r="L2059" s="154"/>
      <c r="M2059" s="222"/>
      <c r="P2059" s="1597"/>
      <c r="R2059" s="1598"/>
      <c r="T2059" s="1768"/>
      <c r="V2059" s="1769"/>
      <c r="X2059" s="1768"/>
      <c r="Z2059" s="1769"/>
    </row>
    <row r="2060" spans="6:26" ht="18" customHeight="1">
      <c r="F2060" s="154"/>
      <c r="I2060" s="673"/>
      <c r="J2060" s="209"/>
      <c r="L2060" s="154"/>
      <c r="M2060" s="222"/>
      <c r="P2060" s="1597"/>
      <c r="R2060" s="1598"/>
      <c r="T2060" s="1768"/>
      <c r="V2060" s="1769"/>
      <c r="X2060" s="1768"/>
      <c r="Z2060" s="1769"/>
    </row>
    <row r="2061" spans="6:26" ht="18" customHeight="1">
      <c r="F2061" s="154"/>
      <c r="I2061" s="673"/>
      <c r="J2061" s="209"/>
      <c r="L2061" s="154"/>
      <c r="M2061" s="222"/>
      <c r="P2061" s="1597"/>
      <c r="R2061" s="1598"/>
      <c r="T2061" s="1768"/>
      <c r="V2061" s="1769"/>
      <c r="X2061" s="1768"/>
      <c r="Z2061" s="1769"/>
    </row>
    <row r="2062" spans="6:26" ht="18" customHeight="1">
      <c r="F2062" s="154"/>
      <c r="I2062" s="673"/>
      <c r="J2062" s="209"/>
      <c r="L2062" s="154"/>
      <c r="M2062" s="222"/>
      <c r="P2062" s="1597"/>
      <c r="R2062" s="1598"/>
      <c r="T2062" s="1768"/>
      <c r="V2062" s="1769"/>
      <c r="X2062" s="1768"/>
      <c r="Z2062" s="1769"/>
    </row>
    <row r="2063" spans="6:26" ht="18" customHeight="1">
      <c r="F2063" s="154"/>
      <c r="I2063" s="673"/>
      <c r="J2063" s="209"/>
      <c r="L2063" s="154"/>
      <c r="M2063" s="222"/>
      <c r="P2063" s="1597"/>
      <c r="R2063" s="1598"/>
      <c r="T2063" s="1768"/>
      <c r="V2063" s="1769"/>
      <c r="X2063" s="1768"/>
      <c r="Z2063" s="1769"/>
    </row>
    <row r="2064" spans="6:26" ht="18" customHeight="1">
      <c r="F2064" s="154"/>
      <c r="I2064" s="673"/>
      <c r="J2064" s="209"/>
      <c r="L2064" s="154"/>
      <c r="M2064" s="222"/>
      <c r="P2064" s="1597"/>
      <c r="R2064" s="1598"/>
      <c r="T2064" s="1768"/>
      <c r="V2064" s="1769"/>
      <c r="X2064" s="1768"/>
      <c r="Z2064" s="1769"/>
    </row>
    <row r="2065" spans="6:26" ht="18" customHeight="1">
      <c r="F2065" s="154"/>
      <c r="I2065" s="673"/>
      <c r="J2065" s="209"/>
      <c r="L2065" s="154"/>
      <c r="M2065" s="222"/>
      <c r="P2065" s="1597"/>
      <c r="R2065" s="1598"/>
      <c r="T2065" s="1768"/>
      <c r="V2065" s="1769"/>
      <c r="X2065" s="1768"/>
      <c r="Z2065" s="1769"/>
    </row>
    <row r="2066" spans="6:26" ht="18" customHeight="1">
      <c r="F2066" s="154"/>
      <c r="I2066" s="673"/>
      <c r="J2066" s="209"/>
      <c r="L2066" s="154"/>
      <c r="M2066" s="222"/>
      <c r="P2066" s="1597"/>
      <c r="R2066" s="1598"/>
      <c r="T2066" s="1768"/>
      <c r="V2066" s="1769"/>
      <c r="X2066" s="1768"/>
      <c r="Z2066" s="1769"/>
    </row>
    <row r="2067" spans="6:26" ht="18" customHeight="1">
      <c r="F2067" s="154"/>
      <c r="I2067" s="673"/>
      <c r="J2067" s="209"/>
      <c r="L2067" s="154"/>
      <c r="M2067" s="222"/>
      <c r="P2067" s="1597"/>
      <c r="R2067" s="1598"/>
      <c r="T2067" s="1768"/>
      <c r="V2067" s="1769"/>
      <c r="X2067" s="1768"/>
      <c r="Z2067" s="1769"/>
    </row>
    <row r="2068" spans="6:26" ht="18" customHeight="1">
      <c r="F2068" s="154"/>
      <c r="I2068" s="673"/>
      <c r="J2068" s="209"/>
      <c r="L2068" s="154"/>
      <c r="M2068" s="222"/>
      <c r="P2068" s="1597"/>
      <c r="R2068" s="1598"/>
      <c r="T2068" s="1768"/>
      <c r="V2068" s="1769"/>
      <c r="X2068" s="1768"/>
      <c r="Z2068" s="1769"/>
    </row>
    <row r="2069" spans="6:26" ht="18" customHeight="1">
      <c r="F2069" s="154"/>
      <c r="I2069" s="673"/>
      <c r="J2069" s="209"/>
      <c r="L2069" s="154"/>
      <c r="M2069" s="222"/>
      <c r="P2069" s="1597"/>
      <c r="R2069" s="1598"/>
      <c r="T2069" s="1768"/>
      <c r="V2069" s="1769"/>
      <c r="X2069" s="1768"/>
      <c r="Z2069" s="1769"/>
    </row>
    <row r="2070" spans="6:26" ht="18" customHeight="1">
      <c r="F2070" s="154"/>
      <c r="I2070" s="673"/>
      <c r="J2070" s="209"/>
      <c r="L2070" s="154"/>
      <c r="M2070" s="222"/>
      <c r="P2070" s="1597"/>
      <c r="R2070" s="1598"/>
      <c r="T2070" s="1768"/>
      <c r="V2070" s="1769"/>
      <c r="X2070" s="1768"/>
      <c r="Z2070" s="1769"/>
    </row>
    <row r="2071" spans="6:26" ht="18" customHeight="1">
      <c r="F2071" s="154"/>
      <c r="I2071" s="673"/>
      <c r="J2071" s="209"/>
      <c r="L2071" s="154"/>
      <c r="M2071" s="222"/>
      <c r="P2071" s="1597"/>
      <c r="R2071" s="1598"/>
      <c r="T2071" s="1768"/>
      <c r="V2071" s="1769"/>
      <c r="X2071" s="1768"/>
      <c r="Z2071" s="1769"/>
    </row>
    <row r="2072" spans="6:26" ht="18" customHeight="1">
      <c r="F2072" s="154"/>
      <c r="I2072" s="673"/>
      <c r="J2072" s="209"/>
      <c r="L2072" s="154"/>
      <c r="M2072" s="222"/>
      <c r="P2072" s="1597"/>
      <c r="R2072" s="1598"/>
      <c r="T2072" s="1768"/>
      <c r="V2072" s="1769"/>
      <c r="X2072" s="1768"/>
      <c r="Z2072" s="1769"/>
    </row>
    <row r="2073" spans="6:26" ht="18" customHeight="1">
      <c r="F2073" s="154"/>
      <c r="I2073" s="673"/>
      <c r="J2073" s="209"/>
      <c r="L2073" s="154"/>
      <c r="M2073" s="222"/>
      <c r="P2073" s="1597"/>
      <c r="R2073" s="1598"/>
      <c r="T2073" s="1768"/>
      <c r="V2073" s="1769"/>
      <c r="X2073" s="1768"/>
      <c r="Z2073" s="1769"/>
    </row>
    <row r="2074" spans="6:26" ht="18" customHeight="1">
      <c r="F2074" s="154"/>
      <c r="I2074" s="673"/>
      <c r="J2074" s="209"/>
      <c r="L2074" s="154"/>
      <c r="M2074" s="222"/>
      <c r="P2074" s="1597"/>
      <c r="R2074" s="1598"/>
      <c r="T2074" s="1768"/>
      <c r="V2074" s="1769"/>
      <c r="X2074" s="1768"/>
      <c r="Z2074" s="1769"/>
    </row>
    <row r="2075" spans="6:26" ht="18" customHeight="1">
      <c r="F2075" s="154"/>
      <c r="I2075" s="673"/>
      <c r="J2075" s="209"/>
      <c r="L2075" s="154"/>
      <c r="M2075" s="222"/>
      <c r="P2075" s="1597"/>
      <c r="R2075" s="1598"/>
      <c r="T2075" s="1768"/>
      <c r="V2075" s="1769"/>
      <c r="X2075" s="1768"/>
      <c r="Z2075" s="1769"/>
    </row>
    <row r="2076" spans="6:26" ht="18" customHeight="1">
      <c r="F2076" s="154"/>
      <c r="I2076" s="673"/>
      <c r="J2076" s="209"/>
      <c r="L2076" s="154"/>
      <c r="M2076" s="222"/>
      <c r="P2076" s="1597"/>
      <c r="R2076" s="1598"/>
      <c r="T2076" s="1768"/>
      <c r="V2076" s="1769"/>
      <c r="X2076" s="1768"/>
      <c r="Z2076" s="1769"/>
    </row>
    <row r="2077" spans="6:26" ht="18" customHeight="1">
      <c r="F2077" s="154"/>
      <c r="I2077" s="673"/>
      <c r="J2077" s="209"/>
      <c r="L2077" s="154"/>
      <c r="M2077" s="222"/>
      <c r="P2077" s="1597"/>
      <c r="R2077" s="1598"/>
      <c r="T2077" s="1768"/>
      <c r="V2077" s="1769"/>
      <c r="X2077" s="1768"/>
      <c r="Z2077" s="1769"/>
    </row>
    <row r="2078" spans="6:26" ht="18" customHeight="1">
      <c r="F2078" s="154"/>
      <c r="I2078" s="673"/>
      <c r="J2078" s="209"/>
      <c r="L2078" s="154"/>
      <c r="M2078" s="222"/>
      <c r="P2078" s="1597"/>
      <c r="R2078" s="1598"/>
      <c r="T2078" s="1768"/>
      <c r="V2078" s="1769"/>
      <c r="X2078" s="1768"/>
      <c r="Z2078" s="1769"/>
    </row>
    <row r="2079" spans="6:26" ht="18" customHeight="1">
      <c r="F2079" s="154"/>
      <c r="I2079" s="673"/>
      <c r="J2079" s="209"/>
      <c r="L2079" s="154"/>
      <c r="M2079" s="222"/>
      <c r="P2079" s="1597"/>
      <c r="R2079" s="1598"/>
      <c r="T2079" s="1768"/>
      <c r="V2079" s="1769"/>
      <c r="X2079" s="1768"/>
      <c r="Z2079" s="1769"/>
    </row>
    <row r="2080" spans="6:26" ht="18" customHeight="1">
      <c r="F2080" s="154"/>
      <c r="I2080" s="673"/>
      <c r="J2080" s="209"/>
      <c r="L2080" s="154"/>
      <c r="M2080" s="222"/>
      <c r="P2080" s="1597"/>
      <c r="R2080" s="1598"/>
      <c r="T2080" s="1768"/>
      <c r="V2080" s="1769"/>
      <c r="X2080" s="1768"/>
      <c r="Z2080" s="1769"/>
    </row>
    <row r="2081" spans="6:26" ht="18" customHeight="1">
      <c r="F2081" s="154"/>
      <c r="I2081" s="673"/>
      <c r="J2081" s="209"/>
      <c r="L2081" s="154"/>
      <c r="M2081" s="222"/>
      <c r="P2081" s="1597"/>
      <c r="R2081" s="1598"/>
      <c r="T2081" s="1768"/>
      <c r="V2081" s="1769"/>
      <c r="X2081" s="1768"/>
      <c r="Z2081" s="1769"/>
    </row>
    <row r="2082" spans="6:26" ht="18" customHeight="1">
      <c r="F2082" s="154"/>
      <c r="I2082" s="673"/>
      <c r="J2082" s="209"/>
      <c r="L2082" s="154"/>
      <c r="M2082" s="222"/>
      <c r="P2082" s="1597"/>
      <c r="R2082" s="1598"/>
      <c r="T2082" s="1768"/>
      <c r="V2082" s="1769"/>
      <c r="X2082" s="1768"/>
      <c r="Z2082" s="1769"/>
    </row>
    <row r="2083" spans="6:26" ht="18" customHeight="1">
      <c r="F2083" s="154"/>
      <c r="I2083" s="673"/>
      <c r="J2083" s="209"/>
      <c r="L2083" s="154"/>
      <c r="M2083" s="222"/>
      <c r="P2083" s="1597"/>
      <c r="R2083" s="1598"/>
      <c r="T2083" s="1768"/>
      <c r="V2083" s="1769"/>
      <c r="X2083" s="1768"/>
      <c r="Z2083" s="1769"/>
    </row>
    <row r="2084" spans="6:26" ht="18" customHeight="1">
      <c r="F2084" s="154"/>
      <c r="I2084" s="673"/>
      <c r="J2084" s="209"/>
      <c r="L2084" s="154"/>
      <c r="M2084" s="222"/>
      <c r="P2084" s="1597"/>
      <c r="R2084" s="1598"/>
      <c r="T2084" s="1768"/>
      <c r="V2084" s="1769"/>
      <c r="X2084" s="1768"/>
      <c r="Z2084" s="1769"/>
    </row>
    <row r="2085" spans="6:26" ht="18" customHeight="1">
      <c r="F2085" s="154"/>
      <c r="I2085" s="673"/>
      <c r="J2085" s="209"/>
      <c r="L2085" s="154"/>
      <c r="M2085" s="222"/>
      <c r="P2085" s="1597"/>
      <c r="R2085" s="1598"/>
      <c r="T2085" s="1768"/>
      <c r="V2085" s="1769"/>
      <c r="X2085" s="1768"/>
      <c r="Z2085" s="1769"/>
    </row>
    <row r="2086" spans="6:26" ht="18" customHeight="1">
      <c r="F2086" s="154"/>
      <c r="I2086" s="673"/>
      <c r="J2086" s="209"/>
      <c r="L2086" s="154"/>
      <c r="M2086" s="222"/>
      <c r="P2086" s="1597"/>
      <c r="R2086" s="1598"/>
      <c r="T2086" s="1768"/>
      <c r="V2086" s="1769"/>
      <c r="X2086" s="1768"/>
      <c r="Z2086" s="1769"/>
    </row>
    <row r="2087" spans="6:26" ht="18" customHeight="1">
      <c r="F2087" s="154"/>
      <c r="I2087" s="673"/>
      <c r="J2087" s="209"/>
      <c r="L2087" s="154"/>
      <c r="M2087" s="222"/>
      <c r="P2087" s="1597"/>
      <c r="R2087" s="1598"/>
      <c r="T2087" s="1768"/>
      <c r="V2087" s="1769"/>
      <c r="X2087" s="1768"/>
      <c r="Z2087" s="1769"/>
    </row>
    <row r="2088" spans="6:26" ht="18" customHeight="1">
      <c r="F2088" s="154"/>
      <c r="I2088" s="673"/>
      <c r="J2088" s="209"/>
      <c r="L2088" s="154"/>
      <c r="M2088" s="222"/>
      <c r="P2088" s="1597"/>
      <c r="R2088" s="1598"/>
      <c r="T2088" s="1768"/>
      <c r="V2088" s="1769"/>
      <c r="X2088" s="1768"/>
      <c r="Z2088" s="1769"/>
    </row>
    <row r="2089" spans="6:26" ht="18" customHeight="1">
      <c r="F2089" s="154"/>
      <c r="I2089" s="673"/>
      <c r="J2089" s="209"/>
      <c r="L2089" s="154"/>
      <c r="M2089" s="222"/>
      <c r="P2089" s="1597"/>
      <c r="R2089" s="1598"/>
      <c r="T2089" s="1768"/>
      <c r="V2089" s="1769"/>
      <c r="X2089" s="1768"/>
      <c r="Z2089" s="1769"/>
    </row>
    <row r="2090" spans="6:26" ht="18" customHeight="1">
      <c r="F2090" s="154"/>
      <c r="I2090" s="673"/>
      <c r="J2090" s="209"/>
      <c r="L2090" s="154"/>
      <c r="M2090" s="222"/>
      <c r="P2090" s="1597"/>
      <c r="R2090" s="1598"/>
      <c r="T2090" s="1768"/>
      <c r="V2090" s="1769"/>
      <c r="X2090" s="1768"/>
      <c r="Z2090" s="1769"/>
    </row>
    <row r="2091" spans="6:26" ht="18" customHeight="1">
      <c r="F2091" s="154"/>
      <c r="I2091" s="673"/>
      <c r="J2091" s="209"/>
      <c r="L2091" s="154"/>
      <c r="M2091" s="222"/>
      <c r="P2091" s="1597"/>
      <c r="R2091" s="1598"/>
      <c r="T2091" s="1768"/>
      <c r="V2091" s="1769"/>
      <c r="X2091" s="1768"/>
      <c r="Z2091" s="1769"/>
    </row>
    <row r="2092" spans="6:26" ht="18" customHeight="1">
      <c r="F2092" s="154"/>
      <c r="I2092" s="673"/>
      <c r="J2092" s="209"/>
      <c r="L2092" s="154"/>
      <c r="M2092" s="222"/>
      <c r="P2092" s="1597"/>
      <c r="R2092" s="1598"/>
      <c r="T2092" s="1768"/>
      <c r="V2092" s="1769"/>
      <c r="X2092" s="1768"/>
      <c r="Z2092" s="1769"/>
    </row>
    <row r="2093" spans="6:26" ht="18" customHeight="1">
      <c r="F2093" s="154"/>
      <c r="I2093" s="673"/>
      <c r="J2093" s="209"/>
      <c r="L2093" s="154"/>
      <c r="M2093" s="222"/>
      <c r="P2093" s="1597"/>
      <c r="R2093" s="1598"/>
      <c r="T2093" s="1768"/>
      <c r="V2093" s="1769"/>
      <c r="X2093" s="1768"/>
      <c r="Z2093" s="1769"/>
    </row>
    <row r="2094" spans="6:26" ht="18" customHeight="1">
      <c r="F2094" s="154"/>
      <c r="I2094" s="673"/>
      <c r="J2094" s="209"/>
      <c r="L2094" s="154"/>
      <c r="M2094" s="222"/>
      <c r="P2094" s="1597"/>
      <c r="R2094" s="1598"/>
      <c r="T2094" s="1768"/>
      <c r="V2094" s="1769"/>
      <c r="X2094" s="1768"/>
      <c r="Z2094" s="1769"/>
    </row>
    <row r="2095" spans="6:26" ht="18" customHeight="1">
      <c r="F2095" s="154"/>
      <c r="I2095" s="673"/>
      <c r="J2095" s="209"/>
      <c r="L2095" s="154"/>
      <c r="M2095" s="222"/>
      <c r="P2095" s="1597"/>
      <c r="R2095" s="1598"/>
      <c r="T2095" s="1768"/>
      <c r="V2095" s="1769"/>
      <c r="X2095" s="1768"/>
      <c r="Z2095" s="1769"/>
    </row>
    <row r="2096" spans="6:26" ht="18" customHeight="1">
      <c r="F2096" s="154"/>
      <c r="I2096" s="673"/>
      <c r="J2096" s="209"/>
      <c r="L2096" s="154"/>
      <c r="M2096" s="222"/>
      <c r="P2096" s="1597"/>
      <c r="R2096" s="1598"/>
      <c r="T2096" s="1768"/>
      <c r="V2096" s="1769"/>
      <c r="X2096" s="1768"/>
      <c r="Z2096" s="1769"/>
    </row>
    <row r="2097" spans="6:26" ht="18" customHeight="1">
      <c r="F2097" s="154"/>
      <c r="I2097" s="673"/>
      <c r="J2097" s="209"/>
      <c r="L2097" s="154"/>
      <c r="M2097" s="222"/>
      <c r="P2097" s="1597"/>
      <c r="R2097" s="1598"/>
      <c r="T2097" s="1768"/>
      <c r="V2097" s="1769"/>
      <c r="X2097" s="1768"/>
      <c r="Z2097" s="1769"/>
    </row>
    <row r="2098" spans="6:26" ht="18" customHeight="1">
      <c r="F2098" s="154"/>
      <c r="I2098" s="673"/>
      <c r="J2098" s="209"/>
      <c r="L2098" s="154"/>
      <c r="M2098" s="222"/>
      <c r="P2098" s="1597"/>
      <c r="R2098" s="1598"/>
      <c r="T2098" s="1768"/>
      <c r="V2098" s="1769"/>
      <c r="X2098" s="1768"/>
      <c r="Z2098" s="1769"/>
    </row>
    <row r="2099" spans="6:26" ht="18" customHeight="1">
      <c r="F2099" s="154"/>
      <c r="I2099" s="673"/>
      <c r="J2099" s="209"/>
      <c r="L2099" s="154"/>
      <c r="M2099" s="222"/>
      <c r="P2099" s="1597"/>
      <c r="R2099" s="1598"/>
      <c r="T2099" s="1768"/>
      <c r="V2099" s="1769"/>
      <c r="X2099" s="1768"/>
      <c r="Z2099" s="1769"/>
    </row>
    <row r="2100" spans="6:26" ht="18" customHeight="1">
      <c r="F2100" s="154"/>
      <c r="I2100" s="673"/>
      <c r="J2100" s="209"/>
      <c r="L2100" s="154"/>
      <c r="M2100" s="222"/>
      <c r="P2100" s="1597"/>
      <c r="R2100" s="1598"/>
      <c r="T2100" s="1768"/>
      <c r="V2100" s="1769"/>
      <c r="X2100" s="1768"/>
      <c r="Z2100" s="1769"/>
    </row>
    <row r="2101" spans="6:26" ht="18" customHeight="1">
      <c r="F2101" s="154"/>
      <c r="I2101" s="673"/>
      <c r="J2101" s="209"/>
      <c r="L2101" s="154"/>
      <c r="M2101" s="222"/>
      <c r="P2101" s="1597"/>
      <c r="R2101" s="1598"/>
      <c r="T2101" s="1768"/>
      <c r="V2101" s="1769"/>
      <c r="X2101" s="1768"/>
      <c r="Z2101" s="1769"/>
    </row>
    <row r="2102" spans="6:26" ht="18" customHeight="1">
      <c r="F2102" s="154"/>
      <c r="I2102" s="673"/>
      <c r="J2102" s="209"/>
      <c r="L2102" s="154"/>
      <c r="M2102" s="222"/>
      <c r="P2102" s="1597"/>
      <c r="R2102" s="1598"/>
      <c r="T2102" s="1768"/>
      <c r="V2102" s="1769"/>
      <c r="X2102" s="1768"/>
      <c r="Z2102" s="1769"/>
    </row>
    <row r="2103" spans="6:26" ht="18" customHeight="1">
      <c r="F2103" s="154"/>
      <c r="I2103" s="673"/>
      <c r="J2103" s="209"/>
      <c r="L2103" s="154"/>
      <c r="M2103" s="222"/>
      <c r="P2103" s="1597"/>
      <c r="R2103" s="1598"/>
      <c r="T2103" s="1768"/>
      <c r="V2103" s="1769"/>
      <c r="X2103" s="1768"/>
      <c r="Z2103" s="1769"/>
    </row>
    <row r="2104" spans="6:26" ht="18" customHeight="1">
      <c r="F2104" s="154"/>
      <c r="I2104" s="673"/>
      <c r="J2104" s="209"/>
      <c r="L2104" s="154"/>
      <c r="M2104" s="222"/>
      <c r="P2104" s="1597"/>
      <c r="R2104" s="1598"/>
      <c r="T2104" s="1768"/>
      <c r="V2104" s="1769"/>
      <c r="X2104" s="1768"/>
      <c r="Z2104" s="1769"/>
    </row>
    <row r="2105" spans="6:26" ht="18" customHeight="1">
      <c r="F2105" s="154"/>
      <c r="I2105" s="673"/>
      <c r="J2105" s="209"/>
      <c r="L2105" s="154"/>
      <c r="M2105" s="222"/>
      <c r="P2105" s="1597"/>
      <c r="R2105" s="1598"/>
      <c r="T2105" s="1768"/>
      <c r="V2105" s="1769"/>
      <c r="X2105" s="1768"/>
      <c r="Z2105" s="1769"/>
    </row>
    <row r="2106" spans="6:26" ht="18" customHeight="1">
      <c r="F2106" s="154"/>
      <c r="I2106" s="673"/>
      <c r="J2106" s="209"/>
      <c r="L2106" s="154"/>
      <c r="M2106" s="222"/>
      <c r="P2106" s="1597"/>
      <c r="R2106" s="1598"/>
      <c r="T2106" s="1768"/>
      <c r="V2106" s="1769"/>
      <c r="X2106" s="1768"/>
      <c r="Z2106" s="1769"/>
    </row>
    <row r="2107" spans="6:26" ht="18" customHeight="1">
      <c r="F2107" s="154"/>
      <c r="I2107" s="673"/>
      <c r="J2107" s="209"/>
      <c r="L2107" s="154"/>
      <c r="M2107" s="222"/>
      <c r="P2107" s="1597"/>
      <c r="R2107" s="1598"/>
      <c r="T2107" s="1768"/>
      <c r="V2107" s="1769"/>
      <c r="X2107" s="1768"/>
      <c r="Z2107" s="1769"/>
    </row>
    <row r="2108" spans="6:26" ht="18" customHeight="1">
      <c r="F2108" s="154"/>
      <c r="I2108" s="673"/>
      <c r="J2108" s="209"/>
      <c r="L2108" s="154"/>
      <c r="M2108" s="222"/>
      <c r="P2108" s="1597"/>
      <c r="R2108" s="1598"/>
      <c r="T2108" s="1768"/>
      <c r="V2108" s="1769"/>
      <c r="X2108" s="1768"/>
      <c r="Z2108" s="1769"/>
    </row>
    <row r="2109" spans="6:26" ht="18" customHeight="1">
      <c r="F2109" s="154"/>
      <c r="I2109" s="673"/>
      <c r="J2109" s="209"/>
      <c r="L2109" s="154"/>
      <c r="M2109" s="222"/>
      <c r="P2109" s="1597"/>
      <c r="R2109" s="1598"/>
      <c r="T2109" s="1768"/>
      <c r="V2109" s="1769"/>
      <c r="X2109" s="1768"/>
      <c r="Z2109" s="1769"/>
    </row>
    <row r="2110" spans="6:26" ht="18" customHeight="1">
      <c r="F2110" s="154"/>
      <c r="I2110" s="673"/>
      <c r="J2110" s="209"/>
      <c r="L2110" s="154"/>
      <c r="M2110" s="222"/>
      <c r="P2110" s="1597"/>
      <c r="R2110" s="1598"/>
      <c r="T2110" s="1768"/>
      <c r="V2110" s="1769"/>
      <c r="X2110" s="1768"/>
      <c r="Z2110" s="1769"/>
    </row>
    <row r="2111" spans="6:26" ht="18" customHeight="1">
      <c r="F2111" s="154"/>
      <c r="I2111" s="673"/>
      <c r="J2111" s="209"/>
      <c r="L2111" s="154"/>
      <c r="M2111" s="222"/>
      <c r="P2111" s="1597"/>
      <c r="R2111" s="1598"/>
      <c r="T2111" s="1768"/>
      <c r="V2111" s="1769"/>
      <c r="X2111" s="1768"/>
      <c r="Z2111" s="1769"/>
    </row>
    <row r="2112" spans="6:26" ht="18" customHeight="1">
      <c r="F2112" s="154"/>
      <c r="I2112" s="673"/>
      <c r="J2112" s="209"/>
      <c r="L2112" s="154"/>
      <c r="M2112" s="222"/>
      <c r="P2112" s="1597"/>
      <c r="R2112" s="1598"/>
      <c r="T2112" s="1768"/>
      <c r="V2112" s="1769"/>
      <c r="X2112" s="1768"/>
      <c r="Z2112" s="1769"/>
    </row>
    <row r="2113" spans="6:26" ht="18" customHeight="1">
      <c r="F2113" s="154"/>
      <c r="I2113" s="673"/>
      <c r="J2113" s="209"/>
      <c r="L2113" s="154"/>
      <c r="M2113" s="222"/>
      <c r="P2113" s="1597"/>
      <c r="R2113" s="1598"/>
      <c r="T2113" s="1768"/>
      <c r="V2113" s="1769"/>
      <c r="X2113" s="1768"/>
      <c r="Z2113" s="1769"/>
    </row>
    <row r="2114" spans="6:26" ht="18" customHeight="1">
      <c r="F2114" s="154"/>
      <c r="I2114" s="673"/>
      <c r="J2114" s="209"/>
      <c r="L2114" s="154"/>
      <c r="M2114" s="222"/>
      <c r="P2114" s="1597"/>
      <c r="R2114" s="1598"/>
      <c r="T2114" s="1768"/>
      <c r="V2114" s="1769"/>
      <c r="X2114" s="1768"/>
      <c r="Z2114" s="1769"/>
    </row>
    <row r="2115" spans="6:26" ht="18" customHeight="1">
      <c r="F2115" s="154"/>
      <c r="I2115" s="673"/>
      <c r="J2115" s="209"/>
      <c r="L2115" s="154"/>
      <c r="M2115" s="222"/>
      <c r="P2115" s="1597"/>
      <c r="R2115" s="1598"/>
      <c r="T2115" s="1768"/>
      <c r="V2115" s="1769"/>
      <c r="X2115" s="1768"/>
      <c r="Z2115" s="1769"/>
    </row>
    <row r="2116" spans="6:26" ht="18" customHeight="1">
      <c r="F2116" s="154"/>
      <c r="I2116" s="673"/>
      <c r="J2116" s="209"/>
      <c r="L2116" s="154"/>
      <c r="M2116" s="222"/>
      <c r="P2116" s="1597"/>
      <c r="R2116" s="1598"/>
      <c r="T2116" s="1768"/>
      <c r="V2116" s="1769"/>
      <c r="X2116" s="1768"/>
      <c r="Z2116" s="1769"/>
    </row>
    <row r="2117" spans="6:26" ht="18" customHeight="1">
      <c r="F2117" s="154"/>
      <c r="I2117" s="673"/>
      <c r="J2117" s="209"/>
      <c r="L2117" s="154"/>
      <c r="M2117" s="222"/>
      <c r="P2117" s="1597"/>
      <c r="R2117" s="1598"/>
      <c r="T2117" s="1768"/>
      <c r="V2117" s="1769"/>
      <c r="X2117" s="1768"/>
      <c r="Z2117" s="1769"/>
    </row>
    <row r="2118" spans="6:26" ht="18" customHeight="1">
      <c r="F2118" s="154"/>
      <c r="I2118" s="673"/>
      <c r="J2118" s="209"/>
      <c r="L2118" s="154"/>
      <c r="M2118" s="222"/>
      <c r="P2118" s="1597"/>
      <c r="R2118" s="1598"/>
      <c r="T2118" s="1768"/>
      <c r="V2118" s="1769"/>
      <c r="X2118" s="1768"/>
      <c r="Z2118" s="1769"/>
    </row>
    <row r="2119" spans="6:26" ht="18" customHeight="1">
      <c r="F2119" s="154"/>
      <c r="I2119" s="673"/>
      <c r="J2119" s="209"/>
      <c r="L2119" s="154"/>
      <c r="M2119" s="222"/>
      <c r="P2119" s="1597"/>
      <c r="R2119" s="1598"/>
      <c r="T2119" s="1768"/>
      <c r="V2119" s="1769"/>
      <c r="X2119" s="1768"/>
      <c r="Z2119" s="1769"/>
    </row>
    <row r="2120" spans="6:26" ht="18" customHeight="1">
      <c r="F2120" s="154"/>
      <c r="I2120" s="673"/>
      <c r="J2120" s="209"/>
      <c r="L2120" s="154"/>
      <c r="M2120" s="222"/>
      <c r="P2120" s="1597"/>
      <c r="R2120" s="1598"/>
      <c r="T2120" s="1768"/>
      <c r="V2120" s="1769"/>
      <c r="X2120" s="1768"/>
      <c r="Z2120" s="1769"/>
    </row>
    <row r="2121" spans="6:26" ht="18" customHeight="1">
      <c r="F2121" s="154"/>
      <c r="I2121" s="673"/>
      <c r="J2121" s="209"/>
      <c r="L2121" s="154"/>
      <c r="M2121" s="222"/>
      <c r="P2121" s="1597"/>
      <c r="R2121" s="1598"/>
      <c r="T2121" s="1768"/>
      <c r="V2121" s="1769"/>
      <c r="X2121" s="1768"/>
      <c r="Z2121" s="1769"/>
    </row>
    <row r="2122" spans="6:26" ht="18" customHeight="1">
      <c r="F2122" s="154"/>
      <c r="I2122" s="673"/>
      <c r="J2122" s="209"/>
      <c r="L2122" s="154"/>
      <c r="M2122" s="222"/>
      <c r="P2122" s="1597"/>
      <c r="R2122" s="1598"/>
      <c r="T2122" s="1768"/>
      <c r="V2122" s="1769"/>
      <c r="X2122" s="1768"/>
      <c r="Z2122" s="1769"/>
    </row>
    <row r="2123" spans="6:26" ht="18" customHeight="1">
      <c r="F2123" s="154"/>
      <c r="I2123" s="673"/>
      <c r="J2123" s="209"/>
      <c r="L2123" s="154"/>
      <c r="M2123" s="222"/>
      <c r="P2123" s="1597"/>
      <c r="R2123" s="1598"/>
      <c r="T2123" s="1768"/>
      <c r="V2123" s="1769"/>
      <c r="X2123" s="1768"/>
      <c r="Z2123" s="1769"/>
    </row>
    <row r="2124" spans="6:26" ht="18" customHeight="1">
      <c r="F2124" s="154"/>
      <c r="I2124" s="673"/>
      <c r="J2124" s="209"/>
      <c r="L2124" s="154"/>
      <c r="M2124" s="222"/>
      <c r="P2124" s="1597"/>
      <c r="R2124" s="1598"/>
      <c r="T2124" s="1768"/>
      <c r="V2124" s="1769"/>
      <c r="X2124" s="1768"/>
      <c r="Z2124" s="1769"/>
    </row>
    <row r="2125" spans="6:26" ht="18" customHeight="1">
      <c r="F2125" s="154"/>
      <c r="I2125" s="673"/>
      <c r="J2125" s="209"/>
      <c r="L2125" s="154"/>
      <c r="M2125" s="222"/>
      <c r="P2125" s="1597"/>
      <c r="R2125" s="1598"/>
      <c r="T2125" s="1768"/>
      <c r="V2125" s="1769"/>
      <c r="X2125" s="1768"/>
      <c r="Z2125" s="1769"/>
    </row>
    <row r="2126" spans="6:26" ht="18" customHeight="1">
      <c r="F2126" s="154"/>
      <c r="I2126" s="673"/>
      <c r="J2126" s="209"/>
      <c r="L2126" s="154"/>
      <c r="M2126" s="222"/>
      <c r="P2126" s="1597"/>
      <c r="R2126" s="1598"/>
      <c r="T2126" s="1768"/>
      <c r="V2126" s="1769"/>
      <c r="X2126" s="1768"/>
      <c r="Z2126" s="1769"/>
    </row>
    <row r="2127" spans="6:26" ht="18" customHeight="1">
      <c r="F2127" s="154"/>
      <c r="I2127" s="673"/>
      <c r="J2127" s="209"/>
      <c r="L2127" s="154"/>
      <c r="M2127" s="222"/>
      <c r="P2127" s="1597"/>
      <c r="R2127" s="1598"/>
      <c r="T2127" s="1768"/>
      <c r="V2127" s="1769"/>
      <c r="X2127" s="1768"/>
      <c r="Z2127" s="1769"/>
    </row>
    <row r="2128" spans="6:26" ht="18" customHeight="1">
      <c r="F2128" s="154"/>
      <c r="I2128" s="673"/>
      <c r="J2128" s="209"/>
      <c r="L2128" s="154"/>
      <c r="M2128" s="222"/>
      <c r="P2128" s="1597"/>
      <c r="R2128" s="1598"/>
      <c r="T2128" s="1768"/>
      <c r="V2128" s="1769"/>
      <c r="X2128" s="1768"/>
      <c r="Z2128" s="1769"/>
    </row>
    <row r="2129" spans="6:26" ht="18" customHeight="1">
      <c r="F2129" s="154"/>
      <c r="I2129" s="673"/>
      <c r="J2129" s="209"/>
      <c r="L2129" s="154"/>
      <c r="M2129" s="222"/>
      <c r="P2129" s="1597"/>
      <c r="R2129" s="1598"/>
      <c r="T2129" s="1768"/>
      <c r="V2129" s="1769"/>
      <c r="X2129" s="1768"/>
      <c r="Z2129" s="1769"/>
    </row>
    <row r="2130" spans="6:26" ht="18" customHeight="1">
      <c r="F2130" s="154"/>
      <c r="I2130" s="673"/>
      <c r="J2130" s="209"/>
      <c r="L2130" s="154"/>
      <c r="M2130" s="222"/>
      <c r="P2130" s="1597"/>
      <c r="R2130" s="1598"/>
      <c r="T2130" s="1768"/>
      <c r="V2130" s="1769"/>
      <c r="X2130" s="1768"/>
      <c r="Z2130" s="1769"/>
    </row>
    <row r="2131" spans="6:26" ht="18" customHeight="1">
      <c r="F2131" s="154"/>
      <c r="I2131" s="673"/>
      <c r="J2131" s="209"/>
      <c r="L2131" s="154"/>
      <c r="M2131" s="222"/>
      <c r="P2131" s="1597"/>
      <c r="R2131" s="1598"/>
      <c r="T2131" s="1768"/>
      <c r="V2131" s="1769"/>
      <c r="X2131" s="1768"/>
      <c r="Z2131" s="1769"/>
    </row>
    <row r="2132" spans="6:26" ht="18" customHeight="1">
      <c r="F2132" s="154"/>
      <c r="I2132" s="673"/>
      <c r="J2132" s="209"/>
      <c r="L2132" s="154"/>
      <c r="M2132" s="222"/>
      <c r="P2132" s="1597"/>
      <c r="R2132" s="1598"/>
      <c r="T2132" s="1768"/>
      <c r="V2132" s="1769"/>
      <c r="X2132" s="1768"/>
      <c r="Z2132" s="1769"/>
    </row>
    <row r="2133" spans="6:26" ht="18" customHeight="1">
      <c r="F2133" s="154"/>
      <c r="I2133" s="673"/>
      <c r="J2133" s="209"/>
      <c r="L2133" s="154"/>
      <c r="M2133" s="222"/>
      <c r="P2133" s="1597"/>
      <c r="R2133" s="1598"/>
      <c r="T2133" s="1768"/>
      <c r="V2133" s="1769"/>
      <c r="X2133" s="1768"/>
      <c r="Z2133" s="1769"/>
    </row>
    <row r="2134" spans="6:26" ht="18" customHeight="1">
      <c r="F2134" s="154"/>
      <c r="I2134" s="673"/>
      <c r="J2134" s="209"/>
      <c r="L2134" s="154"/>
      <c r="M2134" s="222"/>
      <c r="P2134" s="1597"/>
      <c r="R2134" s="1598"/>
      <c r="T2134" s="1768"/>
      <c r="V2134" s="1769"/>
      <c r="X2134" s="1768"/>
      <c r="Z2134" s="1769"/>
    </row>
    <row r="2135" spans="6:26" ht="18" customHeight="1">
      <c r="F2135" s="154"/>
      <c r="I2135" s="673"/>
      <c r="J2135" s="209"/>
      <c r="L2135" s="154"/>
      <c r="M2135" s="222"/>
      <c r="P2135" s="1597"/>
      <c r="R2135" s="1598"/>
      <c r="T2135" s="1768"/>
      <c r="V2135" s="1769"/>
      <c r="X2135" s="1768"/>
      <c r="Z2135" s="1769"/>
    </row>
    <row r="2136" spans="6:26" ht="18" customHeight="1">
      <c r="F2136" s="154"/>
      <c r="I2136" s="673"/>
      <c r="J2136" s="209"/>
      <c r="L2136" s="154"/>
      <c r="M2136" s="222"/>
      <c r="P2136" s="1597"/>
      <c r="R2136" s="1598"/>
      <c r="T2136" s="1768"/>
      <c r="V2136" s="1769"/>
      <c r="X2136" s="1768"/>
      <c r="Z2136" s="1769"/>
    </row>
    <row r="2137" spans="6:26" ht="18" customHeight="1">
      <c r="F2137" s="154"/>
      <c r="I2137" s="673"/>
      <c r="J2137" s="209"/>
      <c r="L2137" s="154"/>
      <c r="M2137" s="222"/>
      <c r="P2137" s="1597"/>
      <c r="R2137" s="1598"/>
      <c r="T2137" s="1768"/>
      <c r="V2137" s="1769"/>
      <c r="X2137" s="1768"/>
      <c r="Z2137" s="1769"/>
    </row>
    <row r="2138" spans="6:26" ht="18" customHeight="1">
      <c r="F2138" s="154"/>
      <c r="I2138" s="673"/>
      <c r="J2138" s="209"/>
      <c r="L2138" s="154"/>
      <c r="M2138" s="222"/>
      <c r="P2138" s="1597"/>
      <c r="R2138" s="1598"/>
      <c r="T2138" s="1768"/>
      <c r="V2138" s="1769"/>
      <c r="X2138" s="1768"/>
      <c r="Z2138" s="1769"/>
    </row>
    <row r="2139" spans="6:26" ht="18" customHeight="1">
      <c r="F2139" s="154"/>
      <c r="I2139" s="673"/>
      <c r="J2139" s="209"/>
      <c r="L2139" s="154"/>
      <c r="M2139" s="222"/>
      <c r="P2139" s="1597"/>
      <c r="R2139" s="1598"/>
      <c r="T2139" s="1768"/>
      <c r="V2139" s="1769"/>
      <c r="X2139" s="1768"/>
      <c r="Z2139" s="1769"/>
    </row>
    <row r="2140" spans="6:26" ht="18" customHeight="1">
      <c r="F2140" s="154"/>
      <c r="I2140" s="673"/>
      <c r="J2140" s="209"/>
      <c r="L2140" s="154"/>
      <c r="M2140" s="222"/>
      <c r="P2140" s="1597"/>
      <c r="R2140" s="1598"/>
      <c r="T2140" s="1768"/>
      <c r="V2140" s="1769"/>
      <c r="X2140" s="1768"/>
      <c r="Z2140" s="1769"/>
    </row>
    <row r="2141" spans="6:26" ht="18" customHeight="1">
      <c r="F2141" s="154"/>
      <c r="I2141" s="673"/>
      <c r="J2141" s="209"/>
      <c r="L2141" s="154"/>
      <c r="M2141" s="222"/>
      <c r="P2141" s="1597"/>
      <c r="R2141" s="1598"/>
      <c r="T2141" s="1768"/>
      <c r="V2141" s="1769"/>
      <c r="X2141" s="1768"/>
      <c r="Z2141" s="1769"/>
    </row>
    <row r="2142" spans="6:26" ht="18" customHeight="1">
      <c r="F2142" s="154"/>
      <c r="I2142" s="673"/>
      <c r="J2142" s="209"/>
      <c r="L2142" s="154"/>
      <c r="M2142" s="222"/>
      <c r="P2142" s="1597"/>
      <c r="R2142" s="1598"/>
      <c r="T2142" s="1768"/>
      <c r="V2142" s="1769"/>
      <c r="X2142" s="1768"/>
      <c r="Z2142" s="1769"/>
    </row>
    <row r="2143" spans="6:26" ht="18" customHeight="1">
      <c r="F2143" s="154"/>
      <c r="I2143" s="673"/>
      <c r="J2143" s="209"/>
      <c r="L2143" s="154"/>
      <c r="M2143" s="222"/>
      <c r="P2143" s="1597"/>
      <c r="R2143" s="1598"/>
      <c r="T2143" s="1768"/>
      <c r="V2143" s="1769"/>
      <c r="X2143" s="1768"/>
      <c r="Z2143" s="1769"/>
    </row>
    <row r="2144" spans="6:26" ht="18" customHeight="1">
      <c r="F2144" s="154"/>
      <c r="I2144" s="673"/>
      <c r="J2144" s="209"/>
      <c r="L2144" s="154"/>
      <c r="M2144" s="222"/>
      <c r="P2144" s="1597"/>
      <c r="R2144" s="1598"/>
      <c r="T2144" s="1768"/>
      <c r="V2144" s="1769"/>
      <c r="X2144" s="1768"/>
      <c r="Z2144" s="1769"/>
    </row>
    <row r="2145" spans="6:26" ht="18" customHeight="1">
      <c r="F2145" s="154"/>
      <c r="I2145" s="673"/>
      <c r="J2145" s="209"/>
      <c r="L2145" s="154"/>
      <c r="M2145" s="222"/>
      <c r="P2145" s="1597"/>
      <c r="R2145" s="1598"/>
      <c r="T2145" s="1768"/>
      <c r="V2145" s="1769"/>
      <c r="X2145" s="1768"/>
      <c r="Z2145" s="1769"/>
    </row>
    <row r="2146" spans="6:26" ht="18" customHeight="1">
      <c r="F2146" s="154"/>
      <c r="I2146" s="673"/>
      <c r="J2146" s="209"/>
      <c r="L2146" s="154"/>
      <c r="M2146" s="222"/>
      <c r="P2146" s="1597"/>
      <c r="R2146" s="1598"/>
      <c r="T2146" s="1768"/>
      <c r="V2146" s="1769"/>
      <c r="X2146" s="1768"/>
      <c r="Z2146" s="1769"/>
    </row>
    <row r="2147" spans="6:26" ht="18" customHeight="1">
      <c r="F2147" s="154"/>
      <c r="I2147" s="673"/>
      <c r="J2147" s="209"/>
      <c r="L2147" s="154"/>
      <c r="M2147" s="222"/>
      <c r="P2147" s="1597"/>
      <c r="R2147" s="1598"/>
      <c r="T2147" s="1768"/>
      <c r="V2147" s="1769"/>
      <c r="X2147" s="1768"/>
      <c r="Z2147" s="1769"/>
    </row>
    <row r="2148" spans="6:26" ht="18" customHeight="1">
      <c r="F2148" s="154"/>
      <c r="I2148" s="673"/>
      <c r="J2148" s="209"/>
      <c r="L2148" s="154"/>
      <c r="M2148" s="222"/>
      <c r="P2148" s="1597"/>
      <c r="R2148" s="1598"/>
      <c r="T2148" s="1768"/>
      <c r="V2148" s="1769"/>
      <c r="X2148" s="1768"/>
      <c r="Z2148" s="1769"/>
    </row>
    <row r="2149" spans="6:26" ht="18" customHeight="1">
      <c r="F2149" s="154"/>
      <c r="I2149" s="673"/>
      <c r="J2149" s="209"/>
      <c r="L2149" s="154"/>
      <c r="M2149" s="222"/>
      <c r="P2149" s="1597"/>
      <c r="R2149" s="1598"/>
      <c r="T2149" s="1768"/>
      <c r="V2149" s="1769"/>
      <c r="X2149" s="1768"/>
      <c r="Z2149" s="1769"/>
    </row>
    <row r="2150" spans="6:26" ht="18" customHeight="1">
      <c r="F2150" s="154"/>
      <c r="I2150" s="673"/>
      <c r="J2150" s="209"/>
      <c r="L2150" s="154"/>
      <c r="M2150" s="222"/>
      <c r="P2150" s="1597"/>
      <c r="R2150" s="1598"/>
      <c r="T2150" s="1768"/>
      <c r="V2150" s="1769"/>
      <c r="X2150" s="1768"/>
      <c r="Z2150" s="1769"/>
    </row>
    <row r="2151" spans="6:26" ht="18" customHeight="1">
      <c r="F2151" s="154"/>
      <c r="I2151" s="673"/>
      <c r="J2151" s="209"/>
      <c r="L2151" s="154"/>
      <c r="M2151" s="222"/>
      <c r="P2151" s="1597"/>
      <c r="R2151" s="1598"/>
      <c r="T2151" s="1768"/>
      <c r="V2151" s="1769"/>
      <c r="X2151" s="1768"/>
      <c r="Z2151" s="1769"/>
    </row>
    <row r="2152" spans="6:26" ht="18" customHeight="1">
      <c r="F2152" s="154"/>
      <c r="I2152" s="673"/>
      <c r="J2152" s="209"/>
      <c r="L2152" s="154"/>
      <c r="M2152" s="222"/>
      <c r="P2152" s="1597"/>
      <c r="R2152" s="1598"/>
      <c r="T2152" s="1768"/>
      <c r="V2152" s="1769"/>
      <c r="X2152" s="1768"/>
      <c r="Z2152" s="1769"/>
    </row>
    <row r="2153" spans="6:26" ht="18" customHeight="1">
      <c r="F2153" s="154"/>
      <c r="I2153" s="673"/>
      <c r="J2153" s="209"/>
      <c r="L2153" s="154"/>
      <c r="M2153" s="222"/>
      <c r="P2153" s="1597"/>
      <c r="R2153" s="1598"/>
      <c r="T2153" s="1768"/>
      <c r="V2153" s="1769"/>
      <c r="X2153" s="1768"/>
      <c r="Z2153" s="1769"/>
    </row>
    <row r="2154" spans="6:26" ht="18" customHeight="1">
      <c r="F2154" s="154"/>
      <c r="I2154" s="673"/>
      <c r="J2154" s="209"/>
      <c r="L2154" s="154"/>
      <c r="M2154" s="222"/>
      <c r="P2154" s="1597"/>
      <c r="R2154" s="1598"/>
      <c r="T2154" s="1768"/>
      <c r="V2154" s="1769"/>
      <c r="X2154" s="1768"/>
      <c r="Z2154" s="1769"/>
    </row>
    <row r="2155" spans="6:26" ht="18" customHeight="1">
      <c r="F2155" s="154"/>
      <c r="I2155" s="673"/>
      <c r="J2155" s="209"/>
      <c r="L2155" s="154"/>
      <c r="M2155" s="222"/>
      <c r="P2155" s="1597"/>
      <c r="R2155" s="1598"/>
      <c r="T2155" s="1768"/>
      <c r="V2155" s="1769"/>
      <c r="X2155" s="1768"/>
      <c r="Z2155" s="1769"/>
    </row>
    <row r="2156" spans="6:26" ht="18" customHeight="1">
      <c r="F2156" s="154"/>
      <c r="I2156" s="673"/>
      <c r="J2156" s="209"/>
      <c r="L2156" s="154"/>
      <c r="M2156" s="222"/>
      <c r="P2156" s="1597"/>
      <c r="R2156" s="1598"/>
      <c r="T2156" s="1768"/>
      <c r="V2156" s="1769"/>
      <c r="X2156" s="1768"/>
      <c r="Z2156" s="1769"/>
    </row>
    <row r="2157" spans="6:26" ht="18" customHeight="1">
      <c r="F2157" s="154"/>
      <c r="I2157" s="673"/>
      <c r="J2157" s="209"/>
      <c r="L2157" s="154"/>
      <c r="M2157" s="222"/>
      <c r="P2157" s="1597"/>
      <c r="R2157" s="1598"/>
      <c r="T2157" s="1768"/>
      <c r="V2157" s="1769"/>
      <c r="X2157" s="1768"/>
      <c r="Z2157" s="1769"/>
    </row>
    <row r="2158" spans="6:26" ht="18" customHeight="1">
      <c r="F2158" s="154"/>
      <c r="I2158" s="673"/>
      <c r="J2158" s="209"/>
      <c r="L2158" s="154"/>
      <c r="M2158" s="222"/>
      <c r="P2158" s="1597"/>
      <c r="R2158" s="1598"/>
      <c r="T2158" s="1768"/>
      <c r="V2158" s="1769"/>
      <c r="X2158" s="1768"/>
      <c r="Z2158" s="1769"/>
    </row>
    <row r="2159" spans="6:26" ht="18" customHeight="1">
      <c r="F2159" s="154"/>
      <c r="I2159" s="673"/>
      <c r="J2159" s="209"/>
      <c r="L2159" s="154"/>
      <c r="M2159" s="222"/>
      <c r="P2159" s="1597"/>
      <c r="R2159" s="1598"/>
      <c r="T2159" s="1768"/>
      <c r="V2159" s="1769"/>
      <c r="X2159" s="1768"/>
      <c r="Z2159" s="1769"/>
    </row>
    <row r="2160" spans="6:26" ht="18" customHeight="1">
      <c r="F2160" s="154"/>
      <c r="I2160" s="673"/>
      <c r="J2160" s="209"/>
      <c r="L2160" s="154"/>
      <c r="M2160" s="222"/>
      <c r="P2160" s="1597"/>
      <c r="R2160" s="1598"/>
      <c r="T2160" s="1768"/>
      <c r="V2160" s="1769"/>
      <c r="X2160" s="1768"/>
      <c r="Z2160" s="1769"/>
    </row>
    <row r="2161" spans="6:26" ht="18" customHeight="1">
      <c r="F2161" s="154"/>
      <c r="I2161" s="673"/>
      <c r="J2161" s="209"/>
      <c r="L2161" s="154"/>
      <c r="M2161" s="222"/>
      <c r="P2161" s="1597"/>
      <c r="R2161" s="1598"/>
      <c r="T2161" s="1768"/>
      <c r="V2161" s="1769"/>
      <c r="X2161" s="1768"/>
      <c r="Z2161" s="1769"/>
    </row>
    <row r="2162" spans="6:26" ht="18" customHeight="1">
      <c r="F2162" s="154"/>
      <c r="I2162" s="673"/>
      <c r="J2162" s="209"/>
      <c r="L2162" s="154"/>
      <c r="M2162" s="222"/>
      <c r="P2162" s="1597"/>
      <c r="R2162" s="1598"/>
      <c r="T2162" s="1768"/>
      <c r="V2162" s="1769"/>
      <c r="X2162" s="1768"/>
      <c r="Z2162" s="1769"/>
    </row>
    <row r="2163" spans="6:26" ht="18" customHeight="1">
      <c r="F2163" s="154"/>
      <c r="I2163" s="673"/>
      <c r="J2163" s="209"/>
      <c r="L2163" s="154"/>
      <c r="M2163" s="222"/>
      <c r="P2163" s="1597"/>
      <c r="R2163" s="1598"/>
      <c r="T2163" s="1768"/>
      <c r="V2163" s="1769"/>
      <c r="X2163" s="1768"/>
      <c r="Z2163" s="1769"/>
    </row>
    <row r="2164" spans="6:26" ht="18" customHeight="1">
      <c r="F2164" s="154"/>
      <c r="I2164" s="673"/>
      <c r="J2164" s="209"/>
      <c r="L2164" s="154"/>
      <c r="M2164" s="222"/>
      <c r="P2164" s="1597"/>
      <c r="R2164" s="1598"/>
      <c r="T2164" s="1768"/>
      <c r="V2164" s="1769"/>
      <c r="X2164" s="1768"/>
      <c r="Z2164" s="1769"/>
    </row>
    <row r="2165" spans="6:26" ht="18" customHeight="1">
      <c r="F2165" s="154"/>
      <c r="I2165" s="673"/>
      <c r="J2165" s="209"/>
      <c r="L2165" s="154"/>
      <c r="M2165" s="222"/>
      <c r="P2165" s="1597"/>
      <c r="R2165" s="1598"/>
      <c r="T2165" s="1768"/>
      <c r="V2165" s="1769"/>
      <c r="X2165" s="1768"/>
      <c r="Z2165" s="1769"/>
    </row>
    <row r="2166" spans="6:26" ht="18" customHeight="1">
      <c r="F2166" s="154"/>
      <c r="I2166" s="673"/>
      <c r="J2166" s="209"/>
      <c r="L2166" s="154"/>
      <c r="M2166" s="222"/>
      <c r="P2166" s="1597"/>
      <c r="R2166" s="1598"/>
      <c r="T2166" s="1768"/>
      <c r="V2166" s="1769"/>
      <c r="X2166" s="1768"/>
      <c r="Z2166" s="1769"/>
    </row>
    <row r="2167" spans="6:26" ht="18" customHeight="1">
      <c r="F2167" s="154"/>
      <c r="I2167" s="673"/>
      <c r="J2167" s="209"/>
      <c r="L2167" s="154"/>
      <c r="M2167" s="222"/>
      <c r="P2167" s="1597"/>
      <c r="R2167" s="1598"/>
      <c r="T2167" s="1768"/>
      <c r="V2167" s="1769"/>
      <c r="X2167" s="1768"/>
      <c r="Z2167" s="1769"/>
    </row>
    <row r="2168" spans="6:26" ht="18" customHeight="1">
      <c r="F2168" s="154"/>
      <c r="I2168" s="673"/>
      <c r="J2168" s="209"/>
      <c r="L2168" s="154"/>
      <c r="M2168" s="222"/>
      <c r="P2168" s="1597"/>
      <c r="R2168" s="1598"/>
      <c r="T2168" s="1768"/>
      <c r="V2168" s="1769"/>
      <c r="X2168" s="1768"/>
      <c r="Z2168" s="1769"/>
    </row>
    <row r="2169" spans="6:26" ht="18" customHeight="1">
      <c r="F2169" s="154"/>
      <c r="I2169" s="673"/>
      <c r="J2169" s="209"/>
      <c r="L2169" s="154"/>
      <c r="M2169" s="222"/>
      <c r="P2169" s="1597"/>
      <c r="R2169" s="1598"/>
      <c r="T2169" s="1768"/>
      <c r="V2169" s="1769"/>
      <c r="X2169" s="1768"/>
      <c r="Z2169" s="1769"/>
    </row>
    <row r="2170" spans="6:26" ht="18" customHeight="1">
      <c r="F2170" s="154"/>
      <c r="I2170" s="673"/>
      <c r="J2170" s="209"/>
      <c r="L2170" s="154"/>
      <c r="M2170" s="222"/>
      <c r="P2170" s="1597"/>
      <c r="R2170" s="1598"/>
      <c r="T2170" s="1768"/>
      <c r="V2170" s="1769"/>
      <c r="X2170" s="1768"/>
      <c r="Z2170" s="1769"/>
    </row>
    <row r="2171" spans="6:26" ht="18" customHeight="1">
      <c r="F2171" s="154"/>
      <c r="I2171" s="673"/>
      <c r="J2171" s="209"/>
      <c r="L2171" s="154"/>
      <c r="M2171" s="222"/>
      <c r="P2171" s="1597"/>
      <c r="R2171" s="1598"/>
      <c r="T2171" s="1768"/>
      <c r="V2171" s="1769"/>
      <c r="X2171" s="1768"/>
      <c r="Z2171" s="1769"/>
    </row>
    <row r="2172" spans="6:26" ht="18" customHeight="1">
      <c r="F2172" s="154"/>
      <c r="I2172" s="673"/>
      <c r="J2172" s="209"/>
      <c r="L2172" s="154"/>
      <c r="M2172" s="222"/>
      <c r="P2172" s="1597"/>
      <c r="R2172" s="1598"/>
      <c r="T2172" s="1768"/>
      <c r="V2172" s="1769"/>
      <c r="X2172" s="1768"/>
      <c r="Z2172" s="1769"/>
    </row>
    <row r="2173" spans="6:26" ht="18" customHeight="1">
      <c r="F2173" s="154"/>
      <c r="I2173" s="673"/>
      <c r="J2173" s="209"/>
      <c r="L2173" s="154"/>
      <c r="M2173" s="222"/>
      <c r="P2173" s="1597"/>
      <c r="R2173" s="1598"/>
      <c r="T2173" s="1768"/>
      <c r="V2173" s="1769"/>
      <c r="X2173" s="1768"/>
      <c r="Z2173" s="1769"/>
    </row>
    <row r="2174" spans="6:26" ht="18" customHeight="1">
      <c r="F2174" s="154"/>
      <c r="I2174" s="673"/>
      <c r="J2174" s="209"/>
      <c r="L2174" s="154"/>
      <c r="M2174" s="222"/>
      <c r="P2174" s="1597"/>
      <c r="R2174" s="1598"/>
      <c r="T2174" s="1768"/>
      <c r="V2174" s="1769"/>
      <c r="X2174" s="1768"/>
      <c r="Z2174" s="1769"/>
    </row>
    <row r="2175" spans="6:26" ht="18" customHeight="1">
      <c r="F2175" s="154"/>
      <c r="I2175" s="673"/>
      <c r="J2175" s="209"/>
      <c r="L2175" s="154"/>
      <c r="M2175" s="222"/>
      <c r="P2175" s="1597"/>
      <c r="R2175" s="1598"/>
      <c r="T2175" s="1768"/>
      <c r="V2175" s="1769"/>
      <c r="X2175" s="1768"/>
      <c r="Z2175" s="1769"/>
    </row>
    <row r="2176" spans="6:26" ht="18" customHeight="1">
      <c r="F2176" s="154"/>
      <c r="I2176" s="673"/>
      <c r="J2176" s="209"/>
      <c r="L2176" s="154"/>
      <c r="M2176" s="222"/>
      <c r="P2176" s="1597"/>
      <c r="R2176" s="1598"/>
      <c r="T2176" s="1768"/>
      <c r="V2176" s="1769"/>
      <c r="X2176" s="1768"/>
      <c r="Z2176" s="1769"/>
    </row>
    <row r="2177" spans="6:26" ht="18" customHeight="1">
      <c r="F2177" s="154"/>
      <c r="I2177" s="673"/>
      <c r="J2177" s="209"/>
      <c r="L2177" s="154"/>
      <c r="M2177" s="222"/>
      <c r="P2177" s="1597"/>
      <c r="R2177" s="1598"/>
      <c r="T2177" s="1768"/>
      <c r="V2177" s="1769"/>
      <c r="X2177" s="1768"/>
      <c r="Z2177" s="1769"/>
    </row>
    <row r="2178" spans="6:26" ht="18" customHeight="1">
      <c r="F2178" s="154"/>
      <c r="I2178" s="673"/>
      <c r="J2178" s="209"/>
      <c r="L2178" s="154"/>
      <c r="M2178" s="222"/>
      <c r="P2178" s="1597"/>
      <c r="R2178" s="1598"/>
      <c r="T2178" s="1768"/>
      <c r="V2178" s="1769"/>
      <c r="X2178" s="1768"/>
      <c r="Z2178" s="1769"/>
    </row>
    <row r="2179" spans="6:26" ht="18" customHeight="1">
      <c r="F2179" s="154"/>
      <c r="I2179" s="673"/>
      <c r="J2179" s="209"/>
      <c r="L2179" s="154"/>
      <c r="M2179" s="222"/>
      <c r="P2179" s="1597"/>
      <c r="R2179" s="1598"/>
      <c r="T2179" s="1768"/>
      <c r="V2179" s="1769"/>
      <c r="X2179" s="1768"/>
      <c r="Z2179" s="1769"/>
    </row>
    <row r="2180" spans="6:26" ht="18" customHeight="1">
      <c r="F2180" s="154"/>
      <c r="I2180" s="673"/>
      <c r="J2180" s="209"/>
      <c r="L2180" s="154"/>
      <c r="M2180" s="222"/>
      <c r="P2180" s="1597"/>
      <c r="R2180" s="1598"/>
      <c r="T2180" s="1768"/>
      <c r="V2180" s="1769"/>
      <c r="X2180" s="1768"/>
      <c r="Z2180" s="1769"/>
    </row>
    <row r="2181" spans="6:26" ht="18" customHeight="1">
      <c r="F2181" s="154"/>
      <c r="I2181" s="673"/>
      <c r="J2181" s="209"/>
      <c r="L2181" s="154"/>
      <c r="M2181" s="222"/>
      <c r="P2181" s="1597"/>
      <c r="R2181" s="1598"/>
      <c r="T2181" s="1768"/>
      <c r="V2181" s="1769"/>
      <c r="X2181" s="1768"/>
      <c r="Z2181" s="1769"/>
    </row>
    <row r="2182" spans="6:26" ht="18" customHeight="1">
      <c r="F2182" s="154"/>
      <c r="I2182" s="673"/>
      <c r="J2182" s="209"/>
      <c r="L2182" s="154"/>
      <c r="M2182" s="222"/>
      <c r="P2182" s="1597"/>
      <c r="R2182" s="1598"/>
      <c r="T2182" s="1768"/>
      <c r="V2182" s="1769"/>
      <c r="X2182" s="1768"/>
      <c r="Z2182" s="1769"/>
    </row>
    <row r="2183" spans="6:26" ht="18" customHeight="1">
      <c r="F2183" s="154"/>
      <c r="I2183" s="673"/>
      <c r="J2183" s="209"/>
      <c r="L2183" s="154"/>
      <c r="M2183" s="222"/>
      <c r="P2183" s="1597"/>
      <c r="R2183" s="1598"/>
      <c r="T2183" s="1768"/>
      <c r="V2183" s="1769"/>
      <c r="X2183" s="1768"/>
      <c r="Z2183" s="1769"/>
    </row>
    <row r="2184" spans="6:26" ht="18" customHeight="1">
      <c r="F2184" s="154"/>
      <c r="I2184" s="673"/>
      <c r="J2184" s="209"/>
      <c r="L2184" s="154"/>
      <c r="M2184" s="222"/>
      <c r="P2184" s="1597"/>
      <c r="R2184" s="1598"/>
      <c r="T2184" s="1768"/>
      <c r="V2184" s="1769"/>
      <c r="X2184" s="1768"/>
      <c r="Z2184" s="1769"/>
    </row>
    <row r="2185" spans="6:26" ht="18" customHeight="1">
      <c r="F2185" s="154"/>
      <c r="I2185" s="673"/>
      <c r="J2185" s="209"/>
      <c r="L2185" s="154"/>
      <c r="M2185" s="222"/>
      <c r="P2185" s="1597"/>
      <c r="R2185" s="1598"/>
      <c r="T2185" s="1768"/>
      <c r="V2185" s="1769"/>
      <c r="X2185" s="1768"/>
      <c r="Z2185" s="1769"/>
    </row>
    <row r="2186" spans="6:26" ht="18" customHeight="1">
      <c r="F2186" s="154"/>
      <c r="I2186" s="673"/>
      <c r="J2186" s="209"/>
      <c r="L2186" s="154"/>
      <c r="M2186" s="222"/>
      <c r="P2186" s="1597"/>
      <c r="R2186" s="1598"/>
      <c r="T2186" s="1768"/>
      <c r="V2186" s="1769"/>
      <c r="X2186" s="1768"/>
      <c r="Z2186" s="1769"/>
    </row>
    <row r="2187" spans="6:26" ht="18" customHeight="1">
      <c r="F2187" s="154"/>
      <c r="I2187" s="673"/>
      <c r="J2187" s="209"/>
      <c r="L2187" s="154"/>
      <c r="M2187" s="222"/>
      <c r="P2187" s="1597"/>
      <c r="R2187" s="1598"/>
      <c r="T2187" s="1768"/>
      <c r="V2187" s="1769"/>
      <c r="X2187" s="1768"/>
      <c r="Z2187" s="1769"/>
    </row>
    <row r="2188" spans="6:26" ht="18" customHeight="1">
      <c r="F2188" s="154"/>
      <c r="I2188" s="673"/>
      <c r="J2188" s="209"/>
      <c r="L2188" s="154"/>
      <c r="M2188" s="222"/>
      <c r="P2188" s="1597"/>
      <c r="R2188" s="1598"/>
      <c r="T2188" s="1768"/>
      <c r="V2188" s="1769"/>
      <c r="X2188" s="1768"/>
      <c r="Z2188" s="1769"/>
    </row>
    <row r="2189" spans="6:26" ht="18" customHeight="1">
      <c r="F2189" s="154"/>
      <c r="I2189" s="673"/>
      <c r="J2189" s="209"/>
      <c r="L2189" s="154"/>
      <c r="M2189" s="222"/>
      <c r="P2189" s="1597"/>
      <c r="R2189" s="1598"/>
      <c r="T2189" s="1768"/>
      <c r="V2189" s="1769"/>
      <c r="X2189" s="1768"/>
      <c r="Z2189" s="1769"/>
    </row>
    <row r="2190" spans="6:26" ht="18" customHeight="1">
      <c r="F2190" s="154"/>
      <c r="I2190" s="673"/>
      <c r="J2190" s="209"/>
      <c r="L2190" s="154"/>
      <c r="M2190" s="222"/>
      <c r="P2190" s="1597"/>
      <c r="R2190" s="1598"/>
      <c r="T2190" s="1768"/>
      <c r="V2190" s="1769"/>
      <c r="X2190" s="1768"/>
      <c r="Z2190" s="1769"/>
    </row>
    <row r="2191" spans="6:26" ht="18" customHeight="1">
      <c r="F2191" s="154"/>
      <c r="I2191" s="673"/>
      <c r="J2191" s="209"/>
      <c r="L2191" s="154"/>
      <c r="M2191" s="222"/>
      <c r="P2191" s="1597"/>
      <c r="R2191" s="1598"/>
      <c r="T2191" s="1768"/>
      <c r="V2191" s="1769"/>
      <c r="X2191" s="1768"/>
      <c r="Z2191" s="1769"/>
    </row>
    <row r="2192" spans="6:26" ht="18" customHeight="1">
      <c r="F2192" s="154"/>
      <c r="I2192" s="673"/>
      <c r="J2192" s="209"/>
      <c r="L2192" s="154"/>
      <c r="M2192" s="222"/>
      <c r="P2192" s="1597"/>
      <c r="R2192" s="1598"/>
      <c r="T2192" s="1768"/>
      <c r="V2192" s="1769"/>
      <c r="X2192" s="1768"/>
      <c r="Z2192" s="1769"/>
    </row>
    <row r="2193" spans="6:26" ht="18" customHeight="1">
      <c r="F2193" s="154"/>
      <c r="I2193" s="673"/>
      <c r="J2193" s="209"/>
      <c r="L2193" s="154"/>
      <c r="M2193" s="222"/>
      <c r="P2193" s="1597"/>
      <c r="R2193" s="1598"/>
      <c r="T2193" s="1768"/>
      <c r="V2193" s="1769"/>
      <c r="X2193" s="1768"/>
      <c r="Z2193" s="1769"/>
    </row>
    <row r="2194" spans="6:26" ht="18" customHeight="1">
      <c r="F2194" s="154"/>
      <c r="I2194" s="673"/>
      <c r="J2194" s="209"/>
      <c r="L2194" s="154"/>
      <c r="M2194" s="222"/>
      <c r="P2194" s="1597"/>
      <c r="R2194" s="1598"/>
      <c r="T2194" s="1768"/>
      <c r="V2194" s="1769"/>
      <c r="X2194" s="1768"/>
      <c r="Z2194" s="1769"/>
    </row>
    <row r="2195" spans="6:26" ht="18" customHeight="1">
      <c r="F2195" s="154"/>
      <c r="I2195" s="673"/>
      <c r="J2195" s="209"/>
      <c r="L2195" s="154"/>
      <c r="M2195" s="222"/>
      <c r="P2195" s="1597"/>
      <c r="R2195" s="1598"/>
      <c r="T2195" s="1768"/>
      <c r="V2195" s="1769"/>
      <c r="X2195" s="1768"/>
      <c r="Z2195" s="1769"/>
    </row>
    <row r="2196" spans="6:26" ht="18" customHeight="1">
      <c r="F2196" s="154"/>
      <c r="I2196" s="673"/>
      <c r="J2196" s="209"/>
      <c r="L2196" s="154"/>
      <c r="M2196" s="222"/>
      <c r="P2196" s="1597"/>
      <c r="R2196" s="1598"/>
      <c r="T2196" s="1768"/>
      <c r="V2196" s="1769"/>
      <c r="X2196" s="1768"/>
      <c r="Z2196" s="1769"/>
    </row>
    <row r="2197" spans="6:26" ht="18" customHeight="1">
      <c r="F2197" s="154"/>
      <c r="I2197" s="673"/>
      <c r="J2197" s="209"/>
      <c r="L2197" s="154"/>
      <c r="M2197" s="222"/>
      <c r="P2197" s="1597"/>
      <c r="R2197" s="1598"/>
      <c r="T2197" s="1768"/>
      <c r="V2197" s="1769"/>
      <c r="X2197" s="1768"/>
      <c r="Z2197" s="1769"/>
    </row>
    <row r="2198" spans="6:26" ht="18" customHeight="1">
      <c r="F2198" s="154"/>
      <c r="I2198" s="673"/>
      <c r="J2198" s="209"/>
      <c r="L2198" s="154"/>
      <c r="M2198" s="222"/>
      <c r="P2198" s="1597"/>
      <c r="R2198" s="1598"/>
      <c r="T2198" s="1768"/>
      <c r="V2198" s="1769"/>
      <c r="X2198" s="1768"/>
      <c r="Z2198" s="1769"/>
    </row>
    <row r="2199" spans="6:26" ht="18" customHeight="1">
      <c r="F2199" s="154"/>
      <c r="I2199" s="673"/>
      <c r="J2199" s="209"/>
      <c r="L2199" s="154"/>
      <c r="M2199" s="222"/>
      <c r="P2199" s="1597"/>
      <c r="R2199" s="1598"/>
      <c r="T2199" s="1768"/>
      <c r="V2199" s="1769"/>
      <c r="X2199" s="1768"/>
      <c r="Z2199" s="1769"/>
    </row>
    <row r="2200" spans="6:26" ht="18" customHeight="1">
      <c r="F2200" s="154"/>
      <c r="I2200" s="673"/>
      <c r="J2200" s="209"/>
      <c r="L2200" s="154"/>
      <c r="M2200" s="222"/>
      <c r="P2200" s="1597"/>
      <c r="R2200" s="1598"/>
      <c r="T2200" s="1768"/>
      <c r="V2200" s="1769"/>
      <c r="X2200" s="1768"/>
      <c r="Z2200" s="1769"/>
    </row>
    <row r="2201" spans="6:26" ht="18" customHeight="1">
      <c r="F2201" s="154"/>
      <c r="I2201" s="673"/>
      <c r="J2201" s="209"/>
      <c r="L2201" s="154"/>
      <c r="M2201" s="222"/>
      <c r="P2201" s="1597"/>
      <c r="R2201" s="1598"/>
      <c r="T2201" s="1768"/>
      <c r="V2201" s="1769"/>
      <c r="X2201" s="1768"/>
      <c r="Z2201" s="1769"/>
    </row>
    <row r="2202" spans="6:26" ht="18" customHeight="1">
      <c r="F2202" s="154"/>
      <c r="I2202" s="673"/>
      <c r="J2202" s="209"/>
      <c r="L2202" s="154"/>
      <c r="M2202" s="222"/>
      <c r="P2202" s="1597"/>
      <c r="R2202" s="1598"/>
      <c r="T2202" s="1768"/>
      <c r="V2202" s="1769"/>
      <c r="X2202" s="1768"/>
      <c r="Z2202" s="1769"/>
    </row>
    <row r="2203" spans="6:26" ht="18" customHeight="1">
      <c r="F2203" s="154"/>
      <c r="I2203" s="673"/>
      <c r="J2203" s="209"/>
      <c r="L2203" s="154"/>
      <c r="M2203" s="222"/>
      <c r="P2203" s="1597"/>
      <c r="R2203" s="1598"/>
      <c r="T2203" s="1768"/>
      <c r="V2203" s="1769"/>
      <c r="X2203" s="1768"/>
      <c r="Z2203" s="1769"/>
    </row>
    <row r="2204" spans="6:26" ht="18" customHeight="1">
      <c r="F2204" s="154"/>
      <c r="I2204" s="673"/>
      <c r="J2204" s="209"/>
      <c r="L2204" s="154"/>
      <c r="M2204" s="222"/>
      <c r="P2204" s="1597"/>
      <c r="R2204" s="1598"/>
      <c r="T2204" s="1768"/>
      <c r="V2204" s="1769"/>
      <c r="X2204" s="1768"/>
      <c r="Z2204" s="1769"/>
    </row>
    <row r="2205" spans="6:26" ht="18" customHeight="1">
      <c r="F2205" s="154"/>
      <c r="I2205" s="673"/>
      <c r="J2205" s="209"/>
      <c r="L2205" s="154"/>
      <c r="M2205" s="222"/>
      <c r="P2205" s="1597"/>
      <c r="R2205" s="1598"/>
      <c r="T2205" s="1768"/>
      <c r="V2205" s="1769"/>
      <c r="X2205" s="1768"/>
      <c r="Z2205" s="1769"/>
    </row>
    <row r="2206" spans="6:26" ht="18" customHeight="1">
      <c r="F2206" s="154"/>
      <c r="I2206" s="673"/>
      <c r="J2206" s="209"/>
      <c r="L2206" s="154"/>
      <c r="M2206" s="222"/>
      <c r="P2206" s="1597"/>
      <c r="R2206" s="1598"/>
      <c r="T2206" s="1768"/>
      <c r="V2206" s="1769"/>
      <c r="X2206" s="1768"/>
      <c r="Z2206" s="1769"/>
    </row>
    <row r="2207" spans="6:26" ht="18" customHeight="1">
      <c r="F2207" s="154"/>
      <c r="I2207" s="673"/>
      <c r="J2207" s="209"/>
      <c r="L2207" s="154"/>
      <c r="M2207" s="222"/>
      <c r="P2207" s="1597"/>
      <c r="R2207" s="1598"/>
      <c r="T2207" s="1768"/>
      <c r="V2207" s="1769"/>
      <c r="X2207" s="1768"/>
      <c r="Z2207" s="1769"/>
    </row>
    <row r="2208" spans="6:26" ht="18" customHeight="1">
      <c r="F2208" s="154"/>
      <c r="I2208" s="673"/>
      <c r="J2208" s="209"/>
      <c r="L2208" s="154"/>
      <c r="M2208" s="222"/>
      <c r="P2208" s="1597"/>
      <c r="R2208" s="1598"/>
      <c r="T2208" s="1768"/>
      <c r="V2208" s="1769"/>
      <c r="X2208" s="1768"/>
      <c r="Z2208" s="1769"/>
    </row>
    <row r="2209" spans="6:26" ht="18" customHeight="1">
      <c r="F2209" s="154"/>
      <c r="I2209" s="673"/>
      <c r="J2209" s="209"/>
      <c r="L2209" s="154"/>
      <c r="M2209" s="222"/>
      <c r="P2209" s="1597"/>
      <c r="R2209" s="1598"/>
      <c r="T2209" s="1768"/>
      <c r="V2209" s="1769"/>
      <c r="X2209" s="1768"/>
      <c r="Z2209" s="1769"/>
    </row>
    <row r="2210" spans="6:26" ht="18" customHeight="1">
      <c r="F2210" s="154"/>
      <c r="I2210" s="673"/>
      <c r="J2210" s="209"/>
      <c r="L2210" s="154"/>
      <c r="M2210" s="222"/>
      <c r="P2210" s="1597"/>
      <c r="R2210" s="1598"/>
      <c r="T2210" s="1768"/>
      <c r="V2210" s="1769"/>
      <c r="X2210" s="1768"/>
      <c r="Z2210" s="1769"/>
    </row>
    <row r="2211" spans="6:26" ht="18" customHeight="1">
      <c r="F2211" s="154"/>
      <c r="I2211" s="673"/>
      <c r="J2211" s="209"/>
      <c r="L2211" s="154"/>
      <c r="M2211" s="222"/>
      <c r="P2211" s="1597"/>
      <c r="R2211" s="1598"/>
      <c r="T2211" s="1768"/>
      <c r="V2211" s="1769"/>
      <c r="X2211" s="1768"/>
      <c r="Z2211" s="1769"/>
    </row>
    <row r="2212" spans="6:26" ht="18" customHeight="1">
      <c r="F2212" s="154"/>
      <c r="I2212" s="673"/>
      <c r="J2212" s="209"/>
      <c r="L2212" s="154"/>
      <c r="M2212" s="222"/>
      <c r="P2212" s="1597"/>
      <c r="R2212" s="1598"/>
      <c r="T2212" s="1768"/>
      <c r="V2212" s="1769"/>
      <c r="X2212" s="1768"/>
      <c r="Z2212" s="1769"/>
    </row>
    <row r="2213" spans="6:26" ht="18" customHeight="1">
      <c r="F2213" s="154"/>
      <c r="I2213" s="673"/>
      <c r="J2213" s="209"/>
      <c r="L2213" s="154"/>
      <c r="M2213" s="222"/>
      <c r="P2213" s="1597"/>
      <c r="R2213" s="1598"/>
      <c r="T2213" s="1768"/>
      <c r="V2213" s="1769"/>
      <c r="X2213" s="1768"/>
      <c r="Z2213" s="1769"/>
    </row>
    <row r="2214" spans="6:26" ht="18" customHeight="1">
      <c r="F2214" s="154"/>
      <c r="I2214" s="673"/>
      <c r="J2214" s="209"/>
      <c r="L2214" s="154"/>
      <c r="M2214" s="222"/>
      <c r="P2214" s="1597"/>
      <c r="R2214" s="1598"/>
      <c r="T2214" s="1768"/>
      <c r="V2214" s="1769"/>
      <c r="X2214" s="1768"/>
      <c r="Z2214" s="1769"/>
    </row>
    <row r="2215" spans="6:26" ht="18" customHeight="1">
      <c r="F2215" s="154"/>
      <c r="I2215" s="673"/>
      <c r="J2215" s="209"/>
      <c r="L2215" s="154"/>
      <c r="M2215" s="222"/>
      <c r="P2215" s="1597"/>
      <c r="R2215" s="1598"/>
      <c r="T2215" s="1768"/>
      <c r="V2215" s="1769"/>
      <c r="X2215" s="1768"/>
      <c r="Z2215" s="1769"/>
    </row>
    <row r="2216" spans="6:26" ht="18" customHeight="1">
      <c r="F2216" s="154"/>
      <c r="I2216" s="673"/>
      <c r="J2216" s="209"/>
      <c r="L2216" s="154"/>
      <c r="M2216" s="222"/>
      <c r="P2216" s="1597"/>
      <c r="R2216" s="1598"/>
      <c r="T2216" s="1768"/>
      <c r="V2216" s="1769"/>
      <c r="X2216" s="1768"/>
      <c r="Z2216" s="1769"/>
    </row>
    <row r="2217" spans="6:26" ht="18" customHeight="1">
      <c r="F2217" s="154"/>
      <c r="I2217" s="673"/>
      <c r="J2217" s="209"/>
      <c r="L2217" s="154"/>
      <c r="M2217" s="222"/>
      <c r="P2217" s="1597"/>
      <c r="R2217" s="1598"/>
      <c r="T2217" s="1768"/>
      <c r="V2217" s="1769"/>
      <c r="X2217" s="1768"/>
      <c r="Z2217" s="1769"/>
    </row>
    <row r="2218" spans="6:26" ht="18" customHeight="1">
      <c r="F2218" s="154"/>
      <c r="I2218" s="673"/>
      <c r="J2218" s="209"/>
      <c r="L2218" s="154"/>
      <c r="M2218" s="222"/>
      <c r="P2218" s="1597"/>
      <c r="R2218" s="1598"/>
      <c r="T2218" s="1768"/>
      <c r="V2218" s="1769"/>
      <c r="X2218" s="1768"/>
      <c r="Z2218" s="1769"/>
    </row>
    <row r="2219" spans="6:26" ht="18" customHeight="1">
      <c r="F2219" s="154"/>
      <c r="I2219" s="673"/>
      <c r="J2219" s="209"/>
      <c r="L2219" s="154"/>
      <c r="M2219" s="222"/>
      <c r="P2219" s="1597"/>
      <c r="R2219" s="1598"/>
      <c r="T2219" s="1768"/>
      <c r="V2219" s="1769"/>
      <c r="X2219" s="1768"/>
      <c r="Z2219" s="1769"/>
    </row>
    <row r="2220" spans="6:26" ht="18" customHeight="1">
      <c r="F2220" s="154"/>
      <c r="I2220" s="673"/>
      <c r="J2220" s="209"/>
      <c r="L2220" s="154"/>
      <c r="M2220" s="222"/>
      <c r="P2220" s="1597"/>
      <c r="R2220" s="1598"/>
      <c r="T2220" s="1768"/>
      <c r="V2220" s="1769"/>
      <c r="X2220" s="1768"/>
      <c r="Z2220" s="1769"/>
    </row>
    <row r="2221" spans="6:26" ht="18" customHeight="1">
      <c r="F2221" s="154"/>
      <c r="I2221" s="673"/>
      <c r="J2221" s="209"/>
      <c r="L2221" s="154"/>
      <c r="M2221" s="222"/>
      <c r="P2221" s="1597"/>
      <c r="R2221" s="1598"/>
      <c r="T2221" s="1768"/>
      <c r="V2221" s="1769"/>
      <c r="X2221" s="1768"/>
      <c r="Z2221" s="1769"/>
    </row>
    <row r="2222" spans="6:26" ht="18" customHeight="1">
      <c r="F2222" s="154"/>
      <c r="I2222" s="673"/>
      <c r="J2222" s="209"/>
      <c r="L2222" s="154"/>
      <c r="M2222" s="222"/>
      <c r="P2222" s="1597"/>
      <c r="R2222" s="1598"/>
      <c r="T2222" s="1768"/>
      <c r="V2222" s="1769"/>
      <c r="X2222" s="1768"/>
      <c r="Z2222" s="1769"/>
    </row>
    <row r="2223" spans="6:26" ht="18" customHeight="1">
      <c r="F2223" s="154"/>
      <c r="I2223" s="673"/>
      <c r="J2223" s="209"/>
      <c r="L2223" s="154"/>
      <c r="M2223" s="222"/>
      <c r="P2223" s="1597"/>
      <c r="R2223" s="1598"/>
      <c r="T2223" s="1768"/>
      <c r="V2223" s="1769"/>
      <c r="X2223" s="1768"/>
      <c r="Z2223" s="1769"/>
    </row>
    <row r="2224" spans="6:26" ht="18" customHeight="1">
      <c r="F2224" s="154"/>
      <c r="I2224" s="673"/>
      <c r="J2224" s="209"/>
      <c r="L2224" s="154"/>
      <c r="M2224" s="222"/>
      <c r="P2224" s="1597"/>
      <c r="R2224" s="1598"/>
      <c r="T2224" s="1768"/>
      <c r="V2224" s="1769"/>
      <c r="X2224" s="1768"/>
      <c r="Z2224" s="1769"/>
    </row>
    <row r="2225" spans="6:26" ht="18" customHeight="1">
      <c r="F2225" s="154"/>
      <c r="I2225" s="673"/>
      <c r="J2225" s="209"/>
      <c r="L2225" s="154"/>
      <c r="M2225" s="222"/>
      <c r="P2225" s="1597"/>
      <c r="R2225" s="1598"/>
      <c r="T2225" s="1768"/>
      <c r="V2225" s="1769"/>
      <c r="X2225" s="1768"/>
      <c r="Z2225" s="1769"/>
    </row>
    <row r="2226" spans="6:26" ht="18" customHeight="1">
      <c r="F2226" s="154"/>
      <c r="I2226" s="673"/>
      <c r="J2226" s="209"/>
      <c r="L2226" s="154"/>
      <c r="M2226" s="222"/>
      <c r="P2226" s="1597"/>
      <c r="R2226" s="1598"/>
      <c r="T2226" s="1768"/>
      <c r="V2226" s="1769"/>
      <c r="X2226" s="1768"/>
      <c r="Z2226" s="1769"/>
    </row>
    <row r="2227" spans="6:26" ht="18" customHeight="1">
      <c r="F2227" s="154"/>
      <c r="I2227" s="673"/>
      <c r="J2227" s="209"/>
      <c r="L2227" s="154"/>
      <c r="M2227" s="222"/>
      <c r="P2227" s="1597"/>
      <c r="R2227" s="1598"/>
      <c r="T2227" s="1768"/>
      <c r="V2227" s="1769"/>
      <c r="X2227" s="1768"/>
      <c r="Z2227" s="1769"/>
    </row>
    <row r="2228" spans="6:26" ht="18" customHeight="1">
      <c r="F2228" s="154"/>
      <c r="I2228" s="673"/>
      <c r="J2228" s="209"/>
      <c r="L2228" s="154"/>
      <c r="M2228" s="222"/>
      <c r="P2228" s="1597"/>
      <c r="R2228" s="1598"/>
      <c r="T2228" s="1768"/>
      <c r="V2228" s="1769"/>
      <c r="X2228" s="1768"/>
      <c r="Z2228" s="1769"/>
    </row>
    <row r="2229" spans="6:26" ht="18" customHeight="1">
      <c r="F2229" s="154"/>
      <c r="I2229" s="673"/>
      <c r="J2229" s="209"/>
      <c r="L2229" s="154"/>
      <c r="M2229" s="222"/>
      <c r="P2229" s="1597"/>
      <c r="R2229" s="1598"/>
      <c r="T2229" s="1768"/>
      <c r="V2229" s="1769"/>
      <c r="X2229" s="1768"/>
      <c r="Z2229" s="1769"/>
    </row>
    <row r="2230" spans="6:26" ht="18" customHeight="1">
      <c r="F2230" s="154"/>
      <c r="I2230" s="673"/>
      <c r="J2230" s="209"/>
      <c r="L2230" s="154"/>
      <c r="M2230" s="222"/>
      <c r="P2230" s="1597"/>
      <c r="R2230" s="1598"/>
      <c r="T2230" s="1768"/>
      <c r="V2230" s="1769"/>
      <c r="X2230" s="1768"/>
      <c r="Z2230" s="1769"/>
    </row>
    <row r="2231" spans="6:26" ht="18" customHeight="1">
      <c r="F2231" s="154"/>
      <c r="I2231" s="673"/>
      <c r="J2231" s="209"/>
      <c r="L2231" s="154"/>
      <c r="M2231" s="222"/>
      <c r="P2231" s="1597"/>
      <c r="R2231" s="1598"/>
      <c r="T2231" s="1768"/>
      <c r="V2231" s="1769"/>
      <c r="X2231" s="1768"/>
      <c r="Z2231" s="1769"/>
    </row>
    <row r="2232" spans="6:26" ht="18" customHeight="1">
      <c r="F2232" s="154"/>
      <c r="I2232" s="673"/>
      <c r="J2232" s="209"/>
      <c r="L2232" s="154"/>
      <c r="M2232" s="222"/>
      <c r="P2232" s="1597"/>
      <c r="R2232" s="1598"/>
      <c r="T2232" s="1768"/>
      <c r="V2232" s="1769"/>
      <c r="X2232" s="1768"/>
      <c r="Z2232" s="1769"/>
    </row>
    <row r="2233" spans="6:26" ht="18" customHeight="1">
      <c r="F2233" s="154"/>
      <c r="I2233" s="673"/>
      <c r="J2233" s="209"/>
      <c r="L2233" s="154"/>
      <c r="M2233" s="222"/>
      <c r="P2233" s="1597"/>
      <c r="R2233" s="1598"/>
      <c r="T2233" s="1768"/>
      <c r="V2233" s="1769"/>
      <c r="X2233" s="1768"/>
      <c r="Z2233" s="1769"/>
    </row>
    <row r="2234" spans="6:26" ht="18" customHeight="1">
      <c r="F2234" s="154"/>
      <c r="I2234" s="673"/>
      <c r="J2234" s="209"/>
      <c r="L2234" s="154"/>
      <c r="M2234" s="222"/>
      <c r="P2234" s="1597"/>
      <c r="R2234" s="1598"/>
      <c r="T2234" s="1768"/>
      <c r="V2234" s="1769"/>
      <c r="X2234" s="1768"/>
      <c r="Z2234" s="1769"/>
    </row>
    <row r="2235" spans="6:26" ht="18" customHeight="1">
      <c r="F2235" s="154"/>
      <c r="I2235" s="673"/>
      <c r="J2235" s="209"/>
      <c r="L2235" s="154"/>
      <c r="M2235" s="222"/>
      <c r="P2235" s="1597"/>
      <c r="R2235" s="1598"/>
      <c r="T2235" s="1768"/>
      <c r="V2235" s="1769"/>
      <c r="X2235" s="1768"/>
      <c r="Z2235" s="1769"/>
    </row>
    <row r="2236" spans="6:26" ht="18" customHeight="1">
      <c r="F2236" s="154"/>
      <c r="I2236" s="673"/>
      <c r="J2236" s="209"/>
      <c r="L2236" s="154"/>
      <c r="M2236" s="222"/>
      <c r="P2236" s="1597"/>
      <c r="R2236" s="1598"/>
      <c r="T2236" s="1768"/>
      <c r="V2236" s="1769"/>
      <c r="X2236" s="1768"/>
      <c r="Z2236" s="1769"/>
    </row>
    <row r="2237" spans="6:26" ht="18" customHeight="1">
      <c r="F2237" s="154"/>
      <c r="I2237" s="673"/>
      <c r="J2237" s="209"/>
      <c r="L2237" s="154"/>
      <c r="M2237" s="222"/>
      <c r="P2237" s="1597"/>
      <c r="R2237" s="1598"/>
      <c r="T2237" s="1768"/>
      <c r="V2237" s="1769"/>
      <c r="X2237" s="1768"/>
      <c r="Z2237" s="1769"/>
    </row>
    <row r="2238" spans="6:26" ht="18" customHeight="1">
      <c r="F2238" s="154"/>
      <c r="I2238" s="673"/>
      <c r="J2238" s="209"/>
      <c r="L2238" s="154"/>
      <c r="M2238" s="222"/>
      <c r="P2238" s="1597"/>
      <c r="R2238" s="1598"/>
      <c r="T2238" s="1768"/>
      <c r="V2238" s="1769"/>
      <c r="X2238" s="1768"/>
      <c r="Z2238" s="1769"/>
    </row>
    <row r="2239" spans="6:26" ht="18" customHeight="1">
      <c r="F2239" s="154"/>
      <c r="I2239" s="673"/>
      <c r="J2239" s="209"/>
      <c r="L2239" s="154"/>
      <c r="M2239" s="222"/>
      <c r="P2239" s="1597"/>
      <c r="R2239" s="1598"/>
      <c r="T2239" s="1768"/>
      <c r="V2239" s="1769"/>
      <c r="X2239" s="1768"/>
      <c r="Z2239" s="1769"/>
    </row>
    <row r="2240" spans="6:26" ht="18" customHeight="1">
      <c r="F2240" s="154"/>
      <c r="I2240" s="673"/>
      <c r="J2240" s="209"/>
      <c r="L2240" s="154"/>
      <c r="M2240" s="222"/>
      <c r="P2240" s="1597"/>
      <c r="R2240" s="1598"/>
      <c r="T2240" s="1768"/>
      <c r="V2240" s="1769"/>
      <c r="X2240" s="1768"/>
      <c r="Z2240" s="1769"/>
    </row>
    <row r="2241" spans="6:26" ht="18" customHeight="1">
      <c r="F2241" s="154"/>
      <c r="I2241" s="673"/>
      <c r="J2241" s="209"/>
      <c r="L2241" s="154"/>
      <c r="M2241" s="222"/>
      <c r="P2241" s="1597"/>
      <c r="R2241" s="1598"/>
      <c r="T2241" s="1768"/>
      <c r="V2241" s="1769"/>
      <c r="X2241" s="1768"/>
      <c r="Z2241" s="1769"/>
    </row>
    <row r="2242" spans="6:26" ht="18" customHeight="1">
      <c r="F2242" s="154"/>
      <c r="I2242" s="673"/>
      <c r="J2242" s="209"/>
      <c r="L2242" s="154"/>
      <c r="M2242" s="222"/>
      <c r="P2242" s="1597"/>
      <c r="R2242" s="1598"/>
      <c r="T2242" s="1768"/>
      <c r="V2242" s="1769"/>
      <c r="X2242" s="1768"/>
      <c r="Z2242" s="1769"/>
    </row>
    <row r="2243" spans="6:26" ht="18" customHeight="1">
      <c r="F2243" s="154"/>
      <c r="I2243" s="673"/>
      <c r="J2243" s="209"/>
      <c r="L2243" s="154"/>
      <c r="M2243" s="222"/>
      <c r="P2243" s="1597"/>
      <c r="R2243" s="1598"/>
      <c r="T2243" s="1768"/>
      <c r="V2243" s="1769"/>
      <c r="X2243" s="1768"/>
      <c r="Z2243" s="1769"/>
    </row>
    <row r="2244" spans="6:26" ht="18" customHeight="1">
      <c r="F2244" s="154"/>
      <c r="I2244" s="673"/>
      <c r="J2244" s="209"/>
      <c r="L2244" s="154"/>
      <c r="M2244" s="222"/>
      <c r="P2244" s="1597"/>
      <c r="R2244" s="1598"/>
      <c r="T2244" s="1768"/>
      <c r="V2244" s="1769"/>
      <c r="X2244" s="1768"/>
      <c r="Z2244" s="1769"/>
    </row>
    <row r="2245" spans="6:26" ht="18" customHeight="1">
      <c r="F2245" s="154"/>
      <c r="I2245" s="673"/>
      <c r="J2245" s="209"/>
      <c r="L2245" s="154"/>
      <c r="M2245" s="222"/>
      <c r="P2245" s="1597"/>
      <c r="R2245" s="1598"/>
      <c r="T2245" s="1768"/>
      <c r="V2245" s="1769"/>
      <c r="X2245" s="1768"/>
      <c r="Z2245" s="1769"/>
    </row>
    <row r="2246" spans="6:26" ht="18" customHeight="1">
      <c r="F2246" s="154"/>
      <c r="I2246" s="673"/>
      <c r="J2246" s="209"/>
      <c r="L2246" s="154"/>
      <c r="M2246" s="222"/>
      <c r="P2246" s="1597"/>
      <c r="R2246" s="1598"/>
      <c r="T2246" s="1768"/>
      <c r="V2246" s="1769"/>
      <c r="X2246" s="1768"/>
      <c r="Z2246" s="1769"/>
    </row>
    <row r="2247" spans="6:26" ht="18" customHeight="1">
      <c r="F2247" s="154"/>
      <c r="I2247" s="673"/>
      <c r="J2247" s="209"/>
      <c r="L2247" s="154"/>
      <c r="M2247" s="222"/>
      <c r="P2247" s="1597"/>
      <c r="R2247" s="1598"/>
      <c r="T2247" s="1768"/>
      <c r="V2247" s="1769"/>
      <c r="X2247" s="1768"/>
      <c r="Z2247" s="1769"/>
    </row>
    <row r="2248" spans="6:26" ht="18" customHeight="1">
      <c r="F2248" s="154"/>
      <c r="I2248" s="673"/>
      <c r="J2248" s="209"/>
      <c r="L2248" s="154"/>
      <c r="M2248" s="222"/>
      <c r="P2248" s="1597"/>
      <c r="R2248" s="1598"/>
      <c r="T2248" s="1768"/>
      <c r="V2248" s="1769"/>
      <c r="X2248" s="1768"/>
      <c r="Z2248" s="1769"/>
    </row>
    <row r="2249" spans="6:26" ht="18" customHeight="1">
      <c r="F2249" s="154"/>
      <c r="I2249" s="673"/>
      <c r="J2249" s="209"/>
      <c r="L2249" s="154"/>
      <c r="M2249" s="222"/>
      <c r="P2249" s="1597"/>
      <c r="R2249" s="1598"/>
      <c r="T2249" s="1768"/>
      <c r="V2249" s="1769"/>
      <c r="X2249" s="1768"/>
      <c r="Z2249" s="1769"/>
    </row>
    <row r="2250" spans="6:26" ht="18" customHeight="1">
      <c r="F2250" s="154"/>
      <c r="I2250" s="673"/>
      <c r="J2250" s="209"/>
      <c r="L2250" s="154"/>
      <c r="M2250" s="222"/>
      <c r="P2250" s="1597"/>
      <c r="R2250" s="1598"/>
      <c r="T2250" s="1768"/>
      <c r="V2250" s="1769"/>
      <c r="X2250" s="1768"/>
      <c r="Z2250" s="1769"/>
    </row>
    <row r="2251" spans="6:26" ht="18" customHeight="1">
      <c r="F2251" s="154"/>
      <c r="I2251" s="673"/>
      <c r="J2251" s="209"/>
      <c r="L2251" s="154"/>
      <c r="M2251" s="222"/>
      <c r="P2251" s="1597"/>
      <c r="R2251" s="1598"/>
      <c r="T2251" s="1768"/>
      <c r="V2251" s="1769"/>
      <c r="X2251" s="1768"/>
      <c r="Z2251" s="1769"/>
    </row>
    <row r="2252" spans="6:26" ht="18" customHeight="1">
      <c r="F2252" s="154"/>
      <c r="I2252" s="673"/>
      <c r="J2252" s="209"/>
      <c r="L2252" s="154"/>
      <c r="M2252" s="222"/>
      <c r="P2252" s="1597"/>
      <c r="R2252" s="1598"/>
      <c r="T2252" s="1768"/>
      <c r="V2252" s="1769"/>
      <c r="X2252" s="1768"/>
      <c r="Z2252" s="1769"/>
    </row>
    <row r="2253" spans="6:26" ht="18" customHeight="1">
      <c r="F2253" s="154"/>
      <c r="I2253" s="673"/>
      <c r="J2253" s="209"/>
      <c r="L2253" s="154"/>
      <c r="M2253" s="222"/>
      <c r="P2253" s="1597"/>
      <c r="R2253" s="1598"/>
      <c r="T2253" s="1768"/>
      <c r="V2253" s="1769"/>
      <c r="X2253" s="1768"/>
      <c r="Z2253" s="1769"/>
    </row>
    <row r="2254" spans="6:26" ht="18" customHeight="1">
      <c r="F2254" s="154"/>
      <c r="I2254" s="673"/>
      <c r="J2254" s="209"/>
      <c r="L2254" s="154"/>
      <c r="M2254" s="222"/>
      <c r="P2254" s="1597"/>
      <c r="R2254" s="1598"/>
      <c r="T2254" s="1768"/>
      <c r="V2254" s="1769"/>
      <c r="X2254" s="1768"/>
      <c r="Z2254" s="1769"/>
    </row>
    <row r="2255" spans="6:26" ht="18" customHeight="1">
      <c r="F2255" s="154"/>
      <c r="I2255" s="673"/>
      <c r="J2255" s="209"/>
      <c r="L2255" s="154"/>
      <c r="M2255" s="222"/>
      <c r="P2255" s="1597"/>
      <c r="R2255" s="1598"/>
      <c r="T2255" s="1768"/>
      <c r="V2255" s="1769"/>
      <c r="X2255" s="1768"/>
      <c r="Z2255" s="1769"/>
    </row>
    <row r="2256" spans="6:26" ht="18" customHeight="1">
      <c r="F2256" s="154"/>
      <c r="I2256" s="673"/>
      <c r="J2256" s="209"/>
      <c r="L2256" s="154"/>
      <c r="M2256" s="222"/>
      <c r="P2256" s="1597"/>
      <c r="R2256" s="1598"/>
      <c r="T2256" s="1768"/>
      <c r="V2256" s="1769"/>
      <c r="X2256" s="1768"/>
      <c r="Z2256" s="1769"/>
    </row>
    <row r="2257" spans="6:26" ht="18" customHeight="1">
      <c r="F2257" s="154"/>
      <c r="I2257" s="673"/>
      <c r="J2257" s="209"/>
      <c r="L2257" s="154"/>
      <c r="M2257" s="222"/>
      <c r="P2257" s="1597"/>
      <c r="R2257" s="1598"/>
      <c r="T2257" s="1768"/>
      <c r="V2257" s="1769"/>
      <c r="X2257" s="1768"/>
      <c r="Z2257" s="1769"/>
    </row>
    <row r="2258" spans="6:26" ht="18" customHeight="1">
      <c r="F2258" s="154"/>
      <c r="I2258" s="673"/>
      <c r="J2258" s="209"/>
      <c r="L2258" s="154"/>
      <c r="M2258" s="222"/>
      <c r="P2258" s="1597"/>
      <c r="R2258" s="1598"/>
      <c r="T2258" s="1768"/>
      <c r="V2258" s="1769"/>
      <c r="X2258" s="1768"/>
      <c r="Z2258" s="1769"/>
    </row>
    <row r="2259" spans="6:26" ht="18" customHeight="1">
      <c r="F2259" s="154"/>
      <c r="I2259" s="673"/>
      <c r="J2259" s="209"/>
      <c r="L2259" s="154"/>
      <c r="M2259" s="222"/>
      <c r="P2259" s="1597"/>
      <c r="R2259" s="1598"/>
      <c r="T2259" s="1768"/>
      <c r="V2259" s="1769"/>
      <c r="X2259" s="1768"/>
      <c r="Z2259" s="1769"/>
    </row>
    <row r="2260" spans="6:26" ht="18" customHeight="1">
      <c r="F2260" s="154"/>
      <c r="I2260" s="673"/>
      <c r="J2260" s="209"/>
      <c r="L2260" s="154"/>
      <c r="M2260" s="222"/>
      <c r="P2260" s="1597"/>
      <c r="R2260" s="1598"/>
      <c r="T2260" s="1768"/>
      <c r="V2260" s="1769"/>
      <c r="X2260" s="1768"/>
      <c r="Z2260" s="1769"/>
    </row>
    <row r="2261" spans="6:26" ht="18" customHeight="1">
      <c r="F2261" s="154"/>
      <c r="I2261" s="673"/>
      <c r="J2261" s="209"/>
      <c r="L2261" s="154"/>
      <c r="M2261" s="222"/>
      <c r="P2261" s="1597"/>
      <c r="R2261" s="1598"/>
      <c r="T2261" s="1768"/>
      <c r="V2261" s="1769"/>
      <c r="X2261" s="1768"/>
      <c r="Z2261" s="1769"/>
    </row>
    <row r="2262" spans="6:26" ht="18" customHeight="1">
      <c r="F2262" s="154"/>
      <c r="I2262" s="673"/>
      <c r="J2262" s="209"/>
      <c r="L2262" s="154"/>
      <c r="M2262" s="222"/>
      <c r="P2262" s="1597"/>
      <c r="R2262" s="1598"/>
      <c r="T2262" s="1768"/>
      <c r="V2262" s="1769"/>
      <c r="X2262" s="1768"/>
      <c r="Z2262" s="1769"/>
    </row>
    <row r="2263" spans="6:26" ht="18" customHeight="1">
      <c r="F2263" s="154"/>
      <c r="I2263" s="673"/>
      <c r="J2263" s="209"/>
      <c r="L2263" s="154"/>
      <c r="M2263" s="222"/>
      <c r="P2263" s="1597"/>
      <c r="R2263" s="1598"/>
      <c r="T2263" s="1768"/>
      <c r="V2263" s="1769"/>
      <c r="X2263" s="1768"/>
      <c r="Z2263" s="1769"/>
    </row>
    <row r="2264" spans="6:26" ht="18" customHeight="1">
      <c r="F2264" s="154"/>
      <c r="I2264" s="673"/>
      <c r="J2264" s="209"/>
      <c r="L2264" s="154"/>
      <c r="M2264" s="222"/>
      <c r="P2264" s="1597"/>
      <c r="R2264" s="1598"/>
      <c r="T2264" s="1768"/>
      <c r="V2264" s="1769"/>
      <c r="X2264" s="1768"/>
      <c r="Z2264" s="1769"/>
    </row>
    <row r="2265" spans="6:26" ht="18" customHeight="1">
      <c r="F2265" s="154"/>
      <c r="I2265" s="673"/>
      <c r="J2265" s="209"/>
      <c r="L2265" s="154"/>
      <c r="M2265" s="222"/>
      <c r="P2265" s="1597"/>
      <c r="R2265" s="1598"/>
      <c r="T2265" s="1768"/>
      <c r="V2265" s="1769"/>
      <c r="X2265" s="1768"/>
      <c r="Z2265" s="1769"/>
    </row>
    <row r="2266" spans="6:26" ht="18" customHeight="1">
      <c r="F2266" s="154"/>
      <c r="I2266" s="673"/>
      <c r="J2266" s="209"/>
      <c r="L2266" s="154"/>
      <c r="M2266" s="222"/>
      <c r="P2266" s="1597"/>
      <c r="R2266" s="1598"/>
      <c r="T2266" s="1768"/>
      <c r="V2266" s="1769"/>
      <c r="X2266" s="1768"/>
      <c r="Z2266" s="1769"/>
    </row>
    <row r="2267" spans="6:26" ht="18" customHeight="1">
      <c r="F2267" s="154"/>
      <c r="I2267" s="673"/>
      <c r="J2267" s="209"/>
      <c r="L2267" s="154"/>
      <c r="M2267" s="222"/>
      <c r="P2267" s="1597"/>
      <c r="R2267" s="1598"/>
      <c r="T2267" s="1768"/>
      <c r="V2267" s="1769"/>
      <c r="X2267" s="1768"/>
      <c r="Z2267" s="1769"/>
    </row>
    <row r="2268" spans="6:26" ht="18" customHeight="1">
      <c r="F2268" s="154"/>
      <c r="I2268" s="673"/>
      <c r="J2268" s="209"/>
      <c r="L2268" s="154"/>
      <c r="M2268" s="222"/>
      <c r="P2268" s="1597"/>
      <c r="R2268" s="1598"/>
      <c r="T2268" s="1768"/>
      <c r="V2268" s="1769"/>
      <c r="X2268" s="1768"/>
      <c r="Z2268" s="1769"/>
    </row>
    <row r="2269" spans="6:26" ht="18" customHeight="1">
      <c r="F2269" s="154"/>
      <c r="I2269" s="673"/>
      <c r="J2269" s="209"/>
      <c r="L2269" s="154"/>
      <c r="M2269" s="222"/>
      <c r="P2269" s="1597"/>
      <c r="R2269" s="1598"/>
      <c r="T2269" s="1768"/>
      <c r="V2269" s="1769"/>
      <c r="X2269" s="1768"/>
      <c r="Z2269" s="1769"/>
    </row>
    <row r="2270" spans="6:26" ht="18" customHeight="1">
      <c r="F2270" s="154"/>
      <c r="I2270" s="673"/>
      <c r="J2270" s="209"/>
      <c r="L2270" s="154"/>
      <c r="M2270" s="222"/>
      <c r="P2270" s="1597"/>
      <c r="R2270" s="1598"/>
      <c r="T2270" s="1768"/>
      <c r="V2270" s="1769"/>
      <c r="X2270" s="1768"/>
      <c r="Z2270" s="1769"/>
    </row>
    <row r="2271" spans="6:26" ht="18" customHeight="1">
      <c r="F2271" s="154"/>
      <c r="I2271" s="673"/>
      <c r="J2271" s="209"/>
      <c r="L2271" s="154"/>
      <c r="M2271" s="222"/>
      <c r="P2271" s="1597"/>
      <c r="R2271" s="1598"/>
      <c r="T2271" s="1768"/>
      <c r="V2271" s="1769"/>
      <c r="X2271" s="1768"/>
      <c r="Z2271" s="1769"/>
    </row>
    <row r="2272" spans="6:26" ht="18" customHeight="1">
      <c r="F2272" s="154"/>
      <c r="I2272" s="673"/>
      <c r="J2272" s="209"/>
      <c r="L2272" s="154"/>
      <c r="M2272" s="222"/>
      <c r="P2272" s="1597"/>
      <c r="R2272" s="1598"/>
      <c r="T2272" s="1768"/>
      <c r="V2272" s="1769"/>
      <c r="X2272" s="1768"/>
      <c r="Z2272" s="1769"/>
    </row>
    <row r="2273" spans="6:26" ht="18" customHeight="1">
      <c r="F2273" s="154"/>
      <c r="I2273" s="673"/>
      <c r="J2273" s="209"/>
      <c r="L2273" s="154"/>
      <c r="M2273" s="222"/>
      <c r="P2273" s="1597"/>
      <c r="R2273" s="1598"/>
      <c r="T2273" s="1768"/>
      <c r="V2273" s="1769"/>
      <c r="X2273" s="1768"/>
      <c r="Z2273" s="1769"/>
    </row>
    <row r="2274" spans="6:26" ht="18" customHeight="1">
      <c r="F2274" s="154"/>
      <c r="I2274" s="673"/>
      <c r="J2274" s="209"/>
      <c r="L2274" s="154"/>
      <c r="M2274" s="222"/>
      <c r="P2274" s="1597"/>
      <c r="R2274" s="1598"/>
      <c r="T2274" s="1768"/>
      <c r="V2274" s="1769"/>
      <c r="X2274" s="1768"/>
      <c r="Z2274" s="1769"/>
    </row>
    <row r="2275" spans="6:26" ht="18" customHeight="1">
      <c r="F2275" s="154"/>
      <c r="I2275" s="673"/>
      <c r="J2275" s="209"/>
      <c r="L2275" s="154"/>
      <c r="M2275" s="222"/>
      <c r="P2275" s="1597"/>
      <c r="R2275" s="1598"/>
      <c r="T2275" s="1768"/>
      <c r="V2275" s="1769"/>
      <c r="X2275" s="1768"/>
      <c r="Z2275" s="1769"/>
    </row>
    <row r="2276" spans="6:26" ht="18" customHeight="1">
      <c r="F2276" s="154"/>
      <c r="I2276" s="673"/>
      <c r="J2276" s="209"/>
      <c r="L2276" s="154"/>
      <c r="M2276" s="222"/>
      <c r="P2276" s="1597"/>
      <c r="R2276" s="1598"/>
      <c r="T2276" s="1768"/>
      <c r="V2276" s="1769"/>
      <c r="X2276" s="1768"/>
      <c r="Z2276" s="1769"/>
    </row>
    <row r="2277" spans="6:26" ht="18" customHeight="1">
      <c r="F2277" s="154"/>
      <c r="I2277" s="673"/>
      <c r="J2277" s="209"/>
      <c r="L2277" s="154"/>
      <c r="M2277" s="222"/>
      <c r="P2277" s="1597"/>
      <c r="R2277" s="1598"/>
      <c r="T2277" s="1768"/>
      <c r="V2277" s="1769"/>
      <c r="X2277" s="1768"/>
      <c r="Z2277" s="1769"/>
    </row>
    <row r="2278" spans="6:26" ht="18" customHeight="1">
      <c r="F2278" s="154"/>
      <c r="I2278" s="673"/>
      <c r="J2278" s="209"/>
      <c r="L2278" s="154"/>
      <c r="M2278" s="222"/>
      <c r="P2278" s="1597"/>
      <c r="R2278" s="1598"/>
      <c r="T2278" s="1768"/>
      <c r="V2278" s="1769"/>
      <c r="X2278" s="1768"/>
      <c r="Z2278" s="1769"/>
    </row>
    <row r="2279" spans="6:26" ht="18" customHeight="1">
      <c r="F2279" s="154"/>
      <c r="I2279" s="673"/>
      <c r="J2279" s="209"/>
      <c r="L2279" s="154"/>
      <c r="M2279" s="222"/>
      <c r="P2279" s="1597"/>
      <c r="R2279" s="1598"/>
      <c r="T2279" s="1768"/>
      <c r="V2279" s="1769"/>
      <c r="X2279" s="1768"/>
      <c r="Z2279" s="1769"/>
    </row>
    <row r="2280" spans="6:26" ht="18" customHeight="1">
      <c r="F2280" s="154"/>
      <c r="I2280" s="673"/>
      <c r="J2280" s="209"/>
      <c r="L2280" s="154"/>
      <c r="M2280" s="222"/>
      <c r="P2280" s="1597"/>
      <c r="R2280" s="1598"/>
      <c r="T2280" s="1768"/>
      <c r="V2280" s="1769"/>
      <c r="X2280" s="1768"/>
      <c r="Z2280" s="1769"/>
    </row>
    <row r="2281" spans="6:26" ht="18" customHeight="1">
      <c r="F2281" s="154"/>
      <c r="I2281" s="673"/>
      <c r="J2281" s="209"/>
      <c r="L2281" s="154"/>
      <c r="M2281" s="222"/>
      <c r="P2281" s="1597"/>
      <c r="R2281" s="1598"/>
      <c r="T2281" s="1768"/>
      <c r="V2281" s="1769"/>
      <c r="X2281" s="1768"/>
      <c r="Z2281" s="1769"/>
    </row>
    <row r="2282" spans="6:26" ht="18" customHeight="1">
      <c r="F2282" s="154"/>
      <c r="I2282" s="673"/>
      <c r="J2282" s="209"/>
      <c r="L2282" s="154"/>
      <c r="M2282" s="222"/>
      <c r="P2282" s="1597"/>
      <c r="R2282" s="1598"/>
      <c r="T2282" s="1768"/>
      <c r="V2282" s="1769"/>
      <c r="X2282" s="1768"/>
      <c r="Z2282" s="1769"/>
    </row>
    <row r="2283" spans="6:26" ht="18" customHeight="1">
      <c r="F2283" s="154"/>
      <c r="I2283" s="673"/>
      <c r="J2283" s="209"/>
      <c r="L2283" s="154"/>
      <c r="M2283" s="222"/>
      <c r="P2283" s="1597"/>
      <c r="R2283" s="1598"/>
      <c r="T2283" s="1768"/>
      <c r="V2283" s="1769"/>
      <c r="X2283" s="1768"/>
      <c r="Z2283" s="1769"/>
    </row>
    <row r="2284" spans="6:26" ht="18" customHeight="1">
      <c r="F2284" s="154"/>
      <c r="I2284" s="673"/>
      <c r="J2284" s="209"/>
      <c r="L2284" s="154"/>
      <c r="M2284" s="222"/>
      <c r="P2284" s="1597"/>
      <c r="R2284" s="1598"/>
      <c r="T2284" s="1768"/>
      <c r="V2284" s="1769"/>
      <c r="X2284" s="1768"/>
      <c r="Z2284" s="1769"/>
    </row>
    <row r="2285" spans="6:26" ht="18" customHeight="1">
      <c r="F2285" s="154"/>
      <c r="I2285" s="673"/>
      <c r="J2285" s="209"/>
      <c r="L2285" s="154"/>
      <c r="M2285" s="222"/>
      <c r="P2285" s="1597"/>
      <c r="R2285" s="1598"/>
      <c r="T2285" s="1768"/>
      <c r="V2285" s="1769"/>
      <c r="X2285" s="1768"/>
      <c r="Z2285" s="1769"/>
    </row>
    <row r="2286" spans="6:26" ht="18" customHeight="1">
      <c r="F2286" s="154"/>
      <c r="I2286" s="673"/>
      <c r="J2286" s="209"/>
      <c r="L2286" s="154"/>
      <c r="M2286" s="222"/>
      <c r="P2286" s="1597"/>
      <c r="R2286" s="1598"/>
      <c r="T2286" s="1768"/>
      <c r="V2286" s="1769"/>
      <c r="X2286" s="1768"/>
      <c r="Z2286" s="1769"/>
    </row>
    <row r="2287" spans="6:26" ht="18" customHeight="1">
      <c r="F2287" s="154"/>
      <c r="I2287" s="673"/>
      <c r="J2287" s="209"/>
      <c r="L2287" s="154"/>
      <c r="M2287" s="222"/>
      <c r="P2287" s="1597"/>
      <c r="R2287" s="1598"/>
      <c r="T2287" s="1768"/>
      <c r="V2287" s="1769"/>
      <c r="X2287" s="1768"/>
      <c r="Z2287" s="1769"/>
    </row>
    <row r="2288" spans="6:26" ht="18" customHeight="1">
      <c r="F2288" s="154"/>
      <c r="I2288" s="673"/>
      <c r="J2288" s="209"/>
      <c r="L2288" s="154"/>
      <c r="M2288" s="222"/>
      <c r="P2288" s="1597"/>
      <c r="R2288" s="1598"/>
      <c r="T2288" s="1768"/>
      <c r="V2288" s="1769"/>
      <c r="X2288" s="1768"/>
      <c r="Z2288" s="1769"/>
    </row>
    <row r="2289" spans="6:26" ht="18" customHeight="1">
      <c r="F2289" s="154"/>
      <c r="I2289" s="673"/>
      <c r="J2289" s="209"/>
      <c r="L2289" s="154"/>
      <c r="M2289" s="222"/>
      <c r="P2289" s="1597"/>
      <c r="R2289" s="1598"/>
      <c r="T2289" s="1768"/>
      <c r="V2289" s="1769"/>
      <c r="X2289" s="1768"/>
      <c r="Z2289" s="1769"/>
    </row>
    <row r="2290" spans="6:26" ht="18" customHeight="1">
      <c r="F2290" s="154"/>
      <c r="I2290" s="673"/>
      <c r="J2290" s="209"/>
      <c r="L2290" s="154"/>
      <c r="M2290" s="222"/>
      <c r="P2290" s="1597"/>
      <c r="R2290" s="1598"/>
      <c r="T2290" s="1768"/>
      <c r="V2290" s="1769"/>
      <c r="X2290" s="1768"/>
      <c r="Z2290" s="1769"/>
    </row>
    <row r="2291" spans="6:26" ht="18" customHeight="1">
      <c r="F2291" s="154"/>
      <c r="I2291" s="673"/>
      <c r="J2291" s="209"/>
      <c r="L2291" s="154"/>
      <c r="M2291" s="222"/>
      <c r="P2291" s="1597"/>
      <c r="R2291" s="1598"/>
      <c r="T2291" s="1768"/>
      <c r="V2291" s="1769"/>
      <c r="X2291" s="1768"/>
      <c r="Z2291" s="1769"/>
    </row>
    <row r="2292" spans="6:26" ht="18" customHeight="1">
      <c r="F2292" s="154"/>
      <c r="I2292" s="673"/>
      <c r="J2292" s="209"/>
      <c r="L2292" s="154"/>
      <c r="M2292" s="222"/>
      <c r="P2292" s="1597"/>
      <c r="R2292" s="1598"/>
      <c r="T2292" s="1768"/>
      <c r="V2292" s="1769"/>
      <c r="X2292" s="1768"/>
      <c r="Z2292" s="1769"/>
    </row>
    <row r="2293" spans="6:26" ht="18" customHeight="1">
      <c r="F2293" s="154"/>
      <c r="I2293" s="673"/>
      <c r="J2293" s="209"/>
      <c r="L2293" s="154"/>
      <c r="M2293" s="222"/>
      <c r="P2293" s="1597"/>
      <c r="R2293" s="1598"/>
      <c r="T2293" s="1768"/>
      <c r="V2293" s="1769"/>
      <c r="X2293" s="1768"/>
      <c r="Z2293" s="1769"/>
    </row>
    <row r="2294" spans="6:26" ht="18" customHeight="1">
      <c r="F2294" s="154"/>
      <c r="I2294" s="673"/>
      <c r="J2294" s="209"/>
      <c r="L2294" s="154"/>
      <c r="M2294" s="222"/>
      <c r="P2294" s="1597"/>
      <c r="R2294" s="1598"/>
      <c r="T2294" s="1768"/>
      <c r="V2294" s="1769"/>
      <c r="X2294" s="1768"/>
      <c r="Z2294" s="1769"/>
    </row>
    <row r="2295" spans="6:26" ht="18" customHeight="1">
      <c r="F2295" s="154"/>
      <c r="I2295" s="673"/>
      <c r="J2295" s="209"/>
      <c r="L2295" s="154"/>
      <c r="M2295" s="222"/>
      <c r="P2295" s="1597"/>
      <c r="R2295" s="1598"/>
      <c r="T2295" s="1768"/>
      <c r="V2295" s="1769"/>
      <c r="X2295" s="1768"/>
      <c r="Z2295" s="1769"/>
    </row>
    <row r="2296" spans="6:26" ht="18" customHeight="1">
      <c r="F2296" s="154"/>
      <c r="I2296" s="673"/>
      <c r="J2296" s="209"/>
      <c r="L2296" s="154"/>
      <c r="M2296" s="222"/>
      <c r="P2296" s="1597"/>
      <c r="R2296" s="1598"/>
      <c r="T2296" s="1768"/>
      <c r="V2296" s="1769"/>
      <c r="X2296" s="1768"/>
      <c r="Z2296" s="1769"/>
    </row>
    <row r="2297" spans="6:26" ht="18" customHeight="1">
      <c r="F2297" s="154"/>
      <c r="I2297" s="673"/>
      <c r="J2297" s="209"/>
      <c r="L2297" s="154"/>
      <c r="M2297" s="222"/>
      <c r="P2297" s="1597"/>
      <c r="R2297" s="1598"/>
      <c r="T2297" s="1768"/>
      <c r="V2297" s="1769"/>
      <c r="X2297" s="1768"/>
      <c r="Z2297" s="1769"/>
    </row>
    <row r="2298" spans="6:26" ht="18" customHeight="1">
      <c r="F2298" s="154"/>
      <c r="I2298" s="673"/>
      <c r="J2298" s="209"/>
      <c r="L2298" s="154"/>
      <c r="M2298" s="222"/>
      <c r="P2298" s="1597"/>
      <c r="R2298" s="1598"/>
      <c r="T2298" s="1768"/>
      <c r="V2298" s="1769"/>
      <c r="X2298" s="1768"/>
      <c r="Z2298" s="1769"/>
    </row>
    <row r="2299" spans="6:26" ht="18" customHeight="1">
      <c r="F2299" s="154"/>
      <c r="I2299" s="673"/>
      <c r="J2299" s="209"/>
      <c r="L2299" s="154"/>
      <c r="M2299" s="222"/>
      <c r="P2299" s="1597"/>
      <c r="R2299" s="1598"/>
      <c r="T2299" s="1768"/>
      <c r="V2299" s="1769"/>
      <c r="X2299" s="1768"/>
      <c r="Z2299" s="1769"/>
    </row>
    <row r="2300" spans="6:26" ht="18" customHeight="1">
      <c r="F2300" s="154"/>
      <c r="I2300" s="673"/>
      <c r="J2300" s="209"/>
      <c r="L2300" s="154"/>
      <c r="M2300" s="222"/>
      <c r="P2300" s="1597"/>
      <c r="R2300" s="1598"/>
      <c r="T2300" s="1768"/>
      <c r="V2300" s="1769"/>
      <c r="X2300" s="1768"/>
      <c r="Z2300" s="1769"/>
    </row>
    <row r="2301" spans="6:26" ht="18" customHeight="1">
      <c r="F2301" s="154"/>
      <c r="I2301" s="673"/>
      <c r="J2301" s="209"/>
      <c r="L2301" s="154"/>
      <c r="M2301" s="222"/>
      <c r="P2301" s="1597"/>
      <c r="R2301" s="1598"/>
      <c r="T2301" s="1768"/>
      <c r="V2301" s="1769"/>
      <c r="X2301" s="1768"/>
      <c r="Z2301" s="1769"/>
    </row>
    <row r="2302" spans="6:26" ht="18" customHeight="1">
      <c r="F2302" s="154"/>
      <c r="I2302" s="673"/>
      <c r="J2302" s="209"/>
      <c r="L2302" s="154"/>
      <c r="M2302" s="222"/>
      <c r="P2302" s="1597"/>
      <c r="R2302" s="1598"/>
      <c r="T2302" s="1768"/>
      <c r="V2302" s="1769"/>
      <c r="X2302" s="1768"/>
      <c r="Z2302" s="1769"/>
    </row>
    <row r="2303" spans="6:26" ht="18" customHeight="1">
      <c r="F2303" s="154"/>
      <c r="I2303" s="673"/>
      <c r="J2303" s="209"/>
      <c r="L2303" s="154"/>
      <c r="M2303" s="222"/>
      <c r="P2303" s="1597"/>
      <c r="R2303" s="1598"/>
      <c r="T2303" s="1768"/>
      <c r="V2303" s="1769"/>
      <c r="X2303" s="1768"/>
      <c r="Z2303" s="1769"/>
    </row>
    <row r="2304" spans="6:26" ht="18" customHeight="1">
      <c r="F2304" s="154"/>
      <c r="I2304" s="673"/>
      <c r="J2304" s="209"/>
      <c r="L2304" s="154"/>
      <c r="M2304" s="222"/>
      <c r="P2304" s="1597"/>
      <c r="R2304" s="1598"/>
      <c r="T2304" s="1768"/>
      <c r="V2304" s="1769"/>
      <c r="X2304" s="1768"/>
      <c r="Z2304" s="1769"/>
    </row>
    <row r="2305" spans="6:26" ht="18" customHeight="1">
      <c r="F2305" s="154"/>
      <c r="I2305" s="673"/>
      <c r="J2305" s="209"/>
      <c r="L2305" s="154"/>
      <c r="M2305" s="222"/>
      <c r="P2305" s="1597"/>
      <c r="R2305" s="1598"/>
      <c r="T2305" s="1768"/>
      <c r="V2305" s="1769"/>
      <c r="X2305" s="1768"/>
      <c r="Z2305" s="1769"/>
    </row>
    <row r="2306" spans="6:26" ht="18" customHeight="1">
      <c r="F2306" s="154"/>
      <c r="I2306" s="673"/>
      <c r="J2306" s="209"/>
      <c r="L2306" s="154"/>
      <c r="M2306" s="222"/>
      <c r="P2306" s="1597"/>
      <c r="R2306" s="1598"/>
      <c r="T2306" s="1768"/>
      <c r="V2306" s="1769"/>
      <c r="X2306" s="1768"/>
      <c r="Z2306" s="1769"/>
    </row>
    <row r="2307" spans="6:26" ht="18" customHeight="1">
      <c r="F2307" s="154"/>
      <c r="I2307" s="673"/>
      <c r="J2307" s="209"/>
      <c r="L2307" s="154"/>
      <c r="M2307" s="222"/>
      <c r="P2307" s="1597"/>
      <c r="R2307" s="1598"/>
      <c r="T2307" s="1768"/>
      <c r="V2307" s="1769"/>
      <c r="X2307" s="1768"/>
      <c r="Z2307" s="1769"/>
    </row>
    <row r="2308" spans="6:26" ht="18" customHeight="1">
      <c r="F2308" s="154"/>
      <c r="I2308" s="673"/>
      <c r="J2308" s="209"/>
      <c r="L2308" s="154"/>
      <c r="M2308" s="222"/>
      <c r="P2308" s="1597"/>
      <c r="R2308" s="1598"/>
      <c r="T2308" s="1768"/>
      <c r="V2308" s="1769"/>
      <c r="X2308" s="1768"/>
      <c r="Z2308" s="1769"/>
    </row>
    <row r="2309" spans="6:26" ht="18" customHeight="1">
      <c r="F2309" s="154"/>
      <c r="I2309" s="673"/>
      <c r="J2309" s="209"/>
      <c r="L2309" s="154"/>
      <c r="M2309" s="222"/>
      <c r="P2309" s="1597"/>
      <c r="R2309" s="1598"/>
      <c r="T2309" s="1768"/>
      <c r="V2309" s="1769"/>
      <c r="X2309" s="1768"/>
      <c r="Z2309" s="1769"/>
    </row>
    <row r="2310" spans="6:26" ht="18" customHeight="1">
      <c r="F2310" s="154"/>
      <c r="I2310" s="673"/>
      <c r="J2310" s="209"/>
      <c r="L2310" s="154"/>
      <c r="M2310" s="222"/>
      <c r="P2310" s="1597"/>
      <c r="R2310" s="1598"/>
      <c r="T2310" s="1768"/>
      <c r="V2310" s="1769"/>
      <c r="X2310" s="1768"/>
      <c r="Z2310" s="1769"/>
    </row>
    <row r="2311" spans="6:26" ht="18" customHeight="1">
      <c r="F2311" s="154"/>
      <c r="I2311" s="673"/>
      <c r="J2311" s="209"/>
      <c r="L2311" s="154"/>
      <c r="M2311" s="222"/>
      <c r="P2311" s="1597"/>
      <c r="R2311" s="1598"/>
      <c r="T2311" s="1768"/>
      <c r="V2311" s="1769"/>
      <c r="X2311" s="1768"/>
      <c r="Z2311" s="1769"/>
    </row>
    <row r="2312" spans="6:26" ht="18" customHeight="1">
      <c r="F2312" s="154"/>
      <c r="I2312" s="673"/>
      <c r="J2312" s="209"/>
      <c r="L2312" s="154"/>
      <c r="M2312" s="222"/>
      <c r="P2312" s="1597"/>
      <c r="R2312" s="1598"/>
      <c r="T2312" s="1768"/>
      <c r="V2312" s="1769"/>
      <c r="X2312" s="1768"/>
      <c r="Z2312" s="1769"/>
    </row>
    <row r="2313" spans="6:26" ht="18" customHeight="1">
      <c r="F2313" s="154"/>
      <c r="I2313" s="673"/>
      <c r="J2313" s="209"/>
      <c r="L2313" s="154"/>
      <c r="M2313" s="222"/>
      <c r="P2313" s="1597"/>
      <c r="R2313" s="1598"/>
      <c r="T2313" s="1768"/>
      <c r="V2313" s="1769"/>
      <c r="X2313" s="1768"/>
      <c r="Z2313" s="1769"/>
    </row>
    <row r="2314" spans="6:26" ht="18" customHeight="1">
      <c r="F2314" s="154"/>
      <c r="I2314" s="673"/>
      <c r="J2314" s="209"/>
      <c r="L2314" s="154"/>
      <c r="M2314" s="222"/>
      <c r="P2314" s="1597"/>
      <c r="R2314" s="1598"/>
      <c r="T2314" s="1768"/>
      <c r="V2314" s="1769"/>
      <c r="X2314" s="1768"/>
      <c r="Z2314" s="1769"/>
    </row>
    <row r="2315" spans="6:26" ht="18" customHeight="1">
      <c r="F2315" s="154"/>
      <c r="I2315" s="673"/>
      <c r="J2315" s="209"/>
      <c r="L2315" s="154"/>
      <c r="M2315" s="222"/>
      <c r="P2315" s="1597"/>
      <c r="R2315" s="1598"/>
      <c r="T2315" s="1768"/>
      <c r="V2315" s="1769"/>
      <c r="X2315" s="1768"/>
      <c r="Z2315" s="1769"/>
    </row>
    <row r="2316" spans="6:26" ht="18" customHeight="1">
      <c r="F2316" s="154"/>
      <c r="I2316" s="673"/>
      <c r="J2316" s="209"/>
      <c r="L2316" s="154"/>
      <c r="M2316" s="222"/>
      <c r="P2316" s="1597"/>
      <c r="R2316" s="1598"/>
      <c r="T2316" s="1768"/>
      <c r="V2316" s="1769"/>
      <c r="X2316" s="1768"/>
      <c r="Z2316" s="1769"/>
    </row>
    <row r="2317" spans="6:26" ht="18" customHeight="1">
      <c r="F2317" s="154"/>
      <c r="I2317" s="673"/>
      <c r="J2317" s="209"/>
      <c r="L2317" s="154"/>
      <c r="M2317" s="222"/>
      <c r="P2317" s="1597"/>
      <c r="R2317" s="1598"/>
      <c r="T2317" s="1768"/>
      <c r="V2317" s="1769"/>
      <c r="X2317" s="1768"/>
      <c r="Z2317" s="1769"/>
    </row>
    <row r="2318" spans="6:26" ht="18" customHeight="1">
      <c r="F2318" s="154"/>
      <c r="I2318" s="673"/>
      <c r="J2318" s="209"/>
      <c r="L2318" s="154"/>
      <c r="M2318" s="222"/>
      <c r="P2318" s="1597"/>
      <c r="R2318" s="1598"/>
      <c r="T2318" s="1768"/>
      <c r="V2318" s="1769"/>
      <c r="X2318" s="1768"/>
      <c r="Z2318" s="1769"/>
    </row>
    <row r="2319" spans="6:26" ht="18" customHeight="1">
      <c r="F2319" s="154"/>
      <c r="I2319" s="673"/>
      <c r="J2319" s="209"/>
      <c r="L2319" s="154"/>
      <c r="M2319" s="222"/>
      <c r="P2319" s="1597"/>
      <c r="R2319" s="1598"/>
      <c r="T2319" s="1768"/>
      <c r="V2319" s="1769"/>
      <c r="X2319" s="1768"/>
      <c r="Z2319" s="1769"/>
    </row>
    <row r="2320" spans="6:26" ht="18" customHeight="1">
      <c r="F2320" s="154"/>
      <c r="I2320" s="673"/>
      <c r="J2320" s="209"/>
      <c r="L2320" s="154"/>
      <c r="M2320" s="222"/>
      <c r="P2320" s="1597"/>
      <c r="R2320" s="1598"/>
      <c r="T2320" s="1768"/>
      <c r="V2320" s="1769"/>
      <c r="X2320" s="1768"/>
      <c r="Z2320" s="1769"/>
    </row>
    <row r="2321" spans="6:26" ht="18" customHeight="1">
      <c r="F2321" s="154"/>
      <c r="I2321" s="673"/>
      <c r="J2321" s="209"/>
      <c r="L2321" s="154"/>
      <c r="M2321" s="222"/>
      <c r="P2321" s="1597"/>
      <c r="R2321" s="1598"/>
      <c r="T2321" s="1768"/>
      <c r="V2321" s="1769"/>
      <c r="X2321" s="1768"/>
      <c r="Z2321" s="1769"/>
    </row>
    <row r="2322" spans="6:26" ht="18" customHeight="1">
      <c r="F2322" s="154"/>
      <c r="I2322" s="673"/>
      <c r="J2322" s="209"/>
      <c r="L2322" s="154"/>
      <c r="M2322" s="222"/>
      <c r="P2322" s="1597"/>
      <c r="R2322" s="1598"/>
      <c r="T2322" s="1768"/>
      <c r="V2322" s="1769"/>
      <c r="X2322" s="1768"/>
      <c r="Z2322" s="1769"/>
    </row>
    <row r="2323" spans="6:26" ht="18" customHeight="1">
      <c r="F2323" s="154"/>
      <c r="I2323" s="673"/>
      <c r="J2323" s="209"/>
      <c r="L2323" s="154"/>
      <c r="M2323" s="222"/>
      <c r="P2323" s="1597"/>
      <c r="R2323" s="1598"/>
      <c r="T2323" s="1768"/>
      <c r="V2323" s="1769"/>
      <c r="X2323" s="1768"/>
      <c r="Z2323" s="1769"/>
    </row>
    <row r="2324" spans="6:26" ht="18" customHeight="1">
      <c r="F2324" s="154"/>
      <c r="I2324" s="673"/>
      <c r="J2324" s="209"/>
      <c r="L2324" s="154"/>
      <c r="M2324" s="222"/>
      <c r="P2324" s="1597"/>
      <c r="R2324" s="1598"/>
      <c r="T2324" s="1768"/>
      <c r="V2324" s="1769"/>
      <c r="X2324" s="1768"/>
      <c r="Z2324" s="1769"/>
    </row>
    <row r="2325" spans="6:26" ht="18" customHeight="1">
      <c r="F2325" s="154"/>
      <c r="I2325" s="673"/>
      <c r="J2325" s="209"/>
      <c r="L2325" s="154"/>
      <c r="M2325" s="222"/>
      <c r="P2325" s="1597"/>
      <c r="R2325" s="1598"/>
      <c r="T2325" s="1768"/>
      <c r="V2325" s="1769"/>
      <c r="X2325" s="1768"/>
      <c r="Z2325" s="1769"/>
    </row>
    <row r="2326" spans="6:26" ht="18" customHeight="1">
      <c r="F2326" s="154"/>
      <c r="I2326" s="673"/>
      <c r="J2326" s="209"/>
      <c r="L2326" s="154"/>
      <c r="M2326" s="222"/>
      <c r="P2326" s="1597"/>
      <c r="R2326" s="1598"/>
      <c r="T2326" s="1768"/>
      <c r="V2326" s="1769"/>
      <c r="X2326" s="1768"/>
      <c r="Z2326" s="1769"/>
    </row>
    <row r="2327" spans="6:26" ht="18" customHeight="1">
      <c r="F2327" s="154"/>
      <c r="I2327" s="673"/>
      <c r="J2327" s="209"/>
      <c r="L2327" s="154"/>
      <c r="M2327" s="222"/>
      <c r="P2327" s="1597"/>
      <c r="R2327" s="1598"/>
      <c r="T2327" s="1768"/>
      <c r="V2327" s="1769"/>
      <c r="X2327" s="1768"/>
      <c r="Z2327" s="1769"/>
    </row>
    <row r="2328" spans="6:26" ht="18" customHeight="1">
      <c r="F2328" s="154"/>
      <c r="I2328" s="673"/>
      <c r="J2328" s="209"/>
      <c r="L2328" s="154"/>
      <c r="M2328" s="222"/>
      <c r="P2328" s="1597"/>
      <c r="R2328" s="1598"/>
      <c r="T2328" s="1768"/>
      <c r="V2328" s="1769"/>
      <c r="X2328" s="1768"/>
      <c r="Z2328" s="1769"/>
    </row>
    <row r="2329" spans="6:26" ht="18" customHeight="1">
      <c r="F2329" s="154"/>
      <c r="I2329" s="673"/>
      <c r="J2329" s="209"/>
      <c r="L2329" s="154"/>
      <c r="M2329" s="222"/>
      <c r="P2329" s="1597"/>
      <c r="R2329" s="1598"/>
      <c r="T2329" s="1768"/>
      <c r="V2329" s="1769"/>
      <c r="X2329" s="1768"/>
      <c r="Z2329" s="1769"/>
    </row>
    <row r="2330" spans="6:26" ht="18" customHeight="1">
      <c r="F2330" s="154"/>
      <c r="I2330" s="673"/>
      <c r="J2330" s="209"/>
      <c r="L2330" s="154"/>
      <c r="M2330" s="222"/>
      <c r="P2330" s="1597"/>
      <c r="R2330" s="1598"/>
      <c r="T2330" s="1768"/>
      <c r="V2330" s="1769"/>
      <c r="X2330" s="1768"/>
      <c r="Z2330" s="1769"/>
    </row>
    <row r="2331" spans="6:26" ht="18" customHeight="1">
      <c r="F2331" s="154"/>
      <c r="I2331" s="673"/>
      <c r="J2331" s="209"/>
      <c r="L2331" s="154"/>
      <c r="M2331" s="222"/>
      <c r="P2331" s="1597"/>
      <c r="R2331" s="1598"/>
      <c r="T2331" s="1768"/>
      <c r="V2331" s="1769"/>
      <c r="X2331" s="1768"/>
      <c r="Z2331" s="1769"/>
    </row>
    <row r="2332" spans="6:26" ht="18" customHeight="1">
      <c r="F2332" s="154"/>
      <c r="I2332" s="673"/>
      <c r="J2332" s="209"/>
      <c r="L2332" s="154"/>
      <c r="M2332" s="222"/>
      <c r="P2332" s="1597"/>
      <c r="R2332" s="1598"/>
      <c r="T2332" s="1768"/>
      <c r="V2332" s="1769"/>
      <c r="X2332" s="1768"/>
      <c r="Z2332" s="1769"/>
    </row>
    <row r="2333" spans="6:26" ht="18" customHeight="1">
      <c r="F2333" s="154"/>
      <c r="I2333" s="673"/>
      <c r="J2333" s="209"/>
      <c r="L2333" s="154"/>
      <c r="M2333" s="222"/>
      <c r="P2333" s="1597"/>
      <c r="R2333" s="1598"/>
      <c r="T2333" s="1768"/>
      <c r="V2333" s="1769"/>
      <c r="X2333" s="1768"/>
      <c r="Z2333" s="1769"/>
    </row>
    <row r="2334" spans="6:26" ht="18" customHeight="1">
      <c r="F2334" s="154"/>
      <c r="I2334" s="673"/>
      <c r="J2334" s="209"/>
      <c r="L2334" s="154"/>
      <c r="M2334" s="222"/>
      <c r="P2334" s="1597"/>
      <c r="R2334" s="1598"/>
      <c r="T2334" s="1768"/>
      <c r="V2334" s="1769"/>
      <c r="X2334" s="1768"/>
      <c r="Z2334" s="1769"/>
    </row>
    <row r="2335" spans="6:26" ht="18" customHeight="1">
      <c r="F2335" s="154"/>
      <c r="I2335" s="673"/>
      <c r="J2335" s="209"/>
      <c r="L2335" s="154"/>
      <c r="M2335" s="222"/>
      <c r="P2335" s="1597"/>
      <c r="R2335" s="1598"/>
      <c r="T2335" s="1768"/>
      <c r="V2335" s="1769"/>
      <c r="X2335" s="1768"/>
      <c r="Z2335" s="1769"/>
    </row>
    <row r="2336" spans="6:26" ht="18" customHeight="1">
      <c r="F2336" s="154"/>
      <c r="I2336" s="673"/>
      <c r="J2336" s="209"/>
      <c r="L2336" s="154"/>
      <c r="M2336" s="222"/>
      <c r="P2336" s="1597"/>
      <c r="R2336" s="1598"/>
      <c r="T2336" s="1768"/>
      <c r="V2336" s="1769"/>
      <c r="X2336" s="1768"/>
      <c r="Z2336" s="1769"/>
    </row>
    <row r="2337" spans="6:26" ht="18" customHeight="1">
      <c r="F2337" s="154"/>
      <c r="I2337" s="673"/>
      <c r="J2337" s="209"/>
      <c r="L2337" s="154"/>
      <c r="M2337" s="222"/>
      <c r="P2337" s="1597"/>
      <c r="R2337" s="1598"/>
      <c r="T2337" s="1768"/>
      <c r="V2337" s="1769"/>
      <c r="X2337" s="1768"/>
      <c r="Z2337" s="1769"/>
    </row>
    <row r="2338" spans="6:26" ht="18" customHeight="1">
      <c r="F2338" s="154"/>
      <c r="I2338" s="673"/>
      <c r="J2338" s="209"/>
      <c r="L2338" s="154"/>
      <c r="M2338" s="222"/>
      <c r="P2338" s="1597"/>
      <c r="R2338" s="1598"/>
      <c r="T2338" s="1768"/>
      <c r="V2338" s="1769"/>
      <c r="X2338" s="1768"/>
      <c r="Z2338" s="1769"/>
    </row>
    <row r="2339" spans="6:26" ht="18" customHeight="1">
      <c r="F2339" s="154"/>
      <c r="I2339" s="673"/>
      <c r="J2339" s="209"/>
      <c r="L2339" s="154"/>
      <c r="M2339" s="222"/>
      <c r="P2339" s="1597"/>
      <c r="R2339" s="1598"/>
      <c r="T2339" s="1768"/>
      <c r="V2339" s="1769"/>
      <c r="X2339" s="1768"/>
      <c r="Z2339" s="1769"/>
    </row>
    <row r="2340" spans="6:26" ht="18" customHeight="1">
      <c r="F2340" s="154"/>
      <c r="I2340" s="673"/>
      <c r="J2340" s="209"/>
      <c r="L2340" s="154"/>
      <c r="M2340" s="222"/>
      <c r="P2340" s="1597"/>
      <c r="R2340" s="1598"/>
      <c r="T2340" s="1768"/>
      <c r="V2340" s="1769"/>
      <c r="X2340" s="1768"/>
      <c r="Z2340" s="1769"/>
    </row>
    <row r="2341" spans="6:26" ht="18" customHeight="1">
      <c r="F2341" s="154"/>
      <c r="I2341" s="673"/>
      <c r="J2341" s="209"/>
      <c r="L2341" s="154"/>
      <c r="M2341" s="222"/>
      <c r="P2341" s="1597"/>
      <c r="R2341" s="1598"/>
      <c r="T2341" s="1768"/>
      <c r="V2341" s="1769"/>
      <c r="X2341" s="1768"/>
      <c r="Z2341" s="1769"/>
    </row>
    <row r="2342" spans="6:26" ht="18" customHeight="1">
      <c r="F2342" s="154"/>
      <c r="I2342" s="673"/>
      <c r="J2342" s="209"/>
      <c r="L2342" s="154"/>
      <c r="M2342" s="222"/>
      <c r="P2342" s="1597"/>
      <c r="R2342" s="1598"/>
      <c r="T2342" s="1768"/>
      <c r="V2342" s="1769"/>
      <c r="X2342" s="1768"/>
      <c r="Z2342" s="1769"/>
    </row>
    <row r="2343" spans="6:26" ht="18" customHeight="1">
      <c r="F2343" s="154"/>
      <c r="I2343" s="673"/>
      <c r="J2343" s="209"/>
      <c r="L2343" s="154"/>
      <c r="M2343" s="222"/>
      <c r="P2343" s="1597"/>
      <c r="R2343" s="1598"/>
      <c r="T2343" s="1768"/>
      <c r="V2343" s="1769"/>
      <c r="X2343" s="1768"/>
      <c r="Z2343" s="1769"/>
    </row>
    <row r="2344" spans="6:26" ht="18" customHeight="1">
      <c r="F2344" s="154"/>
      <c r="I2344" s="673"/>
      <c r="J2344" s="209"/>
      <c r="L2344" s="154"/>
      <c r="M2344" s="222"/>
      <c r="P2344" s="1597"/>
      <c r="R2344" s="1598"/>
      <c r="T2344" s="1768"/>
      <c r="V2344" s="1769"/>
      <c r="X2344" s="1768"/>
      <c r="Z2344" s="1769"/>
    </row>
    <row r="2345" spans="6:26" ht="18" customHeight="1">
      <c r="F2345" s="154"/>
      <c r="I2345" s="673"/>
      <c r="J2345" s="209"/>
      <c r="L2345" s="154"/>
      <c r="M2345" s="222"/>
      <c r="P2345" s="1597"/>
      <c r="R2345" s="1598"/>
      <c r="T2345" s="1768"/>
      <c r="V2345" s="1769"/>
      <c r="X2345" s="1768"/>
      <c r="Z2345" s="1769"/>
    </row>
    <row r="2346" spans="6:26" ht="18" customHeight="1">
      <c r="F2346" s="154"/>
      <c r="I2346" s="673"/>
      <c r="J2346" s="209"/>
      <c r="L2346" s="154"/>
      <c r="M2346" s="222"/>
      <c r="P2346" s="1597"/>
      <c r="R2346" s="1598"/>
      <c r="T2346" s="1768"/>
      <c r="V2346" s="1769"/>
      <c r="X2346" s="1768"/>
      <c r="Z2346" s="1769"/>
    </row>
    <row r="2347" spans="6:26" ht="18" customHeight="1">
      <c r="F2347" s="154"/>
      <c r="I2347" s="673"/>
      <c r="J2347" s="209"/>
      <c r="L2347" s="154"/>
      <c r="M2347" s="222"/>
      <c r="P2347" s="1597"/>
      <c r="R2347" s="1598"/>
      <c r="T2347" s="1768"/>
      <c r="V2347" s="1769"/>
      <c r="X2347" s="1768"/>
      <c r="Z2347" s="1769"/>
    </row>
    <row r="2348" spans="6:26" ht="18" customHeight="1">
      <c r="F2348" s="154"/>
      <c r="I2348" s="673"/>
      <c r="J2348" s="209"/>
      <c r="L2348" s="154"/>
      <c r="M2348" s="222"/>
      <c r="P2348" s="1597"/>
      <c r="R2348" s="1598"/>
      <c r="T2348" s="1768"/>
      <c r="V2348" s="1769"/>
      <c r="X2348" s="1768"/>
      <c r="Z2348" s="1769"/>
    </row>
    <row r="2349" spans="6:26" ht="18" customHeight="1">
      <c r="F2349" s="154"/>
      <c r="I2349" s="673"/>
      <c r="J2349" s="209"/>
      <c r="L2349" s="154"/>
      <c r="M2349" s="222"/>
      <c r="P2349" s="1597"/>
      <c r="R2349" s="1598"/>
      <c r="T2349" s="1768"/>
      <c r="V2349" s="1769"/>
      <c r="X2349" s="1768"/>
      <c r="Z2349" s="1769"/>
    </row>
    <row r="2350" spans="6:26" ht="18" customHeight="1">
      <c r="F2350" s="154"/>
      <c r="I2350" s="673"/>
      <c r="J2350" s="209"/>
      <c r="L2350" s="154"/>
      <c r="M2350" s="222"/>
      <c r="P2350" s="1597"/>
      <c r="R2350" s="1598"/>
      <c r="T2350" s="1768"/>
      <c r="V2350" s="1769"/>
      <c r="X2350" s="1768"/>
      <c r="Z2350" s="1769"/>
    </row>
    <row r="2351" spans="6:26" ht="18" customHeight="1">
      <c r="F2351" s="154"/>
      <c r="I2351" s="673"/>
      <c r="J2351" s="209"/>
      <c r="L2351" s="154"/>
      <c r="M2351" s="222"/>
      <c r="P2351" s="1597"/>
      <c r="R2351" s="1598"/>
      <c r="T2351" s="1768"/>
      <c r="V2351" s="1769"/>
      <c r="X2351" s="1768"/>
      <c r="Z2351" s="1769"/>
    </row>
    <row r="2352" spans="6:26" ht="18" customHeight="1">
      <c r="F2352" s="154"/>
      <c r="I2352" s="673"/>
      <c r="J2352" s="209"/>
      <c r="L2352" s="154"/>
      <c r="M2352" s="222"/>
      <c r="P2352" s="1597"/>
      <c r="R2352" s="1598"/>
      <c r="T2352" s="1768"/>
      <c r="V2352" s="1769"/>
      <c r="X2352" s="1768"/>
      <c r="Z2352" s="1769"/>
    </row>
    <row r="2353" spans="6:26" ht="18" customHeight="1">
      <c r="F2353" s="154"/>
      <c r="I2353" s="673"/>
      <c r="J2353" s="209"/>
      <c r="L2353" s="154"/>
      <c r="M2353" s="222"/>
      <c r="P2353" s="1597"/>
      <c r="R2353" s="1598"/>
      <c r="T2353" s="1768"/>
      <c r="V2353" s="1769"/>
      <c r="X2353" s="1768"/>
      <c r="Z2353" s="1769"/>
    </row>
    <row r="2354" spans="6:26" ht="18" customHeight="1">
      <c r="F2354" s="154"/>
      <c r="I2354" s="673"/>
      <c r="J2354" s="209"/>
      <c r="L2354" s="154"/>
      <c r="M2354" s="222"/>
      <c r="P2354" s="1597"/>
      <c r="R2354" s="1598"/>
      <c r="T2354" s="1768"/>
      <c r="V2354" s="1769"/>
      <c r="X2354" s="1768"/>
      <c r="Z2354" s="1769"/>
    </row>
    <row r="2355" spans="6:26" ht="18" customHeight="1">
      <c r="F2355" s="154"/>
      <c r="I2355" s="673"/>
      <c r="J2355" s="209"/>
      <c r="L2355" s="154"/>
      <c r="M2355" s="222"/>
      <c r="P2355" s="1597"/>
      <c r="R2355" s="1598"/>
      <c r="T2355" s="1768"/>
      <c r="V2355" s="1769"/>
      <c r="X2355" s="1768"/>
      <c r="Z2355" s="1769"/>
    </row>
    <row r="2356" spans="6:26" ht="18" customHeight="1">
      <c r="F2356" s="154"/>
      <c r="I2356" s="673"/>
      <c r="J2356" s="209"/>
      <c r="L2356" s="154"/>
      <c r="M2356" s="222"/>
      <c r="P2356" s="1597"/>
      <c r="R2356" s="1598"/>
      <c r="T2356" s="1768"/>
      <c r="V2356" s="1769"/>
      <c r="X2356" s="1768"/>
      <c r="Z2356" s="1769"/>
    </row>
    <row r="2357" spans="6:26" ht="18" customHeight="1">
      <c r="F2357" s="154"/>
      <c r="I2357" s="673"/>
      <c r="J2357" s="209"/>
      <c r="L2357" s="154"/>
      <c r="M2357" s="222"/>
      <c r="P2357" s="1597"/>
      <c r="R2357" s="1598"/>
      <c r="T2357" s="1768"/>
      <c r="V2357" s="1769"/>
      <c r="X2357" s="1768"/>
      <c r="Z2357" s="1769"/>
    </row>
    <row r="2358" spans="6:26" ht="18" customHeight="1">
      <c r="F2358" s="154"/>
      <c r="I2358" s="673"/>
      <c r="J2358" s="209"/>
      <c r="L2358" s="154"/>
      <c r="M2358" s="222"/>
      <c r="P2358" s="1597"/>
      <c r="R2358" s="1598"/>
      <c r="T2358" s="1768"/>
      <c r="V2358" s="1769"/>
      <c r="X2358" s="1768"/>
      <c r="Z2358" s="1769"/>
    </row>
    <row r="2359" spans="6:26" ht="18" customHeight="1">
      <c r="F2359" s="154"/>
      <c r="I2359" s="673"/>
      <c r="J2359" s="209"/>
      <c r="L2359" s="154"/>
      <c r="M2359" s="222"/>
      <c r="P2359" s="1597"/>
      <c r="R2359" s="1598"/>
      <c r="T2359" s="1768"/>
      <c r="V2359" s="1769"/>
      <c r="X2359" s="1768"/>
      <c r="Z2359" s="1769"/>
    </row>
    <row r="2360" spans="6:26" ht="18" customHeight="1">
      <c r="F2360" s="154"/>
      <c r="I2360" s="673"/>
      <c r="J2360" s="209"/>
      <c r="L2360" s="154"/>
      <c r="M2360" s="222"/>
      <c r="P2360" s="1597"/>
      <c r="R2360" s="1598"/>
      <c r="T2360" s="1768"/>
      <c r="V2360" s="1769"/>
      <c r="X2360" s="1768"/>
      <c r="Z2360" s="1769"/>
    </row>
    <row r="2361" spans="6:26" ht="18" customHeight="1">
      <c r="F2361" s="154"/>
      <c r="I2361" s="673"/>
      <c r="J2361" s="209"/>
      <c r="L2361" s="154"/>
      <c r="M2361" s="222"/>
      <c r="P2361" s="1597"/>
      <c r="R2361" s="1598"/>
      <c r="T2361" s="1768"/>
      <c r="V2361" s="1769"/>
      <c r="X2361" s="1768"/>
      <c r="Z2361" s="1769"/>
    </row>
    <row r="2362" spans="6:26" ht="18" customHeight="1">
      <c r="F2362" s="154"/>
      <c r="I2362" s="673"/>
      <c r="J2362" s="209"/>
      <c r="L2362" s="154"/>
      <c r="M2362" s="222"/>
      <c r="P2362" s="1597"/>
      <c r="R2362" s="1598"/>
      <c r="T2362" s="1768"/>
      <c r="V2362" s="1769"/>
      <c r="X2362" s="1768"/>
      <c r="Z2362" s="1769"/>
    </row>
    <row r="2363" spans="6:26" ht="18" customHeight="1">
      <c r="F2363" s="154"/>
      <c r="I2363" s="673"/>
      <c r="J2363" s="209"/>
      <c r="L2363" s="154"/>
      <c r="M2363" s="222"/>
      <c r="P2363" s="1597"/>
      <c r="R2363" s="1598"/>
      <c r="T2363" s="1768"/>
      <c r="V2363" s="1769"/>
      <c r="X2363" s="1768"/>
      <c r="Z2363" s="1769"/>
    </row>
    <row r="2364" spans="6:26" ht="18" customHeight="1">
      <c r="F2364" s="154"/>
      <c r="I2364" s="673"/>
      <c r="J2364" s="209"/>
      <c r="L2364" s="154"/>
      <c r="M2364" s="222"/>
      <c r="P2364" s="1597"/>
      <c r="R2364" s="1598"/>
      <c r="T2364" s="1768"/>
      <c r="V2364" s="1769"/>
      <c r="X2364" s="1768"/>
      <c r="Z2364" s="1769"/>
    </row>
    <row r="2365" spans="6:26" ht="18" customHeight="1">
      <c r="F2365" s="154"/>
      <c r="I2365" s="673"/>
      <c r="J2365" s="209"/>
      <c r="L2365" s="154"/>
      <c r="M2365" s="222"/>
      <c r="P2365" s="1597"/>
      <c r="R2365" s="1598"/>
      <c r="T2365" s="1768"/>
      <c r="V2365" s="1769"/>
      <c r="X2365" s="1768"/>
      <c r="Z2365" s="1769"/>
    </row>
    <row r="2366" spans="6:26" ht="18" customHeight="1">
      <c r="F2366" s="154"/>
      <c r="I2366" s="673"/>
      <c r="J2366" s="209"/>
      <c r="L2366" s="154"/>
      <c r="M2366" s="222"/>
      <c r="P2366" s="1597"/>
      <c r="R2366" s="1598"/>
      <c r="T2366" s="1768"/>
      <c r="V2366" s="1769"/>
      <c r="X2366" s="1768"/>
      <c r="Z2366" s="1769"/>
    </row>
    <row r="2367" spans="6:26" ht="18" customHeight="1">
      <c r="F2367" s="154"/>
      <c r="I2367" s="673"/>
      <c r="J2367" s="209"/>
      <c r="L2367" s="154"/>
      <c r="M2367" s="222"/>
      <c r="P2367" s="1597"/>
      <c r="R2367" s="1598"/>
      <c r="T2367" s="1768"/>
      <c r="V2367" s="1769"/>
      <c r="X2367" s="1768"/>
      <c r="Z2367" s="1769"/>
    </row>
    <row r="2368" spans="6:26" ht="18" customHeight="1">
      <c r="F2368" s="154"/>
      <c r="I2368" s="673"/>
      <c r="J2368" s="209"/>
      <c r="L2368" s="154"/>
      <c r="M2368" s="222"/>
      <c r="P2368" s="1597"/>
      <c r="R2368" s="1598"/>
      <c r="T2368" s="1768"/>
      <c r="V2368" s="1769"/>
      <c r="X2368" s="1768"/>
      <c r="Z2368" s="1769"/>
    </row>
    <row r="2369" spans="6:26" ht="18" customHeight="1">
      <c r="F2369" s="154"/>
      <c r="I2369" s="673"/>
      <c r="J2369" s="209"/>
      <c r="L2369" s="154"/>
      <c r="M2369" s="222"/>
      <c r="P2369" s="1597"/>
      <c r="R2369" s="1598"/>
      <c r="T2369" s="1768"/>
      <c r="V2369" s="1769"/>
      <c r="X2369" s="1768"/>
      <c r="Z2369" s="1769"/>
    </row>
    <row r="2370" spans="6:26" ht="18" customHeight="1">
      <c r="F2370" s="154"/>
      <c r="I2370" s="673"/>
      <c r="J2370" s="209"/>
      <c r="L2370" s="154"/>
      <c r="M2370" s="222"/>
      <c r="P2370" s="1597"/>
      <c r="R2370" s="1598"/>
      <c r="T2370" s="1768"/>
      <c r="V2370" s="1769"/>
      <c r="X2370" s="1768"/>
      <c r="Z2370" s="1769"/>
    </row>
    <row r="2371" spans="6:26" ht="18" customHeight="1">
      <c r="F2371" s="154"/>
      <c r="I2371" s="673"/>
      <c r="J2371" s="209"/>
      <c r="L2371" s="154"/>
      <c r="M2371" s="222"/>
      <c r="P2371" s="1597"/>
      <c r="R2371" s="1598"/>
      <c r="T2371" s="1768"/>
      <c r="V2371" s="1769"/>
      <c r="X2371" s="1768"/>
      <c r="Z2371" s="1769"/>
    </row>
    <row r="2372" spans="6:26" ht="18" customHeight="1">
      <c r="F2372" s="154"/>
      <c r="I2372" s="673"/>
      <c r="J2372" s="209"/>
      <c r="L2372" s="154"/>
      <c r="M2372" s="222"/>
      <c r="P2372" s="1597"/>
      <c r="R2372" s="1598"/>
      <c r="T2372" s="1768"/>
      <c r="V2372" s="1769"/>
      <c r="X2372" s="1768"/>
      <c r="Z2372" s="1769"/>
    </row>
    <row r="2373" spans="6:26" ht="18" customHeight="1">
      <c r="F2373" s="154"/>
      <c r="I2373" s="673"/>
      <c r="J2373" s="209"/>
      <c r="L2373" s="154"/>
      <c r="M2373" s="222"/>
      <c r="P2373" s="1597"/>
      <c r="R2373" s="1598"/>
      <c r="T2373" s="1768"/>
      <c r="V2373" s="1769"/>
      <c r="X2373" s="1768"/>
      <c r="Z2373" s="1769"/>
    </row>
    <row r="2374" spans="6:26" ht="18" customHeight="1">
      <c r="F2374" s="154"/>
      <c r="I2374" s="673"/>
      <c r="J2374" s="209"/>
      <c r="L2374" s="154"/>
      <c r="M2374" s="222"/>
      <c r="P2374" s="1597"/>
      <c r="R2374" s="1598"/>
      <c r="T2374" s="1768"/>
      <c r="V2374" s="1769"/>
      <c r="X2374" s="1768"/>
      <c r="Z2374" s="1769"/>
    </row>
    <row r="2375" spans="6:26" ht="18" customHeight="1">
      <c r="F2375" s="154"/>
      <c r="I2375" s="673"/>
      <c r="J2375" s="209"/>
      <c r="L2375" s="154"/>
      <c r="M2375" s="222"/>
      <c r="P2375" s="1597"/>
      <c r="R2375" s="1598"/>
      <c r="T2375" s="1768"/>
      <c r="V2375" s="1769"/>
      <c r="X2375" s="1768"/>
      <c r="Z2375" s="1769"/>
    </row>
    <row r="2376" spans="6:26" ht="18" customHeight="1">
      <c r="F2376" s="154"/>
      <c r="I2376" s="673"/>
      <c r="J2376" s="209"/>
      <c r="L2376" s="154"/>
      <c r="M2376" s="222"/>
      <c r="P2376" s="1597"/>
      <c r="R2376" s="1598"/>
      <c r="T2376" s="1768"/>
      <c r="V2376" s="1769"/>
      <c r="X2376" s="1768"/>
      <c r="Z2376" s="1769"/>
    </row>
    <row r="2377" spans="6:26" ht="18" customHeight="1">
      <c r="F2377" s="154"/>
      <c r="I2377" s="673"/>
      <c r="J2377" s="209"/>
      <c r="L2377" s="154"/>
      <c r="M2377" s="222"/>
      <c r="P2377" s="1597"/>
      <c r="R2377" s="1598"/>
      <c r="T2377" s="1768"/>
      <c r="V2377" s="1769"/>
      <c r="X2377" s="1768"/>
      <c r="Z2377" s="1769"/>
    </row>
    <row r="2378" spans="6:26" ht="18" customHeight="1">
      <c r="F2378" s="154"/>
      <c r="I2378" s="673"/>
      <c r="J2378" s="209"/>
      <c r="L2378" s="154"/>
      <c r="M2378" s="222"/>
      <c r="P2378" s="1597"/>
      <c r="R2378" s="1598"/>
      <c r="T2378" s="1768"/>
      <c r="V2378" s="1769"/>
      <c r="X2378" s="1768"/>
      <c r="Z2378" s="1769"/>
    </row>
    <row r="2379" spans="6:26" ht="18" customHeight="1">
      <c r="F2379" s="154"/>
      <c r="I2379" s="673"/>
      <c r="J2379" s="209"/>
      <c r="L2379" s="154"/>
      <c r="M2379" s="222"/>
      <c r="P2379" s="1597"/>
      <c r="R2379" s="1598"/>
      <c r="T2379" s="1768"/>
      <c r="V2379" s="1769"/>
      <c r="X2379" s="1768"/>
      <c r="Z2379" s="1769"/>
    </row>
    <row r="2380" spans="6:26" ht="18" customHeight="1">
      <c r="F2380" s="154"/>
      <c r="I2380" s="673"/>
      <c r="J2380" s="209"/>
      <c r="L2380" s="154"/>
      <c r="M2380" s="222"/>
      <c r="P2380" s="1597"/>
      <c r="R2380" s="1598"/>
      <c r="T2380" s="1768"/>
      <c r="V2380" s="1769"/>
      <c r="X2380" s="1768"/>
      <c r="Z2380" s="1769"/>
    </row>
    <row r="2381" spans="6:26" ht="18" customHeight="1">
      <c r="F2381" s="154"/>
      <c r="I2381" s="673"/>
      <c r="J2381" s="209"/>
      <c r="L2381" s="154"/>
      <c r="M2381" s="222"/>
      <c r="P2381" s="1597"/>
      <c r="R2381" s="1598"/>
      <c r="T2381" s="1768"/>
      <c r="V2381" s="1769"/>
      <c r="X2381" s="1768"/>
      <c r="Z2381" s="1769"/>
    </row>
    <row r="2382" spans="6:26" ht="18" customHeight="1">
      <c r="F2382" s="154"/>
      <c r="I2382" s="673"/>
      <c r="J2382" s="209"/>
      <c r="L2382" s="154"/>
      <c r="M2382" s="222"/>
      <c r="P2382" s="1597"/>
      <c r="R2382" s="1598"/>
      <c r="T2382" s="1768"/>
      <c r="V2382" s="1769"/>
      <c r="X2382" s="1768"/>
      <c r="Z2382" s="1769"/>
    </row>
    <row r="2383" spans="6:26" ht="18" customHeight="1">
      <c r="F2383" s="154"/>
      <c r="I2383" s="673"/>
      <c r="J2383" s="209"/>
      <c r="L2383" s="154"/>
      <c r="M2383" s="222"/>
      <c r="P2383" s="1597"/>
      <c r="R2383" s="1598"/>
      <c r="T2383" s="1768"/>
      <c r="V2383" s="1769"/>
      <c r="X2383" s="1768"/>
      <c r="Z2383" s="1769"/>
    </row>
    <row r="2384" spans="6:26" ht="18" customHeight="1">
      <c r="F2384" s="154"/>
      <c r="I2384" s="673"/>
      <c r="J2384" s="209"/>
      <c r="L2384" s="154"/>
      <c r="M2384" s="222"/>
      <c r="P2384" s="1597"/>
      <c r="R2384" s="1598"/>
      <c r="T2384" s="1768"/>
      <c r="V2384" s="1769"/>
      <c r="X2384" s="1768"/>
      <c r="Z2384" s="1769"/>
    </row>
    <row r="2385" spans="6:26" ht="18" customHeight="1">
      <c r="F2385" s="154"/>
      <c r="I2385" s="673"/>
      <c r="J2385" s="209"/>
      <c r="L2385" s="154"/>
      <c r="M2385" s="222"/>
      <c r="P2385" s="1597"/>
      <c r="R2385" s="1598"/>
      <c r="T2385" s="1768"/>
      <c r="V2385" s="1769"/>
      <c r="X2385" s="1768"/>
      <c r="Z2385" s="1769"/>
    </row>
    <row r="2386" spans="6:26" ht="18" customHeight="1">
      <c r="F2386" s="154"/>
      <c r="I2386" s="673"/>
      <c r="J2386" s="209"/>
      <c r="L2386" s="154"/>
      <c r="M2386" s="222"/>
      <c r="P2386" s="1597"/>
      <c r="R2386" s="1598"/>
      <c r="T2386" s="1768"/>
      <c r="V2386" s="1769"/>
      <c r="X2386" s="1768"/>
      <c r="Z2386" s="1769"/>
    </row>
    <row r="2387" spans="6:26" ht="18" customHeight="1">
      <c r="F2387" s="154"/>
      <c r="I2387" s="673"/>
      <c r="J2387" s="209"/>
      <c r="L2387" s="154"/>
      <c r="M2387" s="222"/>
      <c r="P2387" s="1597"/>
      <c r="R2387" s="1598"/>
      <c r="T2387" s="1768"/>
      <c r="V2387" s="1769"/>
      <c r="X2387" s="1768"/>
      <c r="Z2387" s="1769"/>
    </row>
    <row r="2388" spans="6:26" ht="18" customHeight="1">
      <c r="F2388" s="154"/>
      <c r="I2388" s="673"/>
      <c r="J2388" s="209"/>
      <c r="L2388" s="154"/>
      <c r="M2388" s="222"/>
      <c r="P2388" s="1597"/>
      <c r="R2388" s="1598"/>
      <c r="T2388" s="1768"/>
      <c r="V2388" s="1769"/>
      <c r="X2388" s="1768"/>
      <c r="Z2388" s="1769"/>
    </row>
    <row r="2389" spans="6:26" ht="18" customHeight="1">
      <c r="F2389" s="154"/>
      <c r="I2389" s="673"/>
      <c r="J2389" s="209"/>
      <c r="L2389" s="154"/>
      <c r="M2389" s="222"/>
      <c r="P2389" s="1597"/>
      <c r="R2389" s="1598"/>
      <c r="T2389" s="1768"/>
      <c r="V2389" s="1769"/>
      <c r="X2389" s="1768"/>
      <c r="Z2389" s="1769"/>
    </row>
    <row r="2390" spans="6:26" ht="18" customHeight="1">
      <c r="F2390" s="154"/>
      <c r="I2390" s="673"/>
      <c r="J2390" s="209"/>
      <c r="L2390" s="154"/>
      <c r="M2390" s="222"/>
      <c r="P2390" s="1597"/>
      <c r="R2390" s="1598"/>
      <c r="T2390" s="1768"/>
      <c r="V2390" s="1769"/>
      <c r="X2390" s="1768"/>
      <c r="Z2390" s="1769"/>
    </row>
    <row r="2391" spans="6:26" ht="18" customHeight="1">
      <c r="F2391" s="154"/>
      <c r="I2391" s="673"/>
      <c r="J2391" s="209"/>
      <c r="L2391" s="154"/>
      <c r="M2391" s="222"/>
      <c r="P2391" s="1597"/>
      <c r="R2391" s="1598"/>
      <c r="T2391" s="1768"/>
      <c r="V2391" s="1769"/>
      <c r="X2391" s="1768"/>
      <c r="Z2391" s="1769"/>
    </row>
    <row r="2392" spans="6:26" ht="18" customHeight="1">
      <c r="F2392" s="154"/>
      <c r="I2392" s="673"/>
      <c r="J2392" s="209"/>
      <c r="L2392" s="154"/>
      <c r="M2392" s="222"/>
      <c r="P2392" s="1597"/>
      <c r="R2392" s="1598"/>
      <c r="T2392" s="1768"/>
      <c r="V2392" s="1769"/>
      <c r="X2392" s="1768"/>
      <c r="Z2392" s="1769"/>
    </row>
    <row r="2393" spans="6:26" ht="18" customHeight="1">
      <c r="F2393" s="154"/>
      <c r="I2393" s="673"/>
      <c r="J2393" s="209"/>
      <c r="L2393" s="154"/>
      <c r="M2393" s="222"/>
      <c r="P2393" s="1597"/>
      <c r="R2393" s="1598"/>
      <c r="T2393" s="1768"/>
      <c r="V2393" s="1769"/>
      <c r="X2393" s="1768"/>
      <c r="Z2393" s="1769"/>
    </row>
    <row r="2394" spans="6:26" ht="18" customHeight="1">
      <c r="F2394" s="154"/>
      <c r="I2394" s="673"/>
      <c r="J2394" s="209"/>
      <c r="L2394" s="154"/>
      <c r="M2394" s="222"/>
      <c r="P2394" s="1597"/>
      <c r="R2394" s="1598"/>
      <c r="T2394" s="1768"/>
      <c r="V2394" s="1769"/>
      <c r="X2394" s="1768"/>
      <c r="Z2394" s="1769"/>
    </row>
    <row r="2395" spans="6:26" ht="18" customHeight="1">
      <c r="F2395" s="154"/>
      <c r="I2395" s="673"/>
      <c r="J2395" s="209"/>
      <c r="L2395" s="154"/>
      <c r="M2395" s="222"/>
      <c r="P2395" s="1597"/>
      <c r="R2395" s="1598"/>
      <c r="T2395" s="1768"/>
      <c r="V2395" s="1769"/>
      <c r="X2395" s="1768"/>
      <c r="Z2395" s="1769"/>
    </row>
    <row r="2396" spans="6:26" ht="18" customHeight="1">
      <c r="F2396" s="154"/>
      <c r="I2396" s="673"/>
      <c r="J2396" s="209"/>
      <c r="L2396" s="154"/>
      <c r="M2396" s="222"/>
      <c r="P2396" s="1597"/>
      <c r="R2396" s="1598"/>
      <c r="T2396" s="1768"/>
      <c r="V2396" s="1769"/>
      <c r="X2396" s="1768"/>
      <c r="Z2396" s="1769"/>
    </row>
    <row r="2397" spans="6:26" ht="18" customHeight="1">
      <c r="F2397" s="154"/>
      <c r="I2397" s="673"/>
      <c r="J2397" s="209"/>
      <c r="L2397" s="154"/>
      <c r="M2397" s="222"/>
      <c r="P2397" s="1597"/>
      <c r="R2397" s="1598"/>
      <c r="T2397" s="1768"/>
      <c r="V2397" s="1769"/>
      <c r="X2397" s="1768"/>
      <c r="Z2397" s="1769"/>
    </row>
    <row r="2398" spans="6:26" ht="18" customHeight="1">
      <c r="F2398" s="154"/>
      <c r="I2398" s="673"/>
      <c r="J2398" s="209"/>
      <c r="L2398" s="154"/>
      <c r="M2398" s="222"/>
      <c r="P2398" s="1597"/>
      <c r="R2398" s="1598"/>
      <c r="T2398" s="1768"/>
      <c r="V2398" s="1769"/>
      <c r="X2398" s="1768"/>
      <c r="Z2398" s="1769"/>
    </row>
    <row r="2399" spans="6:26" ht="18" customHeight="1">
      <c r="F2399" s="154"/>
      <c r="I2399" s="673"/>
      <c r="J2399" s="209"/>
      <c r="L2399" s="154"/>
      <c r="M2399" s="222"/>
      <c r="P2399" s="1597"/>
      <c r="R2399" s="1598"/>
      <c r="T2399" s="1768"/>
      <c r="V2399" s="1769"/>
      <c r="X2399" s="1768"/>
      <c r="Z2399" s="1769"/>
    </row>
    <row r="2400" spans="6:26" ht="18" customHeight="1">
      <c r="F2400" s="154"/>
      <c r="I2400" s="673"/>
      <c r="J2400" s="209"/>
      <c r="L2400" s="154"/>
      <c r="M2400" s="222"/>
      <c r="P2400" s="1597"/>
      <c r="R2400" s="1598"/>
      <c r="T2400" s="1768"/>
      <c r="V2400" s="1769"/>
      <c r="X2400" s="1768"/>
      <c r="Z2400" s="1769"/>
    </row>
    <row r="2401" spans="6:26" ht="18" customHeight="1">
      <c r="F2401" s="154"/>
      <c r="I2401" s="673"/>
      <c r="J2401" s="209"/>
      <c r="L2401" s="154"/>
      <c r="M2401" s="222"/>
      <c r="P2401" s="1597"/>
      <c r="R2401" s="1598"/>
      <c r="T2401" s="1768"/>
      <c r="V2401" s="1769"/>
      <c r="X2401" s="1768"/>
      <c r="Z2401" s="1769"/>
    </row>
    <row r="2402" spans="6:26" ht="18" customHeight="1">
      <c r="F2402" s="154"/>
      <c r="I2402" s="673"/>
      <c r="J2402" s="209"/>
      <c r="L2402" s="154"/>
      <c r="M2402" s="222"/>
      <c r="P2402" s="1597"/>
      <c r="R2402" s="1598"/>
      <c r="T2402" s="1768"/>
      <c r="V2402" s="1769"/>
      <c r="X2402" s="1768"/>
      <c r="Z2402" s="1769"/>
    </row>
    <row r="2403" spans="6:26" ht="18" customHeight="1">
      <c r="F2403" s="154"/>
      <c r="I2403" s="673"/>
      <c r="J2403" s="209"/>
      <c r="L2403" s="154"/>
      <c r="M2403" s="222"/>
      <c r="P2403" s="1597"/>
      <c r="R2403" s="1598"/>
      <c r="T2403" s="1768"/>
      <c r="V2403" s="1769"/>
      <c r="X2403" s="1768"/>
      <c r="Z2403" s="1769"/>
    </row>
    <row r="2404" spans="6:26" ht="18" customHeight="1">
      <c r="F2404" s="154"/>
      <c r="I2404" s="673"/>
      <c r="J2404" s="209"/>
      <c r="L2404" s="154"/>
      <c r="M2404" s="222"/>
      <c r="P2404" s="1597"/>
      <c r="R2404" s="1598"/>
      <c r="T2404" s="1768"/>
      <c r="V2404" s="1769"/>
      <c r="X2404" s="1768"/>
      <c r="Z2404" s="1769"/>
    </row>
    <row r="2405" spans="6:26" ht="18" customHeight="1">
      <c r="F2405" s="154"/>
      <c r="I2405" s="673"/>
      <c r="J2405" s="209"/>
      <c r="L2405" s="154"/>
      <c r="M2405" s="222"/>
      <c r="P2405" s="1597"/>
      <c r="R2405" s="1598"/>
      <c r="T2405" s="1768"/>
      <c r="V2405" s="1769"/>
      <c r="X2405" s="1768"/>
      <c r="Z2405" s="1769"/>
    </row>
    <row r="2406" spans="6:26" ht="18" customHeight="1">
      <c r="F2406" s="154"/>
      <c r="I2406" s="673"/>
      <c r="J2406" s="209"/>
      <c r="L2406" s="154"/>
      <c r="M2406" s="222"/>
      <c r="P2406" s="1597"/>
      <c r="R2406" s="1598"/>
      <c r="T2406" s="1768"/>
      <c r="V2406" s="1769"/>
      <c r="X2406" s="1768"/>
      <c r="Z2406" s="1769"/>
    </row>
    <row r="2407" spans="6:26" ht="18" customHeight="1">
      <c r="F2407" s="154"/>
      <c r="I2407" s="673"/>
      <c r="J2407" s="209"/>
      <c r="L2407" s="154"/>
      <c r="M2407" s="222"/>
      <c r="P2407" s="1597"/>
      <c r="R2407" s="1598"/>
      <c r="T2407" s="1768"/>
      <c r="V2407" s="1769"/>
      <c r="X2407" s="1768"/>
      <c r="Z2407" s="1769"/>
    </row>
    <row r="2408" spans="6:26" ht="18" customHeight="1">
      <c r="F2408" s="154"/>
      <c r="I2408" s="673"/>
      <c r="J2408" s="209"/>
      <c r="L2408" s="154"/>
      <c r="M2408" s="222"/>
      <c r="P2408" s="1597"/>
      <c r="R2408" s="1598"/>
      <c r="T2408" s="1768"/>
      <c r="V2408" s="1769"/>
      <c r="X2408" s="1768"/>
      <c r="Z2408" s="1769"/>
    </row>
    <row r="2409" spans="6:26" ht="18" customHeight="1">
      <c r="F2409" s="154"/>
      <c r="I2409" s="673"/>
      <c r="J2409" s="209"/>
      <c r="L2409" s="154"/>
      <c r="M2409" s="222"/>
      <c r="P2409" s="1597"/>
      <c r="R2409" s="1598"/>
      <c r="T2409" s="1768"/>
      <c r="V2409" s="1769"/>
      <c r="X2409" s="1768"/>
      <c r="Z2409" s="1769"/>
    </row>
    <row r="2410" spans="6:26" ht="18" customHeight="1">
      <c r="F2410" s="154"/>
      <c r="I2410" s="673"/>
      <c r="J2410" s="209"/>
      <c r="L2410" s="154"/>
      <c r="M2410" s="222"/>
      <c r="P2410" s="1597"/>
      <c r="R2410" s="1598"/>
      <c r="T2410" s="1768"/>
      <c r="V2410" s="1769"/>
      <c r="X2410" s="1768"/>
      <c r="Z2410" s="1769"/>
    </row>
    <row r="2411" spans="6:26" ht="18" customHeight="1">
      <c r="F2411" s="154"/>
      <c r="I2411" s="673"/>
      <c r="J2411" s="209"/>
      <c r="L2411" s="154"/>
      <c r="M2411" s="222"/>
      <c r="P2411" s="1597"/>
      <c r="R2411" s="1598"/>
      <c r="T2411" s="1768"/>
      <c r="V2411" s="1769"/>
      <c r="X2411" s="1768"/>
      <c r="Z2411" s="1769"/>
    </row>
    <row r="2412" spans="6:26" ht="18" customHeight="1">
      <c r="F2412" s="154"/>
      <c r="I2412" s="673"/>
      <c r="J2412" s="209"/>
      <c r="L2412" s="154"/>
      <c r="M2412" s="222"/>
      <c r="P2412" s="1597"/>
      <c r="R2412" s="1598"/>
      <c r="T2412" s="1768"/>
      <c r="V2412" s="1769"/>
      <c r="X2412" s="1768"/>
      <c r="Z2412" s="1769"/>
    </row>
    <row r="2413" spans="6:26" ht="18" customHeight="1">
      <c r="F2413" s="154"/>
      <c r="I2413" s="673"/>
      <c r="J2413" s="209"/>
      <c r="L2413" s="154"/>
      <c r="M2413" s="222"/>
      <c r="P2413" s="1597"/>
      <c r="R2413" s="1598"/>
      <c r="T2413" s="1768"/>
      <c r="V2413" s="1769"/>
      <c r="X2413" s="1768"/>
      <c r="Z2413" s="1769"/>
    </row>
    <row r="2414" spans="6:26" ht="18" customHeight="1">
      <c r="F2414" s="154"/>
      <c r="I2414" s="673"/>
      <c r="J2414" s="209"/>
      <c r="L2414" s="154"/>
      <c r="M2414" s="222"/>
      <c r="P2414" s="1597"/>
      <c r="R2414" s="1598"/>
      <c r="T2414" s="1768"/>
      <c r="V2414" s="1769"/>
      <c r="X2414" s="1768"/>
      <c r="Z2414" s="1769"/>
    </row>
    <row r="2415" spans="6:26" ht="18" customHeight="1">
      <c r="F2415" s="154"/>
      <c r="I2415" s="673"/>
      <c r="J2415" s="209"/>
      <c r="L2415" s="154"/>
      <c r="M2415" s="222"/>
      <c r="P2415" s="1597"/>
      <c r="R2415" s="1598"/>
      <c r="T2415" s="1768"/>
      <c r="V2415" s="1769"/>
      <c r="X2415" s="1768"/>
      <c r="Z2415" s="1769"/>
    </row>
    <row r="2416" spans="6:26" ht="18" customHeight="1">
      <c r="F2416" s="154"/>
      <c r="I2416" s="673"/>
      <c r="J2416" s="209"/>
      <c r="L2416" s="154"/>
      <c r="M2416" s="222"/>
      <c r="P2416" s="1597"/>
      <c r="R2416" s="1598"/>
      <c r="T2416" s="1768"/>
      <c r="V2416" s="1769"/>
      <c r="X2416" s="1768"/>
      <c r="Z2416" s="1769"/>
    </row>
    <row r="2417" spans="6:26" ht="18" customHeight="1">
      <c r="F2417" s="154"/>
      <c r="I2417" s="673"/>
      <c r="J2417" s="209"/>
      <c r="L2417" s="154"/>
      <c r="M2417" s="222"/>
      <c r="P2417" s="1597"/>
      <c r="R2417" s="1598"/>
      <c r="T2417" s="1768"/>
      <c r="V2417" s="1769"/>
      <c r="X2417" s="1768"/>
      <c r="Z2417" s="1769"/>
    </row>
    <row r="2418" spans="6:26" ht="18" customHeight="1">
      <c r="F2418" s="154"/>
      <c r="I2418" s="673"/>
      <c r="J2418" s="209"/>
      <c r="L2418" s="154"/>
      <c r="M2418" s="222"/>
      <c r="P2418" s="1597"/>
      <c r="R2418" s="1598"/>
      <c r="T2418" s="1768"/>
      <c r="V2418" s="1769"/>
      <c r="X2418" s="1768"/>
      <c r="Z2418" s="1769"/>
    </row>
    <row r="2419" spans="6:26" ht="18" customHeight="1">
      <c r="F2419" s="154"/>
      <c r="I2419" s="673"/>
      <c r="J2419" s="209"/>
      <c r="L2419" s="154"/>
      <c r="M2419" s="222"/>
      <c r="P2419" s="1597"/>
      <c r="R2419" s="1598"/>
      <c r="T2419" s="1768"/>
      <c r="V2419" s="1769"/>
      <c r="X2419" s="1768"/>
      <c r="Z2419" s="1769"/>
    </row>
    <row r="2420" spans="6:26" ht="18" customHeight="1">
      <c r="F2420" s="154"/>
      <c r="I2420" s="673"/>
      <c r="J2420" s="209"/>
      <c r="L2420" s="154"/>
      <c r="M2420" s="222"/>
      <c r="P2420" s="1597"/>
      <c r="R2420" s="1598"/>
      <c r="T2420" s="1768"/>
      <c r="V2420" s="1769"/>
      <c r="X2420" s="1768"/>
      <c r="Z2420" s="1769"/>
    </row>
    <row r="2421" spans="6:26" ht="18" customHeight="1">
      <c r="F2421" s="154"/>
      <c r="I2421" s="673"/>
      <c r="J2421" s="209"/>
      <c r="L2421" s="154"/>
      <c r="M2421" s="222"/>
      <c r="P2421" s="1597"/>
      <c r="R2421" s="1598"/>
      <c r="T2421" s="1768"/>
      <c r="V2421" s="1769"/>
      <c r="X2421" s="1768"/>
      <c r="Z2421" s="1769"/>
    </row>
    <row r="2422" spans="6:26" ht="18" customHeight="1">
      <c r="F2422" s="154"/>
      <c r="I2422" s="673"/>
      <c r="J2422" s="209"/>
      <c r="L2422" s="154"/>
      <c r="M2422" s="222"/>
      <c r="P2422" s="1597"/>
      <c r="R2422" s="1598"/>
      <c r="T2422" s="1768"/>
      <c r="V2422" s="1769"/>
      <c r="X2422" s="1768"/>
      <c r="Z2422" s="1769"/>
    </row>
    <row r="2423" spans="6:26" ht="18" customHeight="1">
      <c r="F2423" s="154"/>
      <c r="I2423" s="673"/>
      <c r="J2423" s="209"/>
      <c r="L2423" s="154"/>
      <c r="M2423" s="222"/>
      <c r="P2423" s="1597"/>
      <c r="R2423" s="1598"/>
      <c r="T2423" s="1768"/>
      <c r="V2423" s="1769"/>
      <c r="X2423" s="1768"/>
      <c r="Z2423" s="1769"/>
    </row>
    <row r="2424" spans="6:26" ht="18" customHeight="1">
      <c r="F2424" s="154"/>
      <c r="I2424" s="673"/>
      <c r="J2424" s="209"/>
      <c r="L2424" s="154"/>
      <c r="M2424" s="222"/>
      <c r="P2424" s="1597"/>
      <c r="R2424" s="1598"/>
      <c r="T2424" s="1768"/>
      <c r="V2424" s="1769"/>
      <c r="X2424" s="1768"/>
      <c r="Z2424" s="1769"/>
    </row>
    <row r="2425" spans="6:26" ht="18" customHeight="1">
      <c r="F2425" s="154"/>
      <c r="I2425" s="673"/>
      <c r="J2425" s="209"/>
      <c r="L2425" s="154"/>
      <c r="M2425" s="222"/>
      <c r="P2425" s="1597"/>
      <c r="R2425" s="1598"/>
      <c r="T2425" s="1768"/>
      <c r="V2425" s="1769"/>
      <c r="X2425" s="1768"/>
      <c r="Z2425" s="1769"/>
    </row>
    <row r="2426" spans="6:26" ht="18" customHeight="1">
      <c r="F2426" s="154"/>
      <c r="I2426" s="673"/>
      <c r="J2426" s="209"/>
      <c r="L2426" s="154"/>
      <c r="M2426" s="222"/>
      <c r="P2426" s="1597"/>
      <c r="R2426" s="1598"/>
      <c r="T2426" s="1768"/>
      <c r="V2426" s="1769"/>
      <c r="X2426" s="1768"/>
      <c r="Z2426" s="1769"/>
    </row>
    <row r="2427" spans="6:26" ht="18" customHeight="1">
      <c r="F2427" s="154"/>
      <c r="I2427" s="673"/>
      <c r="J2427" s="209"/>
      <c r="L2427" s="154"/>
      <c r="M2427" s="222"/>
      <c r="P2427" s="1597"/>
      <c r="R2427" s="1598"/>
      <c r="T2427" s="1768"/>
      <c r="V2427" s="1769"/>
      <c r="X2427" s="1768"/>
      <c r="Z2427" s="1769"/>
    </row>
    <row r="2428" spans="6:26" ht="18" customHeight="1">
      <c r="F2428" s="154"/>
      <c r="I2428" s="673"/>
      <c r="J2428" s="209"/>
      <c r="L2428" s="154"/>
      <c r="M2428" s="222"/>
      <c r="P2428" s="1597"/>
      <c r="R2428" s="1598"/>
      <c r="T2428" s="1768"/>
      <c r="V2428" s="1769"/>
      <c r="X2428" s="1768"/>
      <c r="Z2428" s="1769"/>
    </row>
    <row r="2429" spans="6:26" ht="18" customHeight="1">
      <c r="F2429" s="154"/>
      <c r="I2429" s="673"/>
      <c r="J2429" s="209"/>
      <c r="L2429" s="154"/>
      <c r="M2429" s="222"/>
      <c r="P2429" s="1597"/>
      <c r="R2429" s="1598"/>
      <c r="T2429" s="1768"/>
      <c r="V2429" s="1769"/>
      <c r="X2429" s="1768"/>
      <c r="Z2429" s="1769"/>
    </row>
    <row r="2430" spans="6:26" ht="18" customHeight="1">
      <c r="F2430" s="154"/>
      <c r="I2430" s="673"/>
      <c r="J2430" s="209"/>
      <c r="L2430" s="154"/>
      <c r="M2430" s="222"/>
      <c r="P2430" s="1597"/>
      <c r="R2430" s="1598"/>
      <c r="T2430" s="1768"/>
      <c r="V2430" s="1769"/>
      <c r="X2430" s="1768"/>
      <c r="Z2430" s="1769"/>
    </row>
    <row r="2431" spans="6:26" ht="18" customHeight="1">
      <c r="F2431" s="154"/>
      <c r="I2431" s="673"/>
      <c r="J2431" s="209"/>
      <c r="L2431" s="154"/>
      <c r="M2431" s="222"/>
      <c r="P2431" s="1597"/>
      <c r="R2431" s="1598"/>
      <c r="T2431" s="1768"/>
      <c r="V2431" s="1769"/>
      <c r="X2431" s="1768"/>
      <c r="Z2431" s="1769"/>
    </row>
    <row r="2432" spans="6:26" ht="18" customHeight="1">
      <c r="F2432" s="154"/>
      <c r="I2432" s="673"/>
      <c r="J2432" s="209"/>
      <c r="L2432" s="154"/>
      <c r="M2432" s="222"/>
      <c r="P2432" s="1597"/>
      <c r="R2432" s="1598"/>
      <c r="T2432" s="1768"/>
      <c r="V2432" s="1769"/>
      <c r="X2432" s="1768"/>
      <c r="Z2432" s="1769"/>
    </row>
    <row r="2433" spans="6:26" ht="18" customHeight="1">
      <c r="F2433" s="154"/>
      <c r="I2433" s="673"/>
      <c r="J2433" s="209"/>
      <c r="L2433" s="154"/>
      <c r="M2433" s="222"/>
      <c r="P2433" s="1597"/>
      <c r="R2433" s="1598"/>
      <c r="T2433" s="1768"/>
      <c r="V2433" s="1769"/>
      <c r="X2433" s="1768"/>
      <c r="Z2433" s="1769"/>
    </row>
    <row r="2434" spans="6:26" ht="18" customHeight="1">
      <c r="F2434" s="154"/>
      <c r="I2434" s="673"/>
      <c r="J2434" s="209"/>
      <c r="L2434" s="154"/>
      <c r="M2434" s="222"/>
      <c r="P2434" s="1597"/>
      <c r="R2434" s="1598"/>
      <c r="T2434" s="1768"/>
      <c r="V2434" s="1769"/>
      <c r="X2434" s="1768"/>
      <c r="Z2434" s="1769"/>
    </row>
    <row r="2435" spans="6:26" ht="18" customHeight="1">
      <c r="F2435" s="154"/>
      <c r="I2435" s="673"/>
      <c r="J2435" s="209"/>
      <c r="L2435" s="154"/>
      <c r="M2435" s="222"/>
      <c r="P2435" s="1597"/>
      <c r="R2435" s="1598"/>
      <c r="T2435" s="1768"/>
      <c r="V2435" s="1769"/>
      <c r="X2435" s="1768"/>
      <c r="Z2435" s="1769"/>
    </row>
    <row r="2436" spans="6:26" ht="18" customHeight="1">
      <c r="F2436" s="154"/>
      <c r="I2436" s="673"/>
      <c r="J2436" s="209"/>
      <c r="L2436" s="154"/>
      <c r="M2436" s="222"/>
      <c r="P2436" s="1597"/>
      <c r="R2436" s="1598"/>
      <c r="T2436" s="1768"/>
      <c r="V2436" s="1769"/>
      <c r="X2436" s="1768"/>
      <c r="Z2436" s="1769"/>
    </row>
    <row r="2437" spans="6:26" ht="18" customHeight="1">
      <c r="F2437" s="154"/>
      <c r="I2437" s="673"/>
      <c r="J2437" s="209"/>
      <c r="L2437" s="154"/>
      <c r="M2437" s="222"/>
      <c r="P2437" s="1597"/>
      <c r="R2437" s="1598"/>
      <c r="T2437" s="1768"/>
      <c r="V2437" s="1769"/>
      <c r="X2437" s="1768"/>
      <c r="Z2437" s="1769"/>
    </row>
    <row r="2438" spans="6:26" ht="18" customHeight="1">
      <c r="F2438" s="154"/>
      <c r="I2438" s="673"/>
      <c r="J2438" s="209"/>
      <c r="L2438" s="154"/>
      <c r="M2438" s="222"/>
      <c r="P2438" s="1597"/>
      <c r="R2438" s="1598"/>
      <c r="T2438" s="1768"/>
      <c r="V2438" s="1769"/>
      <c r="X2438" s="1768"/>
      <c r="Z2438" s="1769"/>
    </row>
    <row r="2439" spans="6:26" ht="18" customHeight="1">
      <c r="F2439" s="154"/>
      <c r="I2439" s="673"/>
      <c r="J2439" s="209"/>
      <c r="L2439" s="154"/>
      <c r="M2439" s="222"/>
      <c r="P2439" s="1597"/>
      <c r="R2439" s="1598"/>
      <c r="T2439" s="1768"/>
      <c r="V2439" s="1769"/>
      <c r="X2439" s="1768"/>
      <c r="Z2439" s="1769"/>
    </row>
    <row r="2440" spans="6:26" ht="18" customHeight="1">
      <c r="F2440" s="154"/>
      <c r="I2440" s="673"/>
      <c r="J2440" s="209"/>
      <c r="L2440" s="154"/>
      <c r="M2440" s="222"/>
      <c r="P2440" s="1597"/>
      <c r="R2440" s="1598"/>
      <c r="T2440" s="1768"/>
      <c r="V2440" s="1769"/>
      <c r="X2440" s="1768"/>
      <c r="Z2440" s="1769"/>
    </row>
    <row r="2441" spans="6:26" ht="18" customHeight="1">
      <c r="F2441" s="154"/>
      <c r="I2441" s="673"/>
      <c r="J2441" s="209"/>
      <c r="L2441" s="154"/>
      <c r="M2441" s="222"/>
      <c r="P2441" s="1597"/>
      <c r="R2441" s="1598"/>
      <c r="T2441" s="1768"/>
      <c r="V2441" s="1769"/>
      <c r="X2441" s="1768"/>
      <c r="Z2441" s="1769"/>
    </row>
    <row r="2442" spans="6:26" ht="18" customHeight="1">
      <c r="F2442" s="154"/>
      <c r="I2442" s="673"/>
      <c r="J2442" s="209"/>
      <c r="L2442" s="154"/>
      <c r="M2442" s="222"/>
      <c r="P2442" s="1597"/>
      <c r="R2442" s="1598"/>
      <c r="T2442" s="1768"/>
      <c r="V2442" s="1769"/>
      <c r="X2442" s="1768"/>
      <c r="Z2442" s="1769"/>
    </row>
    <row r="2443" spans="6:26" ht="18" customHeight="1">
      <c r="F2443" s="154"/>
      <c r="I2443" s="673"/>
      <c r="J2443" s="209"/>
      <c r="L2443" s="154"/>
      <c r="M2443" s="222"/>
      <c r="P2443" s="1597"/>
      <c r="R2443" s="1598"/>
      <c r="T2443" s="1768"/>
      <c r="V2443" s="1769"/>
      <c r="X2443" s="1768"/>
      <c r="Z2443" s="1769"/>
    </row>
    <row r="2444" spans="6:26" ht="18" customHeight="1">
      <c r="F2444" s="154"/>
      <c r="I2444" s="673"/>
      <c r="J2444" s="209"/>
      <c r="L2444" s="154"/>
      <c r="M2444" s="222"/>
      <c r="P2444" s="1597"/>
      <c r="R2444" s="1598"/>
      <c r="T2444" s="1768"/>
      <c r="V2444" s="1769"/>
      <c r="X2444" s="1768"/>
      <c r="Z2444" s="1769"/>
    </row>
    <row r="2445" spans="6:26" ht="18" customHeight="1">
      <c r="F2445" s="154"/>
      <c r="I2445" s="673"/>
      <c r="J2445" s="209"/>
      <c r="L2445" s="154"/>
      <c r="M2445" s="222"/>
      <c r="P2445" s="1597"/>
      <c r="R2445" s="1598"/>
      <c r="T2445" s="1768"/>
      <c r="V2445" s="1769"/>
      <c r="X2445" s="1768"/>
      <c r="Z2445" s="1769"/>
    </row>
    <row r="2446" spans="6:26" ht="18" customHeight="1">
      <c r="F2446" s="154"/>
      <c r="I2446" s="673"/>
      <c r="J2446" s="209"/>
      <c r="L2446" s="154"/>
      <c r="M2446" s="222"/>
      <c r="P2446" s="1597"/>
      <c r="R2446" s="1598"/>
      <c r="T2446" s="1768"/>
      <c r="V2446" s="1769"/>
      <c r="X2446" s="1768"/>
      <c r="Z2446" s="1769"/>
    </row>
    <row r="2447" spans="6:26" ht="18" customHeight="1">
      <c r="F2447" s="154"/>
      <c r="I2447" s="673"/>
      <c r="J2447" s="209"/>
      <c r="L2447" s="154"/>
      <c r="M2447" s="222"/>
      <c r="P2447" s="1597"/>
      <c r="R2447" s="1598"/>
      <c r="T2447" s="1768"/>
      <c r="V2447" s="1769"/>
      <c r="X2447" s="1768"/>
      <c r="Z2447" s="1769"/>
    </row>
    <row r="2448" spans="6:26" ht="18" customHeight="1">
      <c r="F2448" s="154"/>
      <c r="I2448" s="673"/>
      <c r="J2448" s="209"/>
      <c r="L2448" s="154"/>
      <c r="M2448" s="222"/>
      <c r="P2448" s="1597"/>
      <c r="R2448" s="1598"/>
      <c r="T2448" s="1768"/>
      <c r="V2448" s="1769"/>
      <c r="X2448" s="1768"/>
      <c r="Z2448" s="1769"/>
    </row>
    <row r="2449" spans="6:26" ht="18" customHeight="1">
      <c r="F2449" s="154"/>
      <c r="I2449" s="673"/>
      <c r="J2449" s="209"/>
      <c r="L2449" s="154"/>
      <c r="M2449" s="222"/>
      <c r="P2449" s="1597"/>
      <c r="R2449" s="1598"/>
      <c r="T2449" s="1768"/>
      <c r="V2449" s="1769"/>
      <c r="X2449" s="1768"/>
      <c r="Z2449" s="1769"/>
    </row>
    <row r="2450" spans="6:26" ht="18" customHeight="1">
      <c r="F2450" s="154"/>
      <c r="I2450" s="673"/>
      <c r="J2450" s="209"/>
      <c r="L2450" s="154"/>
      <c r="M2450" s="222"/>
      <c r="P2450" s="1597"/>
      <c r="R2450" s="1598"/>
      <c r="T2450" s="1768"/>
      <c r="V2450" s="1769"/>
      <c r="X2450" s="1768"/>
      <c r="Z2450" s="1769"/>
    </row>
    <row r="2451" spans="6:26" ht="18" customHeight="1">
      <c r="F2451" s="154"/>
      <c r="I2451" s="673"/>
      <c r="J2451" s="209"/>
      <c r="L2451" s="154"/>
      <c r="M2451" s="222"/>
      <c r="P2451" s="1597"/>
      <c r="R2451" s="1598"/>
      <c r="T2451" s="1768"/>
      <c r="V2451" s="1769"/>
      <c r="X2451" s="1768"/>
      <c r="Z2451" s="1769"/>
    </row>
    <row r="2452" spans="6:26" ht="18" customHeight="1">
      <c r="F2452" s="154"/>
      <c r="I2452" s="673"/>
      <c r="J2452" s="209"/>
      <c r="L2452" s="154"/>
      <c r="M2452" s="222"/>
      <c r="P2452" s="1597"/>
      <c r="R2452" s="1598"/>
      <c r="T2452" s="1768"/>
      <c r="V2452" s="1769"/>
      <c r="X2452" s="1768"/>
      <c r="Z2452" s="1769"/>
    </row>
    <row r="2453" spans="6:26" ht="18" customHeight="1">
      <c r="F2453" s="154"/>
      <c r="I2453" s="673"/>
      <c r="J2453" s="209"/>
      <c r="L2453" s="154"/>
      <c r="M2453" s="222"/>
      <c r="P2453" s="1597"/>
      <c r="R2453" s="1598"/>
      <c r="T2453" s="1768"/>
      <c r="V2453" s="1769"/>
      <c r="X2453" s="1768"/>
      <c r="Z2453" s="1769"/>
    </row>
    <row r="2454" spans="6:26" ht="18" customHeight="1">
      <c r="F2454" s="154"/>
      <c r="I2454" s="673"/>
      <c r="J2454" s="209"/>
      <c r="L2454" s="154"/>
      <c r="M2454" s="222"/>
      <c r="P2454" s="1597"/>
      <c r="R2454" s="1598"/>
      <c r="T2454" s="1768"/>
      <c r="V2454" s="1769"/>
      <c r="X2454" s="1768"/>
      <c r="Z2454" s="1769"/>
    </row>
    <row r="2455" spans="6:26" ht="18" customHeight="1">
      <c r="F2455" s="154"/>
      <c r="I2455" s="673"/>
      <c r="J2455" s="209"/>
      <c r="L2455" s="154"/>
      <c r="M2455" s="222"/>
      <c r="P2455" s="1597"/>
      <c r="R2455" s="1598"/>
      <c r="T2455" s="1768"/>
      <c r="V2455" s="1769"/>
      <c r="X2455" s="1768"/>
      <c r="Z2455" s="1769"/>
    </row>
    <row r="2456" spans="6:26" ht="18" customHeight="1">
      <c r="F2456" s="154"/>
      <c r="I2456" s="673"/>
      <c r="J2456" s="209"/>
      <c r="L2456" s="154"/>
      <c r="M2456" s="222"/>
      <c r="P2456" s="1597"/>
      <c r="R2456" s="1598"/>
      <c r="T2456" s="1768"/>
      <c r="V2456" s="1769"/>
      <c r="X2456" s="1768"/>
      <c r="Z2456" s="1769"/>
    </row>
    <row r="2457" spans="6:26" ht="18" customHeight="1">
      <c r="F2457" s="154"/>
      <c r="I2457" s="673"/>
      <c r="J2457" s="209"/>
      <c r="L2457" s="154"/>
      <c r="M2457" s="222"/>
      <c r="P2457" s="1597"/>
      <c r="R2457" s="1598"/>
      <c r="T2457" s="1768"/>
      <c r="V2457" s="1769"/>
      <c r="X2457" s="1768"/>
      <c r="Z2457" s="1769"/>
    </row>
    <row r="2458" spans="6:26" ht="18" customHeight="1">
      <c r="F2458" s="154"/>
      <c r="I2458" s="673"/>
      <c r="J2458" s="209"/>
      <c r="L2458" s="154"/>
      <c r="M2458" s="222"/>
      <c r="P2458" s="1597"/>
      <c r="R2458" s="1598"/>
      <c r="T2458" s="1768"/>
      <c r="V2458" s="1769"/>
      <c r="X2458" s="1768"/>
      <c r="Z2458" s="1769"/>
    </row>
    <row r="2459" spans="6:26" ht="18" customHeight="1">
      <c r="F2459" s="154"/>
      <c r="I2459" s="673"/>
      <c r="J2459" s="209"/>
      <c r="L2459" s="154"/>
      <c r="M2459" s="222"/>
      <c r="P2459" s="1597"/>
      <c r="R2459" s="1598"/>
      <c r="T2459" s="1768"/>
      <c r="V2459" s="1769"/>
      <c r="X2459" s="1768"/>
      <c r="Z2459" s="1769"/>
    </row>
    <row r="2460" spans="6:26" ht="18" customHeight="1">
      <c r="F2460" s="154"/>
      <c r="I2460" s="673"/>
      <c r="J2460" s="209"/>
      <c r="L2460" s="154"/>
      <c r="M2460" s="222"/>
      <c r="P2460" s="1597"/>
      <c r="R2460" s="1598"/>
      <c r="T2460" s="1768"/>
      <c r="V2460" s="1769"/>
      <c r="X2460" s="1768"/>
      <c r="Z2460" s="1769"/>
    </row>
    <row r="2461" spans="6:26" ht="18" customHeight="1">
      <c r="F2461" s="154"/>
      <c r="I2461" s="673"/>
      <c r="J2461" s="209"/>
      <c r="L2461" s="154"/>
      <c r="M2461" s="222"/>
      <c r="P2461" s="1597"/>
      <c r="R2461" s="1598"/>
      <c r="T2461" s="1768"/>
      <c r="V2461" s="1769"/>
      <c r="X2461" s="1768"/>
      <c r="Z2461" s="1769"/>
    </row>
    <row r="2462" spans="6:26" ht="18" customHeight="1">
      <c r="F2462" s="154"/>
      <c r="I2462" s="673"/>
      <c r="J2462" s="209"/>
      <c r="L2462" s="154"/>
      <c r="M2462" s="222"/>
      <c r="P2462" s="1597"/>
      <c r="R2462" s="1598"/>
      <c r="T2462" s="1768"/>
      <c r="V2462" s="1769"/>
      <c r="X2462" s="1768"/>
      <c r="Z2462" s="1769"/>
    </row>
    <row r="2463" spans="6:26" ht="18" customHeight="1">
      <c r="F2463" s="154"/>
      <c r="I2463" s="673"/>
      <c r="J2463" s="209"/>
      <c r="L2463" s="154"/>
      <c r="M2463" s="222"/>
      <c r="P2463" s="1597"/>
      <c r="R2463" s="1598"/>
      <c r="T2463" s="1768"/>
      <c r="V2463" s="1769"/>
      <c r="X2463" s="1768"/>
      <c r="Z2463" s="1769"/>
    </row>
    <row r="2464" spans="6:26" ht="18" customHeight="1">
      <c r="F2464" s="154"/>
      <c r="I2464" s="673"/>
      <c r="J2464" s="209"/>
      <c r="L2464" s="154"/>
      <c r="M2464" s="222"/>
      <c r="P2464" s="1597"/>
      <c r="R2464" s="1598"/>
      <c r="T2464" s="1768"/>
      <c r="V2464" s="1769"/>
      <c r="X2464" s="1768"/>
      <c r="Z2464" s="1769"/>
    </row>
    <row r="2465" spans="6:26" ht="18" customHeight="1">
      <c r="F2465" s="154"/>
      <c r="I2465" s="673"/>
      <c r="J2465" s="209"/>
      <c r="L2465" s="154"/>
      <c r="M2465" s="222"/>
      <c r="P2465" s="1597"/>
      <c r="R2465" s="1598"/>
      <c r="T2465" s="1768"/>
      <c r="V2465" s="1769"/>
      <c r="X2465" s="1768"/>
      <c r="Z2465" s="1769"/>
    </row>
    <row r="2466" spans="6:26" ht="18" customHeight="1">
      <c r="F2466" s="154"/>
      <c r="I2466" s="673"/>
      <c r="J2466" s="209"/>
      <c r="L2466" s="154"/>
      <c r="M2466" s="222"/>
      <c r="P2466" s="1597"/>
      <c r="R2466" s="1598"/>
      <c r="T2466" s="1768"/>
      <c r="V2466" s="1769"/>
      <c r="X2466" s="1768"/>
      <c r="Z2466" s="1769"/>
    </row>
    <row r="2467" spans="6:26" ht="18" customHeight="1">
      <c r="F2467" s="154"/>
      <c r="I2467" s="673"/>
      <c r="J2467" s="209"/>
      <c r="L2467" s="154"/>
      <c r="M2467" s="222"/>
      <c r="P2467" s="1597"/>
      <c r="R2467" s="1598"/>
      <c r="T2467" s="1768"/>
      <c r="V2467" s="1769"/>
      <c r="X2467" s="1768"/>
      <c r="Z2467" s="1769"/>
    </row>
    <row r="2468" spans="6:26" ht="18" customHeight="1">
      <c r="F2468" s="154"/>
      <c r="I2468" s="673"/>
      <c r="J2468" s="209"/>
      <c r="L2468" s="154"/>
      <c r="M2468" s="222"/>
      <c r="P2468" s="1597"/>
      <c r="R2468" s="1598"/>
      <c r="T2468" s="1768"/>
      <c r="V2468" s="1769"/>
      <c r="X2468" s="1768"/>
      <c r="Z2468" s="1769"/>
    </row>
    <row r="2469" spans="6:26" ht="18" customHeight="1">
      <c r="F2469" s="154"/>
      <c r="I2469" s="673"/>
      <c r="J2469" s="209"/>
      <c r="L2469" s="154"/>
      <c r="M2469" s="222"/>
      <c r="P2469" s="1597"/>
      <c r="R2469" s="1598"/>
      <c r="T2469" s="1768"/>
      <c r="V2469" s="1769"/>
      <c r="X2469" s="1768"/>
      <c r="Z2469" s="1769"/>
    </row>
    <row r="2470" spans="6:26" ht="18" customHeight="1">
      <c r="F2470" s="154"/>
      <c r="I2470" s="673"/>
      <c r="J2470" s="209"/>
      <c r="L2470" s="154"/>
      <c r="M2470" s="222"/>
      <c r="P2470" s="1597"/>
      <c r="R2470" s="1598"/>
      <c r="T2470" s="1768"/>
      <c r="V2470" s="1769"/>
      <c r="X2470" s="1768"/>
      <c r="Z2470" s="1769"/>
    </row>
    <row r="2471" spans="6:26" ht="18" customHeight="1">
      <c r="F2471" s="154"/>
      <c r="I2471" s="673"/>
      <c r="J2471" s="209"/>
      <c r="L2471" s="154"/>
      <c r="M2471" s="222"/>
      <c r="P2471" s="1597"/>
      <c r="R2471" s="1598"/>
      <c r="T2471" s="1768"/>
      <c r="V2471" s="1769"/>
      <c r="X2471" s="1768"/>
      <c r="Z2471" s="1769"/>
    </row>
    <row r="2472" spans="6:26" ht="18" customHeight="1">
      <c r="F2472" s="154"/>
      <c r="I2472" s="673"/>
      <c r="J2472" s="209"/>
      <c r="L2472" s="154"/>
      <c r="M2472" s="222"/>
      <c r="P2472" s="1597"/>
      <c r="R2472" s="1598"/>
      <c r="T2472" s="1768"/>
      <c r="V2472" s="1769"/>
      <c r="X2472" s="1768"/>
      <c r="Z2472" s="1769"/>
    </row>
    <row r="2473" spans="6:26" ht="18" customHeight="1">
      <c r="F2473" s="154"/>
      <c r="I2473" s="673"/>
      <c r="J2473" s="209"/>
      <c r="L2473" s="154"/>
      <c r="M2473" s="222"/>
      <c r="P2473" s="1597"/>
      <c r="R2473" s="1598"/>
      <c r="T2473" s="1768"/>
      <c r="V2473" s="1769"/>
      <c r="X2473" s="1768"/>
      <c r="Z2473" s="1769"/>
    </row>
    <row r="2474" spans="6:26" ht="18" customHeight="1">
      <c r="F2474" s="154"/>
      <c r="I2474" s="673"/>
      <c r="J2474" s="209"/>
      <c r="L2474" s="154"/>
      <c r="M2474" s="222"/>
      <c r="P2474" s="1597"/>
      <c r="R2474" s="1598"/>
      <c r="T2474" s="1768"/>
      <c r="V2474" s="1769"/>
      <c r="X2474" s="1768"/>
      <c r="Z2474" s="1769"/>
    </row>
    <row r="2475" spans="6:26" ht="18" customHeight="1">
      <c r="F2475" s="154"/>
      <c r="I2475" s="673"/>
      <c r="J2475" s="209"/>
      <c r="L2475" s="154"/>
      <c r="M2475" s="222"/>
      <c r="P2475" s="1597"/>
      <c r="R2475" s="1598"/>
      <c r="T2475" s="1768"/>
      <c r="V2475" s="1769"/>
      <c r="X2475" s="1768"/>
      <c r="Z2475" s="1769"/>
    </row>
    <row r="2476" spans="6:26" ht="18" customHeight="1">
      <c r="F2476" s="154"/>
      <c r="I2476" s="673"/>
      <c r="J2476" s="209"/>
      <c r="L2476" s="154"/>
      <c r="M2476" s="222"/>
      <c r="P2476" s="1597"/>
      <c r="R2476" s="1598"/>
      <c r="T2476" s="1768"/>
      <c r="V2476" s="1769"/>
      <c r="X2476" s="1768"/>
      <c r="Z2476" s="1769"/>
    </row>
    <row r="2477" spans="6:26" ht="18" customHeight="1">
      <c r="F2477" s="154"/>
      <c r="I2477" s="673"/>
      <c r="J2477" s="209"/>
      <c r="L2477" s="154"/>
      <c r="M2477" s="222"/>
      <c r="P2477" s="1597"/>
      <c r="R2477" s="1598"/>
      <c r="T2477" s="1768"/>
      <c r="V2477" s="1769"/>
      <c r="X2477" s="1768"/>
      <c r="Z2477" s="1769"/>
    </row>
    <row r="2478" spans="6:26" ht="18" customHeight="1">
      <c r="F2478" s="154"/>
      <c r="I2478" s="673"/>
      <c r="J2478" s="209"/>
      <c r="L2478" s="154"/>
      <c r="M2478" s="222"/>
      <c r="P2478" s="1597"/>
      <c r="R2478" s="1598"/>
      <c r="T2478" s="1768"/>
      <c r="V2478" s="1769"/>
      <c r="X2478" s="1768"/>
      <c r="Z2478" s="1769"/>
    </row>
    <row r="2479" spans="6:26" ht="18" customHeight="1">
      <c r="F2479" s="154"/>
      <c r="I2479" s="673"/>
      <c r="J2479" s="209"/>
      <c r="L2479" s="154"/>
      <c r="M2479" s="222"/>
      <c r="P2479" s="1597"/>
      <c r="R2479" s="1598"/>
      <c r="T2479" s="1768"/>
      <c r="V2479" s="1769"/>
      <c r="X2479" s="1768"/>
      <c r="Z2479" s="1769"/>
    </row>
    <row r="2480" spans="6:26" ht="18" customHeight="1">
      <c r="F2480" s="154"/>
      <c r="I2480" s="673"/>
      <c r="J2480" s="209"/>
      <c r="L2480" s="154"/>
      <c r="M2480" s="222"/>
      <c r="P2480" s="1597"/>
      <c r="R2480" s="1598"/>
      <c r="T2480" s="1768"/>
      <c r="V2480" s="1769"/>
      <c r="X2480" s="1768"/>
      <c r="Z2480" s="1769"/>
    </row>
    <row r="2481" spans="6:26" ht="18" customHeight="1">
      <c r="F2481" s="154"/>
      <c r="I2481" s="673"/>
      <c r="J2481" s="209"/>
      <c r="L2481" s="154"/>
      <c r="M2481" s="222"/>
      <c r="P2481" s="1597"/>
      <c r="R2481" s="1598"/>
      <c r="T2481" s="1768"/>
      <c r="V2481" s="1769"/>
      <c r="X2481" s="1768"/>
      <c r="Z2481" s="1769"/>
    </row>
    <row r="2482" spans="6:26" ht="18" customHeight="1">
      <c r="F2482" s="154"/>
      <c r="I2482" s="673"/>
      <c r="J2482" s="209"/>
      <c r="L2482" s="154"/>
      <c r="M2482" s="222"/>
      <c r="P2482" s="1597"/>
      <c r="R2482" s="1598"/>
      <c r="T2482" s="1768"/>
      <c r="V2482" s="1769"/>
      <c r="X2482" s="1768"/>
      <c r="Z2482" s="1769"/>
    </row>
    <row r="2483" spans="6:26" ht="18" customHeight="1">
      <c r="F2483" s="154"/>
      <c r="I2483" s="673"/>
      <c r="J2483" s="209"/>
      <c r="L2483" s="154"/>
      <c r="M2483" s="222"/>
      <c r="P2483" s="1597"/>
      <c r="R2483" s="1598"/>
      <c r="T2483" s="1768"/>
      <c r="V2483" s="1769"/>
      <c r="X2483" s="1768"/>
      <c r="Z2483" s="1769"/>
    </row>
    <row r="2484" spans="6:26" ht="18" customHeight="1">
      <c r="F2484" s="154"/>
      <c r="I2484" s="673"/>
      <c r="J2484" s="209"/>
      <c r="L2484" s="154"/>
      <c r="M2484" s="222"/>
      <c r="P2484" s="1597"/>
      <c r="R2484" s="1598"/>
      <c r="T2484" s="1768"/>
      <c r="V2484" s="1769"/>
      <c r="X2484" s="1768"/>
      <c r="Z2484" s="1769"/>
    </row>
    <row r="2485" spans="6:26" ht="18" customHeight="1">
      <c r="F2485" s="154"/>
      <c r="I2485" s="673"/>
      <c r="J2485" s="209"/>
      <c r="L2485" s="154"/>
      <c r="M2485" s="222"/>
      <c r="P2485" s="1597"/>
      <c r="R2485" s="1598"/>
      <c r="T2485" s="1768"/>
      <c r="V2485" s="1769"/>
      <c r="X2485" s="1768"/>
      <c r="Z2485" s="1769"/>
    </row>
    <row r="2486" spans="6:26" ht="18" customHeight="1">
      <c r="F2486" s="154"/>
      <c r="I2486" s="673"/>
      <c r="J2486" s="209"/>
      <c r="L2486" s="154"/>
      <c r="M2486" s="222"/>
      <c r="P2486" s="1597"/>
      <c r="R2486" s="1598"/>
      <c r="T2486" s="1768"/>
      <c r="V2486" s="1769"/>
      <c r="X2486" s="1768"/>
      <c r="Z2486" s="1769"/>
    </row>
    <row r="2487" spans="6:26" ht="18" customHeight="1">
      <c r="F2487" s="154"/>
      <c r="I2487" s="673"/>
      <c r="J2487" s="209"/>
      <c r="L2487" s="154"/>
      <c r="M2487" s="222"/>
      <c r="P2487" s="1597"/>
      <c r="R2487" s="1598"/>
      <c r="T2487" s="1768"/>
      <c r="V2487" s="1769"/>
      <c r="X2487" s="1768"/>
      <c r="Z2487" s="1769"/>
    </row>
    <row r="2488" spans="6:26" ht="18" customHeight="1">
      <c r="F2488" s="154"/>
      <c r="I2488" s="673"/>
      <c r="J2488" s="209"/>
      <c r="L2488" s="154"/>
      <c r="M2488" s="222"/>
      <c r="P2488" s="1597"/>
      <c r="R2488" s="1598"/>
      <c r="T2488" s="1768"/>
      <c r="V2488" s="1769"/>
      <c r="X2488" s="1768"/>
      <c r="Z2488" s="1769"/>
    </row>
    <row r="2489" spans="6:26" ht="18" customHeight="1">
      <c r="F2489" s="154"/>
      <c r="I2489" s="673"/>
      <c r="J2489" s="209"/>
      <c r="L2489" s="154"/>
      <c r="M2489" s="222"/>
      <c r="P2489" s="1597"/>
      <c r="R2489" s="1598"/>
      <c r="T2489" s="1768"/>
      <c r="V2489" s="1769"/>
      <c r="X2489" s="1768"/>
      <c r="Z2489" s="1769"/>
    </row>
    <row r="2490" spans="6:26" ht="18" customHeight="1">
      <c r="F2490" s="154"/>
      <c r="I2490" s="673"/>
      <c r="J2490" s="209"/>
      <c r="L2490" s="154"/>
      <c r="M2490" s="222"/>
      <c r="P2490" s="1597"/>
      <c r="R2490" s="1598"/>
      <c r="T2490" s="1768"/>
      <c r="V2490" s="1769"/>
      <c r="X2490" s="1768"/>
      <c r="Z2490" s="1769"/>
    </row>
    <row r="2491" spans="6:26" ht="18" customHeight="1">
      <c r="F2491" s="154"/>
      <c r="I2491" s="673"/>
      <c r="J2491" s="209"/>
      <c r="L2491" s="154"/>
      <c r="M2491" s="222"/>
      <c r="P2491" s="1597"/>
      <c r="R2491" s="1598"/>
      <c r="T2491" s="1768"/>
      <c r="V2491" s="1769"/>
      <c r="X2491" s="1768"/>
      <c r="Z2491" s="1769"/>
    </row>
    <row r="2492" spans="6:26" ht="18" customHeight="1">
      <c r="F2492" s="154"/>
      <c r="I2492" s="673"/>
      <c r="J2492" s="209"/>
      <c r="L2492" s="154"/>
      <c r="M2492" s="222"/>
      <c r="P2492" s="1597"/>
      <c r="R2492" s="1598"/>
      <c r="T2492" s="1768"/>
      <c r="V2492" s="1769"/>
      <c r="X2492" s="1768"/>
      <c r="Z2492" s="1769"/>
    </row>
    <row r="2493" spans="6:26" ht="18" customHeight="1">
      <c r="F2493" s="154"/>
      <c r="I2493" s="673"/>
      <c r="J2493" s="209"/>
      <c r="L2493" s="154"/>
      <c r="M2493" s="222"/>
      <c r="P2493" s="1597"/>
      <c r="R2493" s="1598"/>
      <c r="T2493" s="1768"/>
      <c r="V2493" s="1769"/>
      <c r="X2493" s="1768"/>
      <c r="Z2493" s="1769"/>
    </row>
    <row r="2494" spans="6:26" ht="18" customHeight="1">
      <c r="F2494" s="154"/>
      <c r="I2494" s="673"/>
      <c r="J2494" s="209"/>
      <c r="L2494" s="154"/>
      <c r="M2494" s="222"/>
      <c r="P2494" s="1597"/>
      <c r="R2494" s="1598"/>
      <c r="T2494" s="1768"/>
      <c r="V2494" s="1769"/>
      <c r="X2494" s="1768"/>
      <c r="Z2494" s="1769"/>
    </row>
    <row r="2495" spans="6:26" ht="18" customHeight="1">
      <c r="F2495" s="154"/>
      <c r="I2495" s="673"/>
      <c r="J2495" s="209"/>
      <c r="L2495" s="154"/>
      <c r="M2495" s="222"/>
      <c r="P2495" s="1597"/>
      <c r="R2495" s="1598"/>
      <c r="T2495" s="1768"/>
      <c r="V2495" s="1769"/>
      <c r="X2495" s="1768"/>
      <c r="Z2495" s="1769"/>
    </row>
    <row r="2496" spans="6:26" ht="18" customHeight="1">
      <c r="F2496" s="154"/>
      <c r="I2496" s="673"/>
      <c r="J2496" s="209"/>
      <c r="L2496" s="154"/>
      <c r="M2496" s="222"/>
      <c r="P2496" s="1597"/>
      <c r="R2496" s="1598"/>
      <c r="T2496" s="1768"/>
      <c r="V2496" s="1769"/>
      <c r="X2496" s="1768"/>
      <c r="Z2496" s="1769"/>
    </row>
    <row r="2497" spans="6:26" ht="18" customHeight="1">
      <c r="F2497" s="154"/>
      <c r="I2497" s="673"/>
      <c r="J2497" s="209"/>
      <c r="L2497" s="154"/>
      <c r="M2497" s="222"/>
      <c r="P2497" s="1597"/>
      <c r="R2497" s="1598"/>
      <c r="T2497" s="1768"/>
      <c r="V2497" s="1769"/>
      <c r="X2497" s="1768"/>
      <c r="Z2497" s="1769"/>
    </row>
    <row r="2498" spans="6:26" ht="18" customHeight="1">
      <c r="F2498" s="154"/>
      <c r="I2498" s="673"/>
      <c r="J2498" s="209"/>
      <c r="L2498" s="154"/>
      <c r="M2498" s="222"/>
      <c r="P2498" s="1597"/>
      <c r="R2498" s="1598"/>
      <c r="T2498" s="1768"/>
      <c r="V2498" s="1769"/>
      <c r="X2498" s="1768"/>
      <c r="Z2498" s="1769"/>
    </row>
    <row r="2499" spans="6:26" ht="18" customHeight="1">
      <c r="F2499" s="154"/>
      <c r="I2499" s="673"/>
      <c r="J2499" s="209"/>
      <c r="L2499" s="154"/>
      <c r="M2499" s="222"/>
      <c r="P2499" s="1597"/>
      <c r="R2499" s="1598"/>
      <c r="T2499" s="1768"/>
      <c r="V2499" s="1769"/>
      <c r="X2499" s="1768"/>
      <c r="Z2499" s="1769"/>
    </row>
    <row r="2500" spans="6:26" ht="18" customHeight="1">
      <c r="F2500" s="154"/>
      <c r="I2500" s="673"/>
      <c r="J2500" s="209"/>
      <c r="L2500" s="154"/>
      <c r="M2500" s="222"/>
      <c r="P2500" s="1597"/>
      <c r="R2500" s="1598"/>
      <c r="T2500" s="1768"/>
      <c r="V2500" s="1769"/>
      <c r="X2500" s="1768"/>
      <c r="Z2500" s="1769"/>
    </row>
    <row r="2501" spans="6:26" ht="18" customHeight="1">
      <c r="F2501" s="154"/>
      <c r="I2501" s="673"/>
      <c r="J2501" s="209"/>
      <c r="L2501" s="154"/>
      <c r="M2501" s="222"/>
      <c r="P2501" s="1597"/>
      <c r="R2501" s="1598"/>
      <c r="T2501" s="1768"/>
      <c r="V2501" s="1769"/>
      <c r="X2501" s="1768"/>
      <c r="Z2501" s="1769"/>
    </row>
    <row r="2502" spans="6:26" ht="18" customHeight="1">
      <c r="F2502" s="154"/>
      <c r="I2502" s="673"/>
      <c r="J2502" s="209"/>
      <c r="L2502" s="154"/>
      <c r="M2502" s="222"/>
      <c r="P2502" s="1597"/>
      <c r="R2502" s="1598"/>
      <c r="T2502" s="1768"/>
      <c r="V2502" s="1769"/>
      <c r="X2502" s="1768"/>
      <c r="Z2502" s="1769"/>
    </row>
    <row r="2503" spans="6:26" ht="18" customHeight="1">
      <c r="F2503" s="154"/>
      <c r="I2503" s="673"/>
      <c r="J2503" s="209"/>
      <c r="L2503" s="154"/>
      <c r="M2503" s="222"/>
      <c r="P2503" s="1597"/>
      <c r="R2503" s="1598"/>
      <c r="T2503" s="1768"/>
      <c r="V2503" s="1769"/>
      <c r="X2503" s="1768"/>
      <c r="Z2503" s="1769"/>
    </row>
    <row r="2504" spans="6:26" ht="18" customHeight="1">
      <c r="F2504" s="154"/>
      <c r="I2504" s="673"/>
      <c r="J2504" s="209"/>
      <c r="L2504" s="154"/>
      <c r="M2504" s="222"/>
      <c r="P2504" s="1597"/>
      <c r="R2504" s="1598"/>
      <c r="T2504" s="1768"/>
      <c r="V2504" s="1769"/>
      <c r="X2504" s="1768"/>
      <c r="Z2504" s="1769"/>
    </row>
    <row r="2505" spans="6:26" ht="18" customHeight="1">
      <c r="F2505" s="154"/>
      <c r="I2505" s="673"/>
      <c r="J2505" s="209"/>
      <c r="L2505" s="154"/>
      <c r="M2505" s="222"/>
      <c r="P2505" s="1597"/>
      <c r="R2505" s="1598"/>
      <c r="T2505" s="1768"/>
      <c r="V2505" s="1769"/>
      <c r="X2505" s="1768"/>
      <c r="Z2505" s="1769"/>
    </row>
    <row r="2506" spans="6:26" ht="18" customHeight="1">
      <c r="F2506" s="154"/>
      <c r="I2506" s="673"/>
      <c r="J2506" s="209"/>
      <c r="L2506" s="154"/>
      <c r="M2506" s="222"/>
      <c r="P2506" s="1597"/>
      <c r="R2506" s="1598"/>
      <c r="T2506" s="1768"/>
      <c r="V2506" s="1769"/>
      <c r="X2506" s="1768"/>
      <c r="Z2506" s="1769"/>
    </row>
    <row r="2507" spans="6:26" ht="18" customHeight="1">
      <c r="F2507" s="154"/>
      <c r="I2507" s="673"/>
      <c r="J2507" s="209"/>
      <c r="L2507" s="154"/>
      <c r="M2507" s="222"/>
      <c r="P2507" s="1597"/>
      <c r="R2507" s="1598"/>
      <c r="T2507" s="1768"/>
      <c r="V2507" s="1769"/>
      <c r="X2507" s="1768"/>
      <c r="Z2507" s="1769"/>
    </row>
    <row r="2508" spans="6:26" ht="18" customHeight="1">
      <c r="F2508" s="154"/>
      <c r="I2508" s="673"/>
      <c r="J2508" s="209"/>
      <c r="L2508" s="154"/>
      <c r="M2508" s="222"/>
      <c r="P2508" s="1597"/>
      <c r="R2508" s="1598"/>
      <c r="T2508" s="1768"/>
      <c r="V2508" s="1769"/>
      <c r="X2508" s="1768"/>
      <c r="Z2508" s="1769"/>
    </row>
    <row r="2509" spans="6:26" ht="18" customHeight="1">
      <c r="F2509" s="154"/>
      <c r="I2509" s="673"/>
      <c r="J2509" s="209"/>
      <c r="L2509" s="154"/>
      <c r="M2509" s="222"/>
      <c r="P2509" s="1597"/>
      <c r="R2509" s="1598"/>
      <c r="T2509" s="1768"/>
      <c r="V2509" s="1769"/>
      <c r="X2509" s="1768"/>
      <c r="Z2509" s="1769"/>
    </row>
    <row r="2510" spans="6:26" ht="18" customHeight="1">
      <c r="F2510" s="154"/>
      <c r="I2510" s="673"/>
      <c r="J2510" s="209"/>
      <c r="L2510" s="154"/>
      <c r="M2510" s="222"/>
      <c r="P2510" s="1597"/>
      <c r="R2510" s="1598"/>
      <c r="T2510" s="1768"/>
      <c r="V2510" s="1769"/>
      <c r="X2510" s="1768"/>
      <c r="Z2510" s="1769"/>
    </row>
    <row r="2511" spans="6:26" ht="18" customHeight="1">
      <c r="F2511" s="154"/>
      <c r="I2511" s="673"/>
      <c r="J2511" s="209"/>
      <c r="L2511" s="154"/>
      <c r="M2511" s="222"/>
      <c r="P2511" s="1597"/>
      <c r="R2511" s="1598"/>
      <c r="T2511" s="1768"/>
      <c r="V2511" s="1769"/>
      <c r="X2511" s="1768"/>
      <c r="Z2511" s="1769"/>
    </row>
    <row r="2512" spans="6:26" ht="18" customHeight="1">
      <c r="F2512" s="154"/>
      <c r="I2512" s="673"/>
      <c r="J2512" s="209"/>
      <c r="L2512" s="154"/>
      <c r="M2512" s="222"/>
      <c r="P2512" s="1597"/>
      <c r="R2512" s="1598"/>
      <c r="T2512" s="1768"/>
      <c r="V2512" s="1769"/>
      <c r="X2512" s="1768"/>
      <c r="Z2512" s="1769"/>
    </row>
    <row r="2513" spans="6:26" ht="18" customHeight="1">
      <c r="F2513" s="154"/>
      <c r="I2513" s="673"/>
      <c r="J2513" s="209"/>
      <c r="L2513" s="154"/>
      <c r="M2513" s="222"/>
      <c r="P2513" s="1597"/>
      <c r="R2513" s="1598"/>
      <c r="T2513" s="1768"/>
      <c r="V2513" s="1769"/>
      <c r="X2513" s="1768"/>
      <c r="Z2513" s="1769"/>
    </row>
    <row r="2514" spans="6:26" ht="18" customHeight="1">
      <c r="F2514" s="154"/>
      <c r="I2514" s="673"/>
      <c r="J2514" s="209"/>
      <c r="L2514" s="154"/>
      <c r="M2514" s="222"/>
      <c r="P2514" s="1597"/>
      <c r="R2514" s="1598"/>
      <c r="T2514" s="1768"/>
      <c r="V2514" s="1769"/>
      <c r="X2514" s="1768"/>
      <c r="Z2514" s="1769"/>
    </row>
    <row r="2515" spans="6:26" ht="18" customHeight="1">
      <c r="F2515" s="154"/>
      <c r="I2515" s="673"/>
      <c r="J2515" s="209"/>
      <c r="L2515" s="154"/>
      <c r="M2515" s="222"/>
      <c r="P2515" s="1597"/>
      <c r="R2515" s="1598"/>
      <c r="T2515" s="1768"/>
      <c r="V2515" s="1769"/>
      <c r="X2515" s="1768"/>
      <c r="Z2515" s="1769"/>
    </row>
    <row r="2516" spans="6:26" ht="18" customHeight="1">
      <c r="F2516" s="154"/>
      <c r="I2516" s="673"/>
      <c r="J2516" s="209"/>
      <c r="L2516" s="154"/>
      <c r="M2516" s="222"/>
      <c r="P2516" s="1597"/>
      <c r="R2516" s="1598"/>
      <c r="T2516" s="1768"/>
      <c r="V2516" s="1769"/>
      <c r="X2516" s="1768"/>
      <c r="Z2516" s="1769"/>
    </row>
    <row r="2517" spans="6:26" ht="18" customHeight="1">
      <c r="F2517" s="154"/>
      <c r="I2517" s="673"/>
      <c r="J2517" s="209"/>
      <c r="L2517" s="154"/>
      <c r="M2517" s="222"/>
      <c r="P2517" s="1597"/>
      <c r="R2517" s="1598"/>
      <c r="T2517" s="1768"/>
      <c r="V2517" s="1769"/>
      <c r="X2517" s="1768"/>
      <c r="Z2517" s="1769"/>
    </row>
    <row r="2518" spans="6:26" ht="18" customHeight="1">
      <c r="F2518" s="154"/>
      <c r="I2518" s="673"/>
      <c r="J2518" s="209"/>
      <c r="L2518" s="154"/>
      <c r="M2518" s="222"/>
      <c r="P2518" s="1597"/>
      <c r="R2518" s="1598"/>
      <c r="T2518" s="1768"/>
      <c r="V2518" s="1769"/>
      <c r="X2518" s="1768"/>
      <c r="Z2518" s="1769"/>
    </row>
    <row r="2519" spans="6:26" ht="18" customHeight="1">
      <c r="F2519" s="154"/>
      <c r="I2519" s="673"/>
      <c r="J2519" s="209"/>
      <c r="L2519" s="154"/>
      <c r="M2519" s="222"/>
      <c r="P2519" s="1597"/>
      <c r="R2519" s="1598"/>
      <c r="T2519" s="1768"/>
      <c r="V2519" s="1769"/>
      <c r="X2519" s="1768"/>
      <c r="Z2519" s="1769"/>
    </row>
    <row r="2520" spans="6:26" ht="18" customHeight="1">
      <c r="F2520" s="154"/>
      <c r="I2520" s="673"/>
      <c r="J2520" s="209"/>
      <c r="L2520" s="154"/>
      <c r="M2520" s="222"/>
      <c r="P2520" s="1597"/>
      <c r="R2520" s="1598"/>
      <c r="T2520" s="1768"/>
      <c r="V2520" s="1769"/>
      <c r="X2520" s="1768"/>
      <c r="Z2520" s="1769"/>
    </row>
    <row r="2521" spans="6:26" ht="18" customHeight="1">
      <c r="F2521" s="154"/>
      <c r="I2521" s="673"/>
      <c r="J2521" s="209"/>
      <c r="L2521" s="154"/>
      <c r="M2521" s="222"/>
      <c r="P2521" s="1597"/>
      <c r="R2521" s="1598"/>
      <c r="T2521" s="1768"/>
      <c r="V2521" s="1769"/>
      <c r="X2521" s="1768"/>
      <c r="Z2521" s="1769"/>
    </row>
    <row r="2522" spans="6:26" ht="18" customHeight="1">
      <c r="F2522" s="154"/>
      <c r="I2522" s="673"/>
      <c r="J2522" s="209"/>
      <c r="L2522" s="154"/>
      <c r="M2522" s="222"/>
      <c r="P2522" s="1597"/>
      <c r="R2522" s="1598"/>
      <c r="T2522" s="1768"/>
      <c r="V2522" s="1769"/>
      <c r="X2522" s="1768"/>
      <c r="Z2522" s="1769"/>
    </row>
    <row r="2523" spans="6:26" ht="18" customHeight="1">
      <c r="F2523" s="154"/>
      <c r="I2523" s="673"/>
      <c r="J2523" s="209"/>
      <c r="L2523" s="154"/>
      <c r="M2523" s="222"/>
      <c r="P2523" s="1597"/>
      <c r="R2523" s="1598"/>
      <c r="T2523" s="1768"/>
      <c r="V2523" s="1769"/>
      <c r="X2523" s="1768"/>
      <c r="Z2523" s="1769"/>
    </row>
    <row r="2524" spans="6:26" ht="18" customHeight="1">
      <c r="F2524" s="154"/>
      <c r="I2524" s="673"/>
      <c r="J2524" s="209"/>
      <c r="L2524" s="154"/>
      <c r="M2524" s="222"/>
      <c r="P2524" s="1597"/>
      <c r="R2524" s="1598"/>
      <c r="T2524" s="1768"/>
      <c r="V2524" s="1769"/>
      <c r="X2524" s="1768"/>
      <c r="Z2524" s="1769"/>
    </row>
    <row r="2525" spans="6:26" ht="18" customHeight="1">
      <c r="F2525" s="154"/>
      <c r="I2525" s="673"/>
      <c r="J2525" s="209"/>
      <c r="L2525" s="154"/>
      <c r="M2525" s="222"/>
      <c r="P2525" s="1597"/>
      <c r="R2525" s="1598"/>
      <c r="T2525" s="1768"/>
      <c r="V2525" s="1769"/>
      <c r="X2525" s="1768"/>
      <c r="Z2525" s="1769"/>
    </row>
    <row r="2526" spans="6:26" ht="18" customHeight="1">
      <c r="F2526" s="154"/>
      <c r="I2526" s="673"/>
      <c r="J2526" s="209"/>
      <c r="L2526" s="154"/>
      <c r="M2526" s="222"/>
      <c r="P2526" s="1597"/>
      <c r="R2526" s="1598"/>
      <c r="T2526" s="1768"/>
      <c r="V2526" s="1769"/>
      <c r="X2526" s="1768"/>
      <c r="Z2526" s="1769"/>
    </row>
    <row r="2527" spans="6:26" ht="18" customHeight="1">
      <c r="F2527" s="154"/>
      <c r="I2527" s="673"/>
      <c r="J2527" s="209"/>
      <c r="L2527" s="154"/>
      <c r="M2527" s="222"/>
      <c r="P2527" s="1597"/>
      <c r="R2527" s="1598"/>
      <c r="T2527" s="1768"/>
      <c r="V2527" s="1769"/>
      <c r="X2527" s="1768"/>
      <c r="Z2527" s="1769"/>
    </row>
    <row r="2528" spans="6:26" ht="18" customHeight="1">
      <c r="F2528" s="154"/>
      <c r="I2528" s="673"/>
      <c r="J2528" s="209"/>
      <c r="L2528" s="154"/>
      <c r="M2528" s="222"/>
      <c r="P2528" s="1597"/>
      <c r="R2528" s="1598"/>
      <c r="T2528" s="1768"/>
      <c r="V2528" s="1769"/>
      <c r="X2528" s="1768"/>
      <c r="Z2528" s="1769"/>
    </row>
    <row r="2529" spans="6:26" ht="18" customHeight="1">
      <c r="F2529" s="154"/>
      <c r="I2529" s="673"/>
      <c r="J2529" s="209"/>
      <c r="L2529" s="154"/>
      <c r="M2529" s="222"/>
      <c r="P2529" s="1597"/>
      <c r="R2529" s="1598"/>
      <c r="T2529" s="1768"/>
      <c r="V2529" s="1769"/>
      <c r="X2529" s="1768"/>
      <c r="Z2529" s="1769"/>
    </row>
    <row r="2530" spans="6:26" ht="18" customHeight="1">
      <c r="F2530" s="154"/>
      <c r="I2530" s="673"/>
      <c r="J2530" s="209"/>
      <c r="L2530" s="154"/>
      <c r="M2530" s="222"/>
      <c r="P2530" s="1597"/>
      <c r="R2530" s="1598"/>
      <c r="T2530" s="1768"/>
      <c r="V2530" s="1769"/>
      <c r="X2530" s="1768"/>
      <c r="Z2530" s="1769"/>
    </row>
    <row r="2531" spans="6:26" ht="18" customHeight="1">
      <c r="F2531" s="154"/>
      <c r="I2531" s="673"/>
      <c r="J2531" s="209"/>
      <c r="L2531" s="154"/>
      <c r="M2531" s="222"/>
      <c r="P2531" s="1597"/>
      <c r="R2531" s="1598"/>
      <c r="T2531" s="1768"/>
      <c r="V2531" s="1769"/>
      <c r="X2531" s="1768"/>
      <c r="Z2531" s="1769"/>
    </row>
    <row r="2532" spans="6:26" ht="18" customHeight="1">
      <c r="F2532" s="154"/>
      <c r="I2532" s="673"/>
      <c r="J2532" s="209"/>
      <c r="L2532" s="154"/>
      <c r="M2532" s="222"/>
      <c r="P2532" s="1597"/>
      <c r="R2532" s="1598"/>
      <c r="T2532" s="1768"/>
      <c r="V2532" s="1769"/>
      <c r="X2532" s="1768"/>
      <c r="Z2532" s="1769"/>
    </row>
    <row r="2533" spans="6:26" ht="18" customHeight="1">
      <c r="F2533" s="154"/>
      <c r="I2533" s="673"/>
      <c r="J2533" s="209"/>
      <c r="L2533" s="154"/>
      <c r="M2533" s="222"/>
      <c r="P2533" s="1597"/>
      <c r="R2533" s="1598"/>
      <c r="T2533" s="1768"/>
      <c r="V2533" s="1769"/>
      <c r="X2533" s="1768"/>
      <c r="Z2533" s="1769"/>
    </row>
    <row r="2534" spans="6:26" ht="18" customHeight="1">
      <c r="F2534" s="154"/>
      <c r="I2534" s="673"/>
      <c r="J2534" s="209"/>
      <c r="L2534" s="154"/>
      <c r="M2534" s="222"/>
      <c r="P2534" s="1597"/>
      <c r="R2534" s="1598"/>
      <c r="T2534" s="1768"/>
      <c r="V2534" s="1769"/>
      <c r="X2534" s="1768"/>
      <c r="Z2534" s="1769"/>
    </row>
    <row r="2535" spans="6:26" ht="18" customHeight="1">
      <c r="F2535" s="154"/>
      <c r="I2535" s="673"/>
      <c r="J2535" s="209"/>
      <c r="L2535" s="154"/>
      <c r="M2535" s="222"/>
      <c r="P2535" s="1597"/>
      <c r="R2535" s="1598"/>
      <c r="T2535" s="1768"/>
      <c r="V2535" s="1769"/>
      <c r="X2535" s="1768"/>
      <c r="Z2535" s="1769"/>
    </row>
    <row r="2536" spans="6:26" ht="18" customHeight="1">
      <c r="F2536" s="154"/>
      <c r="I2536" s="673"/>
      <c r="J2536" s="209"/>
      <c r="L2536" s="154"/>
      <c r="M2536" s="222"/>
      <c r="P2536" s="1597"/>
      <c r="R2536" s="1598"/>
      <c r="T2536" s="1768"/>
      <c r="V2536" s="1769"/>
      <c r="X2536" s="1768"/>
      <c r="Z2536" s="1769"/>
    </row>
    <row r="2537" spans="6:26" ht="18" customHeight="1">
      <c r="F2537" s="154"/>
      <c r="I2537" s="673"/>
      <c r="J2537" s="209"/>
      <c r="L2537" s="154"/>
      <c r="M2537" s="222"/>
      <c r="P2537" s="1597"/>
      <c r="R2537" s="1598"/>
      <c r="T2537" s="1768"/>
      <c r="V2537" s="1769"/>
      <c r="X2537" s="1768"/>
      <c r="Z2537" s="1769"/>
    </row>
    <row r="2538" spans="6:26" ht="18" customHeight="1">
      <c r="F2538" s="154"/>
      <c r="I2538" s="673"/>
      <c r="J2538" s="209"/>
      <c r="L2538" s="154"/>
      <c r="M2538" s="222"/>
      <c r="P2538" s="1597"/>
      <c r="R2538" s="1598"/>
      <c r="T2538" s="1768"/>
      <c r="V2538" s="1769"/>
      <c r="X2538" s="1768"/>
      <c r="Z2538" s="1769"/>
    </row>
    <row r="2539" spans="6:26" ht="18" customHeight="1">
      <c r="F2539" s="154"/>
      <c r="I2539" s="673"/>
      <c r="J2539" s="209"/>
      <c r="L2539" s="154"/>
      <c r="M2539" s="222"/>
      <c r="P2539" s="1597"/>
      <c r="R2539" s="1598"/>
      <c r="T2539" s="1768"/>
      <c r="V2539" s="1769"/>
      <c r="X2539" s="1768"/>
      <c r="Z2539" s="1769"/>
    </row>
    <row r="2540" spans="6:26" ht="18" customHeight="1">
      <c r="F2540" s="154"/>
      <c r="I2540" s="673"/>
      <c r="J2540" s="209"/>
      <c r="L2540" s="154"/>
      <c r="M2540" s="222"/>
      <c r="P2540" s="1597"/>
      <c r="R2540" s="1598"/>
      <c r="T2540" s="1768"/>
      <c r="V2540" s="1769"/>
      <c r="X2540" s="1768"/>
      <c r="Z2540" s="1769"/>
    </row>
    <row r="2541" spans="6:26" ht="18" customHeight="1">
      <c r="F2541" s="154"/>
      <c r="I2541" s="673"/>
      <c r="J2541" s="209"/>
      <c r="L2541" s="154"/>
      <c r="M2541" s="222"/>
      <c r="P2541" s="1597"/>
      <c r="R2541" s="1598"/>
      <c r="T2541" s="1768"/>
      <c r="V2541" s="1769"/>
      <c r="X2541" s="1768"/>
      <c r="Z2541" s="1769"/>
    </row>
    <row r="2542" spans="6:26" ht="18" customHeight="1">
      <c r="F2542" s="154"/>
      <c r="I2542" s="673"/>
      <c r="J2542" s="209"/>
      <c r="L2542" s="154"/>
      <c r="M2542" s="222"/>
      <c r="P2542" s="1597"/>
      <c r="R2542" s="1598"/>
      <c r="T2542" s="1768"/>
      <c r="V2542" s="1769"/>
      <c r="X2542" s="1768"/>
      <c r="Z2542" s="1769"/>
    </row>
    <row r="2543" spans="6:26" ht="18" customHeight="1">
      <c r="F2543" s="154"/>
      <c r="I2543" s="673"/>
      <c r="J2543" s="209"/>
      <c r="L2543" s="154"/>
      <c r="M2543" s="222"/>
      <c r="P2543" s="1597"/>
      <c r="R2543" s="1598"/>
      <c r="T2543" s="1768"/>
      <c r="V2543" s="1769"/>
      <c r="X2543" s="1768"/>
      <c r="Z2543" s="1769"/>
    </row>
    <row r="2544" spans="6:26" ht="18" customHeight="1">
      <c r="F2544" s="154"/>
      <c r="I2544" s="673"/>
      <c r="J2544" s="209"/>
      <c r="L2544" s="154"/>
      <c r="M2544" s="222"/>
      <c r="P2544" s="1597"/>
      <c r="R2544" s="1598"/>
      <c r="T2544" s="1768"/>
      <c r="V2544" s="1769"/>
      <c r="X2544" s="1768"/>
      <c r="Z2544" s="1769"/>
    </row>
    <row r="2545" spans="6:26" ht="18" customHeight="1">
      <c r="F2545" s="154"/>
      <c r="I2545" s="673"/>
      <c r="J2545" s="209"/>
      <c r="L2545" s="154"/>
      <c r="M2545" s="222"/>
      <c r="P2545" s="1597"/>
      <c r="R2545" s="1598"/>
      <c r="T2545" s="1768"/>
      <c r="V2545" s="1769"/>
      <c r="X2545" s="1768"/>
      <c r="Z2545" s="1769"/>
    </row>
    <row r="2546" spans="6:26" ht="18" customHeight="1">
      <c r="F2546" s="154"/>
      <c r="I2546" s="673"/>
      <c r="J2546" s="209"/>
      <c r="L2546" s="154"/>
      <c r="M2546" s="222"/>
      <c r="P2546" s="1597"/>
      <c r="R2546" s="1598"/>
      <c r="T2546" s="1768"/>
      <c r="V2546" s="1769"/>
      <c r="X2546" s="1768"/>
      <c r="Z2546" s="1769"/>
    </row>
    <row r="2547" spans="6:26" ht="18" customHeight="1">
      <c r="F2547" s="154"/>
      <c r="I2547" s="673"/>
      <c r="J2547" s="209"/>
      <c r="L2547" s="154"/>
      <c r="M2547" s="222"/>
      <c r="P2547" s="1597"/>
      <c r="R2547" s="1598"/>
      <c r="T2547" s="1768"/>
      <c r="V2547" s="1769"/>
      <c r="X2547" s="1768"/>
      <c r="Z2547" s="1769"/>
    </row>
    <row r="2548" spans="6:26" ht="18" customHeight="1">
      <c r="F2548" s="154"/>
      <c r="I2548" s="673"/>
      <c r="J2548" s="209"/>
      <c r="L2548" s="154"/>
      <c r="M2548" s="222"/>
      <c r="P2548" s="1597"/>
      <c r="R2548" s="1598"/>
      <c r="T2548" s="1768"/>
      <c r="V2548" s="1769"/>
      <c r="X2548" s="1768"/>
      <c r="Z2548" s="1769"/>
    </row>
    <row r="2549" spans="6:26" ht="18" customHeight="1">
      <c r="F2549" s="154"/>
      <c r="I2549" s="673"/>
      <c r="J2549" s="209"/>
      <c r="L2549" s="154"/>
      <c r="M2549" s="222"/>
      <c r="P2549" s="1597"/>
      <c r="R2549" s="1598"/>
      <c r="T2549" s="1768"/>
      <c r="V2549" s="1769"/>
      <c r="X2549" s="1768"/>
      <c r="Z2549" s="1769"/>
    </row>
    <row r="2550" spans="6:26" ht="18" customHeight="1">
      <c r="F2550" s="154"/>
      <c r="I2550" s="673"/>
      <c r="J2550" s="209"/>
      <c r="L2550" s="154"/>
      <c r="M2550" s="222"/>
      <c r="P2550" s="1597"/>
      <c r="R2550" s="1598"/>
      <c r="T2550" s="1768"/>
      <c r="V2550" s="1769"/>
      <c r="X2550" s="1768"/>
      <c r="Z2550" s="1769"/>
    </row>
    <row r="2551" spans="6:26" ht="18" customHeight="1">
      <c r="F2551" s="154"/>
      <c r="I2551" s="673"/>
      <c r="J2551" s="209"/>
      <c r="L2551" s="154"/>
      <c r="M2551" s="222"/>
      <c r="P2551" s="1597"/>
      <c r="R2551" s="1598"/>
      <c r="T2551" s="1768"/>
      <c r="V2551" s="1769"/>
      <c r="X2551" s="1768"/>
      <c r="Z2551" s="1769"/>
    </row>
    <row r="2552" spans="6:26" ht="18" customHeight="1">
      <c r="F2552" s="154"/>
      <c r="I2552" s="673"/>
      <c r="J2552" s="209"/>
      <c r="L2552" s="154"/>
      <c r="M2552" s="222"/>
      <c r="P2552" s="1597"/>
      <c r="R2552" s="1598"/>
      <c r="T2552" s="1768"/>
      <c r="V2552" s="1769"/>
      <c r="X2552" s="1768"/>
      <c r="Z2552" s="1769"/>
    </row>
    <row r="2553" spans="6:26" ht="18" customHeight="1">
      <c r="F2553" s="154"/>
      <c r="I2553" s="673"/>
      <c r="J2553" s="209"/>
      <c r="L2553" s="154"/>
      <c r="M2553" s="222"/>
      <c r="P2553" s="1597"/>
      <c r="R2553" s="1598"/>
      <c r="T2553" s="1768"/>
      <c r="V2553" s="1769"/>
      <c r="X2553" s="1768"/>
      <c r="Z2553" s="1769"/>
    </row>
    <row r="2554" spans="6:26" ht="18" customHeight="1">
      <c r="F2554" s="154"/>
      <c r="I2554" s="673"/>
      <c r="J2554" s="209"/>
      <c r="L2554" s="154"/>
      <c r="M2554" s="222"/>
      <c r="P2554" s="1597"/>
      <c r="R2554" s="1598"/>
      <c r="T2554" s="1768"/>
      <c r="V2554" s="1769"/>
      <c r="X2554" s="1768"/>
      <c r="Z2554" s="1769"/>
    </row>
    <row r="2555" spans="6:26" ht="18" customHeight="1">
      <c r="F2555" s="154"/>
      <c r="I2555" s="673"/>
      <c r="J2555" s="209"/>
      <c r="L2555" s="154"/>
      <c r="M2555" s="222"/>
      <c r="P2555" s="1597"/>
      <c r="R2555" s="1598"/>
      <c r="T2555" s="1768"/>
      <c r="V2555" s="1769"/>
      <c r="X2555" s="1768"/>
      <c r="Z2555" s="1769"/>
    </row>
    <row r="2556" spans="6:26" ht="18" customHeight="1">
      <c r="F2556" s="154"/>
      <c r="I2556" s="673"/>
      <c r="J2556" s="209"/>
      <c r="L2556" s="154"/>
      <c r="M2556" s="222"/>
      <c r="P2556" s="1597"/>
      <c r="R2556" s="1598"/>
      <c r="T2556" s="1768"/>
      <c r="V2556" s="1769"/>
      <c r="X2556" s="1768"/>
      <c r="Z2556" s="1769"/>
    </row>
    <row r="2557" spans="6:26" ht="18" customHeight="1">
      <c r="F2557" s="154"/>
      <c r="I2557" s="673"/>
      <c r="J2557" s="209"/>
      <c r="L2557" s="154"/>
      <c r="M2557" s="222"/>
      <c r="P2557" s="1597"/>
      <c r="R2557" s="1598"/>
      <c r="T2557" s="1768"/>
      <c r="V2557" s="1769"/>
      <c r="X2557" s="1768"/>
      <c r="Z2557" s="1769"/>
    </row>
    <row r="2558" spans="6:26" ht="18" customHeight="1">
      <c r="F2558" s="154"/>
      <c r="I2558" s="673"/>
      <c r="J2558" s="209"/>
      <c r="L2558" s="154"/>
      <c r="M2558" s="222"/>
      <c r="P2558" s="1597"/>
      <c r="R2558" s="1598"/>
      <c r="T2558" s="1768"/>
      <c r="V2558" s="1769"/>
      <c r="X2558" s="1768"/>
      <c r="Z2558" s="1769"/>
    </row>
    <row r="2559" spans="6:26" ht="18" customHeight="1">
      <c r="F2559" s="154"/>
      <c r="I2559" s="673"/>
      <c r="J2559" s="209"/>
      <c r="L2559" s="154"/>
      <c r="M2559" s="222"/>
      <c r="P2559" s="1597"/>
      <c r="R2559" s="1598"/>
      <c r="T2559" s="1768"/>
      <c r="V2559" s="1769"/>
      <c r="X2559" s="1768"/>
      <c r="Z2559" s="1769"/>
    </row>
    <row r="2560" spans="6:26" ht="18" customHeight="1">
      <c r="F2560" s="154"/>
      <c r="I2560" s="673"/>
      <c r="J2560" s="209"/>
      <c r="L2560" s="154"/>
      <c r="M2560" s="222"/>
      <c r="P2560" s="1597"/>
      <c r="R2560" s="1598"/>
      <c r="T2560" s="1768"/>
      <c r="V2560" s="1769"/>
      <c r="X2560" s="1768"/>
      <c r="Z2560" s="1769"/>
    </row>
    <row r="2561" spans="6:26" ht="18" customHeight="1">
      <c r="F2561" s="154"/>
      <c r="I2561" s="673"/>
      <c r="J2561" s="209"/>
      <c r="L2561" s="154"/>
      <c r="M2561" s="222"/>
      <c r="P2561" s="1597"/>
      <c r="R2561" s="1598"/>
      <c r="T2561" s="1768"/>
      <c r="V2561" s="1769"/>
      <c r="X2561" s="1768"/>
      <c r="Z2561" s="1769"/>
    </row>
    <row r="2562" spans="6:26" ht="18" customHeight="1">
      <c r="F2562" s="154"/>
      <c r="I2562" s="673"/>
      <c r="J2562" s="209"/>
      <c r="L2562" s="154"/>
      <c r="M2562" s="222"/>
      <c r="P2562" s="1597"/>
      <c r="R2562" s="1598"/>
      <c r="T2562" s="1768"/>
      <c r="V2562" s="1769"/>
      <c r="X2562" s="1768"/>
      <c r="Z2562" s="1769"/>
    </row>
    <row r="2563" spans="6:26" ht="18" customHeight="1">
      <c r="F2563" s="154"/>
      <c r="I2563" s="673"/>
      <c r="J2563" s="209"/>
      <c r="L2563" s="154"/>
      <c r="M2563" s="222"/>
      <c r="P2563" s="1597"/>
      <c r="R2563" s="1598"/>
      <c r="T2563" s="1768"/>
      <c r="V2563" s="1769"/>
      <c r="X2563" s="1768"/>
      <c r="Z2563" s="1769"/>
    </row>
    <row r="2564" spans="6:26" ht="18" customHeight="1">
      <c r="F2564" s="154"/>
      <c r="I2564" s="673"/>
      <c r="J2564" s="209"/>
      <c r="L2564" s="154"/>
      <c r="M2564" s="222"/>
      <c r="P2564" s="1597"/>
      <c r="R2564" s="1598"/>
      <c r="T2564" s="1768"/>
      <c r="V2564" s="1769"/>
      <c r="X2564" s="1768"/>
      <c r="Z2564" s="1769"/>
    </row>
    <row r="2565" spans="6:26" ht="18" customHeight="1">
      <c r="F2565" s="154"/>
      <c r="I2565" s="673"/>
      <c r="J2565" s="209"/>
      <c r="L2565" s="154"/>
      <c r="M2565" s="222"/>
      <c r="P2565" s="1597"/>
      <c r="R2565" s="1598"/>
      <c r="T2565" s="1768"/>
      <c r="V2565" s="1769"/>
      <c r="X2565" s="1768"/>
      <c r="Z2565" s="1769"/>
    </row>
    <row r="2566" spans="6:26" ht="18" customHeight="1">
      <c r="F2566" s="154"/>
      <c r="I2566" s="673"/>
      <c r="J2566" s="209"/>
      <c r="L2566" s="154"/>
      <c r="M2566" s="222"/>
      <c r="P2566" s="1597"/>
      <c r="R2566" s="1598"/>
      <c r="T2566" s="1768"/>
      <c r="V2566" s="1769"/>
      <c r="X2566" s="1768"/>
      <c r="Z2566" s="1769"/>
    </row>
    <row r="2567" spans="6:26" ht="18" customHeight="1">
      <c r="F2567" s="154"/>
      <c r="I2567" s="673"/>
      <c r="J2567" s="209"/>
      <c r="L2567" s="154"/>
      <c r="M2567" s="222"/>
      <c r="P2567" s="1597"/>
      <c r="R2567" s="1598"/>
      <c r="T2567" s="1768"/>
      <c r="V2567" s="1769"/>
      <c r="X2567" s="1768"/>
      <c r="Z2567" s="1769"/>
    </row>
    <row r="2568" spans="6:26" ht="18" customHeight="1">
      <c r="F2568" s="154"/>
      <c r="I2568" s="673"/>
      <c r="J2568" s="209"/>
      <c r="L2568" s="154"/>
      <c r="M2568" s="222"/>
      <c r="P2568" s="1597"/>
      <c r="R2568" s="1598"/>
      <c r="T2568" s="1768"/>
      <c r="V2568" s="1769"/>
      <c r="X2568" s="1768"/>
      <c r="Z2568" s="1769"/>
    </row>
    <row r="2569" spans="6:26" ht="18" customHeight="1">
      <c r="F2569" s="154"/>
      <c r="I2569" s="673"/>
      <c r="J2569" s="209"/>
      <c r="L2569" s="154"/>
      <c r="M2569" s="222"/>
      <c r="P2569" s="1597"/>
      <c r="R2569" s="1598"/>
      <c r="T2569" s="1768"/>
      <c r="V2569" s="1769"/>
      <c r="X2569" s="1768"/>
      <c r="Z2569" s="1769"/>
    </row>
    <row r="2570" spans="6:26" ht="18" customHeight="1">
      <c r="F2570" s="154"/>
      <c r="I2570" s="673"/>
      <c r="J2570" s="209"/>
      <c r="L2570" s="154"/>
      <c r="M2570" s="222"/>
      <c r="P2570" s="1597"/>
      <c r="R2570" s="1598"/>
      <c r="T2570" s="1768"/>
      <c r="V2570" s="1769"/>
      <c r="X2570" s="1768"/>
      <c r="Z2570" s="1769"/>
    </row>
    <row r="2571" spans="6:26" ht="18" customHeight="1">
      <c r="F2571" s="154"/>
      <c r="I2571" s="673"/>
      <c r="J2571" s="209"/>
      <c r="L2571" s="154"/>
      <c r="M2571" s="222"/>
      <c r="P2571" s="1597"/>
      <c r="R2571" s="1598"/>
      <c r="T2571" s="1768"/>
      <c r="V2571" s="1769"/>
      <c r="X2571" s="1768"/>
      <c r="Z2571" s="1769"/>
    </row>
    <row r="2572" spans="6:26" ht="18" customHeight="1">
      <c r="F2572" s="154"/>
      <c r="I2572" s="673"/>
      <c r="J2572" s="209"/>
      <c r="L2572" s="154"/>
      <c r="M2572" s="222"/>
      <c r="P2572" s="1597"/>
      <c r="R2572" s="1598"/>
      <c r="T2572" s="1768"/>
      <c r="V2572" s="1769"/>
      <c r="X2572" s="1768"/>
      <c r="Z2572" s="1769"/>
    </row>
    <row r="2573" spans="6:26" ht="18" customHeight="1">
      <c r="F2573" s="154"/>
      <c r="I2573" s="673"/>
      <c r="J2573" s="209"/>
      <c r="L2573" s="154"/>
      <c r="M2573" s="222"/>
      <c r="P2573" s="1597"/>
      <c r="R2573" s="1598"/>
      <c r="T2573" s="1768"/>
      <c r="V2573" s="1769"/>
      <c r="X2573" s="1768"/>
      <c r="Z2573" s="1769"/>
    </row>
    <row r="2574" spans="6:26" ht="18" customHeight="1">
      <c r="F2574" s="154"/>
      <c r="I2574" s="673"/>
      <c r="J2574" s="209"/>
      <c r="L2574" s="154"/>
      <c r="M2574" s="222"/>
      <c r="P2574" s="1597"/>
      <c r="R2574" s="1598"/>
      <c r="T2574" s="1768"/>
      <c r="V2574" s="1769"/>
      <c r="X2574" s="1768"/>
      <c r="Z2574" s="1769"/>
    </row>
    <row r="2575" spans="6:26" ht="18" customHeight="1">
      <c r="F2575" s="154"/>
      <c r="I2575" s="673"/>
      <c r="J2575" s="209"/>
      <c r="L2575" s="154"/>
      <c r="M2575" s="222"/>
      <c r="P2575" s="1597"/>
      <c r="R2575" s="1598"/>
      <c r="T2575" s="1768"/>
      <c r="V2575" s="1769"/>
      <c r="X2575" s="1768"/>
      <c r="Z2575" s="1769"/>
    </row>
    <row r="2576" spans="6:26" ht="18" customHeight="1">
      <c r="F2576" s="154"/>
      <c r="I2576" s="673"/>
      <c r="J2576" s="209"/>
      <c r="L2576" s="154"/>
      <c r="M2576" s="222"/>
      <c r="P2576" s="1597"/>
      <c r="R2576" s="1598"/>
      <c r="T2576" s="1768"/>
      <c r="V2576" s="1769"/>
      <c r="X2576" s="1768"/>
      <c r="Z2576" s="1769"/>
    </row>
    <row r="2577" spans="6:26" ht="18" customHeight="1">
      <c r="F2577" s="154"/>
      <c r="I2577" s="673"/>
      <c r="J2577" s="209"/>
      <c r="L2577" s="154"/>
      <c r="M2577" s="222"/>
      <c r="P2577" s="1597"/>
      <c r="R2577" s="1598"/>
      <c r="T2577" s="1768"/>
      <c r="V2577" s="1769"/>
      <c r="X2577" s="1768"/>
      <c r="Z2577" s="1769"/>
    </row>
    <row r="2578" spans="6:26" ht="18" customHeight="1">
      <c r="F2578" s="154"/>
      <c r="I2578" s="673"/>
      <c r="J2578" s="209"/>
      <c r="L2578" s="154"/>
      <c r="M2578" s="222"/>
      <c r="P2578" s="1597"/>
      <c r="R2578" s="1598"/>
      <c r="T2578" s="1768"/>
      <c r="V2578" s="1769"/>
      <c r="X2578" s="1768"/>
      <c r="Z2578" s="1769"/>
    </row>
    <row r="2579" spans="6:26" ht="18" customHeight="1">
      <c r="F2579" s="154"/>
      <c r="I2579" s="673"/>
      <c r="J2579" s="209"/>
      <c r="L2579" s="154"/>
      <c r="M2579" s="222"/>
      <c r="P2579" s="1597"/>
      <c r="R2579" s="1598"/>
      <c r="T2579" s="1768"/>
      <c r="V2579" s="1769"/>
      <c r="X2579" s="1768"/>
      <c r="Z2579" s="1769"/>
    </row>
    <row r="2580" spans="6:26" ht="18" customHeight="1">
      <c r="F2580" s="154"/>
      <c r="I2580" s="673"/>
      <c r="J2580" s="209"/>
      <c r="L2580" s="154"/>
      <c r="M2580" s="222"/>
      <c r="P2580" s="1597"/>
      <c r="R2580" s="1598"/>
      <c r="T2580" s="1768"/>
      <c r="V2580" s="1769"/>
      <c r="X2580" s="1768"/>
      <c r="Z2580" s="1769"/>
    </row>
    <row r="2581" spans="6:26" ht="18" customHeight="1">
      <c r="F2581" s="154"/>
      <c r="I2581" s="673"/>
      <c r="J2581" s="209"/>
      <c r="L2581" s="154"/>
      <c r="M2581" s="222"/>
      <c r="P2581" s="1597"/>
      <c r="R2581" s="1598"/>
      <c r="T2581" s="1768"/>
      <c r="V2581" s="1769"/>
      <c r="X2581" s="1768"/>
      <c r="Z2581" s="1769"/>
    </row>
    <row r="2582" spans="6:26" ht="18" customHeight="1">
      <c r="F2582" s="154"/>
      <c r="I2582" s="673"/>
      <c r="J2582" s="209"/>
      <c r="L2582" s="154"/>
      <c r="M2582" s="222"/>
      <c r="P2582" s="1597"/>
      <c r="R2582" s="1598"/>
      <c r="T2582" s="1768"/>
      <c r="V2582" s="1769"/>
      <c r="X2582" s="1768"/>
      <c r="Z2582" s="1769"/>
    </row>
    <row r="2583" spans="6:26" ht="18" customHeight="1">
      <c r="F2583" s="154"/>
      <c r="I2583" s="673"/>
      <c r="J2583" s="209"/>
      <c r="L2583" s="154"/>
      <c r="M2583" s="222"/>
      <c r="P2583" s="1597"/>
      <c r="R2583" s="1598"/>
      <c r="T2583" s="1768"/>
      <c r="V2583" s="1769"/>
      <c r="X2583" s="1768"/>
      <c r="Z2583" s="1769"/>
    </row>
    <row r="2584" spans="6:26" ht="18" customHeight="1">
      <c r="F2584" s="154"/>
      <c r="I2584" s="673"/>
      <c r="J2584" s="209"/>
      <c r="L2584" s="154"/>
      <c r="M2584" s="222"/>
      <c r="P2584" s="1597"/>
      <c r="R2584" s="1598"/>
      <c r="T2584" s="1768"/>
      <c r="V2584" s="1769"/>
      <c r="X2584" s="1768"/>
      <c r="Z2584" s="1769"/>
    </row>
    <row r="2585" spans="6:26" ht="18" customHeight="1">
      <c r="F2585" s="154"/>
      <c r="I2585" s="673"/>
      <c r="J2585" s="209"/>
      <c r="L2585" s="154"/>
      <c r="M2585" s="222"/>
      <c r="P2585" s="1597"/>
      <c r="R2585" s="1598"/>
      <c r="T2585" s="1768"/>
      <c r="V2585" s="1769"/>
      <c r="X2585" s="1768"/>
      <c r="Z2585" s="1769"/>
    </row>
    <row r="2586" spans="6:26" ht="18" customHeight="1">
      <c r="F2586" s="154"/>
      <c r="I2586" s="673"/>
      <c r="J2586" s="209"/>
      <c r="L2586" s="154"/>
      <c r="M2586" s="222"/>
      <c r="P2586" s="1597"/>
      <c r="R2586" s="1598"/>
      <c r="T2586" s="1768"/>
      <c r="V2586" s="1769"/>
      <c r="X2586" s="1768"/>
      <c r="Z2586" s="1769"/>
    </row>
    <row r="2587" spans="6:26" ht="18" customHeight="1">
      <c r="F2587" s="154"/>
      <c r="I2587" s="673"/>
      <c r="J2587" s="209"/>
      <c r="L2587" s="154"/>
      <c r="M2587" s="222"/>
      <c r="P2587" s="1597"/>
      <c r="R2587" s="1598"/>
      <c r="T2587" s="1768"/>
      <c r="V2587" s="1769"/>
      <c r="X2587" s="1768"/>
      <c r="Z2587" s="1769"/>
    </row>
    <row r="2588" spans="6:26" ht="18" customHeight="1">
      <c r="F2588" s="154"/>
      <c r="I2588" s="673"/>
      <c r="J2588" s="209"/>
      <c r="L2588" s="154"/>
      <c r="M2588" s="222"/>
      <c r="P2588" s="1597"/>
      <c r="R2588" s="1598"/>
      <c r="T2588" s="1768"/>
      <c r="V2588" s="1769"/>
      <c r="X2588" s="1768"/>
      <c r="Z2588" s="1769"/>
    </row>
    <row r="2589" spans="6:26" ht="18" customHeight="1">
      <c r="F2589" s="154"/>
      <c r="I2589" s="673"/>
      <c r="J2589" s="209"/>
      <c r="L2589" s="154"/>
      <c r="M2589" s="222"/>
      <c r="P2589" s="1597"/>
      <c r="R2589" s="1598"/>
      <c r="T2589" s="1768"/>
      <c r="V2589" s="1769"/>
      <c r="X2589" s="1768"/>
      <c r="Z2589" s="1769"/>
    </row>
    <row r="2590" spans="6:26" ht="18" customHeight="1">
      <c r="F2590" s="154"/>
      <c r="I2590" s="673"/>
      <c r="J2590" s="209"/>
      <c r="L2590" s="154"/>
      <c r="M2590" s="222"/>
      <c r="P2590" s="1597"/>
      <c r="R2590" s="1598"/>
      <c r="T2590" s="1768"/>
      <c r="V2590" s="1769"/>
      <c r="X2590" s="1768"/>
      <c r="Z2590" s="1769"/>
    </row>
    <row r="2591" spans="6:26" ht="18" customHeight="1">
      <c r="F2591" s="154"/>
      <c r="I2591" s="673"/>
      <c r="J2591" s="209"/>
      <c r="L2591" s="154"/>
      <c r="M2591" s="222"/>
      <c r="P2591" s="1597"/>
      <c r="R2591" s="1598"/>
      <c r="T2591" s="1768"/>
      <c r="V2591" s="1769"/>
      <c r="X2591" s="1768"/>
      <c r="Z2591" s="1769"/>
    </row>
    <row r="2592" spans="6:26" ht="18" customHeight="1">
      <c r="F2592" s="154"/>
      <c r="I2592" s="673"/>
      <c r="J2592" s="209"/>
      <c r="L2592" s="154"/>
      <c r="M2592" s="222"/>
      <c r="P2592" s="1597"/>
      <c r="R2592" s="1598"/>
      <c r="T2592" s="1768"/>
      <c r="V2592" s="1769"/>
      <c r="X2592" s="1768"/>
      <c r="Z2592" s="1769"/>
    </row>
    <row r="2593" spans="6:26" ht="18" customHeight="1">
      <c r="F2593" s="154"/>
      <c r="I2593" s="673"/>
      <c r="J2593" s="209"/>
      <c r="L2593" s="154"/>
      <c r="M2593" s="222"/>
      <c r="P2593" s="1597"/>
      <c r="R2593" s="1598"/>
      <c r="T2593" s="1768"/>
      <c r="V2593" s="1769"/>
      <c r="X2593" s="1768"/>
      <c r="Z2593" s="1769"/>
    </row>
    <row r="2594" spans="6:26" ht="18" customHeight="1">
      <c r="F2594" s="154"/>
      <c r="I2594" s="673"/>
      <c r="J2594" s="209"/>
      <c r="L2594" s="154"/>
      <c r="M2594" s="222"/>
      <c r="P2594" s="1597"/>
      <c r="R2594" s="1598"/>
      <c r="T2594" s="1768"/>
      <c r="V2594" s="1769"/>
      <c r="X2594" s="1768"/>
      <c r="Z2594" s="1769"/>
    </row>
    <row r="2595" spans="6:26" ht="18" customHeight="1">
      <c r="F2595" s="154"/>
      <c r="I2595" s="673"/>
      <c r="J2595" s="209"/>
      <c r="L2595" s="154"/>
      <c r="M2595" s="222"/>
      <c r="P2595" s="1597"/>
      <c r="R2595" s="1598"/>
      <c r="T2595" s="1768"/>
      <c r="V2595" s="1769"/>
      <c r="X2595" s="1768"/>
      <c r="Z2595" s="1769"/>
    </row>
    <row r="2596" spans="6:26" ht="18" customHeight="1">
      <c r="F2596" s="154"/>
      <c r="I2596" s="673"/>
      <c r="J2596" s="209"/>
      <c r="L2596" s="154"/>
      <c r="M2596" s="222"/>
      <c r="P2596" s="1597"/>
      <c r="R2596" s="1598"/>
      <c r="T2596" s="1768"/>
      <c r="V2596" s="1769"/>
      <c r="X2596" s="1768"/>
      <c r="Z2596" s="1769"/>
    </row>
    <row r="2597" spans="6:26" ht="18" customHeight="1">
      <c r="F2597" s="154"/>
      <c r="I2597" s="673"/>
      <c r="J2597" s="209"/>
      <c r="L2597" s="154"/>
      <c r="M2597" s="222"/>
      <c r="P2597" s="1597"/>
      <c r="R2597" s="1598"/>
      <c r="T2597" s="1768"/>
      <c r="V2597" s="1769"/>
      <c r="X2597" s="1768"/>
      <c r="Z2597" s="1769"/>
    </row>
    <row r="2598" spans="6:26" ht="18" customHeight="1">
      <c r="F2598" s="154"/>
      <c r="I2598" s="673"/>
      <c r="J2598" s="209"/>
      <c r="L2598" s="154"/>
      <c r="M2598" s="222"/>
      <c r="P2598" s="1597"/>
      <c r="R2598" s="1598"/>
      <c r="T2598" s="1768"/>
      <c r="V2598" s="1769"/>
      <c r="X2598" s="1768"/>
      <c r="Z2598" s="1769"/>
    </row>
    <row r="2599" spans="6:26" ht="18" customHeight="1">
      <c r="F2599" s="154"/>
      <c r="I2599" s="673"/>
      <c r="J2599" s="209"/>
      <c r="L2599" s="154"/>
      <c r="M2599" s="222"/>
      <c r="P2599" s="1597"/>
      <c r="R2599" s="1598"/>
      <c r="T2599" s="1768"/>
      <c r="V2599" s="1769"/>
      <c r="X2599" s="1768"/>
      <c r="Z2599" s="1769"/>
    </row>
    <row r="2600" spans="6:26" ht="18" customHeight="1">
      <c r="F2600" s="154"/>
      <c r="I2600" s="673"/>
      <c r="J2600" s="209"/>
      <c r="L2600" s="154"/>
      <c r="M2600" s="222"/>
      <c r="P2600" s="1597"/>
      <c r="R2600" s="1598"/>
      <c r="T2600" s="1768"/>
      <c r="V2600" s="1769"/>
      <c r="X2600" s="1768"/>
      <c r="Z2600" s="1769"/>
    </row>
    <row r="2601" spans="6:26" ht="18" customHeight="1">
      <c r="F2601" s="154"/>
      <c r="I2601" s="673"/>
      <c r="J2601" s="209"/>
      <c r="L2601" s="154"/>
      <c r="M2601" s="222"/>
      <c r="P2601" s="1597"/>
      <c r="R2601" s="1598"/>
      <c r="T2601" s="1768"/>
      <c r="V2601" s="1769"/>
      <c r="X2601" s="1768"/>
      <c r="Z2601" s="1769"/>
    </row>
    <row r="2602" spans="6:26" ht="18" customHeight="1">
      <c r="F2602" s="154"/>
      <c r="I2602" s="673"/>
      <c r="J2602" s="209"/>
      <c r="L2602" s="154"/>
      <c r="M2602" s="222"/>
      <c r="P2602" s="1597"/>
      <c r="R2602" s="1598"/>
      <c r="T2602" s="1768"/>
      <c r="V2602" s="1769"/>
      <c r="X2602" s="1768"/>
      <c r="Z2602" s="1769"/>
    </row>
    <row r="2603" spans="6:26" ht="18" customHeight="1">
      <c r="F2603" s="154"/>
      <c r="I2603" s="673"/>
      <c r="J2603" s="209"/>
      <c r="L2603" s="154"/>
      <c r="M2603" s="222"/>
      <c r="P2603" s="1597"/>
      <c r="R2603" s="1598"/>
      <c r="T2603" s="1768"/>
      <c r="V2603" s="1769"/>
      <c r="X2603" s="1768"/>
      <c r="Z2603" s="1769"/>
    </row>
    <row r="2604" spans="6:26" ht="18" customHeight="1">
      <c r="F2604" s="154"/>
      <c r="I2604" s="673"/>
      <c r="J2604" s="209"/>
      <c r="L2604" s="154"/>
      <c r="M2604" s="222"/>
      <c r="P2604" s="1597"/>
      <c r="R2604" s="1598"/>
      <c r="T2604" s="1768"/>
      <c r="V2604" s="1769"/>
      <c r="X2604" s="1768"/>
      <c r="Z2604" s="1769"/>
    </row>
    <row r="2605" spans="6:26" ht="18" customHeight="1">
      <c r="F2605" s="154"/>
      <c r="I2605" s="673"/>
      <c r="J2605" s="209"/>
      <c r="L2605" s="154"/>
      <c r="M2605" s="222"/>
      <c r="P2605" s="1597"/>
      <c r="R2605" s="1598"/>
      <c r="T2605" s="1768"/>
      <c r="V2605" s="1769"/>
      <c r="X2605" s="1768"/>
      <c r="Z2605" s="1769"/>
    </row>
    <row r="2606" spans="6:26" ht="18" customHeight="1">
      <c r="F2606" s="154"/>
      <c r="I2606" s="673"/>
      <c r="J2606" s="209"/>
      <c r="L2606" s="154"/>
      <c r="M2606" s="222"/>
      <c r="P2606" s="1597"/>
      <c r="R2606" s="1598"/>
      <c r="T2606" s="1768"/>
      <c r="V2606" s="1769"/>
      <c r="X2606" s="1768"/>
      <c r="Z2606" s="1769"/>
    </row>
    <row r="2607" spans="6:26" ht="18" customHeight="1">
      <c r="F2607" s="154"/>
      <c r="I2607" s="673"/>
      <c r="J2607" s="209"/>
      <c r="L2607" s="154"/>
      <c r="M2607" s="222"/>
      <c r="P2607" s="1597"/>
      <c r="R2607" s="1598"/>
      <c r="T2607" s="1768"/>
      <c r="V2607" s="1769"/>
      <c r="X2607" s="1768"/>
      <c r="Z2607" s="1769"/>
    </row>
    <row r="2608" spans="6:26" ht="18" customHeight="1">
      <c r="F2608" s="154"/>
      <c r="I2608" s="673"/>
      <c r="J2608" s="209"/>
      <c r="L2608" s="154"/>
      <c r="M2608" s="222"/>
      <c r="P2608" s="1597"/>
      <c r="R2608" s="1598"/>
      <c r="T2608" s="1768"/>
      <c r="V2608" s="1769"/>
      <c r="X2608" s="1768"/>
      <c r="Z2608" s="1769"/>
    </row>
    <row r="2609" spans="6:26" ht="18" customHeight="1">
      <c r="F2609" s="154"/>
      <c r="I2609" s="673"/>
      <c r="J2609" s="209"/>
      <c r="L2609" s="154"/>
      <c r="M2609" s="222"/>
      <c r="P2609" s="1597"/>
      <c r="R2609" s="1598"/>
      <c r="T2609" s="1768"/>
      <c r="V2609" s="1769"/>
      <c r="X2609" s="1768"/>
      <c r="Z2609" s="1769"/>
    </row>
    <row r="2610" spans="6:26" ht="18" customHeight="1">
      <c r="F2610" s="154"/>
      <c r="I2610" s="673"/>
      <c r="J2610" s="209"/>
      <c r="L2610" s="154"/>
      <c r="M2610" s="222"/>
      <c r="P2610" s="1597"/>
      <c r="R2610" s="1598"/>
      <c r="T2610" s="1768"/>
      <c r="V2610" s="1769"/>
      <c r="X2610" s="1768"/>
      <c r="Z2610" s="1769"/>
    </row>
    <row r="2611" spans="6:26" ht="18" customHeight="1">
      <c r="F2611" s="154"/>
      <c r="I2611" s="673"/>
      <c r="J2611" s="209"/>
      <c r="L2611" s="154"/>
      <c r="M2611" s="222"/>
      <c r="P2611" s="1597"/>
      <c r="R2611" s="1598"/>
      <c r="T2611" s="1768"/>
      <c r="V2611" s="1769"/>
      <c r="X2611" s="1768"/>
      <c r="Z2611" s="1769"/>
    </row>
    <row r="2612" spans="6:26" ht="18" customHeight="1">
      <c r="F2612" s="154"/>
      <c r="I2612" s="673"/>
      <c r="J2612" s="209"/>
      <c r="L2612" s="154"/>
      <c r="M2612" s="222"/>
      <c r="P2612" s="1597"/>
      <c r="R2612" s="1598"/>
      <c r="T2612" s="1768"/>
      <c r="V2612" s="1769"/>
      <c r="X2612" s="1768"/>
      <c r="Z2612" s="1769"/>
    </row>
    <row r="2613" spans="6:26" ht="18" customHeight="1">
      <c r="F2613" s="154"/>
      <c r="I2613" s="673"/>
      <c r="J2613" s="209"/>
      <c r="L2613" s="154"/>
      <c r="M2613" s="222"/>
      <c r="P2613" s="1597"/>
      <c r="R2613" s="1598"/>
      <c r="T2613" s="1768"/>
      <c r="V2613" s="1769"/>
      <c r="X2613" s="1768"/>
      <c r="Z2613" s="1769"/>
    </row>
    <row r="2614" spans="6:26" ht="18" customHeight="1">
      <c r="F2614" s="154"/>
      <c r="I2614" s="673"/>
      <c r="J2614" s="209"/>
      <c r="L2614" s="154"/>
      <c r="M2614" s="222"/>
      <c r="P2614" s="1597"/>
      <c r="R2614" s="1598"/>
      <c r="T2614" s="1768"/>
      <c r="V2614" s="1769"/>
      <c r="X2614" s="1768"/>
      <c r="Z2614" s="1769"/>
    </row>
    <row r="2615" spans="6:26" ht="18" customHeight="1">
      <c r="F2615" s="154"/>
      <c r="I2615" s="673"/>
      <c r="J2615" s="209"/>
      <c r="L2615" s="154"/>
      <c r="M2615" s="222"/>
      <c r="P2615" s="1597"/>
      <c r="R2615" s="1598"/>
      <c r="T2615" s="1768"/>
      <c r="V2615" s="1769"/>
      <c r="X2615" s="1768"/>
      <c r="Z2615" s="1769"/>
    </row>
    <row r="2616" spans="6:26" ht="18" customHeight="1">
      <c r="F2616" s="154"/>
      <c r="I2616" s="673"/>
      <c r="J2616" s="209"/>
      <c r="L2616" s="154"/>
      <c r="M2616" s="222"/>
      <c r="P2616" s="1597"/>
      <c r="R2616" s="1598"/>
      <c r="T2616" s="1768"/>
      <c r="V2616" s="1769"/>
      <c r="X2616" s="1768"/>
      <c r="Z2616" s="1769"/>
    </row>
    <row r="2617" spans="6:26" ht="18" customHeight="1">
      <c r="F2617" s="154"/>
      <c r="I2617" s="673"/>
      <c r="J2617" s="209"/>
      <c r="L2617" s="154"/>
      <c r="M2617" s="222"/>
      <c r="P2617" s="1597"/>
      <c r="R2617" s="1598"/>
      <c r="T2617" s="1768"/>
      <c r="V2617" s="1769"/>
      <c r="X2617" s="1768"/>
      <c r="Z2617" s="1769"/>
    </row>
    <row r="2618" spans="6:26" ht="18" customHeight="1">
      <c r="F2618" s="154"/>
      <c r="I2618" s="673"/>
      <c r="J2618" s="209"/>
      <c r="L2618" s="154"/>
      <c r="M2618" s="222"/>
      <c r="P2618" s="1597"/>
      <c r="R2618" s="1598"/>
      <c r="T2618" s="1768"/>
      <c r="V2618" s="1769"/>
      <c r="X2618" s="1768"/>
      <c r="Z2618" s="1769"/>
    </row>
    <row r="2619" spans="6:26" ht="18" customHeight="1">
      <c r="F2619" s="154"/>
      <c r="I2619" s="673"/>
      <c r="J2619" s="209"/>
      <c r="L2619" s="154"/>
      <c r="M2619" s="222"/>
      <c r="P2619" s="1597"/>
      <c r="R2619" s="1598"/>
      <c r="T2619" s="1768"/>
      <c r="V2619" s="1769"/>
      <c r="X2619" s="1768"/>
      <c r="Z2619" s="1769"/>
    </row>
    <row r="2620" spans="6:26" ht="18" customHeight="1">
      <c r="F2620" s="154"/>
      <c r="I2620" s="673"/>
      <c r="J2620" s="209"/>
      <c r="L2620" s="154"/>
      <c r="M2620" s="222"/>
      <c r="P2620" s="1597"/>
      <c r="R2620" s="1598"/>
      <c r="T2620" s="1768"/>
      <c r="V2620" s="1769"/>
      <c r="X2620" s="1768"/>
      <c r="Z2620" s="1769"/>
    </row>
    <row r="2621" spans="6:26" ht="18" customHeight="1">
      <c r="F2621" s="154"/>
      <c r="I2621" s="673"/>
      <c r="J2621" s="209"/>
      <c r="L2621" s="154"/>
      <c r="M2621" s="222"/>
      <c r="P2621" s="1597"/>
      <c r="R2621" s="1598"/>
      <c r="T2621" s="1768"/>
      <c r="V2621" s="1769"/>
      <c r="X2621" s="1768"/>
      <c r="Z2621" s="1769"/>
    </row>
    <row r="2622" spans="6:26" ht="18" customHeight="1">
      <c r="F2622" s="154"/>
      <c r="I2622" s="673"/>
      <c r="J2622" s="209"/>
      <c r="L2622" s="154"/>
      <c r="M2622" s="222"/>
      <c r="P2622" s="1597"/>
      <c r="R2622" s="1598"/>
      <c r="T2622" s="1768"/>
      <c r="V2622" s="1769"/>
      <c r="X2622" s="1768"/>
      <c r="Z2622" s="1769"/>
    </row>
    <row r="2623" spans="6:26" ht="18" customHeight="1">
      <c r="F2623" s="154"/>
      <c r="I2623" s="673"/>
      <c r="J2623" s="209"/>
      <c r="L2623" s="154"/>
      <c r="M2623" s="222"/>
      <c r="P2623" s="1597"/>
      <c r="R2623" s="1598"/>
      <c r="T2623" s="1768"/>
      <c r="V2623" s="1769"/>
      <c r="X2623" s="1768"/>
      <c r="Z2623" s="1769"/>
    </row>
    <row r="2624" spans="6:26" ht="18" customHeight="1">
      <c r="F2624" s="154"/>
      <c r="I2624" s="673"/>
      <c r="J2624" s="209"/>
      <c r="L2624" s="154"/>
      <c r="M2624" s="222"/>
      <c r="P2624" s="1597"/>
      <c r="R2624" s="1598"/>
      <c r="T2624" s="1768"/>
      <c r="V2624" s="1769"/>
      <c r="X2624" s="1768"/>
      <c r="Z2624" s="1769"/>
    </row>
    <row r="2625" spans="6:26" ht="18" customHeight="1">
      <c r="F2625" s="154"/>
      <c r="I2625" s="673"/>
      <c r="J2625" s="209"/>
      <c r="L2625" s="154"/>
      <c r="M2625" s="222"/>
      <c r="P2625" s="1597"/>
      <c r="R2625" s="1598"/>
      <c r="T2625" s="1768"/>
      <c r="V2625" s="1769"/>
      <c r="X2625" s="1768"/>
      <c r="Z2625" s="1769"/>
    </row>
    <row r="2626" spans="6:26" ht="18" customHeight="1">
      <c r="F2626" s="154"/>
      <c r="I2626" s="673"/>
      <c r="J2626" s="209"/>
      <c r="L2626" s="154"/>
      <c r="M2626" s="222"/>
      <c r="P2626" s="1597"/>
      <c r="R2626" s="1598"/>
      <c r="T2626" s="1768"/>
      <c r="V2626" s="1769"/>
      <c r="X2626" s="1768"/>
      <c r="Z2626" s="1769"/>
    </row>
    <row r="2627" spans="6:26" ht="18" customHeight="1">
      <c r="F2627" s="154"/>
      <c r="I2627" s="673"/>
      <c r="J2627" s="209"/>
      <c r="L2627" s="154"/>
      <c r="M2627" s="222"/>
      <c r="P2627" s="1597"/>
      <c r="R2627" s="1598"/>
      <c r="T2627" s="1768"/>
      <c r="V2627" s="1769"/>
      <c r="X2627" s="1768"/>
      <c r="Z2627" s="1769"/>
    </row>
    <row r="2628" spans="6:26" ht="18" customHeight="1">
      <c r="F2628" s="154"/>
      <c r="I2628" s="673"/>
      <c r="J2628" s="209"/>
      <c r="L2628" s="154"/>
      <c r="M2628" s="222"/>
      <c r="P2628" s="1597"/>
      <c r="R2628" s="1598"/>
      <c r="T2628" s="1768"/>
      <c r="V2628" s="1769"/>
      <c r="X2628" s="1768"/>
      <c r="Z2628" s="1769"/>
    </row>
    <row r="2629" spans="6:26" ht="18" customHeight="1">
      <c r="F2629" s="154"/>
      <c r="I2629" s="673"/>
      <c r="J2629" s="209"/>
      <c r="L2629" s="154"/>
      <c r="M2629" s="222"/>
      <c r="P2629" s="1597"/>
      <c r="R2629" s="1598"/>
      <c r="T2629" s="1768"/>
      <c r="V2629" s="1769"/>
      <c r="X2629" s="1768"/>
      <c r="Z2629" s="1769"/>
    </row>
    <row r="2630" spans="6:26" ht="18" customHeight="1">
      <c r="F2630" s="154"/>
      <c r="I2630" s="673"/>
      <c r="J2630" s="209"/>
      <c r="L2630" s="154"/>
      <c r="M2630" s="222"/>
      <c r="P2630" s="1597"/>
      <c r="R2630" s="1598"/>
      <c r="T2630" s="1768"/>
      <c r="V2630" s="1769"/>
      <c r="X2630" s="1768"/>
      <c r="Z2630" s="1769"/>
    </row>
    <row r="2631" spans="6:26" ht="18" customHeight="1">
      <c r="F2631" s="154"/>
      <c r="I2631" s="673"/>
      <c r="J2631" s="209"/>
      <c r="L2631" s="154"/>
      <c r="M2631" s="222"/>
      <c r="P2631" s="1597"/>
      <c r="R2631" s="1598"/>
      <c r="T2631" s="1768"/>
      <c r="V2631" s="1769"/>
      <c r="X2631" s="1768"/>
      <c r="Z2631" s="1769"/>
    </row>
    <row r="2632" spans="6:26" ht="18" customHeight="1">
      <c r="F2632" s="154"/>
      <c r="I2632" s="673"/>
      <c r="J2632" s="209"/>
      <c r="L2632" s="154"/>
      <c r="M2632" s="222"/>
      <c r="P2632" s="1597"/>
      <c r="R2632" s="1598"/>
      <c r="T2632" s="1768"/>
      <c r="V2632" s="1769"/>
      <c r="X2632" s="1768"/>
      <c r="Z2632" s="1769"/>
    </row>
    <row r="2633" spans="6:26" ht="18" customHeight="1">
      <c r="F2633" s="154"/>
      <c r="I2633" s="673"/>
      <c r="J2633" s="209"/>
      <c r="L2633" s="154"/>
      <c r="M2633" s="222"/>
      <c r="P2633" s="1597"/>
      <c r="R2633" s="1598"/>
      <c r="T2633" s="1768"/>
      <c r="V2633" s="1769"/>
      <c r="X2633" s="1768"/>
      <c r="Z2633" s="1769"/>
    </row>
    <row r="2634" spans="6:26" ht="18" customHeight="1">
      <c r="F2634" s="154"/>
      <c r="I2634" s="673"/>
      <c r="J2634" s="209"/>
      <c r="L2634" s="154"/>
      <c r="M2634" s="222"/>
      <c r="P2634" s="1597"/>
      <c r="R2634" s="1598"/>
      <c r="T2634" s="1768"/>
      <c r="V2634" s="1769"/>
      <c r="X2634" s="1768"/>
      <c r="Z2634" s="1769"/>
    </row>
    <row r="2635" spans="6:26" ht="18" customHeight="1">
      <c r="F2635" s="154"/>
      <c r="I2635" s="673"/>
      <c r="J2635" s="209"/>
      <c r="L2635" s="154"/>
      <c r="M2635" s="222"/>
      <c r="P2635" s="1597"/>
      <c r="R2635" s="1598"/>
      <c r="T2635" s="1768"/>
      <c r="V2635" s="1769"/>
      <c r="X2635" s="1768"/>
      <c r="Z2635" s="1769"/>
    </row>
    <row r="2636" spans="6:26" ht="18" customHeight="1">
      <c r="F2636" s="154"/>
      <c r="I2636" s="673"/>
      <c r="J2636" s="209"/>
      <c r="L2636" s="154"/>
      <c r="M2636" s="222"/>
      <c r="P2636" s="1597"/>
      <c r="R2636" s="1598"/>
      <c r="T2636" s="1768"/>
      <c r="V2636" s="1769"/>
      <c r="X2636" s="1768"/>
      <c r="Z2636" s="1769"/>
    </row>
    <row r="2637" spans="6:26" ht="18" customHeight="1">
      <c r="F2637" s="154"/>
      <c r="I2637" s="673"/>
      <c r="J2637" s="209"/>
      <c r="L2637" s="154"/>
      <c r="M2637" s="222"/>
      <c r="P2637" s="1597"/>
      <c r="R2637" s="1598"/>
      <c r="T2637" s="1768"/>
      <c r="V2637" s="1769"/>
      <c r="X2637" s="1768"/>
      <c r="Z2637" s="1769"/>
    </row>
    <row r="2638" spans="6:26" ht="18" customHeight="1">
      <c r="F2638" s="154"/>
      <c r="I2638" s="673"/>
      <c r="J2638" s="209"/>
      <c r="L2638" s="154"/>
      <c r="M2638" s="222"/>
      <c r="P2638" s="1597"/>
      <c r="R2638" s="1598"/>
      <c r="T2638" s="1768"/>
      <c r="V2638" s="1769"/>
      <c r="X2638" s="1768"/>
      <c r="Z2638" s="1769"/>
    </row>
    <row r="2639" spans="6:26" ht="18" customHeight="1">
      <c r="F2639" s="154"/>
      <c r="I2639" s="673"/>
      <c r="J2639" s="209"/>
      <c r="L2639" s="154"/>
      <c r="M2639" s="222"/>
      <c r="P2639" s="1597"/>
      <c r="R2639" s="1598"/>
      <c r="T2639" s="1768"/>
      <c r="V2639" s="1769"/>
      <c r="X2639" s="1768"/>
      <c r="Z2639" s="1769"/>
    </row>
    <row r="2640" spans="6:26" ht="18" customHeight="1">
      <c r="F2640" s="154"/>
      <c r="I2640" s="673"/>
      <c r="J2640" s="209"/>
      <c r="L2640" s="154"/>
      <c r="M2640" s="222"/>
      <c r="P2640" s="1597"/>
      <c r="R2640" s="1598"/>
      <c r="T2640" s="1768"/>
      <c r="V2640" s="1769"/>
      <c r="X2640" s="1768"/>
      <c r="Z2640" s="1769"/>
    </row>
    <row r="2641" spans="6:26" ht="18" customHeight="1">
      <c r="F2641" s="154"/>
      <c r="I2641" s="673"/>
      <c r="J2641" s="209"/>
      <c r="L2641" s="154"/>
      <c r="M2641" s="222"/>
      <c r="P2641" s="1597"/>
      <c r="R2641" s="1598"/>
      <c r="T2641" s="1768"/>
      <c r="V2641" s="1769"/>
      <c r="X2641" s="1768"/>
      <c r="Z2641" s="1769"/>
    </row>
    <row r="2642" spans="6:26" ht="18" customHeight="1">
      <c r="F2642" s="154"/>
      <c r="I2642" s="673"/>
      <c r="J2642" s="209"/>
      <c r="L2642" s="154"/>
      <c r="M2642" s="222"/>
      <c r="P2642" s="1597"/>
      <c r="R2642" s="1598"/>
      <c r="T2642" s="1768"/>
      <c r="V2642" s="1769"/>
      <c r="X2642" s="1768"/>
      <c r="Z2642" s="1769"/>
    </row>
    <row r="2643" spans="6:26" ht="18" customHeight="1">
      <c r="F2643" s="154"/>
      <c r="I2643" s="673"/>
      <c r="J2643" s="209"/>
      <c r="L2643" s="154"/>
      <c r="M2643" s="222"/>
      <c r="P2643" s="1597"/>
      <c r="R2643" s="1598"/>
      <c r="T2643" s="1768"/>
      <c r="V2643" s="1769"/>
      <c r="X2643" s="1768"/>
      <c r="Z2643" s="1769"/>
    </row>
    <row r="2644" spans="6:26" ht="18" customHeight="1">
      <c r="F2644" s="154"/>
      <c r="I2644" s="673"/>
      <c r="J2644" s="209"/>
      <c r="L2644" s="154"/>
      <c r="M2644" s="222"/>
      <c r="P2644" s="1597"/>
      <c r="R2644" s="1598"/>
      <c r="T2644" s="1768"/>
      <c r="V2644" s="1769"/>
      <c r="X2644" s="1768"/>
      <c r="Z2644" s="1769"/>
    </row>
    <row r="2645" spans="6:26" ht="18" customHeight="1">
      <c r="F2645" s="154"/>
      <c r="I2645" s="673"/>
      <c r="J2645" s="209"/>
      <c r="L2645" s="154"/>
      <c r="M2645" s="222"/>
      <c r="P2645" s="1597"/>
      <c r="R2645" s="1598"/>
      <c r="T2645" s="1768"/>
      <c r="V2645" s="1769"/>
      <c r="X2645" s="1768"/>
      <c r="Z2645" s="1769"/>
    </row>
    <row r="2646" spans="6:26" ht="18" customHeight="1">
      <c r="F2646" s="154"/>
      <c r="I2646" s="673"/>
      <c r="J2646" s="209"/>
      <c r="L2646" s="154"/>
      <c r="M2646" s="222"/>
      <c r="P2646" s="1597"/>
      <c r="R2646" s="1598"/>
      <c r="T2646" s="1768"/>
      <c r="V2646" s="1769"/>
      <c r="X2646" s="1768"/>
      <c r="Z2646" s="1769"/>
    </row>
    <row r="2647" spans="6:26" ht="18" customHeight="1">
      <c r="F2647" s="154"/>
      <c r="I2647" s="673"/>
      <c r="J2647" s="209"/>
      <c r="L2647" s="154"/>
      <c r="M2647" s="222"/>
      <c r="P2647" s="1597"/>
      <c r="R2647" s="1598"/>
      <c r="T2647" s="1768"/>
      <c r="V2647" s="1769"/>
      <c r="X2647" s="1768"/>
      <c r="Z2647" s="1769"/>
    </row>
    <row r="2648" spans="6:26" ht="18" customHeight="1">
      <c r="F2648" s="154"/>
      <c r="I2648" s="673"/>
      <c r="J2648" s="209"/>
      <c r="L2648" s="154"/>
      <c r="M2648" s="222"/>
      <c r="P2648" s="1597"/>
      <c r="R2648" s="1598"/>
      <c r="T2648" s="1768"/>
      <c r="V2648" s="1769"/>
      <c r="X2648" s="1768"/>
      <c r="Z2648" s="1769"/>
    </row>
    <row r="2649" spans="6:26" ht="18" customHeight="1">
      <c r="F2649" s="154"/>
      <c r="I2649" s="673"/>
      <c r="J2649" s="209"/>
      <c r="L2649" s="154"/>
      <c r="M2649" s="222"/>
      <c r="P2649" s="1597"/>
      <c r="R2649" s="1598"/>
      <c r="T2649" s="1768"/>
      <c r="V2649" s="1769"/>
      <c r="X2649" s="1768"/>
      <c r="Z2649" s="1769"/>
    </row>
    <row r="2650" spans="6:26" ht="18" customHeight="1">
      <c r="F2650" s="154"/>
      <c r="I2650" s="673"/>
      <c r="J2650" s="209"/>
      <c r="L2650" s="154"/>
      <c r="M2650" s="222"/>
      <c r="P2650" s="1597"/>
      <c r="R2650" s="1598"/>
      <c r="T2650" s="1768"/>
      <c r="V2650" s="1769"/>
      <c r="X2650" s="1768"/>
      <c r="Z2650" s="1769"/>
    </row>
    <row r="2651" spans="6:26" ht="18" customHeight="1">
      <c r="F2651" s="154"/>
      <c r="I2651" s="673"/>
      <c r="J2651" s="209"/>
      <c r="L2651" s="154"/>
      <c r="M2651" s="222"/>
      <c r="P2651" s="1597"/>
      <c r="R2651" s="1598"/>
      <c r="T2651" s="1768"/>
      <c r="V2651" s="1769"/>
      <c r="X2651" s="1768"/>
      <c r="Z2651" s="1769"/>
    </row>
    <row r="2652" spans="6:26" ht="18" customHeight="1">
      <c r="F2652" s="154"/>
      <c r="I2652" s="673"/>
      <c r="J2652" s="209"/>
      <c r="L2652" s="154"/>
      <c r="M2652" s="222"/>
      <c r="P2652" s="1597"/>
      <c r="R2652" s="1598"/>
      <c r="T2652" s="1768"/>
      <c r="V2652" s="1769"/>
      <c r="X2652" s="1768"/>
      <c r="Z2652" s="1769"/>
    </row>
    <row r="2653" spans="6:26" ht="18" customHeight="1">
      <c r="F2653" s="154"/>
      <c r="I2653" s="673"/>
      <c r="J2653" s="209"/>
      <c r="L2653" s="154"/>
      <c r="M2653" s="222"/>
      <c r="P2653" s="1597"/>
      <c r="R2653" s="1598"/>
      <c r="T2653" s="1768"/>
      <c r="V2653" s="1769"/>
      <c r="X2653" s="1768"/>
      <c r="Z2653" s="1769"/>
    </row>
    <row r="2654" spans="6:26" ht="18" customHeight="1">
      <c r="F2654" s="154"/>
      <c r="I2654" s="673"/>
      <c r="J2654" s="209"/>
      <c r="L2654" s="154"/>
      <c r="M2654" s="222"/>
      <c r="P2654" s="1597"/>
      <c r="R2654" s="1598"/>
      <c r="T2654" s="1768"/>
      <c r="V2654" s="1769"/>
      <c r="X2654" s="1768"/>
      <c r="Z2654" s="1769"/>
    </row>
    <row r="2655" spans="6:26" ht="18" customHeight="1">
      <c r="F2655" s="154"/>
      <c r="I2655" s="673"/>
      <c r="J2655" s="209"/>
      <c r="L2655" s="154"/>
      <c r="M2655" s="222"/>
      <c r="P2655" s="1597"/>
      <c r="R2655" s="1598"/>
      <c r="T2655" s="1768"/>
      <c r="V2655" s="1769"/>
      <c r="X2655" s="1768"/>
      <c r="Z2655" s="1769"/>
    </row>
    <row r="2656" spans="6:26" ht="18" customHeight="1">
      <c r="F2656" s="154"/>
      <c r="I2656" s="673"/>
      <c r="J2656" s="209"/>
      <c r="L2656" s="154"/>
      <c r="M2656" s="222"/>
      <c r="P2656" s="1597"/>
      <c r="R2656" s="1598"/>
      <c r="T2656" s="1768"/>
      <c r="V2656" s="1769"/>
      <c r="X2656" s="1768"/>
      <c r="Z2656" s="1769"/>
    </row>
    <row r="2657" spans="6:26" ht="18" customHeight="1">
      <c r="F2657" s="154"/>
      <c r="I2657" s="673"/>
      <c r="J2657" s="209"/>
      <c r="L2657" s="154"/>
      <c r="M2657" s="222"/>
      <c r="P2657" s="1597"/>
      <c r="R2657" s="1598"/>
      <c r="T2657" s="1768"/>
      <c r="V2657" s="1769"/>
      <c r="X2657" s="1768"/>
      <c r="Z2657" s="1769"/>
    </row>
    <row r="2658" spans="6:26" ht="18" customHeight="1">
      <c r="F2658" s="154"/>
      <c r="I2658" s="673"/>
      <c r="J2658" s="209"/>
      <c r="L2658" s="154"/>
      <c r="M2658" s="222"/>
      <c r="P2658" s="1597"/>
      <c r="R2658" s="1598"/>
      <c r="T2658" s="1768"/>
      <c r="V2658" s="1769"/>
      <c r="X2658" s="1768"/>
      <c r="Z2658" s="1769"/>
    </row>
    <row r="2659" spans="6:26" ht="18" customHeight="1">
      <c r="F2659" s="154"/>
      <c r="I2659" s="673"/>
      <c r="J2659" s="209"/>
      <c r="L2659" s="154"/>
      <c r="M2659" s="222"/>
      <c r="P2659" s="1597"/>
      <c r="R2659" s="1598"/>
      <c r="T2659" s="1768"/>
      <c r="V2659" s="1769"/>
      <c r="X2659" s="1768"/>
      <c r="Z2659" s="1769"/>
    </row>
    <row r="2660" spans="6:26" ht="18" customHeight="1">
      <c r="F2660" s="154"/>
      <c r="I2660" s="673"/>
      <c r="J2660" s="209"/>
      <c r="L2660" s="154"/>
      <c r="M2660" s="222"/>
      <c r="P2660" s="1597"/>
      <c r="R2660" s="1598"/>
      <c r="T2660" s="1768"/>
      <c r="V2660" s="1769"/>
      <c r="X2660" s="1768"/>
      <c r="Z2660" s="1769"/>
    </row>
    <row r="2661" spans="6:26" ht="18" customHeight="1">
      <c r="F2661" s="154"/>
      <c r="I2661" s="673"/>
      <c r="J2661" s="209"/>
      <c r="L2661" s="154"/>
      <c r="M2661" s="222"/>
      <c r="P2661" s="1597"/>
      <c r="R2661" s="1598"/>
      <c r="T2661" s="1768"/>
      <c r="V2661" s="1769"/>
      <c r="X2661" s="1768"/>
      <c r="Z2661" s="1769"/>
    </row>
    <row r="2662" spans="6:26" ht="18" customHeight="1">
      <c r="F2662" s="154"/>
      <c r="I2662" s="673"/>
      <c r="J2662" s="209"/>
      <c r="L2662" s="154"/>
      <c r="M2662" s="222"/>
      <c r="P2662" s="1597"/>
      <c r="R2662" s="1598"/>
      <c r="T2662" s="1768"/>
      <c r="V2662" s="1769"/>
      <c r="X2662" s="1768"/>
      <c r="Z2662" s="1769"/>
    </row>
    <row r="2663" spans="6:26" ht="18" customHeight="1">
      <c r="F2663" s="154"/>
      <c r="I2663" s="673"/>
      <c r="J2663" s="209"/>
      <c r="L2663" s="154"/>
      <c r="M2663" s="222"/>
      <c r="P2663" s="1597"/>
      <c r="R2663" s="1598"/>
      <c r="T2663" s="1768"/>
      <c r="V2663" s="1769"/>
      <c r="X2663" s="1768"/>
      <c r="Z2663" s="1769"/>
    </row>
    <row r="2664" spans="6:26" ht="18" customHeight="1">
      <c r="F2664" s="154"/>
      <c r="I2664" s="673"/>
      <c r="J2664" s="209"/>
      <c r="L2664" s="154"/>
      <c r="M2664" s="222"/>
      <c r="P2664" s="1597"/>
      <c r="R2664" s="1598"/>
      <c r="T2664" s="1768"/>
      <c r="V2664" s="1769"/>
      <c r="X2664" s="1768"/>
      <c r="Z2664" s="1769"/>
    </row>
    <row r="2665" spans="6:26" ht="18" customHeight="1">
      <c r="F2665" s="154"/>
      <c r="I2665" s="673"/>
      <c r="J2665" s="209"/>
      <c r="L2665" s="154"/>
      <c r="M2665" s="222"/>
      <c r="P2665" s="1597"/>
      <c r="R2665" s="1598"/>
      <c r="T2665" s="1768"/>
      <c r="V2665" s="1769"/>
      <c r="X2665" s="1768"/>
      <c r="Z2665" s="1769"/>
    </row>
    <row r="2666" spans="6:26" ht="18" customHeight="1">
      <c r="F2666" s="154"/>
      <c r="I2666" s="673"/>
      <c r="J2666" s="209"/>
      <c r="L2666" s="154"/>
      <c r="M2666" s="222"/>
      <c r="P2666" s="1597"/>
      <c r="R2666" s="1598"/>
      <c r="T2666" s="1768"/>
      <c r="V2666" s="1769"/>
      <c r="X2666" s="1768"/>
      <c r="Z2666" s="1769"/>
    </row>
    <row r="2667" spans="6:26" ht="18" customHeight="1">
      <c r="F2667" s="154"/>
      <c r="I2667" s="673"/>
      <c r="J2667" s="209"/>
      <c r="L2667" s="154"/>
      <c r="M2667" s="222"/>
      <c r="P2667" s="1597"/>
      <c r="R2667" s="1598"/>
      <c r="T2667" s="1768"/>
      <c r="V2667" s="1769"/>
      <c r="X2667" s="1768"/>
      <c r="Z2667" s="1769"/>
    </row>
    <row r="2668" spans="6:26" ht="18" customHeight="1">
      <c r="F2668" s="154"/>
      <c r="I2668" s="673"/>
      <c r="J2668" s="209"/>
      <c r="L2668" s="154"/>
      <c r="M2668" s="222"/>
      <c r="P2668" s="1597"/>
      <c r="R2668" s="1598"/>
      <c r="T2668" s="1768"/>
      <c r="V2668" s="1769"/>
      <c r="X2668" s="1768"/>
      <c r="Z2668" s="1769"/>
    </row>
    <row r="2669" spans="6:26" ht="18" customHeight="1">
      <c r="F2669" s="154"/>
      <c r="I2669" s="673"/>
      <c r="J2669" s="209"/>
      <c r="L2669" s="154"/>
      <c r="M2669" s="222"/>
      <c r="P2669" s="1597"/>
      <c r="R2669" s="1598"/>
      <c r="T2669" s="1768"/>
      <c r="V2669" s="1769"/>
      <c r="X2669" s="1768"/>
      <c r="Z2669" s="1769"/>
    </row>
    <row r="2670" spans="6:26" ht="18" customHeight="1">
      <c r="F2670" s="154"/>
      <c r="I2670" s="673"/>
      <c r="J2670" s="209"/>
      <c r="L2670" s="154"/>
      <c r="M2670" s="222"/>
      <c r="P2670" s="1597"/>
      <c r="R2670" s="1598"/>
      <c r="T2670" s="1768"/>
      <c r="V2670" s="1769"/>
      <c r="X2670" s="1768"/>
      <c r="Z2670" s="1769"/>
    </row>
    <row r="2671" spans="6:26" ht="18" customHeight="1">
      <c r="F2671" s="154"/>
      <c r="I2671" s="673"/>
      <c r="J2671" s="209"/>
      <c r="L2671" s="154"/>
      <c r="M2671" s="222"/>
      <c r="P2671" s="1597"/>
      <c r="R2671" s="1598"/>
      <c r="T2671" s="1768"/>
      <c r="V2671" s="1769"/>
      <c r="X2671" s="1768"/>
      <c r="Z2671" s="1769"/>
    </row>
    <row r="2672" spans="6:26" ht="18" customHeight="1">
      <c r="F2672" s="154"/>
      <c r="I2672" s="673"/>
      <c r="J2672" s="209"/>
      <c r="L2672" s="154"/>
      <c r="M2672" s="222"/>
      <c r="P2672" s="1597"/>
      <c r="R2672" s="1598"/>
      <c r="T2672" s="1768"/>
      <c r="V2672" s="1769"/>
      <c r="X2672" s="1768"/>
      <c r="Z2672" s="1769"/>
    </row>
    <row r="2673" spans="6:26" ht="18" customHeight="1">
      <c r="F2673" s="154"/>
      <c r="I2673" s="673"/>
      <c r="J2673" s="209"/>
      <c r="L2673" s="154"/>
      <c r="M2673" s="222"/>
      <c r="P2673" s="1597"/>
      <c r="R2673" s="1598"/>
      <c r="T2673" s="1768"/>
      <c r="V2673" s="1769"/>
      <c r="X2673" s="1768"/>
      <c r="Z2673" s="1769"/>
    </row>
    <row r="2674" spans="6:26" ht="18" customHeight="1">
      <c r="F2674" s="154"/>
      <c r="I2674" s="673"/>
      <c r="J2674" s="209"/>
      <c r="L2674" s="154"/>
      <c r="M2674" s="222"/>
      <c r="P2674" s="1597"/>
      <c r="R2674" s="1598"/>
      <c r="T2674" s="1768"/>
      <c r="V2674" s="1769"/>
      <c r="X2674" s="1768"/>
      <c r="Z2674" s="1769"/>
    </row>
    <row r="2675" spans="6:26" ht="18" customHeight="1">
      <c r="F2675" s="154"/>
      <c r="I2675" s="673"/>
      <c r="J2675" s="209"/>
      <c r="L2675" s="154"/>
      <c r="M2675" s="222"/>
      <c r="P2675" s="1597"/>
      <c r="R2675" s="1598"/>
      <c r="T2675" s="1768"/>
      <c r="V2675" s="1769"/>
      <c r="X2675" s="1768"/>
      <c r="Z2675" s="1769"/>
    </row>
    <row r="2676" spans="6:26" ht="18" customHeight="1">
      <c r="F2676" s="154"/>
      <c r="I2676" s="673"/>
      <c r="J2676" s="209"/>
      <c r="L2676" s="154"/>
      <c r="M2676" s="222"/>
      <c r="P2676" s="1597"/>
      <c r="R2676" s="1598"/>
      <c r="T2676" s="1768"/>
      <c r="V2676" s="1769"/>
      <c r="X2676" s="1768"/>
      <c r="Z2676" s="1769"/>
    </row>
    <row r="2677" spans="6:26" ht="18" customHeight="1">
      <c r="F2677" s="154"/>
      <c r="I2677" s="673"/>
      <c r="J2677" s="209"/>
      <c r="L2677" s="154"/>
      <c r="M2677" s="222"/>
      <c r="P2677" s="1597"/>
      <c r="R2677" s="1598"/>
      <c r="T2677" s="1768"/>
      <c r="V2677" s="1769"/>
      <c r="X2677" s="1768"/>
      <c r="Z2677" s="1769"/>
    </row>
    <row r="2678" spans="6:26" ht="18" customHeight="1">
      <c r="F2678" s="154"/>
      <c r="I2678" s="673"/>
      <c r="J2678" s="209"/>
      <c r="L2678" s="154"/>
      <c r="M2678" s="222"/>
      <c r="P2678" s="1597"/>
      <c r="R2678" s="1598"/>
      <c r="T2678" s="1768"/>
      <c r="V2678" s="1769"/>
      <c r="X2678" s="1768"/>
      <c r="Z2678" s="1769"/>
    </row>
    <row r="2679" spans="6:26" ht="18" customHeight="1">
      <c r="F2679" s="154"/>
      <c r="I2679" s="673"/>
      <c r="J2679" s="209"/>
      <c r="L2679" s="154"/>
      <c r="M2679" s="222"/>
      <c r="P2679" s="1597"/>
      <c r="R2679" s="1598"/>
      <c r="T2679" s="1768"/>
      <c r="V2679" s="1769"/>
      <c r="X2679" s="1768"/>
      <c r="Z2679" s="1769"/>
    </row>
    <row r="2680" spans="6:26" ht="18" customHeight="1">
      <c r="F2680" s="154"/>
      <c r="I2680" s="673"/>
      <c r="J2680" s="209"/>
      <c r="L2680" s="154"/>
      <c r="M2680" s="222"/>
      <c r="P2680" s="1597"/>
      <c r="R2680" s="1598"/>
      <c r="T2680" s="1768"/>
      <c r="V2680" s="1769"/>
      <c r="X2680" s="1768"/>
      <c r="Z2680" s="1769"/>
    </row>
    <row r="2681" spans="6:26" ht="18" customHeight="1">
      <c r="F2681" s="154"/>
      <c r="I2681" s="673"/>
      <c r="J2681" s="209"/>
      <c r="L2681" s="154"/>
      <c r="M2681" s="222"/>
      <c r="P2681" s="1597"/>
      <c r="R2681" s="1598"/>
      <c r="T2681" s="1768"/>
      <c r="V2681" s="1769"/>
      <c r="X2681" s="1768"/>
      <c r="Z2681" s="1769"/>
    </row>
    <row r="2682" spans="6:26" ht="18" customHeight="1">
      <c r="F2682" s="154"/>
      <c r="I2682" s="673"/>
      <c r="J2682" s="209"/>
      <c r="L2682" s="154"/>
      <c r="M2682" s="222"/>
      <c r="P2682" s="1597"/>
      <c r="R2682" s="1598"/>
      <c r="T2682" s="1768"/>
      <c r="V2682" s="1769"/>
      <c r="X2682" s="1768"/>
      <c r="Z2682" s="1769"/>
    </row>
    <row r="2683" spans="6:26" ht="18" customHeight="1">
      <c r="F2683" s="154"/>
      <c r="I2683" s="673"/>
      <c r="J2683" s="209"/>
      <c r="L2683" s="154"/>
      <c r="M2683" s="222"/>
      <c r="P2683" s="1597"/>
      <c r="R2683" s="1598"/>
      <c r="T2683" s="1768"/>
      <c r="V2683" s="1769"/>
      <c r="X2683" s="1768"/>
      <c r="Z2683" s="1769"/>
    </row>
    <row r="2684" spans="6:26" ht="18" customHeight="1">
      <c r="F2684" s="154"/>
      <c r="I2684" s="673"/>
      <c r="J2684" s="209"/>
      <c r="L2684" s="154"/>
      <c r="M2684" s="222"/>
      <c r="P2684" s="1597"/>
      <c r="R2684" s="1598"/>
      <c r="T2684" s="1768"/>
      <c r="V2684" s="1769"/>
      <c r="X2684" s="1768"/>
      <c r="Z2684" s="1769"/>
    </row>
    <row r="2685" spans="6:26" ht="18" customHeight="1">
      <c r="F2685" s="154"/>
      <c r="I2685" s="673"/>
      <c r="J2685" s="209"/>
      <c r="L2685" s="154"/>
      <c r="M2685" s="222"/>
      <c r="P2685" s="1597"/>
      <c r="R2685" s="1598"/>
      <c r="T2685" s="1768"/>
      <c r="V2685" s="1769"/>
      <c r="X2685" s="1768"/>
      <c r="Z2685" s="1769"/>
    </row>
    <row r="2686" spans="6:26" ht="18" customHeight="1">
      <c r="F2686" s="154"/>
      <c r="I2686" s="673"/>
      <c r="J2686" s="209"/>
      <c r="L2686" s="154"/>
      <c r="M2686" s="222"/>
      <c r="P2686" s="1597"/>
      <c r="R2686" s="1598"/>
      <c r="T2686" s="1768"/>
      <c r="V2686" s="1769"/>
      <c r="X2686" s="1768"/>
      <c r="Z2686" s="1769"/>
    </row>
    <row r="2687" spans="6:26" ht="18" customHeight="1">
      <c r="F2687" s="154"/>
      <c r="I2687" s="673"/>
      <c r="J2687" s="209"/>
      <c r="L2687" s="154"/>
      <c r="M2687" s="222"/>
      <c r="P2687" s="1597"/>
      <c r="R2687" s="1598"/>
      <c r="T2687" s="1768"/>
      <c r="V2687" s="1769"/>
      <c r="X2687" s="1768"/>
      <c r="Z2687" s="1769"/>
    </row>
    <row r="2688" spans="6:26" ht="18" customHeight="1">
      <c r="F2688" s="154"/>
      <c r="I2688" s="673"/>
      <c r="J2688" s="209"/>
      <c r="L2688" s="154"/>
      <c r="M2688" s="222"/>
      <c r="P2688" s="1597"/>
      <c r="R2688" s="1598"/>
      <c r="T2688" s="1768"/>
      <c r="V2688" s="1769"/>
      <c r="X2688" s="1768"/>
      <c r="Z2688" s="1769"/>
    </row>
    <row r="2689" spans="6:26" ht="18" customHeight="1">
      <c r="F2689" s="154"/>
      <c r="I2689" s="673"/>
      <c r="J2689" s="209"/>
      <c r="L2689" s="154"/>
      <c r="M2689" s="222"/>
      <c r="P2689" s="1597"/>
      <c r="R2689" s="1598"/>
      <c r="T2689" s="1768"/>
      <c r="V2689" s="1769"/>
      <c r="X2689" s="1768"/>
      <c r="Z2689" s="1769"/>
    </row>
    <row r="2690" spans="6:26" ht="18" customHeight="1">
      <c r="F2690" s="154"/>
      <c r="I2690" s="673"/>
      <c r="J2690" s="209"/>
      <c r="L2690" s="154"/>
      <c r="M2690" s="222"/>
      <c r="P2690" s="1597"/>
      <c r="R2690" s="1598"/>
      <c r="T2690" s="1768"/>
      <c r="V2690" s="1769"/>
      <c r="X2690" s="1768"/>
      <c r="Z2690" s="1769"/>
    </row>
    <row r="2691" spans="6:26" ht="18" customHeight="1">
      <c r="F2691" s="154"/>
      <c r="I2691" s="673"/>
      <c r="J2691" s="209"/>
      <c r="L2691" s="154"/>
      <c r="M2691" s="222"/>
      <c r="P2691" s="1597"/>
      <c r="R2691" s="1598"/>
      <c r="T2691" s="1768"/>
      <c r="V2691" s="1769"/>
      <c r="X2691" s="1768"/>
      <c r="Z2691" s="1769"/>
    </row>
    <row r="2692" spans="6:26" ht="18" customHeight="1">
      <c r="F2692" s="154"/>
      <c r="I2692" s="673"/>
      <c r="J2692" s="209"/>
      <c r="L2692" s="154"/>
      <c r="M2692" s="222"/>
      <c r="P2692" s="1597"/>
      <c r="R2692" s="1598"/>
      <c r="T2692" s="1768"/>
      <c r="V2692" s="1769"/>
      <c r="X2692" s="1768"/>
      <c r="Z2692" s="1769"/>
    </row>
    <row r="2693" spans="6:26" ht="18" customHeight="1">
      <c r="F2693" s="154"/>
      <c r="I2693" s="673"/>
      <c r="J2693" s="209"/>
      <c r="L2693" s="154"/>
      <c r="M2693" s="222"/>
      <c r="P2693" s="1597"/>
      <c r="R2693" s="1598"/>
      <c r="T2693" s="1768"/>
      <c r="V2693" s="1769"/>
      <c r="X2693" s="1768"/>
      <c r="Z2693" s="1769"/>
    </row>
    <row r="2694" spans="6:26" ht="18" customHeight="1">
      <c r="F2694" s="154"/>
      <c r="I2694" s="673"/>
      <c r="J2694" s="209"/>
      <c r="L2694" s="154"/>
      <c r="M2694" s="222"/>
      <c r="P2694" s="1597"/>
      <c r="R2694" s="1598"/>
      <c r="T2694" s="1768"/>
      <c r="V2694" s="1769"/>
      <c r="X2694" s="1768"/>
      <c r="Z2694" s="1769"/>
    </row>
    <row r="2695" spans="6:26" ht="18" customHeight="1">
      <c r="F2695" s="154"/>
      <c r="I2695" s="673"/>
      <c r="J2695" s="209"/>
      <c r="L2695" s="154"/>
      <c r="M2695" s="222"/>
      <c r="P2695" s="1597"/>
      <c r="R2695" s="1598"/>
      <c r="T2695" s="1768"/>
      <c r="V2695" s="1769"/>
      <c r="X2695" s="1768"/>
      <c r="Z2695" s="1769"/>
    </row>
    <row r="2696" spans="6:26" ht="18" customHeight="1">
      <c r="F2696" s="154"/>
      <c r="I2696" s="673"/>
      <c r="J2696" s="209"/>
      <c r="L2696" s="154"/>
      <c r="M2696" s="222"/>
      <c r="P2696" s="1597"/>
      <c r="R2696" s="1598"/>
      <c r="T2696" s="1768"/>
      <c r="V2696" s="1769"/>
      <c r="X2696" s="1768"/>
      <c r="Z2696" s="1769"/>
    </row>
    <row r="2697" spans="6:26" ht="18" customHeight="1">
      <c r="F2697" s="154"/>
      <c r="I2697" s="673"/>
      <c r="J2697" s="209"/>
      <c r="L2697" s="154"/>
      <c r="M2697" s="222"/>
      <c r="P2697" s="1597"/>
      <c r="R2697" s="1598"/>
      <c r="T2697" s="1768"/>
      <c r="V2697" s="1769"/>
      <c r="X2697" s="1768"/>
      <c r="Z2697" s="1769"/>
    </row>
    <row r="2698" spans="6:26" ht="18" customHeight="1">
      <c r="F2698" s="154"/>
      <c r="I2698" s="673"/>
      <c r="J2698" s="209"/>
      <c r="L2698" s="154"/>
      <c r="M2698" s="222"/>
      <c r="P2698" s="1597"/>
      <c r="R2698" s="1598"/>
      <c r="T2698" s="1768"/>
      <c r="V2698" s="1769"/>
      <c r="X2698" s="1768"/>
      <c r="Z2698" s="1769"/>
    </row>
    <row r="2699" spans="6:26" ht="18" customHeight="1">
      <c r="F2699" s="154"/>
      <c r="I2699" s="673"/>
      <c r="J2699" s="209"/>
      <c r="L2699" s="154"/>
      <c r="M2699" s="222"/>
      <c r="P2699" s="1597"/>
      <c r="R2699" s="1598"/>
      <c r="T2699" s="1768"/>
      <c r="V2699" s="1769"/>
      <c r="X2699" s="1768"/>
      <c r="Z2699" s="1769"/>
    </row>
    <row r="2700" spans="6:26" ht="18" customHeight="1">
      <c r="F2700" s="154"/>
      <c r="I2700" s="673"/>
      <c r="J2700" s="209"/>
      <c r="L2700" s="154"/>
      <c r="M2700" s="222"/>
      <c r="P2700" s="1597"/>
      <c r="R2700" s="1598"/>
      <c r="T2700" s="1768"/>
      <c r="V2700" s="1769"/>
      <c r="X2700" s="1768"/>
      <c r="Z2700" s="1769"/>
    </row>
    <row r="2701" spans="6:26" ht="18" customHeight="1">
      <c r="F2701" s="154"/>
      <c r="I2701" s="673"/>
      <c r="J2701" s="209"/>
      <c r="L2701" s="154"/>
      <c r="M2701" s="222"/>
      <c r="P2701" s="1597"/>
      <c r="R2701" s="1598"/>
      <c r="T2701" s="1768"/>
      <c r="V2701" s="1769"/>
      <c r="X2701" s="1768"/>
      <c r="Z2701" s="1769"/>
    </row>
    <row r="2702" spans="6:26" ht="18" customHeight="1">
      <c r="F2702" s="154"/>
      <c r="I2702" s="673"/>
      <c r="J2702" s="209"/>
      <c r="L2702" s="154"/>
      <c r="M2702" s="222"/>
      <c r="P2702" s="1597"/>
      <c r="R2702" s="1598"/>
      <c r="T2702" s="1768"/>
      <c r="V2702" s="1769"/>
      <c r="X2702" s="1768"/>
      <c r="Z2702" s="1769"/>
    </row>
    <row r="2703" spans="6:26" ht="18" customHeight="1">
      <c r="F2703" s="154"/>
      <c r="I2703" s="673"/>
      <c r="J2703" s="209"/>
      <c r="L2703" s="154"/>
      <c r="M2703" s="222"/>
      <c r="P2703" s="1597"/>
      <c r="R2703" s="1598"/>
      <c r="T2703" s="1768"/>
      <c r="V2703" s="1769"/>
      <c r="X2703" s="1768"/>
      <c r="Z2703" s="1769"/>
    </row>
    <row r="2704" spans="6:26" ht="18" customHeight="1">
      <c r="F2704" s="154"/>
      <c r="I2704" s="673"/>
      <c r="J2704" s="209"/>
      <c r="L2704" s="154"/>
      <c r="M2704" s="222"/>
      <c r="P2704" s="1597"/>
      <c r="R2704" s="1598"/>
      <c r="T2704" s="1768"/>
      <c r="V2704" s="1769"/>
      <c r="X2704" s="1768"/>
      <c r="Z2704" s="1769"/>
    </row>
    <row r="2705" spans="6:26" ht="18" customHeight="1">
      <c r="F2705" s="154"/>
      <c r="I2705" s="673"/>
      <c r="J2705" s="209"/>
      <c r="L2705" s="154"/>
      <c r="M2705" s="222"/>
      <c r="P2705" s="1597"/>
      <c r="R2705" s="1598"/>
      <c r="T2705" s="1768"/>
      <c r="V2705" s="1769"/>
      <c r="X2705" s="1768"/>
      <c r="Z2705" s="1769"/>
    </row>
    <row r="2706" spans="6:26" ht="18" customHeight="1">
      <c r="F2706" s="154"/>
      <c r="I2706" s="673"/>
      <c r="J2706" s="209"/>
      <c r="L2706" s="154"/>
      <c r="M2706" s="222"/>
      <c r="P2706" s="1597"/>
      <c r="R2706" s="1598"/>
      <c r="T2706" s="1768"/>
      <c r="V2706" s="1769"/>
      <c r="X2706" s="1768"/>
      <c r="Z2706" s="1769"/>
    </row>
    <row r="2707" spans="6:26" ht="18" customHeight="1">
      <c r="F2707" s="154"/>
      <c r="I2707" s="673"/>
      <c r="J2707" s="209"/>
      <c r="L2707" s="154"/>
      <c r="M2707" s="222"/>
      <c r="P2707" s="1597"/>
      <c r="R2707" s="1598"/>
      <c r="T2707" s="1768"/>
      <c r="V2707" s="1769"/>
      <c r="X2707" s="1768"/>
      <c r="Z2707" s="1769"/>
    </row>
    <row r="2708" spans="6:26" ht="18" customHeight="1">
      <c r="F2708" s="154"/>
      <c r="I2708" s="673"/>
      <c r="J2708" s="209"/>
      <c r="L2708" s="154"/>
      <c r="M2708" s="222"/>
      <c r="P2708" s="1597"/>
      <c r="R2708" s="1598"/>
      <c r="T2708" s="1768"/>
      <c r="V2708" s="1769"/>
      <c r="X2708" s="1768"/>
      <c r="Z2708" s="1769"/>
    </row>
    <row r="2709" spans="6:26" ht="18" customHeight="1">
      <c r="F2709" s="154"/>
      <c r="I2709" s="673"/>
      <c r="J2709" s="209"/>
      <c r="L2709" s="154"/>
      <c r="M2709" s="222"/>
      <c r="P2709" s="1597"/>
      <c r="R2709" s="1598"/>
      <c r="T2709" s="1768"/>
      <c r="V2709" s="1769"/>
      <c r="X2709" s="1768"/>
      <c r="Z2709" s="1769"/>
    </row>
    <row r="2710" spans="6:26" ht="18" customHeight="1">
      <c r="F2710" s="154"/>
      <c r="I2710" s="673"/>
      <c r="J2710" s="209"/>
      <c r="L2710" s="154"/>
      <c r="M2710" s="222"/>
      <c r="P2710" s="1597"/>
      <c r="R2710" s="1598"/>
      <c r="T2710" s="1768"/>
      <c r="V2710" s="1769"/>
      <c r="X2710" s="1768"/>
      <c r="Z2710" s="1769"/>
    </row>
    <row r="2711" spans="6:26" ht="18" customHeight="1">
      <c r="F2711" s="154"/>
      <c r="I2711" s="673"/>
      <c r="J2711" s="209"/>
      <c r="L2711" s="154"/>
      <c r="M2711" s="222"/>
      <c r="P2711" s="1597"/>
      <c r="R2711" s="1598"/>
      <c r="T2711" s="1768"/>
      <c r="V2711" s="1769"/>
      <c r="X2711" s="1768"/>
      <c r="Z2711" s="1769"/>
    </row>
    <row r="2712" spans="6:26" ht="18" customHeight="1">
      <c r="F2712" s="154"/>
      <c r="I2712" s="673"/>
      <c r="J2712" s="209"/>
      <c r="L2712" s="154"/>
      <c r="M2712" s="222"/>
      <c r="P2712" s="1597"/>
      <c r="R2712" s="1598"/>
      <c r="T2712" s="1768"/>
      <c r="V2712" s="1769"/>
      <c r="X2712" s="1768"/>
      <c r="Z2712" s="1769"/>
    </row>
    <row r="2713" spans="6:26" ht="18" customHeight="1">
      <c r="F2713" s="154"/>
      <c r="I2713" s="673"/>
      <c r="J2713" s="209"/>
      <c r="L2713" s="154"/>
      <c r="M2713" s="222"/>
      <c r="P2713" s="1597"/>
      <c r="R2713" s="1598"/>
      <c r="T2713" s="1768"/>
      <c r="V2713" s="1769"/>
      <c r="X2713" s="1768"/>
      <c r="Z2713" s="1769"/>
    </row>
    <row r="2714" spans="6:26" ht="18" customHeight="1">
      <c r="F2714" s="154"/>
      <c r="I2714" s="673"/>
      <c r="J2714" s="209"/>
      <c r="L2714" s="154"/>
      <c r="M2714" s="222"/>
      <c r="P2714" s="1597"/>
      <c r="R2714" s="1598"/>
      <c r="T2714" s="1768"/>
      <c r="V2714" s="1769"/>
      <c r="X2714" s="1768"/>
      <c r="Z2714" s="1769"/>
    </row>
    <row r="2715" spans="6:26" ht="18" customHeight="1">
      <c r="F2715" s="154"/>
      <c r="I2715" s="673"/>
      <c r="J2715" s="209"/>
      <c r="L2715" s="154"/>
      <c r="M2715" s="222"/>
      <c r="P2715" s="1597"/>
      <c r="R2715" s="1598"/>
      <c r="T2715" s="1768"/>
      <c r="V2715" s="1769"/>
      <c r="X2715" s="1768"/>
      <c r="Z2715" s="1769"/>
    </row>
    <row r="2716" spans="6:26" ht="18" customHeight="1">
      <c r="F2716" s="154"/>
      <c r="I2716" s="673"/>
      <c r="J2716" s="209"/>
      <c r="L2716" s="154"/>
      <c r="M2716" s="222"/>
      <c r="P2716" s="1597"/>
      <c r="R2716" s="1598"/>
      <c r="T2716" s="1768"/>
      <c r="V2716" s="1769"/>
      <c r="X2716" s="1768"/>
      <c r="Z2716" s="1769"/>
    </row>
    <row r="2717" spans="6:26" ht="18" customHeight="1">
      <c r="F2717" s="154"/>
      <c r="I2717" s="673"/>
      <c r="J2717" s="209"/>
      <c r="L2717" s="154"/>
      <c r="M2717" s="222"/>
      <c r="P2717" s="1597"/>
      <c r="R2717" s="1598"/>
      <c r="T2717" s="1768"/>
      <c r="V2717" s="1769"/>
      <c r="X2717" s="1768"/>
      <c r="Z2717" s="1769"/>
    </row>
    <row r="2718" spans="6:26" ht="18" customHeight="1">
      <c r="F2718" s="154"/>
      <c r="I2718" s="673"/>
      <c r="J2718" s="209"/>
      <c r="L2718" s="154"/>
      <c r="M2718" s="222"/>
      <c r="P2718" s="1597"/>
      <c r="R2718" s="1598"/>
      <c r="T2718" s="1768"/>
      <c r="V2718" s="1769"/>
      <c r="X2718" s="1768"/>
      <c r="Z2718" s="1769"/>
    </row>
    <row r="2719" spans="6:26" ht="18" customHeight="1">
      <c r="F2719" s="154"/>
      <c r="I2719" s="673"/>
      <c r="J2719" s="209"/>
      <c r="L2719" s="154"/>
      <c r="M2719" s="222"/>
      <c r="P2719" s="1597"/>
      <c r="R2719" s="1598"/>
      <c r="T2719" s="1768"/>
      <c r="V2719" s="1769"/>
      <c r="X2719" s="1768"/>
      <c r="Z2719" s="1769"/>
    </row>
    <row r="2720" spans="6:26" ht="18" customHeight="1">
      <c r="F2720" s="154"/>
      <c r="I2720" s="673"/>
      <c r="J2720" s="209"/>
      <c r="L2720" s="154"/>
      <c r="M2720" s="222"/>
      <c r="P2720" s="1597"/>
      <c r="R2720" s="1598"/>
      <c r="T2720" s="1768"/>
      <c r="V2720" s="1769"/>
      <c r="X2720" s="1768"/>
      <c r="Z2720" s="1769"/>
    </row>
    <row r="2721" spans="6:26" ht="18" customHeight="1">
      <c r="F2721" s="154"/>
      <c r="I2721" s="673"/>
      <c r="J2721" s="209"/>
      <c r="L2721" s="154"/>
      <c r="M2721" s="222"/>
      <c r="P2721" s="1597"/>
      <c r="R2721" s="1598"/>
      <c r="T2721" s="1768"/>
      <c r="V2721" s="1769"/>
      <c r="X2721" s="1768"/>
      <c r="Z2721" s="1769"/>
    </row>
    <row r="2722" spans="6:26" ht="18" customHeight="1">
      <c r="F2722" s="154"/>
      <c r="I2722" s="673"/>
      <c r="J2722" s="209"/>
      <c r="L2722" s="154"/>
      <c r="M2722" s="222"/>
      <c r="P2722" s="1597"/>
      <c r="R2722" s="1598"/>
      <c r="T2722" s="1768"/>
      <c r="V2722" s="1769"/>
      <c r="X2722" s="1768"/>
      <c r="Z2722" s="1769"/>
    </row>
    <row r="2723" spans="6:26" ht="18" customHeight="1">
      <c r="F2723" s="154"/>
      <c r="I2723" s="673"/>
      <c r="J2723" s="209"/>
      <c r="L2723" s="154"/>
      <c r="M2723" s="222"/>
      <c r="P2723" s="1597"/>
      <c r="R2723" s="1598"/>
      <c r="T2723" s="1768"/>
      <c r="V2723" s="1769"/>
      <c r="X2723" s="1768"/>
      <c r="Z2723" s="1769"/>
    </row>
    <row r="2724" spans="6:26" ht="18" customHeight="1">
      <c r="F2724" s="154"/>
      <c r="I2724" s="673"/>
      <c r="J2724" s="209"/>
      <c r="L2724" s="154"/>
      <c r="M2724" s="222"/>
      <c r="P2724" s="1597"/>
      <c r="R2724" s="1598"/>
      <c r="T2724" s="1768"/>
      <c r="V2724" s="1769"/>
      <c r="X2724" s="1768"/>
      <c r="Z2724" s="1769"/>
    </row>
    <row r="2725" spans="6:26" ht="18" customHeight="1">
      <c r="F2725" s="154"/>
      <c r="I2725" s="673"/>
      <c r="J2725" s="209"/>
      <c r="L2725" s="154"/>
      <c r="M2725" s="222"/>
      <c r="P2725" s="1597"/>
      <c r="R2725" s="1598"/>
      <c r="T2725" s="1768"/>
      <c r="V2725" s="1769"/>
      <c r="X2725" s="1768"/>
      <c r="Z2725" s="1769"/>
    </row>
    <row r="2726" spans="6:26" ht="18" customHeight="1">
      <c r="F2726" s="154"/>
      <c r="I2726" s="673"/>
      <c r="J2726" s="209"/>
      <c r="L2726" s="154"/>
      <c r="M2726" s="222"/>
      <c r="P2726" s="1597"/>
      <c r="R2726" s="1598"/>
      <c r="T2726" s="1768"/>
      <c r="V2726" s="1769"/>
      <c r="X2726" s="1768"/>
      <c r="Z2726" s="1769"/>
    </row>
    <row r="2727" spans="6:26" ht="18" customHeight="1">
      <c r="F2727" s="154"/>
      <c r="I2727" s="673"/>
      <c r="J2727" s="209"/>
      <c r="L2727" s="154"/>
      <c r="M2727" s="222"/>
      <c r="P2727" s="1597"/>
      <c r="R2727" s="1598"/>
      <c r="T2727" s="1768"/>
      <c r="V2727" s="1769"/>
      <c r="X2727" s="1768"/>
      <c r="Z2727" s="1769"/>
    </row>
    <row r="2728" spans="6:26" ht="18" customHeight="1">
      <c r="F2728" s="154"/>
      <c r="I2728" s="673"/>
      <c r="J2728" s="209"/>
      <c r="L2728" s="154"/>
      <c r="M2728" s="222"/>
      <c r="P2728" s="1597"/>
      <c r="R2728" s="1598"/>
      <c r="T2728" s="1768"/>
      <c r="V2728" s="1769"/>
      <c r="X2728" s="1768"/>
      <c r="Z2728" s="1769"/>
    </row>
    <row r="2729" spans="6:26" ht="18" customHeight="1">
      <c r="F2729" s="154"/>
      <c r="I2729" s="673"/>
      <c r="J2729" s="209"/>
      <c r="L2729" s="154"/>
      <c r="M2729" s="222"/>
      <c r="P2729" s="1597"/>
      <c r="R2729" s="1598"/>
      <c r="T2729" s="1768"/>
      <c r="V2729" s="1769"/>
      <c r="X2729" s="1768"/>
      <c r="Z2729" s="1769"/>
    </row>
    <row r="2730" spans="6:26" ht="18" customHeight="1">
      <c r="F2730" s="154"/>
      <c r="I2730" s="673"/>
      <c r="J2730" s="209"/>
      <c r="L2730" s="154"/>
      <c r="M2730" s="222"/>
      <c r="P2730" s="1597"/>
      <c r="R2730" s="1598"/>
      <c r="T2730" s="1768"/>
      <c r="V2730" s="1769"/>
      <c r="X2730" s="1768"/>
      <c r="Z2730" s="1769"/>
    </row>
    <row r="2731" spans="6:26" ht="18" customHeight="1">
      <c r="F2731" s="154"/>
      <c r="I2731" s="673"/>
      <c r="J2731" s="209"/>
      <c r="L2731" s="154"/>
      <c r="M2731" s="222"/>
      <c r="P2731" s="1597"/>
      <c r="R2731" s="1598"/>
      <c r="T2731" s="1768"/>
      <c r="V2731" s="1769"/>
      <c r="X2731" s="1768"/>
      <c r="Z2731" s="1769"/>
    </row>
    <row r="2732" spans="6:26" ht="18" customHeight="1">
      <c r="F2732" s="154"/>
      <c r="I2732" s="673"/>
      <c r="J2732" s="209"/>
      <c r="L2732" s="154"/>
      <c r="M2732" s="222"/>
      <c r="P2732" s="1597"/>
      <c r="R2732" s="1598"/>
      <c r="T2732" s="1768"/>
      <c r="V2732" s="1769"/>
      <c r="X2732" s="1768"/>
      <c r="Z2732" s="1769"/>
    </row>
    <row r="2733" spans="6:26" ht="18" customHeight="1">
      <c r="F2733" s="154"/>
      <c r="I2733" s="673"/>
      <c r="J2733" s="209"/>
      <c r="L2733" s="154"/>
      <c r="M2733" s="222"/>
      <c r="P2733" s="1597"/>
      <c r="R2733" s="1598"/>
      <c r="T2733" s="1768"/>
      <c r="V2733" s="1769"/>
      <c r="X2733" s="1768"/>
      <c r="Z2733" s="1769"/>
    </row>
    <row r="2734" spans="6:26" ht="18" customHeight="1">
      <c r="F2734" s="154"/>
      <c r="I2734" s="673"/>
      <c r="J2734" s="209"/>
      <c r="L2734" s="154"/>
      <c r="M2734" s="222"/>
      <c r="P2734" s="1597"/>
      <c r="R2734" s="1598"/>
      <c r="T2734" s="1768"/>
      <c r="V2734" s="1769"/>
      <c r="X2734" s="1768"/>
      <c r="Z2734" s="1769"/>
    </row>
    <row r="2735" spans="6:26" ht="18" customHeight="1">
      <c r="F2735" s="154"/>
      <c r="I2735" s="673"/>
      <c r="J2735" s="209"/>
      <c r="L2735" s="154"/>
      <c r="M2735" s="222"/>
      <c r="P2735" s="1597"/>
      <c r="R2735" s="1598"/>
      <c r="T2735" s="1768"/>
      <c r="V2735" s="1769"/>
      <c r="X2735" s="1768"/>
      <c r="Z2735" s="1769"/>
    </row>
    <row r="2736" spans="6:26" ht="18" customHeight="1">
      <c r="F2736" s="154"/>
      <c r="I2736" s="673"/>
      <c r="J2736" s="209"/>
      <c r="L2736" s="154"/>
      <c r="M2736" s="222"/>
      <c r="P2736" s="1597"/>
      <c r="R2736" s="1598"/>
      <c r="T2736" s="1768"/>
      <c r="V2736" s="1769"/>
      <c r="X2736" s="1768"/>
      <c r="Z2736" s="1769"/>
    </row>
    <row r="2737" spans="6:26" ht="18" customHeight="1">
      <c r="F2737" s="154"/>
      <c r="I2737" s="673"/>
      <c r="J2737" s="209"/>
      <c r="L2737" s="154"/>
      <c r="M2737" s="222"/>
      <c r="P2737" s="1597"/>
      <c r="R2737" s="1598"/>
      <c r="T2737" s="1768"/>
      <c r="V2737" s="1769"/>
      <c r="X2737" s="1768"/>
      <c r="Z2737" s="1769"/>
    </row>
    <row r="2738" spans="6:26" ht="18" customHeight="1">
      <c r="F2738" s="154"/>
      <c r="I2738" s="673"/>
      <c r="J2738" s="209"/>
      <c r="L2738" s="154"/>
      <c r="M2738" s="222"/>
      <c r="P2738" s="1597"/>
      <c r="R2738" s="1598"/>
      <c r="T2738" s="1768"/>
      <c r="V2738" s="1769"/>
      <c r="X2738" s="1768"/>
      <c r="Z2738" s="1769"/>
    </row>
    <row r="2739" spans="6:26" ht="18" customHeight="1">
      <c r="F2739" s="154"/>
      <c r="I2739" s="673"/>
      <c r="J2739" s="209"/>
      <c r="L2739" s="154"/>
      <c r="M2739" s="222"/>
      <c r="P2739" s="1597"/>
      <c r="R2739" s="1598"/>
      <c r="T2739" s="1768"/>
      <c r="V2739" s="1769"/>
      <c r="X2739" s="1768"/>
      <c r="Z2739" s="1769"/>
    </row>
    <row r="2740" spans="6:26" ht="18" customHeight="1">
      <c r="F2740" s="154"/>
      <c r="I2740" s="673"/>
      <c r="J2740" s="209"/>
      <c r="L2740" s="154"/>
      <c r="M2740" s="222"/>
      <c r="P2740" s="1597"/>
      <c r="R2740" s="1598"/>
      <c r="T2740" s="1768"/>
      <c r="V2740" s="1769"/>
      <c r="X2740" s="1768"/>
      <c r="Z2740" s="1769"/>
    </row>
    <row r="2741" spans="6:26" ht="18" customHeight="1">
      <c r="F2741" s="154"/>
      <c r="I2741" s="673"/>
      <c r="J2741" s="209"/>
      <c r="L2741" s="154"/>
      <c r="M2741" s="222"/>
      <c r="P2741" s="1597"/>
      <c r="R2741" s="1598"/>
      <c r="T2741" s="1768"/>
      <c r="V2741" s="1769"/>
      <c r="X2741" s="1768"/>
      <c r="Z2741" s="1769"/>
    </row>
    <row r="2742" spans="6:26" ht="18" customHeight="1">
      <c r="F2742" s="154"/>
      <c r="I2742" s="673"/>
      <c r="J2742" s="209"/>
      <c r="L2742" s="154"/>
      <c r="M2742" s="222"/>
      <c r="P2742" s="1597"/>
      <c r="R2742" s="1598"/>
      <c r="T2742" s="1768"/>
      <c r="V2742" s="1769"/>
      <c r="X2742" s="1768"/>
      <c r="Z2742" s="1769"/>
    </row>
    <row r="2743" spans="6:26" ht="18" customHeight="1">
      <c r="F2743" s="154"/>
      <c r="I2743" s="673"/>
      <c r="J2743" s="209"/>
      <c r="L2743" s="154"/>
      <c r="M2743" s="222"/>
      <c r="P2743" s="1597"/>
      <c r="R2743" s="1598"/>
      <c r="T2743" s="1768"/>
      <c r="V2743" s="1769"/>
      <c r="X2743" s="1768"/>
      <c r="Z2743" s="1769"/>
    </row>
    <row r="2744" spans="6:26" ht="18" customHeight="1">
      <c r="F2744" s="154"/>
      <c r="I2744" s="673"/>
      <c r="J2744" s="209"/>
      <c r="L2744" s="154"/>
      <c r="M2744" s="222"/>
      <c r="P2744" s="1597"/>
      <c r="R2744" s="1598"/>
      <c r="T2744" s="1768"/>
      <c r="V2744" s="1769"/>
      <c r="X2744" s="1768"/>
      <c r="Z2744" s="1769"/>
    </row>
    <row r="2745" spans="6:26" ht="18" customHeight="1">
      <c r="F2745" s="154"/>
      <c r="I2745" s="673"/>
      <c r="J2745" s="209"/>
      <c r="L2745" s="154"/>
      <c r="M2745" s="222"/>
      <c r="P2745" s="1597"/>
      <c r="R2745" s="1598"/>
      <c r="T2745" s="1768"/>
      <c r="V2745" s="1769"/>
      <c r="X2745" s="1768"/>
      <c r="Z2745" s="1769"/>
    </row>
    <row r="2746" spans="6:26" ht="18" customHeight="1">
      <c r="F2746" s="154"/>
      <c r="I2746" s="673"/>
      <c r="J2746" s="209"/>
      <c r="L2746" s="154"/>
      <c r="M2746" s="222"/>
      <c r="P2746" s="1597"/>
      <c r="R2746" s="1598"/>
      <c r="T2746" s="1768"/>
      <c r="V2746" s="1769"/>
      <c r="X2746" s="1768"/>
      <c r="Z2746" s="1769"/>
    </row>
    <row r="2747" spans="6:26" ht="18" customHeight="1">
      <c r="F2747" s="154"/>
      <c r="I2747" s="673"/>
      <c r="J2747" s="209"/>
      <c r="L2747" s="154"/>
      <c r="M2747" s="222"/>
      <c r="P2747" s="1597"/>
      <c r="R2747" s="1598"/>
      <c r="T2747" s="1768"/>
      <c r="V2747" s="1769"/>
      <c r="X2747" s="1768"/>
      <c r="Z2747" s="1769"/>
    </row>
    <row r="2748" spans="6:26" ht="18" customHeight="1">
      <c r="F2748" s="154"/>
      <c r="I2748" s="673"/>
      <c r="J2748" s="209"/>
      <c r="L2748" s="154"/>
      <c r="M2748" s="222"/>
      <c r="P2748" s="1597"/>
      <c r="R2748" s="1598"/>
      <c r="T2748" s="1768"/>
      <c r="V2748" s="1769"/>
      <c r="X2748" s="1768"/>
      <c r="Z2748" s="1769"/>
    </row>
    <row r="2749" spans="6:26" ht="18" customHeight="1">
      <c r="F2749" s="154"/>
      <c r="I2749" s="673"/>
      <c r="J2749" s="209"/>
      <c r="L2749" s="154"/>
      <c r="M2749" s="222"/>
      <c r="P2749" s="1597"/>
      <c r="R2749" s="1598"/>
      <c r="T2749" s="1768"/>
      <c r="V2749" s="1769"/>
      <c r="X2749" s="1768"/>
      <c r="Z2749" s="1769"/>
    </row>
    <row r="2750" spans="6:26" ht="18" customHeight="1">
      <c r="F2750" s="154"/>
      <c r="I2750" s="673"/>
      <c r="J2750" s="209"/>
      <c r="L2750" s="154"/>
      <c r="M2750" s="222"/>
      <c r="P2750" s="1597"/>
      <c r="R2750" s="1598"/>
      <c r="T2750" s="1768"/>
      <c r="V2750" s="1769"/>
      <c r="X2750" s="1768"/>
      <c r="Z2750" s="1769"/>
    </row>
    <row r="2751" spans="6:26" ht="18" customHeight="1">
      <c r="F2751" s="154"/>
      <c r="I2751" s="673"/>
      <c r="J2751" s="209"/>
      <c r="L2751" s="154"/>
      <c r="M2751" s="222"/>
      <c r="P2751" s="1597"/>
      <c r="R2751" s="1598"/>
      <c r="T2751" s="1768"/>
      <c r="V2751" s="1769"/>
      <c r="X2751" s="1768"/>
      <c r="Z2751" s="1769"/>
    </row>
    <row r="2752" spans="6:26" ht="18" customHeight="1">
      <c r="F2752" s="154"/>
      <c r="I2752" s="673"/>
      <c r="J2752" s="209"/>
      <c r="L2752" s="154"/>
      <c r="M2752" s="222"/>
      <c r="P2752" s="1597"/>
      <c r="R2752" s="1598"/>
      <c r="T2752" s="1768"/>
      <c r="V2752" s="1769"/>
      <c r="X2752" s="1768"/>
      <c r="Z2752" s="1769"/>
    </row>
    <row r="2753" spans="6:26" ht="18" customHeight="1">
      <c r="F2753" s="154"/>
      <c r="I2753" s="673"/>
      <c r="J2753" s="209"/>
      <c r="L2753" s="154"/>
      <c r="M2753" s="222"/>
      <c r="P2753" s="1597"/>
      <c r="R2753" s="1598"/>
      <c r="T2753" s="1768"/>
      <c r="V2753" s="1769"/>
      <c r="X2753" s="1768"/>
      <c r="Z2753" s="1769"/>
    </row>
    <row r="2754" spans="6:26" ht="18" customHeight="1">
      <c r="F2754" s="154"/>
      <c r="I2754" s="673"/>
      <c r="J2754" s="209"/>
      <c r="L2754" s="154"/>
      <c r="M2754" s="222"/>
      <c r="P2754" s="1597"/>
      <c r="R2754" s="1598"/>
      <c r="T2754" s="1768"/>
      <c r="V2754" s="1769"/>
      <c r="X2754" s="1768"/>
      <c r="Z2754" s="1769"/>
    </row>
    <row r="2755" spans="6:26" ht="18" customHeight="1">
      <c r="F2755" s="154"/>
      <c r="I2755" s="673"/>
      <c r="J2755" s="209"/>
      <c r="L2755" s="154"/>
      <c r="M2755" s="222"/>
      <c r="P2755" s="1597"/>
      <c r="R2755" s="1598"/>
      <c r="T2755" s="1768"/>
      <c r="V2755" s="1769"/>
      <c r="X2755" s="1768"/>
      <c r="Z2755" s="1769"/>
    </row>
    <row r="2756" spans="6:26" ht="18" customHeight="1">
      <c r="F2756" s="154"/>
      <c r="I2756" s="673"/>
      <c r="J2756" s="209"/>
      <c r="L2756" s="154"/>
      <c r="M2756" s="222"/>
      <c r="P2756" s="1597"/>
      <c r="R2756" s="1598"/>
      <c r="T2756" s="1768"/>
      <c r="V2756" s="1769"/>
      <c r="X2756" s="1768"/>
      <c r="Z2756" s="1769"/>
    </row>
    <row r="2757" spans="6:26" ht="18" customHeight="1">
      <c r="F2757" s="154"/>
      <c r="I2757" s="673"/>
      <c r="J2757" s="209"/>
      <c r="L2757" s="154"/>
      <c r="M2757" s="222"/>
      <c r="P2757" s="1597"/>
      <c r="R2757" s="1598"/>
      <c r="T2757" s="1768"/>
      <c r="V2757" s="1769"/>
      <c r="X2757" s="1768"/>
      <c r="Z2757" s="1769"/>
    </row>
    <row r="2758" spans="6:26" ht="18" customHeight="1">
      <c r="F2758" s="154"/>
      <c r="I2758" s="673"/>
      <c r="J2758" s="209"/>
      <c r="L2758" s="154"/>
      <c r="M2758" s="222"/>
      <c r="P2758" s="1597"/>
      <c r="R2758" s="1598"/>
      <c r="T2758" s="1768"/>
      <c r="V2758" s="1769"/>
      <c r="X2758" s="1768"/>
      <c r="Z2758" s="1769"/>
    </row>
    <row r="2759" spans="6:26" ht="18" customHeight="1">
      <c r="F2759" s="154"/>
      <c r="I2759" s="673"/>
      <c r="J2759" s="209"/>
      <c r="L2759" s="154"/>
      <c r="M2759" s="222"/>
      <c r="P2759" s="1597"/>
      <c r="R2759" s="1598"/>
      <c r="T2759" s="1768"/>
      <c r="V2759" s="1769"/>
      <c r="X2759" s="1768"/>
      <c r="Z2759" s="1769"/>
    </row>
    <row r="2760" spans="6:26" ht="18" customHeight="1">
      <c r="F2760" s="154"/>
      <c r="I2760" s="673"/>
      <c r="J2760" s="209"/>
      <c r="L2760" s="154"/>
      <c r="M2760" s="222"/>
      <c r="P2760" s="1597"/>
      <c r="R2760" s="1598"/>
      <c r="T2760" s="1768"/>
      <c r="V2760" s="1769"/>
      <c r="X2760" s="1768"/>
      <c r="Z2760" s="1769"/>
    </row>
    <row r="2761" spans="6:26" ht="18" customHeight="1">
      <c r="F2761" s="154"/>
      <c r="I2761" s="673"/>
      <c r="J2761" s="209"/>
      <c r="L2761" s="154"/>
      <c r="M2761" s="222"/>
      <c r="P2761" s="1597"/>
      <c r="R2761" s="1598"/>
      <c r="T2761" s="1768"/>
      <c r="V2761" s="1769"/>
      <c r="X2761" s="1768"/>
      <c r="Z2761" s="1769"/>
    </row>
    <row r="2762" spans="6:26" ht="18" customHeight="1">
      <c r="F2762" s="154"/>
      <c r="I2762" s="673"/>
      <c r="J2762" s="209"/>
      <c r="L2762" s="154"/>
      <c r="M2762" s="222"/>
      <c r="P2762" s="1597"/>
      <c r="R2762" s="1598"/>
      <c r="T2762" s="1768"/>
      <c r="V2762" s="1769"/>
      <c r="X2762" s="1768"/>
      <c r="Z2762" s="1769"/>
    </row>
    <row r="2763" spans="6:26" ht="18" customHeight="1">
      <c r="F2763" s="154"/>
      <c r="I2763" s="673"/>
      <c r="J2763" s="209"/>
      <c r="L2763" s="154"/>
      <c r="M2763" s="222"/>
      <c r="P2763" s="1597"/>
      <c r="R2763" s="1598"/>
      <c r="T2763" s="1768"/>
      <c r="V2763" s="1769"/>
      <c r="X2763" s="1768"/>
      <c r="Z2763" s="1769"/>
    </row>
    <row r="2764" spans="6:26" ht="18" customHeight="1">
      <c r="F2764" s="154"/>
      <c r="I2764" s="673"/>
      <c r="J2764" s="209"/>
      <c r="L2764" s="154"/>
      <c r="M2764" s="222"/>
      <c r="P2764" s="1597"/>
      <c r="R2764" s="1598"/>
      <c r="T2764" s="1768"/>
      <c r="V2764" s="1769"/>
      <c r="X2764" s="1768"/>
      <c r="Z2764" s="1769"/>
    </row>
    <row r="2765" spans="6:26" ht="18" customHeight="1">
      <c r="F2765" s="154"/>
      <c r="I2765" s="673"/>
      <c r="J2765" s="209"/>
      <c r="L2765" s="154"/>
      <c r="M2765" s="222"/>
      <c r="P2765" s="1597"/>
      <c r="R2765" s="1598"/>
      <c r="T2765" s="1768"/>
      <c r="V2765" s="1769"/>
      <c r="X2765" s="1768"/>
      <c r="Z2765" s="1769"/>
    </row>
    <row r="2766" spans="6:26" ht="18" customHeight="1">
      <c r="F2766" s="154"/>
      <c r="I2766" s="673"/>
      <c r="J2766" s="209"/>
      <c r="L2766" s="154"/>
      <c r="M2766" s="222"/>
      <c r="P2766" s="1597"/>
      <c r="R2766" s="1598"/>
      <c r="T2766" s="1768"/>
      <c r="V2766" s="1769"/>
      <c r="X2766" s="1768"/>
      <c r="Z2766" s="1769"/>
    </row>
    <row r="2767" spans="6:26" ht="18" customHeight="1">
      <c r="F2767" s="154"/>
      <c r="I2767" s="673"/>
      <c r="J2767" s="209"/>
      <c r="L2767" s="154"/>
      <c r="M2767" s="222"/>
      <c r="P2767" s="1597"/>
      <c r="R2767" s="1598"/>
      <c r="T2767" s="1768"/>
      <c r="V2767" s="1769"/>
      <c r="X2767" s="1768"/>
      <c r="Z2767" s="1769"/>
    </row>
    <row r="2768" spans="6:26" ht="18" customHeight="1">
      <c r="F2768" s="154"/>
      <c r="I2768" s="673"/>
      <c r="J2768" s="209"/>
      <c r="L2768" s="154"/>
      <c r="M2768" s="222"/>
      <c r="P2768" s="1597"/>
      <c r="R2768" s="1598"/>
      <c r="T2768" s="1768"/>
      <c r="V2768" s="1769"/>
      <c r="X2768" s="1768"/>
      <c r="Z2768" s="1769"/>
    </row>
    <row r="2769" spans="6:26" ht="18" customHeight="1">
      <c r="F2769" s="154"/>
      <c r="I2769" s="673"/>
      <c r="J2769" s="209"/>
      <c r="L2769" s="154"/>
      <c r="M2769" s="222"/>
      <c r="P2769" s="1597"/>
      <c r="R2769" s="1598"/>
      <c r="T2769" s="1768"/>
      <c r="V2769" s="1769"/>
      <c r="X2769" s="1768"/>
      <c r="Z2769" s="1769"/>
    </row>
    <row r="2770" spans="6:26" ht="18" customHeight="1">
      <c r="F2770" s="154"/>
      <c r="I2770" s="673"/>
      <c r="J2770" s="209"/>
      <c r="L2770" s="154"/>
      <c r="M2770" s="222"/>
      <c r="P2770" s="1597"/>
      <c r="R2770" s="1598"/>
      <c r="T2770" s="1768"/>
      <c r="V2770" s="1769"/>
      <c r="X2770" s="1768"/>
      <c r="Z2770" s="1769"/>
    </row>
    <row r="2771" spans="6:26" ht="18" customHeight="1">
      <c r="F2771" s="154"/>
      <c r="I2771" s="673"/>
      <c r="J2771" s="209"/>
      <c r="L2771" s="154"/>
      <c r="M2771" s="222"/>
      <c r="P2771" s="1597"/>
      <c r="R2771" s="1598"/>
      <c r="T2771" s="1768"/>
      <c r="V2771" s="1769"/>
      <c r="X2771" s="1768"/>
      <c r="Z2771" s="1769"/>
    </row>
    <row r="2772" spans="6:26" ht="18" customHeight="1">
      <c r="F2772" s="154"/>
      <c r="I2772" s="673"/>
      <c r="J2772" s="209"/>
      <c r="L2772" s="154"/>
      <c r="M2772" s="222"/>
      <c r="P2772" s="1597"/>
      <c r="R2772" s="1598"/>
      <c r="T2772" s="1768"/>
      <c r="V2772" s="1769"/>
      <c r="X2772" s="1768"/>
      <c r="Z2772" s="1769"/>
    </row>
    <row r="2773" spans="6:26" ht="18" customHeight="1">
      <c r="F2773" s="154"/>
      <c r="I2773" s="673"/>
      <c r="J2773" s="209"/>
      <c r="L2773" s="154"/>
      <c r="M2773" s="222"/>
      <c r="P2773" s="1597"/>
      <c r="R2773" s="1598"/>
      <c r="T2773" s="1768"/>
      <c r="V2773" s="1769"/>
      <c r="X2773" s="1768"/>
      <c r="Z2773" s="1769"/>
    </row>
    <row r="2774" spans="6:26" ht="18" customHeight="1">
      <c r="F2774" s="154"/>
      <c r="I2774" s="673"/>
      <c r="J2774" s="209"/>
      <c r="L2774" s="154"/>
      <c r="M2774" s="222"/>
      <c r="P2774" s="1597"/>
      <c r="R2774" s="1598"/>
      <c r="T2774" s="1768"/>
      <c r="V2774" s="1769"/>
      <c r="X2774" s="1768"/>
      <c r="Z2774" s="1769"/>
    </row>
    <row r="2775" spans="6:26" ht="18" customHeight="1">
      <c r="F2775" s="154"/>
      <c r="I2775" s="673"/>
      <c r="J2775" s="209"/>
      <c r="L2775" s="154"/>
      <c r="M2775" s="222"/>
      <c r="P2775" s="1597"/>
      <c r="R2775" s="1598"/>
      <c r="T2775" s="1768"/>
      <c r="V2775" s="1769"/>
      <c r="X2775" s="1768"/>
      <c r="Z2775" s="1769"/>
    </row>
    <row r="2776" spans="6:26" ht="18" customHeight="1">
      <c r="F2776" s="154"/>
      <c r="I2776" s="673"/>
      <c r="J2776" s="209"/>
      <c r="L2776" s="154"/>
      <c r="M2776" s="222"/>
      <c r="P2776" s="1597"/>
      <c r="R2776" s="1598"/>
      <c r="T2776" s="1768"/>
      <c r="V2776" s="1769"/>
      <c r="X2776" s="1768"/>
      <c r="Z2776" s="1769"/>
    </row>
    <row r="2777" spans="6:26" ht="18" customHeight="1">
      <c r="F2777" s="154"/>
      <c r="I2777" s="673"/>
      <c r="J2777" s="209"/>
      <c r="L2777" s="154"/>
      <c r="M2777" s="222"/>
      <c r="P2777" s="1597"/>
      <c r="R2777" s="1598"/>
      <c r="T2777" s="1768"/>
      <c r="V2777" s="1769"/>
      <c r="X2777" s="1768"/>
      <c r="Z2777" s="1769"/>
    </row>
    <row r="2778" spans="6:26" ht="18" customHeight="1">
      <c r="F2778" s="154"/>
      <c r="I2778" s="673"/>
      <c r="J2778" s="209"/>
      <c r="L2778" s="154"/>
      <c r="M2778" s="222"/>
      <c r="P2778" s="1597"/>
      <c r="R2778" s="1598"/>
      <c r="T2778" s="1768"/>
      <c r="V2778" s="1769"/>
      <c r="X2778" s="1768"/>
      <c r="Z2778" s="1769"/>
    </row>
    <row r="2779" spans="6:26" ht="18" customHeight="1">
      <c r="F2779" s="154"/>
      <c r="I2779" s="673"/>
      <c r="J2779" s="209"/>
      <c r="L2779" s="154"/>
      <c r="M2779" s="222"/>
      <c r="P2779" s="1597"/>
      <c r="R2779" s="1598"/>
      <c r="T2779" s="1768"/>
      <c r="V2779" s="1769"/>
      <c r="X2779" s="1768"/>
      <c r="Z2779" s="1769"/>
    </row>
    <row r="2780" spans="6:26" ht="18" customHeight="1">
      <c r="F2780" s="154"/>
      <c r="I2780" s="673"/>
      <c r="J2780" s="209"/>
      <c r="L2780" s="154"/>
      <c r="M2780" s="222"/>
      <c r="P2780" s="1597"/>
      <c r="R2780" s="1598"/>
      <c r="T2780" s="1768"/>
      <c r="V2780" s="1769"/>
      <c r="X2780" s="1768"/>
      <c r="Z2780" s="1769"/>
    </row>
    <row r="2781" spans="6:26" ht="18" customHeight="1">
      <c r="F2781" s="154"/>
      <c r="I2781" s="673"/>
      <c r="J2781" s="209"/>
      <c r="L2781" s="154"/>
      <c r="M2781" s="222"/>
      <c r="P2781" s="1597"/>
      <c r="R2781" s="1598"/>
      <c r="T2781" s="1768"/>
      <c r="V2781" s="1769"/>
      <c r="X2781" s="1768"/>
      <c r="Z2781" s="1769"/>
    </row>
    <row r="2782" spans="6:26" ht="18" customHeight="1">
      <c r="F2782" s="154"/>
      <c r="I2782" s="673"/>
      <c r="J2782" s="209"/>
      <c r="L2782" s="154"/>
      <c r="M2782" s="222"/>
      <c r="P2782" s="1597"/>
      <c r="R2782" s="1598"/>
      <c r="T2782" s="1768"/>
      <c r="V2782" s="1769"/>
      <c r="X2782" s="1768"/>
      <c r="Z2782" s="1769"/>
    </row>
    <row r="2783" spans="6:26" ht="18" customHeight="1">
      <c r="F2783" s="154"/>
      <c r="I2783" s="673"/>
      <c r="J2783" s="209"/>
      <c r="L2783" s="154"/>
      <c r="M2783" s="222"/>
      <c r="P2783" s="1597"/>
      <c r="R2783" s="1598"/>
      <c r="T2783" s="1768"/>
      <c r="V2783" s="1769"/>
      <c r="X2783" s="1768"/>
      <c r="Z2783" s="1769"/>
    </row>
    <row r="2784" spans="6:26" ht="18" customHeight="1">
      <c r="F2784" s="154"/>
      <c r="I2784" s="673"/>
      <c r="J2784" s="209"/>
      <c r="L2784" s="154"/>
      <c r="M2784" s="222"/>
      <c r="P2784" s="1597"/>
      <c r="R2784" s="1598"/>
      <c r="T2784" s="1768"/>
      <c r="V2784" s="1769"/>
      <c r="X2784" s="1768"/>
      <c r="Z2784" s="1769"/>
    </row>
    <row r="2785" spans="6:26" ht="18" customHeight="1">
      <c r="F2785" s="154"/>
      <c r="I2785" s="673"/>
      <c r="J2785" s="209"/>
      <c r="L2785" s="154"/>
      <c r="M2785" s="222"/>
      <c r="P2785" s="1597"/>
      <c r="R2785" s="1598"/>
      <c r="T2785" s="1768"/>
      <c r="V2785" s="1769"/>
      <c r="X2785" s="1768"/>
      <c r="Z2785" s="1769"/>
    </row>
    <row r="2786" spans="6:26" ht="18" customHeight="1">
      <c r="F2786" s="154"/>
      <c r="I2786" s="673"/>
      <c r="J2786" s="209"/>
      <c r="L2786" s="154"/>
      <c r="M2786" s="222"/>
      <c r="P2786" s="1597"/>
      <c r="R2786" s="1598"/>
      <c r="T2786" s="1768"/>
      <c r="V2786" s="1769"/>
      <c r="X2786" s="1768"/>
      <c r="Z2786" s="1769"/>
    </row>
    <row r="2787" spans="6:26" ht="18" customHeight="1">
      <c r="F2787" s="154"/>
      <c r="I2787" s="673"/>
      <c r="J2787" s="209"/>
      <c r="L2787" s="154"/>
      <c r="M2787" s="222"/>
      <c r="P2787" s="1597"/>
      <c r="R2787" s="1598"/>
      <c r="T2787" s="1768"/>
      <c r="V2787" s="1769"/>
      <c r="X2787" s="1768"/>
      <c r="Z2787" s="1769"/>
    </row>
    <row r="2788" spans="6:26" ht="18" customHeight="1">
      <c r="F2788" s="154"/>
      <c r="I2788" s="673"/>
      <c r="J2788" s="209"/>
      <c r="L2788" s="154"/>
      <c r="M2788" s="222"/>
      <c r="P2788" s="1597"/>
      <c r="R2788" s="1598"/>
      <c r="T2788" s="1768"/>
      <c r="V2788" s="1769"/>
      <c r="X2788" s="1768"/>
      <c r="Z2788" s="1769"/>
    </row>
    <row r="2789" spans="6:26" ht="18" customHeight="1">
      <c r="F2789" s="154"/>
      <c r="I2789" s="673"/>
      <c r="J2789" s="209"/>
      <c r="L2789" s="154"/>
      <c r="M2789" s="222"/>
      <c r="P2789" s="1597"/>
      <c r="R2789" s="1598"/>
      <c r="T2789" s="1768"/>
      <c r="V2789" s="1769"/>
      <c r="X2789" s="1768"/>
      <c r="Z2789" s="1769"/>
    </row>
    <row r="2790" spans="6:26" ht="18" customHeight="1">
      <c r="F2790" s="154"/>
      <c r="I2790" s="673"/>
      <c r="J2790" s="209"/>
      <c r="L2790" s="154"/>
      <c r="M2790" s="222"/>
      <c r="P2790" s="1597"/>
      <c r="R2790" s="1598"/>
      <c r="T2790" s="1768"/>
      <c r="V2790" s="1769"/>
      <c r="X2790" s="1768"/>
      <c r="Z2790" s="1769"/>
    </row>
    <row r="2791" spans="6:26" ht="18" customHeight="1">
      <c r="F2791" s="154"/>
      <c r="I2791" s="673"/>
      <c r="J2791" s="209"/>
      <c r="L2791" s="154"/>
      <c r="M2791" s="222"/>
      <c r="P2791" s="1597"/>
      <c r="R2791" s="1598"/>
      <c r="T2791" s="1768"/>
      <c r="V2791" s="1769"/>
      <c r="X2791" s="1768"/>
      <c r="Z2791" s="1769"/>
    </row>
    <row r="2792" spans="6:26" ht="18" customHeight="1">
      <c r="F2792" s="154"/>
      <c r="I2792" s="673"/>
      <c r="J2792" s="209"/>
      <c r="L2792" s="154"/>
      <c r="M2792" s="222"/>
      <c r="P2792" s="1597"/>
      <c r="R2792" s="1598"/>
      <c r="T2792" s="1768"/>
      <c r="V2792" s="1769"/>
      <c r="X2792" s="1768"/>
      <c r="Z2792" s="1769"/>
    </row>
    <row r="2793" spans="6:26" ht="18" customHeight="1">
      <c r="F2793" s="154"/>
      <c r="I2793" s="673"/>
      <c r="J2793" s="209"/>
      <c r="L2793" s="154"/>
      <c r="M2793" s="222"/>
      <c r="P2793" s="1597"/>
      <c r="R2793" s="1598"/>
      <c r="T2793" s="1768"/>
      <c r="V2793" s="1769"/>
      <c r="X2793" s="1768"/>
      <c r="Z2793" s="1769"/>
    </row>
    <row r="2794" spans="6:26" ht="18" customHeight="1">
      <c r="F2794" s="154"/>
      <c r="I2794" s="673"/>
      <c r="J2794" s="209"/>
      <c r="L2794" s="154"/>
      <c r="M2794" s="222"/>
      <c r="P2794" s="1597"/>
      <c r="R2794" s="1598"/>
      <c r="T2794" s="1768"/>
      <c r="V2794" s="1769"/>
      <c r="X2794" s="1768"/>
      <c r="Z2794" s="1769"/>
    </row>
    <row r="2795" spans="6:26" ht="18" customHeight="1">
      <c r="F2795" s="154"/>
      <c r="I2795" s="673"/>
      <c r="J2795" s="209"/>
      <c r="L2795" s="154"/>
      <c r="M2795" s="222"/>
      <c r="P2795" s="1597"/>
      <c r="R2795" s="1598"/>
      <c r="T2795" s="1768"/>
      <c r="V2795" s="1769"/>
      <c r="X2795" s="1768"/>
      <c r="Z2795" s="1769"/>
    </row>
    <row r="2796" spans="6:26" ht="18" customHeight="1">
      <c r="F2796" s="154"/>
      <c r="I2796" s="673"/>
      <c r="J2796" s="209"/>
      <c r="L2796" s="154"/>
      <c r="M2796" s="222"/>
      <c r="P2796" s="1597"/>
      <c r="R2796" s="1598"/>
      <c r="T2796" s="1768"/>
      <c r="V2796" s="1769"/>
      <c r="X2796" s="1768"/>
      <c r="Z2796" s="1769"/>
    </row>
    <row r="2797" spans="6:26" ht="18" customHeight="1">
      <c r="F2797" s="154"/>
      <c r="I2797" s="673"/>
      <c r="J2797" s="209"/>
      <c r="L2797" s="154"/>
      <c r="M2797" s="222"/>
      <c r="P2797" s="1597"/>
      <c r="R2797" s="1598"/>
      <c r="T2797" s="1768"/>
      <c r="V2797" s="1769"/>
      <c r="X2797" s="1768"/>
      <c r="Z2797" s="1769"/>
    </row>
    <row r="2798" spans="6:26" ht="18" customHeight="1">
      <c r="F2798" s="154"/>
      <c r="I2798" s="673"/>
      <c r="J2798" s="209"/>
      <c r="L2798" s="154"/>
      <c r="M2798" s="222"/>
      <c r="P2798" s="1597"/>
      <c r="R2798" s="1598"/>
      <c r="T2798" s="1768"/>
      <c r="V2798" s="1769"/>
      <c r="X2798" s="1768"/>
      <c r="Z2798" s="1769"/>
    </row>
    <row r="2799" spans="6:26" ht="18" customHeight="1">
      <c r="F2799" s="154"/>
      <c r="I2799" s="673"/>
      <c r="J2799" s="209"/>
      <c r="L2799" s="154"/>
      <c r="M2799" s="222"/>
      <c r="P2799" s="1597"/>
      <c r="R2799" s="1598"/>
      <c r="T2799" s="1768"/>
      <c r="V2799" s="1769"/>
      <c r="X2799" s="1768"/>
      <c r="Z2799" s="1769"/>
    </row>
    <row r="2800" spans="6:26" ht="18" customHeight="1">
      <c r="F2800" s="154"/>
      <c r="I2800" s="673"/>
      <c r="J2800" s="209"/>
      <c r="L2800" s="154"/>
      <c r="M2800" s="222"/>
      <c r="P2800" s="1597"/>
      <c r="R2800" s="1598"/>
      <c r="T2800" s="1768"/>
      <c r="V2800" s="1769"/>
      <c r="X2800" s="1768"/>
      <c r="Z2800" s="1769"/>
    </row>
    <row r="2801" spans="6:26" ht="18" customHeight="1">
      <c r="F2801" s="154"/>
      <c r="I2801" s="673"/>
      <c r="J2801" s="209"/>
      <c r="L2801" s="154"/>
      <c r="M2801" s="222"/>
      <c r="P2801" s="1597"/>
      <c r="R2801" s="1598"/>
      <c r="T2801" s="1768"/>
      <c r="V2801" s="1769"/>
      <c r="X2801" s="1768"/>
      <c r="Z2801" s="1769"/>
    </row>
    <row r="2802" spans="6:26" ht="18" customHeight="1">
      <c r="F2802" s="154"/>
      <c r="I2802" s="673"/>
      <c r="J2802" s="209"/>
      <c r="L2802" s="154"/>
      <c r="M2802" s="222"/>
      <c r="P2802" s="1597"/>
      <c r="R2802" s="1598"/>
      <c r="T2802" s="1768"/>
      <c r="V2802" s="1769"/>
      <c r="X2802" s="1768"/>
      <c r="Z2802" s="1769"/>
    </row>
    <row r="2803" spans="6:26" ht="18" customHeight="1">
      <c r="F2803" s="154"/>
      <c r="I2803" s="673"/>
      <c r="J2803" s="209"/>
      <c r="L2803" s="154"/>
      <c r="M2803" s="222"/>
      <c r="P2803" s="1597"/>
      <c r="R2803" s="1598"/>
      <c r="T2803" s="1768"/>
      <c r="V2803" s="1769"/>
      <c r="X2803" s="1768"/>
      <c r="Z2803" s="1769"/>
    </row>
    <row r="2804" spans="6:26" ht="18" customHeight="1">
      <c r="F2804" s="154"/>
      <c r="I2804" s="673"/>
      <c r="J2804" s="209"/>
      <c r="L2804" s="154"/>
      <c r="M2804" s="222"/>
      <c r="P2804" s="1597"/>
      <c r="R2804" s="1598"/>
      <c r="T2804" s="1768"/>
      <c r="V2804" s="1769"/>
      <c r="X2804" s="1768"/>
      <c r="Z2804" s="1769"/>
    </row>
    <row r="2805" spans="6:26" ht="18" customHeight="1">
      <c r="F2805" s="154"/>
      <c r="I2805" s="673"/>
      <c r="J2805" s="209"/>
      <c r="L2805" s="154"/>
      <c r="M2805" s="222"/>
      <c r="P2805" s="1597"/>
      <c r="R2805" s="1598"/>
      <c r="T2805" s="1768"/>
      <c r="V2805" s="1769"/>
      <c r="X2805" s="1768"/>
      <c r="Z2805" s="1769"/>
    </row>
    <row r="2806" spans="6:26" ht="18" customHeight="1">
      <c r="F2806" s="154"/>
      <c r="I2806" s="673"/>
      <c r="J2806" s="209"/>
      <c r="L2806" s="154"/>
      <c r="M2806" s="222"/>
      <c r="P2806" s="1597"/>
      <c r="R2806" s="1598"/>
      <c r="T2806" s="1768"/>
      <c r="V2806" s="1769"/>
      <c r="X2806" s="1768"/>
      <c r="Z2806" s="1769"/>
    </row>
    <row r="2807" spans="6:26" ht="18" customHeight="1">
      <c r="F2807" s="154"/>
      <c r="I2807" s="673"/>
      <c r="J2807" s="209"/>
      <c r="L2807" s="154"/>
      <c r="M2807" s="222"/>
      <c r="P2807" s="1597"/>
      <c r="R2807" s="1598"/>
      <c r="T2807" s="1768"/>
      <c r="V2807" s="1769"/>
      <c r="X2807" s="1768"/>
      <c r="Z2807" s="1769"/>
    </row>
    <row r="2808" spans="6:26" ht="18" customHeight="1">
      <c r="F2808" s="154"/>
      <c r="I2808" s="673"/>
      <c r="J2808" s="209"/>
      <c r="L2808" s="154"/>
      <c r="M2808" s="222"/>
      <c r="P2808" s="1597"/>
      <c r="R2808" s="1598"/>
      <c r="T2808" s="1768"/>
      <c r="V2808" s="1769"/>
      <c r="X2808" s="1768"/>
      <c r="Z2808" s="1769"/>
    </row>
    <row r="2809" spans="6:26" ht="18" customHeight="1">
      <c r="F2809" s="154"/>
      <c r="I2809" s="673"/>
      <c r="J2809" s="209"/>
      <c r="L2809" s="154"/>
      <c r="M2809" s="222"/>
      <c r="P2809" s="1597"/>
      <c r="R2809" s="1598"/>
      <c r="T2809" s="1768"/>
      <c r="V2809" s="1769"/>
      <c r="X2809" s="1768"/>
      <c r="Z2809" s="1769"/>
    </row>
    <row r="2810" spans="6:26" ht="18" customHeight="1">
      <c r="F2810" s="154"/>
      <c r="I2810" s="673"/>
      <c r="J2810" s="209"/>
      <c r="L2810" s="154"/>
      <c r="M2810" s="222"/>
      <c r="P2810" s="1597"/>
      <c r="R2810" s="1598"/>
      <c r="T2810" s="1768"/>
      <c r="V2810" s="1769"/>
      <c r="X2810" s="1768"/>
      <c r="Z2810" s="1769"/>
    </row>
    <row r="2811" spans="6:26" ht="18" customHeight="1">
      <c r="F2811" s="154"/>
      <c r="I2811" s="673"/>
      <c r="J2811" s="209"/>
      <c r="L2811" s="154"/>
      <c r="M2811" s="222"/>
      <c r="P2811" s="1597"/>
      <c r="R2811" s="1598"/>
      <c r="T2811" s="1768"/>
      <c r="V2811" s="1769"/>
      <c r="X2811" s="1768"/>
      <c r="Z2811" s="1769"/>
    </row>
    <row r="2812" spans="6:26" ht="18" customHeight="1">
      <c r="F2812" s="154"/>
      <c r="I2812" s="673"/>
      <c r="J2812" s="209"/>
      <c r="L2812" s="154"/>
      <c r="M2812" s="222"/>
      <c r="P2812" s="1597"/>
      <c r="R2812" s="1598"/>
      <c r="T2812" s="1768"/>
      <c r="V2812" s="1769"/>
      <c r="X2812" s="1768"/>
      <c r="Z2812" s="1769"/>
    </row>
    <row r="2813" spans="6:26" ht="18" customHeight="1">
      <c r="F2813" s="154"/>
      <c r="I2813" s="673"/>
      <c r="J2813" s="209"/>
      <c r="L2813" s="154"/>
      <c r="M2813" s="222"/>
      <c r="P2813" s="1597"/>
      <c r="R2813" s="1598"/>
      <c r="T2813" s="1768"/>
      <c r="V2813" s="1769"/>
      <c r="X2813" s="1768"/>
      <c r="Z2813" s="1769"/>
    </row>
    <row r="2814" spans="6:26" ht="18" customHeight="1">
      <c r="F2814" s="154"/>
      <c r="I2814" s="673"/>
      <c r="J2814" s="209"/>
      <c r="L2814" s="154"/>
      <c r="M2814" s="222"/>
      <c r="P2814" s="1597"/>
      <c r="R2814" s="1598"/>
      <c r="T2814" s="1768"/>
      <c r="V2814" s="1769"/>
      <c r="X2814" s="1768"/>
      <c r="Z2814" s="1769"/>
    </row>
    <row r="2815" spans="6:26" ht="18" customHeight="1">
      <c r="F2815" s="154"/>
      <c r="I2815" s="673"/>
      <c r="J2815" s="209"/>
      <c r="L2815" s="154"/>
      <c r="M2815" s="222"/>
      <c r="P2815" s="1597"/>
      <c r="R2815" s="1598"/>
      <c r="T2815" s="1768"/>
      <c r="V2815" s="1769"/>
      <c r="X2815" s="1768"/>
      <c r="Z2815" s="1769"/>
    </row>
    <row r="2816" spans="6:26" ht="18" customHeight="1">
      <c r="F2816" s="154"/>
      <c r="I2816" s="673"/>
      <c r="J2816" s="209"/>
      <c r="L2816" s="154"/>
      <c r="M2816" s="222"/>
      <c r="P2816" s="1597"/>
      <c r="R2816" s="1598"/>
      <c r="T2816" s="1768"/>
      <c r="V2816" s="1769"/>
      <c r="X2816" s="1768"/>
      <c r="Z2816" s="1769"/>
    </row>
    <row r="2817" spans="6:26" ht="18" customHeight="1">
      <c r="F2817" s="154"/>
      <c r="I2817" s="673"/>
      <c r="J2817" s="209"/>
      <c r="L2817" s="154"/>
      <c r="M2817" s="222"/>
      <c r="P2817" s="1597"/>
      <c r="R2817" s="1598"/>
      <c r="T2817" s="1768"/>
      <c r="V2817" s="1769"/>
      <c r="X2817" s="1768"/>
      <c r="Z2817" s="1769"/>
    </row>
    <row r="2818" spans="6:26" ht="18" customHeight="1">
      <c r="F2818" s="154"/>
      <c r="I2818" s="673"/>
      <c r="J2818" s="209"/>
      <c r="L2818" s="154"/>
      <c r="M2818" s="222"/>
      <c r="P2818" s="1597"/>
      <c r="R2818" s="1598"/>
      <c r="T2818" s="1768"/>
      <c r="V2818" s="1769"/>
      <c r="X2818" s="1768"/>
      <c r="Z2818" s="1769"/>
    </row>
    <row r="2819" spans="6:26" ht="18" customHeight="1">
      <c r="F2819" s="154"/>
      <c r="I2819" s="673"/>
      <c r="J2819" s="209"/>
      <c r="L2819" s="154"/>
      <c r="M2819" s="222"/>
      <c r="P2819" s="1597"/>
      <c r="R2819" s="1598"/>
      <c r="T2819" s="1768"/>
      <c r="V2819" s="1769"/>
      <c r="X2819" s="1768"/>
      <c r="Z2819" s="1769"/>
    </row>
    <row r="2820" spans="6:26" ht="18" customHeight="1">
      <c r="F2820" s="154"/>
      <c r="I2820" s="673"/>
      <c r="J2820" s="209"/>
      <c r="L2820" s="154"/>
      <c r="M2820" s="222"/>
      <c r="P2820" s="1597"/>
      <c r="R2820" s="1598"/>
      <c r="T2820" s="1768"/>
      <c r="V2820" s="1769"/>
      <c r="X2820" s="1768"/>
      <c r="Z2820" s="1769"/>
    </row>
    <row r="2821" spans="6:26" ht="18" customHeight="1">
      <c r="F2821" s="154"/>
      <c r="I2821" s="673"/>
      <c r="J2821" s="209"/>
      <c r="L2821" s="154"/>
      <c r="M2821" s="222"/>
      <c r="P2821" s="1597"/>
      <c r="R2821" s="1598"/>
      <c r="T2821" s="1768"/>
      <c r="V2821" s="1769"/>
      <c r="X2821" s="1768"/>
      <c r="Z2821" s="1769"/>
    </row>
    <row r="2822" spans="6:26" ht="18" customHeight="1">
      <c r="F2822" s="154"/>
      <c r="I2822" s="673"/>
      <c r="J2822" s="209"/>
      <c r="L2822" s="154"/>
      <c r="M2822" s="222"/>
      <c r="P2822" s="1597"/>
      <c r="R2822" s="1598"/>
      <c r="T2822" s="1768"/>
      <c r="V2822" s="1769"/>
      <c r="X2822" s="1768"/>
      <c r="Z2822" s="1769"/>
    </row>
    <row r="2823" spans="6:26" ht="18" customHeight="1">
      <c r="F2823" s="154"/>
      <c r="I2823" s="673"/>
      <c r="J2823" s="209"/>
      <c r="L2823" s="154"/>
      <c r="M2823" s="222"/>
      <c r="P2823" s="1597"/>
      <c r="R2823" s="1598"/>
      <c r="T2823" s="1768"/>
      <c r="V2823" s="1769"/>
      <c r="X2823" s="1768"/>
      <c r="Z2823" s="1769"/>
    </row>
    <row r="2824" spans="6:26" ht="18" customHeight="1">
      <c r="F2824" s="154"/>
      <c r="I2824" s="673"/>
      <c r="J2824" s="209"/>
      <c r="L2824" s="154"/>
      <c r="M2824" s="222"/>
      <c r="P2824" s="1597"/>
      <c r="R2824" s="1598"/>
      <c r="T2824" s="1768"/>
      <c r="V2824" s="1769"/>
      <c r="X2824" s="1768"/>
      <c r="Z2824" s="1769"/>
    </row>
    <row r="2825" spans="6:26" ht="18" customHeight="1">
      <c r="F2825" s="154"/>
      <c r="I2825" s="673"/>
      <c r="J2825" s="209"/>
      <c r="L2825" s="154"/>
      <c r="M2825" s="222"/>
      <c r="P2825" s="1597"/>
      <c r="R2825" s="1598"/>
      <c r="T2825" s="1768"/>
      <c r="V2825" s="1769"/>
      <c r="X2825" s="1768"/>
      <c r="Z2825" s="1769"/>
    </row>
    <row r="2826" spans="6:26" ht="18" customHeight="1">
      <c r="F2826" s="154"/>
      <c r="I2826" s="673"/>
      <c r="J2826" s="209"/>
      <c r="L2826" s="154"/>
      <c r="M2826" s="222"/>
      <c r="P2826" s="1597"/>
      <c r="R2826" s="1598"/>
      <c r="T2826" s="1768"/>
      <c r="V2826" s="1769"/>
      <c r="X2826" s="1768"/>
      <c r="Z2826" s="1769"/>
    </row>
    <row r="2827" spans="6:26" ht="18" customHeight="1">
      <c r="F2827" s="154"/>
      <c r="I2827" s="673"/>
      <c r="J2827" s="209"/>
      <c r="L2827" s="154"/>
      <c r="M2827" s="222"/>
      <c r="P2827" s="1597"/>
      <c r="R2827" s="1598"/>
      <c r="T2827" s="1768"/>
      <c r="V2827" s="1769"/>
      <c r="X2827" s="1768"/>
      <c r="Z2827" s="1769"/>
    </row>
    <row r="2828" spans="6:26" ht="18" customHeight="1">
      <c r="F2828" s="154"/>
      <c r="I2828" s="673"/>
      <c r="J2828" s="209"/>
      <c r="L2828" s="154"/>
      <c r="M2828" s="222"/>
      <c r="P2828" s="1597"/>
      <c r="R2828" s="1598"/>
      <c r="T2828" s="1768"/>
      <c r="V2828" s="1769"/>
      <c r="X2828" s="1768"/>
      <c r="Z2828" s="1769"/>
    </row>
    <row r="2829" spans="6:26" ht="18" customHeight="1">
      <c r="F2829" s="154"/>
      <c r="I2829" s="673"/>
      <c r="J2829" s="209"/>
      <c r="L2829" s="154"/>
      <c r="M2829" s="222"/>
      <c r="P2829" s="1597"/>
      <c r="R2829" s="1598"/>
      <c r="T2829" s="1768"/>
      <c r="V2829" s="1769"/>
      <c r="X2829" s="1768"/>
      <c r="Z2829" s="1769"/>
    </row>
    <row r="2830" spans="6:26" ht="18" customHeight="1">
      <c r="F2830" s="154"/>
      <c r="I2830" s="673"/>
      <c r="J2830" s="209"/>
      <c r="L2830" s="154"/>
      <c r="M2830" s="222"/>
      <c r="P2830" s="1597"/>
      <c r="R2830" s="1598"/>
      <c r="T2830" s="1768"/>
      <c r="V2830" s="1769"/>
      <c r="X2830" s="1768"/>
      <c r="Z2830" s="1769"/>
    </row>
    <row r="2831" spans="6:26" ht="18" customHeight="1">
      <c r="F2831" s="154"/>
      <c r="I2831" s="673"/>
      <c r="J2831" s="209"/>
      <c r="L2831" s="154"/>
      <c r="M2831" s="222"/>
      <c r="P2831" s="1597"/>
      <c r="R2831" s="1598"/>
      <c r="T2831" s="1768"/>
      <c r="V2831" s="1769"/>
      <c r="X2831" s="1768"/>
      <c r="Z2831" s="1769"/>
    </row>
    <row r="2832" spans="6:26" ht="18" customHeight="1">
      <c r="F2832" s="154"/>
      <c r="I2832" s="673"/>
      <c r="J2832" s="209"/>
      <c r="L2832" s="154"/>
      <c r="M2832" s="222"/>
      <c r="P2832" s="1597"/>
      <c r="R2832" s="1598"/>
      <c r="T2832" s="1768"/>
      <c r="V2832" s="1769"/>
      <c r="X2832" s="1768"/>
      <c r="Z2832" s="1769"/>
    </row>
    <row r="2833" spans="6:26" ht="18" customHeight="1">
      <c r="F2833" s="154"/>
      <c r="I2833" s="673"/>
      <c r="J2833" s="209"/>
      <c r="L2833" s="154"/>
      <c r="M2833" s="222"/>
      <c r="P2833" s="1597"/>
      <c r="R2833" s="1598"/>
      <c r="T2833" s="1768"/>
      <c r="V2833" s="1769"/>
      <c r="X2833" s="1768"/>
      <c r="Z2833" s="1769"/>
    </row>
    <row r="2834" spans="6:26" ht="18" customHeight="1">
      <c r="F2834" s="154"/>
      <c r="I2834" s="673"/>
      <c r="J2834" s="209"/>
      <c r="L2834" s="154"/>
      <c r="M2834" s="222"/>
      <c r="P2834" s="1597"/>
      <c r="R2834" s="1598"/>
      <c r="T2834" s="1768"/>
      <c r="V2834" s="1769"/>
      <c r="X2834" s="1768"/>
      <c r="Z2834" s="1769"/>
    </row>
    <row r="2835" spans="6:26" ht="18" customHeight="1">
      <c r="F2835" s="154"/>
      <c r="I2835" s="673"/>
      <c r="J2835" s="209"/>
      <c r="L2835" s="154"/>
      <c r="M2835" s="222"/>
      <c r="P2835" s="1597"/>
      <c r="R2835" s="1598"/>
      <c r="T2835" s="1768"/>
      <c r="V2835" s="1769"/>
      <c r="X2835" s="1768"/>
      <c r="Z2835" s="1769"/>
    </row>
    <row r="2836" spans="6:26" ht="18" customHeight="1">
      <c r="F2836" s="154"/>
      <c r="I2836" s="673"/>
      <c r="J2836" s="209"/>
      <c r="L2836" s="154"/>
      <c r="M2836" s="222"/>
      <c r="P2836" s="1597"/>
      <c r="R2836" s="1598"/>
      <c r="T2836" s="1768"/>
      <c r="V2836" s="1769"/>
      <c r="X2836" s="1768"/>
      <c r="Z2836" s="1769"/>
    </row>
    <row r="2837" spans="6:26" ht="18" customHeight="1">
      <c r="F2837" s="154"/>
      <c r="I2837" s="673"/>
      <c r="J2837" s="209"/>
      <c r="L2837" s="154"/>
      <c r="M2837" s="222"/>
      <c r="P2837" s="1597"/>
      <c r="R2837" s="1598"/>
      <c r="T2837" s="1768"/>
      <c r="V2837" s="1769"/>
      <c r="X2837" s="1768"/>
      <c r="Z2837" s="1769"/>
    </row>
    <row r="2838" spans="6:26" ht="18" customHeight="1">
      <c r="F2838" s="154"/>
      <c r="I2838" s="673"/>
      <c r="J2838" s="209"/>
      <c r="L2838" s="154"/>
      <c r="M2838" s="222"/>
      <c r="P2838" s="1597"/>
      <c r="R2838" s="1598"/>
      <c r="T2838" s="1768"/>
      <c r="V2838" s="1769"/>
      <c r="X2838" s="1768"/>
      <c r="Z2838" s="1769"/>
    </row>
    <row r="2839" spans="6:26" ht="18" customHeight="1">
      <c r="F2839" s="154"/>
      <c r="I2839" s="673"/>
      <c r="J2839" s="209"/>
      <c r="L2839" s="154"/>
      <c r="M2839" s="222"/>
      <c r="P2839" s="1597"/>
      <c r="R2839" s="1598"/>
      <c r="T2839" s="1768"/>
      <c r="V2839" s="1769"/>
      <c r="X2839" s="1768"/>
      <c r="Z2839" s="1769"/>
    </row>
    <row r="2840" spans="6:26" ht="18" customHeight="1">
      <c r="F2840" s="154"/>
      <c r="I2840" s="673"/>
      <c r="J2840" s="209"/>
      <c r="L2840" s="154"/>
      <c r="M2840" s="222"/>
      <c r="P2840" s="1597"/>
      <c r="R2840" s="1598"/>
      <c r="T2840" s="1768"/>
      <c r="V2840" s="1769"/>
      <c r="X2840" s="1768"/>
      <c r="Z2840" s="1769"/>
    </row>
    <row r="2841" spans="6:26" ht="18" customHeight="1">
      <c r="F2841" s="154"/>
      <c r="I2841" s="673"/>
      <c r="J2841" s="209"/>
      <c r="L2841" s="154"/>
      <c r="M2841" s="222"/>
      <c r="P2841" s="1597"/>
      <c r="R2841" s="1598"/>
      <c r="T2841" s="1768"/>
      <c r="V2841" s="1769"/>
      <c r="X2841" s="1768"/>
      <c r="Z2841" s="1769"/>
    </row>
    <row r="2842" spans="6:26" ht="18" customHeight="1">
      <c r="F2842" s="154"/>
      <c r="I2842" s="673"/>
      <c r="J2842" s="209"/>
      <c r="L2842" s="154"/>
      <c r="M2842" s="222"/>
      <c r="P2842" s="1597"/>
      <c r="R2842" s="1598"/>
      <c r="T2842" s="1768"/>
      <c r="V2842" s="1769"/>
      <c r="X2842" s="1768"/>
      <c r="Z2842" s="1769"/>
    </row>
    <row r="2843" spans="6:26" ht="18" customHeight="1">
      <c r="F2843" s="154"/>
      <c r="I2843" s="673"/>
      <c r="J2843" s="209"/>
      <c r="L2843" s="154"/>
      <c r="M2843" s="222"/>
      <c r="P2843" s="1597"/>
      <c r="R2843" s="1598"/>
      <c r="T2843" s="1768"/>
      <c r="V2843" s="1769"/>
      <c r="X2843" s="1768"/>
      <c r="Z2843" s="1769"/>
    </row>
    <row r="2844" spans="6:26" ht="18" customHeight="1">
      <c r="F2844" s="154"/>
      <c r="I2844" s="673"/>
      <c r="J2844" s="209"/>
      <c r="L2844" s="154"/>
      <c r="M2844" s="222"/>
      <c r="P2844" s="1597"/>
      <c r="R2844" s="1598"/>
      <c r="T2844" s="1768"/>
      <c r="V2844" s="1769"/>
      <c r="X2844" s="1768"/>
      <c r="Z2844" s="1769"/>
    </row>
    <row r="2845" spans="6:26" ht="18" customHeight="1">
      <c r="F2845" s="154"/>
      <c r="I2845" s="673"/>
      <c r="J2845" s="209"/>
      <c r="L2845" s="154"/>
      <c r="M2845" s="222"/>
      <c r="P2845" s="1597"/>
      <c r="R2845" s="1598"/>
      <c r="T2845" s="1768"/>
      <c r="V2845" s="1769"/>
      <c r="X2845" s="1768"/>
      <c r="Z2845" s="1769"/>
    </row>
    <row r="2846" spans="6:26" ht="18" customHeight="1">
      <c r="F2846" s="154"/>
      <c r="I2846" s="673"/>
      <c r="J2846" s="209"/>
      <c r="L2846" s="154"/>
      <c r="M2846" s="222"/>
      <c r="P2846" s="1597"/>
      <c r="R2846" s="1598"/>
      <c r="T2846" s="1768"/>
      <c r="V2846" s="1769"/>
      <c r="X2846" s="1768"/>
      <c r="Z2846" s="1769"/>
    </row>
    <row r="2847" spans="6:26" ht="18" customHeight="1">
      <c r="F2847" s="154"/>
      <c r="I2847" s="673"/>
      <c r="J2847" s="209"/>
      <c r="L2847" s="154"/>
      <c r="M2847" s="222"/>
      <c r="P2847" s="1597"/>
      <c r="R2847" s="1598"/>
      <c r="T2847" s="1768"/>
      <c r="V2847" s="1769"/>
      <c r="X2847" s="1768"/>
      <c r="Z2847" s="1769"/>
    </row>
    <row r="2848" spans="6:26" ht="18" customHeight="1">
      <c r="F2848" s="154"/>
      <c r="I2848" s="673"/>
      <c r="J2848" s="209"/>
      <c r="L2848" s="154"/>
      <c r="M2848" s="222"/>
      <c r="P2848" s="1597"/>
      <c r="R2848" s="1598"/>
      <c r="T2848" s="1768"/>
      <c r="V2848" s="1769"/>
      <c r="X2848" s="1768"/>
      <c r="Z2848" s="1769"/>
    </row>
    <row r="2849" spans="6:26" ht="18" customHeight="1">
      <c r="F2849" s="154"/>
      <c r="I2849" s="673"/>
      <c r="J2849" s="209"/>
      <c r="L2849" s="154"/>
      <c r="M2849" s="222"/>
      <c r="P2849" s="1597"/>
      <c r="R2849" s="1598"/>
      <c r="T2849" s="1768"/>
      <c r="V2849" s="1769"/>
      <c r="X2849" s="1768"/>
      <c r="Z2849" s="1769"/>
    </row>
    <row r="2850" spans="6:26" ht="18" customHeight="1">
      <c r="F2850" s="154"/>
      <c r="I2850" s="673"/>
      <c r="J2850" s="209"/>
      <c r="L2850" s="154"/>
      <c r="M2850" s="222"/>
      <c r="P2850" s="1597"/>
      <c r="R2850" s="1598"/>
      <c r="T2850" s="1768"/>
      <c r="V2850" s="1769"/>
      <c r="X2850" s="1768"/>
      <c r="Z2850" s="1769"/>
    </row>
    <row r="2851" spans="6:26" ht="18" customHeight="1">
      <c r="F2851" s="154"/>
      <c r="I2851" s="673"/>
      <c r="J2851" s="209"/>
      <c r="L2851" s="154"/>
      <c r="M2851" s="222"/>
      <c r="P2851" s="1597"/>
      <c r="R2851" s="1598"/>
      <c r="T2851" s="1768"/>
      <c r="V2851" s="1769"/>
      <c r="X2851" s="1768"/>
      <c r="Z2851" s="1769"/>
    </row>
    <row r="2852" spans="6:26" ht="18" customHeight="1">
      <c r="F2852" s="154"/>
      <c r="I2852" s="673"/>
      <c r="J2852" s="209"/>
      <c r="L2852" s="154"/>
      <c r="M2852" s="222"/>
      <c r="P2852" s="1597"/>
      <c r="R2852" s="1598"/>
      <c r="T2852" s="1768"/>
      <c r="V2852" s="1769"/>
      <c r="X2852" s="1768"/>
      <c r="Z2852" s="1769"/>
    </row>
    <row r="2853" spans="6:26" ht="18" customHeight="1">
      <c r="F2853" s="154"/>
      <c r="I2853" s="673"/>
      <c r="J2853" s="209"/>
      <c r="L2853" s="154"/>
      <c r="M2853" s="222"/>
      <c r="P2853" s="1597"/>
      <c r="R2853" s="1598"/>
      <c r="T2853" s="1768"/>
      <c r="V2853" s="1769"/>
      <c r="X2853" s="1768"/>
      <c r="Z2853" s="1769"/>
    </row>
    <row r="2854" spans="6:26" ht="18" customHeight="1">
      <c r="F2854" s="154"/>
      <c r="I2854" s="673"/>
      <c r="J2854" s="209"/>
      <c r="L2854" s="154"/>
      <c r="M2854" s="222"/>
      <c r="P2854" s="1597"/>
      <c r="R2854" s="1598"/>
      <c r="T2854" s="1768"/>
      <c r="V2854" s="1769"/>
      <c r="X2854" s="1768"/>
      <c r="Z2854" s="1769"/>
    </row>
    <row r="2855" spans="6:26" ht="18" customHeight="1">
      <c r="F2855" s="154"/>
      <c r="I2855" s="673"/>
      <c r="J2855" s="209"/>
      <c r="L2855" s="154"/>
      <c r="M2855" s="222"/>
      <c r="P2855" s="1597"/>
      <c r="R2855" s="1598"/>
      <c r="T2855" s="1768"/>
      <c r="V2855" s="1769"/>
      <c r="X2855" s="1768"/>
      <c r="Z2855" s="1769"/>
    </row>
    <row r="2856" spans="6:26" ht="18" customHeight="1">
      <c r="F2856" s="154"/>
      <c r="I2856" s="673"/>
      <c r="J2856" s="209"/>
      <c r="L2856" s="154"/>
      <c r="M2856" s="222"/>
      <c r="P2856" s="1597"/>
      <c r="R2856" s="1598"/>
      <c r="T2856" s="1768"/>
      <c r="V2856" s="1769"/>
      <c r="X2856" s="1768"/>
      <c r="Z2856" s="1769"/>
    </row>
    <row r="2857" spans="6:26" ht="18" customHeight="1">
      <c r="F2857" s="154"/>
      <c r="I2857" s="673"/>
      <c r="J2857" s="209"/>
      <c r="L2857" s="154"/>
      <c r="M2857" s="222"/>
      <c r="P2857" s="1597"/>
      <c r="R2857" s="1598"/>
      <c r="T2857" s="1768"/>
      <c r="V2857" s="1769"/>
      <c r="X2857" s="1768"/>
      <c r="Z2857" s="1769"/>
    </row>
    <row r="2858" spans="6:26" ht="18" customHeight="1">
      <c r="F2858" s="154"/>
      <c r="I2858" s="673"/>
      <c r="J2858" s="209"/>
      <c r="L2858" s="154"/>
      <c r="M2858" s="222"/>
      <c r="P2858" s="1597"/>
      <c r="R2858" s="1598"/>
      <c r="T2858" s="1768"/>
      <c r="V2858" s="1769"/>
      <c r="X2858" s="1768"/>
      <c r="Z2858" s="1769"/>
    </row>
    <row r="2859" spans="6:26" ht="18" customHeight="1">
      <c r="F2859" s="154"/>
      <c r="I2859" s="673"/>
      <c r="J2859" s="209"/>
      <c r="L2859" s="154"/>
      <c r="M2859" s="222"/>
      <c r="P2859" s="1597"/>
      <c r="R2859" s="1598"/>
      <c r="T2859" s="1768"/>
      <c r="V2859" s="1769"/>
      <c r="X2859" s="1768"/>
      <c r="Z2859" s="1769"/>
    </row>
    <row r="2860" spans="6:26" ht="18" customHeight="1">
      <c r="F2860" s="154"/>
      <c r="I2860" s="673"/>
      <c r="J2860" s="209"/>
      <c r="L2860" s="154"/>
      <c r="M2860" s="222"/>
      <c r="P2860" s="1597"/>
      <c r="R2860" s="1598"/>
      <c r="T2860" s="1768"/>
      <c r="V2860" s="1769"/>
      <c r="X2860" s="1768"/>
      <c r="Z2860" s="1769"/>
    </row>
    <row r="2861" spans="6:26" ht="18" customHeight="1">
      <c r="F2861" s="154"/>
      <c r="I2861" s="673"/>
      <c r="J2861" s="209"/>
      <c r="L2861" s="154"/>
      <c r="M2861" s="222"/>
      <c r="P2861" s="1597"/>
      <c r="R2861" s="1598"/>
      <c r="T2861" s="1768"/>
      <c r="V2861" s="1769"/>
      <c r="X2861" s="1768"/>
      <c r="Z2861" s="1769"/>
    </row>
    <row r="2862" spans="6:26" ht="18" customHeight="1">
      <c r="F2862" s="154"/>
      <c r="I2862" s="673"/>
      <c r="J2862" s="209"/>
      <c r="L2862" s="154"/>
      <c r="M2862" s="222"/>
      <c r="P2862" s="1597"/>
      <c r="R2862" s="1598"/>
      <c r="T2862" s="1768"/>
      <c r="V2862" s="1769"/>
      <c r="X2862" s="1768"/>
      <c r="Z2862" s="1769"/>
    </row>
    <row r="2863" spans="6:26" ht="18" customHeight="1">
      <c r="F2863" s="154"/>
      <c r="I2863" s="673"/>
      <c r="J2863" s="209"/>
      <c r="L2863" s="154"/>
      <c r="M2863" s="222"/>
      <c r="P2863" s="1597"/>
      <c r="R2863" s="1598"/>
      <c r="T2863" s="1768"/>
      <c r="V2863" s="1769"/>
      <c r="X2863" s="1768"/>
      <c r="Z2863" s="1769"/>
    </row>
    <row r="2864" spans="6:26" ht="18" customHeight="1">
      <c r="F2864" s="154"/>
      <c r="I2864" s="673"/>
      <c r="J2864" s="209"/>
      <c r="L2864" s="154"/>
      <c r="M2864" s="222"/>
      <c r="P2864" s="1597"/>
      <c r="R2864" s="1598"/>
      <c r="T2864" s="1768"/>
      <c r="V2864" s="1769"/>
      <c r="X2864" s="1768"/>
      <c r="Z2864" s="1769"/>
    </row>
    <row r="2865" spans="6:26" ht="18" customHeight="1">
      <c r="F2865" s="154"/>
      <c r="I2865" s="673"/>
      <c r="J2865" s="209"/>
      <c r="L2865" s="154"/>
      <c r="M2865" s="222"/>
      <c r="P2865" s="1597"/>
      <c r="R2865" s="1598"/>
      <c r="T2865" s="1768"/>
      <c r="V2865" s="1769"/>
      <c r="X2865" s="1768"/>
      <c r="Z2865" s="1769"/>
    </row>
    <row r="2866" spans="6:26" ht="18" customHeight="1">
      <c r="F2866" s="154"/>
      <c r="I2866" s="673"/>
      <c r="J2866" s="209"/>
      <c r="L2866" s="154"/>
      <c r="M2866" s="222"/>
      <c r="P2866" s="1597"/>
      <c r="R2866" s="1598"/>
      <c r="T2866" s="1768"/>
      <c r="V2866" s="1769"/>
      <c r="X2866" s="1768"/>
      <c r="Z2866" s="1769"/>
    </row>
    <row r="2867" spans="6:26" ht="18" customHeight="1">
      <c r="F2867" s="154"/>
      <c r="I2867" s="673"/>
      <c r="J2867" s="209"/>
      <c r="L2867" s="154"/>
      <c r="M2867" s="222"/>
      <c r="P2867" s="1597"/>
      <c r="R2867" s="1598"/>
      <c r="T2867" s="1768"/>
      <c r="V2867" s="1769"/>
      <c r="X2867" s="1768"/>
      <c r="Z2867" s="1769"/>
    </row>
    <row r="2868" spans="6:26" ht="18" customHeight="1">
      <c r="F2868" s="154"/>
      <c r="I2868" s="673"/>
      <c r="J2868" s="209"/>
      <c r="L2868" s="154"/>
      <c r="M2868" s="222"/>
      <c r="P2868" s="1597"/>
      <c r="R2868" s="1598"/>
      <c r="T2868" s="1768"/>
      <c r="V2868" s="1769"/>
      <c r="X2868" s="1768"/>
      <c r="Z2868" s="1769"/>
    </row>
    <row r="2869" spans="6:26" ht="18" customHeight="1">
      <c r="F2869" s="154"/>
      <c r="I2869" s="673"/>
      <c r="J2869" s="209"/>
      <c r="L2869" s="154"/>
      <c r="M2869" s="222"/>
      <c r="P2869" s="1597"/>
      <c r="R2869" s="1598"/>
      <c r="T2869" s="1768"/>
      <c r="V2869" s="1769"/>
      <c r="X2869" s="1768"/>
      <c r="Z2869" s="1769"/>
    </row>
    <row r="2870" spans="6:26" ht="18" customHeight="1">
      <c r="F2870" s="154"/>
      <c r="I2870" s="673"/>
      <c r="J2870" s="209"/>
      <c r="L2870" s="154"/>
      <c r="M2870" s="222"/>
      <c r="P2870" s="1597"/>
      <c r="R2870" s="1598"/>
      <c r="T2870" s="1768"/>
      <c r="V2870" s="1769"/>
      <c r="X2870" s="1768"/>
      <c r="Z2870" s="1769"/>
    </row>
    <row r="2871" spans="6:26" ht="18" customHeight="1">
      <c r="F2871" s="154"/>
      <c r="I2871" s="673"/>
      <c r="J2871" s="209"/>
      <c r="L2871" s="154"/>
      <c r="M2871" s="222"/>
      <c r="P2871" s="1597"/>
      <c r="R2871" s="1598"/>
      <c r="T2871" s="1768"/>
      <c r="V2871" s="1769"/>
      <c r="X2871" s="1768"/>
      <c r="Z2871" s="1769"/>
    </row>
    <row r="2872" spans="6:26" ht="18" customHeight="1">
      <c r="F2872" s="154"/>
      <c r="I2872" s="673"/>
      <c r="J2872" s="209"/>
      <c r="L2872" s="154"/>
      <c r="M2872" s="222"/>
      <c r="P2872" s="1597"/>
      <c r="R2872" s="1598"/>
      <c r="T2872" s="1768"/>
      <c r="V2872" s="1769"/>
      <c r="X2872" s="1768"/>
      <c r="Z2872" s="1769"/>
    </row>
    <row r="2873" spans="6:26" ht="18" customHeight="1">
      <c r="F2873" s="154"/>
      <c r="I2873" s="673"/>
      <c r="J2873" s="209"/>
      <c r="L2873" s="154"/>
      <c r="M2873" s="222"/>
      <c r="P2873" s="1597"/>
      <c r="R2873" s="1598"/>
      <c r="T2873" s="1768"/>
      <c r="V2873" s="1769"/>
      <c r="X2873" s="1768"/>
      <c r="Z2873" s="1769"/>
    </row>
    <row r="2874" spans="6:26" ht="18" customHeight="1">
      <c r="F2874" s="154"/>
      <c r="I2874" s="673"/>
      <c r="J2874" s="209"/>
      <c r="L2874" s="154"/>
      <c r="M2874" s="222"/>
      <c r="P2874" s="1597"/>
      <c r="R2874" s="1598"/>
      <c r="T2874" s="1768"/>
      <c r="V2874" s="1769"/>
      <c r="X2874" s="1768"/>
      <c r="Z2874" s="1769"/>
    </row>
    <row r="2875" spans="6:26" ht="18" customHeight="1">
      <c r="F2875" s="154"/>
      <c r="I2875" s="673"/>
      <c r="J2875" s="209"/>
      <c r="L2875" s="154"/>
      <c r="M2875" s="222"/>
      <c r="P2875" s="1597"/>
      <c r="R2875" s="1598"/>
      <c r="T2875" s="1768"/>
      <c r="V2875" s="1769"/>
      <c r="X2875" s="1768"/>
      <c r="Z2875" s="1769"/>
    </row>
    <row r="2876" spans="6:26" ht="18" customHeight="1">
      <c r="F2876" s="154"/>
      <c r="I2876" s="673"/>
      <c r="J2876" s="209"/>
      <c r="L2876" s="154"/>
      <c r="M2876" s="222"/>
      <c r="P2876" s="1597"/>
      <c r="R2876" s="1598"/>
      <c r="T2876" s="1768"/>
      <c r="V2876" s="1769"/>
      <c r="X2876" s="1768"/>
      <c r="Z2876" s="1769"/>
    </row>
    <row r="2877" spans="6:26" ht="18" customHeight="1">
      <c r="F2877" s="154"/>
      <c r="I2877" s="673"/>
      <c r="J2877" s="209"/>
      <c r="L2877" s="154"/>
      <c r="M2877" s="222"/>
      <c r="P2877" s="1597"/>
      <c r="R2877" s="1598"/>
      <c r="T2877" s="1768"/>
      <c r="V2877" s="1769"/>
      <c r="X2877" s="1768"/>
      <c r="Z2877" s="1769"/>
    </row>
    <row r="2878" spans="6:26" ht="18" customHeight="1">
      <c r="F2878" s="154"/>
      <c r="I2878" s="673"/>
      <c r="J2878" s="209"/>
      <c r="L2878" s="154"/>
      <c r="M2878" s="222"/>
      <c r="P2878" s="1597"/>
      <c r="R2878" s="1598"/>
      <c r="T2878" s="1768"/>
      <c r="V2878" s="1769"/>
      <c r="X2878" s="1768"/>
      <c r="Z2878" s="1769"/>
    </row>
    <row r="2879" spans="6:26" ht="18" customHeight="1">
      <c r="F2879" s="154"/>
      <c r="I2879" s="673"/>
      <c r="J2879" s="209"/>
      <c r="L2879" s="154"/>
      <c r="M2879" s="222"/>
      <c r="P2879" s="1597"/>
      <c r="R2879" s="1598"/>
      <c r="T2879" s="1768"/>
      <c r="V2879" s="1769"/>
      <c r="X2879" s="1768"/>
      <c r="Z2879" s="1769"/>
    </row>
    <row r="2880" spans="6:26" ht="18" customHeight="1">
      <c r="F2880" s="154"/>
      <c r="I2880" s="673"/>
      <c r="J2880" s="209"/>
      <c r="L2880" s="154"/>
      <c r="M2880" s="222"/>
      <c r="P2880" s="1597"/>
      <c r="R2880" s="1598"/>
      <c r="T2880" s="1768"/>
      <c r="V2880" s="1769"/>
      <c r="X2880" s="1768"/>
      <c r="Z2880" s="1769"/>
    </row>
    <row r="2881" spans="6:26" ht="18" customHeight="1">
      <c r="F2881" s="154"/>
      <c r="I2881" s="673"/>
      <c r="J2881" s="209"/>
      <c r="L2881" s="154"/>
      <c r="M2881" s="222"/>
      <c r="P2881" s="1597"/>
      <c r="R2881" s="1598"/>
      <c r="T2881" s="1768"/>
      <c r="V2881" s="1769"/>
      <c r="X2881" s="1768"/>
      <c r="Z2881" s="1769"/>
    </row>
    <row r="2882" spans="6:26" ht="18" customHeight="1">
      <c r="F2882" s="154"/>
      <c r="I2882" s="673"/>
      <c r="J2882" s="209"/>
      <c r="L2882" s="154"/>
      <c r="M2882" s="222"/>
      <c r="P2882" s="1597"/>
      <c r="R2882" s="1598"/>
      <c r="T2882" s="1768"/>
      <c r="V2882" s="1769"/>
      <c r="X2882" s="1768"/>
      <c r="Z2882" s="1769"/>
    </row>
    <row r="2883" spans="6:26" ht="18" customHeight="1">
      <c r="F2883" s="154"/>
      <c r="I2883" s="673"/>
      <c r="J2883" s="209"/>
      <c r="L2883" s="154"/>
      <c r="M2883" s="222"/>
      <c r="P2883" s="1597"/>
      <c r="R2883" s="1598"/>
      <c r="T2883" s="1768"/>
      <c r="V2883" s="1769"/>
      <c r="X2883" s="1768"/>
      <c r="Z2883" s="1769"/>
    </row>
    <row r="2884" spans="6:26" ht="18" customHeight="1">
      <c r="F2884" s="154"/>
      <c r="I2884" s="673"/>
      <c r="J2884" s="209"/>
      <c r="L2884" s="154"/>
      <c r="M2884" s="222"/>
      <c r="P2884" s="1597"/>
      <c r="R2884" s="1598"/>
      <c r="T2884" s="1768"/>
      <c r="V2884" s="1769"/>
      <c r="X2884" s="1768"/>
      <c r="Z2884" s="1769"/>
    </row>
    <row r="2885" spans="6:26" ht="18" customHeight="1">
      <c r="F2885" s="154"/>
      <c r="I2885" s="673"/>
      <c r="J2885" s="209"/>
      <c r="L2885" s="154"/>
      <c r="M2885" s="222"/>
      <c r="P2885" s="1597"/>
      <c r="R2885" s="1598"/>
      <c r="T2885" s="1768"/>
      <c r="V2885" s="1769"/>
      <c r="X2885" s="1768"/>
      <c r="Z2885" s="1769"/>
    </row>
    <row r="2886" spans="6:26" ht="18" customHeight="1">
      <c r="F2886" s="154"/>
      <c r="I2886" s="673"/>
      <c r="J2886" s="209"/>
      <c r="L2886" s="154"/>
      <c r="M2886" s="222"/>
      <c r="P2886" s="1597"/>
      <c r="R2886" s="1598"/>
      <c r="T2886" s="1768"/>
      <c r="V2886" s="1769"/>
      <c r="X2886" s="1768"/>
      <c r="Z2886" s="1769"/>
    </row>
    <row r="2887" spans="6:26" ht="18" customHeight="1">
      <c r="F2887" s="154"/>
      <c r="I2887" s="673"/>
      <c r="J2887" s="209"/>
      <c r="L2887" s="154"/>
      <c r="M2887" s="222"/>
      <c r="P2887" s="1597"/>
      <c r="R2887" s="1598"/>
      <c r="T2887" s="1768"/>
      <c r="V2887" s="1769"/>
      <c r="X2887" s="1768"/>
      <c r="Z2887" s="1769"/>
    </row>
    <row r="2888" spans="6:26" ht="18" customHeight="1">
      <c r="F2888" s="154"/>
      <c r="I2888" s="673"/>
      <c r="J2888" s="209"/>
      <c r="L2888" s="154"/>
      <c r="M2888" s="222"/>
      <c r="P2888" s="1597"/>
      <c r="R2888" s="1598"/>
      <c r="T2888" s="1768"/>
      <c r="V2888" s="1769"/>
      <c r="X2888" s="1768"/>
      <c r="Z2888" s="1769"/>
    </row>
    <row r="2889" spans="6:26" ht="18" customHeight="1">
      <c r="F2889" s="154"/>
      <c r="I2889" s="673"/>
      <c r="J2889" s="209"/>
      <c r="L2889" s="154"/>
      <c r="M2889" s="222"/>
      <c r="P2889" s="1597"/>
      <c r="R2889" s="1598"/>
      <c r="T2889" s="1768"/>
      <c r="V2889" s="1769"/>
      <c r="X2889" s="1768"/>
      <c r="Z2889" s="1769"/>
    </row>
    <row r="2890" spans="6:26" ht="18" customHeight="1">
      <c r="F2890" s="154"/>
      <c r="I2890" s="673"/>
      <c r="J2890" s="209"/>
      <c r="L2890" s="154"/>
      <c r="M2890" s="222"/>
      <c r="P2890" s="1597"/>
      <c r="R2890" s="1598"/>
      <c r="T2890" s="1768"/>
      <c r="V2890" s="1769"/>
      <c r="X2890" s="1768"/>
      <c r="Z2890" s="1769"/>
    </row>
    <row r="2891" spans="6:26" ht="18" customHeight="1">
      <c r="F2891" s="154"/>
      <c r="I2891" s="673"/>
      <c r="J2891" s="209"/>
      <c r="L2891" s="154"/>
      <c r="M2891" s="222"/>
      <c r="P2891" s="1597"/>
      <c r="R2891" s="1598"/>
      <c r="T2891" s="1768"/>
      <c r="V2891" s="1769"/>
      <c r="X2891" s="1768"/>
      <c r="Z2891" s="1769"/>
    </row>
    <row r="2892" spans="6:26" ht="18" customHeight="1">
      <c r="F2892" s="154"/>
      <c r="I2892" s="673"/>
      <c r="J2892" s="209"/>
      <c r="L2892" s="154"/>
      <c r="M2892" s="222"/>
      <c r="P2892" s="1597"/>
      <c r="R2892" s="1598"/>
      <c r="T2892" s="1768"/>
      <c r="V2892" s="1769"/>
      <c r="X2892" s="1768"/>
      <c r="Z2892" s="1769"/>
    </row>
    <row r="2893" spans="6:26" ht="18" customHeight="1">
      <c r="F2893" s="154"/>
      <c r="I2893" s="673"/>
      <c r="J2893" s="209"/>
      <c r="L2893" s="154"/>
      <c r="M2893" s="222"/>
      <c r="P2893" s="1597"/>
      <c r="R2893" s="1598"/>
      <c r="T2893" s="1768"/>
      <c r="V2893" s="1769"/>
      <c r="X2893" s="1768"/>
      <c r="Z2893" s="1769"/>
    </row>
    <row r="2894" spans="6:26" ht="18" customHeight="1">
      <c r="F2894" s="154"/>
      <c r="I2894" s="673"/>
      <c r="J2894" s="209"/>
      <c r="L2894" s="154"/>
      <c r="M2894" s="222"/>
      <c r="P2894" s="1597"/>
      <c r="R2894" s="1598"/>
      <c r="T2894" s="1768"/>
      <c r="V2894" s="1769"/>
      <c r="X2894" s="1768"/>
      <c r="Z2894" s="1769"/>
    </row>
    <row r="2895" spans="6:26" ht="18" customHeight="1">
      <c r="F2895" s="154"/>
      <c r="I2895" s="673"/>
      <c r="J2895" s="209"/>
      <c r="L2895" s="154"/>
      <c r="M2895" s="222"/>
      <c r="P2895" s="1597"/>
      <c r="R2895" s="1598"/>
      <c r="T2895" s="1768"/>
      <c r="V2895" s="1769"/>
      <c r="X2895" s="1768"/>
      <c r="Z2895" s="1769"/>
    </row>
    <row r="2896" spans="6:26" ht="18" customHeight="1">
      <c r="F2896" s="154"/>
      <c r="I2896" s="673"/>
      <c r="J2896" s="209"/>
      <c r="L2896" s="154"/>
      <c r="M2896" s="222"/>
      <c r="P2896" s="1597"/>
      <c r="R2896" s="1598"/>
      <c r="T2896" s="1768"/>
      <c r="V2896" s="1769"/>
      <c r="X2896" s="1768"/>
      <c r="Z2896" s="1769"/>
    </row>
    <row r="2897" spans="6:26" ht="18" customHeight="1">
      <c r="F2897" s="154"/>
      <c r="I2897" s="673"/>
      <c r="J2897" s="209"/>
      <c r="L2897" s="154"/>
      <c r="M2897" s="222"/>
      <c r="P2897" s="1597"/>
      <c r="R2897" s="1598"/>
      <c r="T2897" s="1768"/>
      <c r="V2897" s="1769"/>
      <c r="X2897" s="1768"/>
      <c r="Z2897" s="1769"/>
    </row>
    <row r="2898" spans="6:26" ht="18" customHeight="1">
      <c r="F2898" s="154"/>
      <c r="I2898" s="673"/>
      <c r="J2898" s="209"/>
      <c r="L2898" s="154"/>
      <c r="M2898" s="222"/>
      <c r="P2898" s="1597"/>
      <c r="R2898" s="1598"/>
      <c r="T2898" s="1768"/>
      <c r="V2898" s="1769"/>
      <c r="X2898" s="1768"/>
      <c r="Z2898" s="1769"/>
    </row>
    <row r="2899" spans="6:26" ht="18" customHeight="1">
      <c r="F2899" s="154"/>
      <c r="I2899" s="673"/>
      <c r="J2899" s="209"/>
      <c r="L2899" s="154"/>
      <c r="M2899" s="222"/>
      <c r="P2899" s="1597"/>
      <c r="R2899" s="1598"/>
      <c r="T2899" s="1768"/>
      <c r="V2899" s="1769"/>
      <c r="X2899" s="1768"/>
      <c r="Z2899" s="1769"/>
    </row>
    <row r="2900" spans="6:26" ht="18" customHeight="1">
      <c r="F2900" s="154"/>
      <c r="I2900" s="673"/>
      <c r="J2900" s="209"/>
      <c r="L2900" s="154"/>
      <c r="M2900" s="222"/>
      <c r="P2900" s="1597"/>
      <c r="R2900" s="1598"/>
      <c r="T2900" s="1768"/>
      <c r="V2900" s="1769"/>
      <c r="X2900" s="1768"/>
      <c r="Z2900" s="1769"/>
    </row>
    <row r="2901" spans="6:26" ht="18" customHeight="1">
      <c r="F2901" s="154"/>
      <c r="I2901" s="673"/>
      <c r="J2901" s="209"/>
      <c r="L2901" s="154"/>
      <c r="M2901" s="222"/>
      <c r="P2901" s="1597"/>
      <c r="R2901" s="1598"/>
      <c r="T2901" s="1768"/>
      <c r="V2901" s="1769"/>
      <c r="X2901" s="1768"/>
      <c r="Z2901" s="1769"/>
    </row>
    <row r="2902" spans="6:26" ht="18" customHeight="1">
      <c r="F2902" s="154"/>
      <c r="I2902" s="673"/>
      <c r="J2902" s="209"/>
      <c r="L2902" s="154"/>
      <c r="M2902" s="222"/>
      <c r="P2902" s="1597"/>
      <c r="R2902" s="1598"/>
      <c r="T2902" s="1768"/>
      <c r="V2902" s="1769"/>
      <c r="X2902" s="1768"/>
      <c r="Z2902" s="1769"/>
    </row>
    <row r="2903" spans="6:26" ht="18" customHeight="1">
      <c r="F2903" s="154"/>
      <c r="I2903" s="673"/>
      <c r="J2903" s="209"/>
      <c r="L2903" s="154"/>
      <c r="M2903" s="222"/>
      <c r="P2903" s="1597"/>
      <c r="R2903" s="1598"/>
      <c r="T2903" s="1768"/>
      <c r="V2903" s="1769"/>
      <c r="X2903" s="1768"/>
      <c r="Z2903" s="1769"/>
    </row>
    <row r="2904" spans="6:26" ht="18" customHeight="1">
      <c r="F2904" s="154"/>
      <c r="I2904" s="673"/>
      <c r="J2904" s="209"/>
      <c r="L2904" s="154"/>
      <c r="M2904" s="222"/>
      <c r="P2904" s="1597"/>
      <c r="R2904" s="1598"/>
      <c r="T2904" s="1768"/>
      <c r="V2904" s="1769"/>
      <c r="X2904" s="1768"/>
      <c r="Z2904" s="1769"/>
    </row>
    <row r="2905" spans="6:26" ht="18" customHeight="1">
      <c r="F2905" s="154"/>
      <c r="I2905" s="673"/>
      <c r="J2905" s="209"/>
      <c r="L2905" s="154"/>
      <c r="M2905" s="222"/>
      <c r="P2905" s="1597"/>
      <c r="R2905" s="1598"/>
      <c r="T2905" s="1768"/>
      <c r="V2905" s="1769"/>
      <c r="X2905" s="1768"/>
      <c r="Z2905" s="1769"/>
    </row>
    <row r="2906" spans="6:26" ht="18" customHeight="1">
      <c r="F2906" s="154"/>
      <c r="I2906" s="673"/>
      <c r="J2906" s="209"/>
      <c r="L2906" s="154"/>
      <c r="M2906" s="222"/>
      <c r="P2906" s="1597"/>
      <c r="R2906" s="1598"/>
      <c r="T2906" s="1768"/>
      <c r="V2906" s="1769"/>
      <c r="X2906" s="1768"/>
      <c r="Z2906" s="1769"/>
    </row>
    <row r="2907" spans="6:26" ht="18" customHeight="1">
      <c r="F2907" s="154"/>
      <c r="I2907" s="673"/>
      <c r="J2907" s="209"/>
      <c r="L2907" s="154"/>
      <c r="M2907" s="222"/>
      <c r="P2907" s="1597"/>
      <c r="R2907" s="1598"/>
      <c r="T2907" s="1768"/>
      <c r="V2907" s="1769"/>
      <c r="X2907" s="1768"/>
      <c r="Z2907" s="1769"/>
    </row>
    <row r="2908" spans="6:26" ht="18" customHeight="1">
      <c r="F2908" s="154"/>
      <c r="I2908" s="673"/>
      <c r="J2908" s="209"/>
      <c r="L2908" s="154"/>
      <c r="M2908" s="222"/>
      <c r="P2908" s="1597"/>
      <c r="R2908" s="1598"/>
      <c r="T2908" s="1768"/>
      <c r="V2908" s="1769"/>
      <c r="X2908" s="1768"/>
      <c r="Z2908" s="1769"/>
    </row>
    <row r="2909" spans="6:26" ht="18" customHeight="1">
      <c r="F2909" s="154"/>
      <c r="I2909" s="673"/>
      <c r="J2909" s="209"/>
      <c r="L2909" s="154"/>
      <c r="M2909" s="222"/>
      <c r="P2909" s="1597"/>
      <c r="R2909" s="1598"/>
      <c r="T2909" s="1768"/>
      <c r="V2909" s="1769"/>
      <c r="X2909" s="1768"/>
      <c r="Z2909" s="1769"/>
    </row>
    <row r="2910" spans="6:26" ht="18" customHeight="1">
      <c r="F2910" s="154"/>
      <c r="I2910" s="673"/>
      <c r="J2910" s="209"/>
      <c r="L2910" s="154"/>
      <c r="M2910" s="222"/>
      <c r="P2910" s="1597"/>
      <c r="R2910" s="1598"/>
      <c r="T2910" s="1768"/>
      <c r="V2910" s="1769"/>
      <c r="X2910" s="1768"/>
      <c r="Z2910" s="1769"/>
    </row>
    <row r="2911" spans="6:26" ht="18" customHeight="1">
      <c r="F2911" s="154"/>
      <c r="I2911" s="673"/>
      <c r="J2911" s="209"/>
      <c r="L2911" s="154"/>
      <c r="M2911" s="222"/>
      <c r="P2911" s="1597"/>
      <c r="R2911" s="1598"/>
      <c r="T2911" s="1768"/>
      <c r="V2911" s="1769"/>
      <c r="X2911" s="1768"/>
      <c r="Z2911" s="1769"/>
    </row>
    <row r="2912" spans="6:26" ht="18" customHeight="1">
      <c r="F2912" s="154"/>
      <c r="I2912" s="673"/>
      <c r="J2912" s="209"/>
      <c r="L2912" s="154"/>
      <c r="M2912" s="222"/>
      <c r="P2912" s="1597"/>
      <c r="R2912" s="1598"/>
      <c r="T2912" s="1768"/>
      <c r="V2912" s="1769"/>
      <c r="X2912" s="1768"/>
      <c r="Z2912" s="1769"/>
    </row>
    <row r="2913" spans="6:26" ht="18" customHeight="1">
      <c r="F2913" s="154"/>
      <c r="I2913" s="673"/>
      <c r="J2913" s="209"/>
      <c r="L2913" s="154"/>
      <c r="M2913" s="222"/>
      <c r="P2913" s="1597"/>
      <c r="R2913" s="1598"/>
      <c r="T2913" s="1768"/>
      <c r="V2913" s="1769"/>
      <c r="X2913" s="1768"/>
      <c r="Z2913" s="1769"/>
    </row>
    <row r="2914" spans="6:26" ht="18" customHeight="1">
      <c r="F2914" s="154"/>
      <c r="I2914" s="673"/>
      <c r="J2914" s="209"/>
      <c r="L2914" s="154"/>
      <c r="M2914" s="222"/>
      <c r="P2914" s="1597"/>
      <c r="R2914" s="1598"/>
      <c r="T2914" s="1768"/>
      <c r="V2914" s="1769"/>
      <c r="X2914" s="1768"/>
      <c r="Z2914" s="1769"/>
    </row>
    <row r="2915" spans="6:26" ht="18" customHeight="1">
      <c r="F2915" s="154"/>
      <c r="I2915" s="673"/>
      <c r="J2915" s="209"/>
      <c r="L2915" s="154"/>
      <c r="M2915" s="222"/>
      <c r="P2915" s="1597"/>
      <c r="R2915" s="1598"/>
      <c r="T2915" s="1768"/>
      <c r="V2915" s="1769"/>
      <c r="X2915" s="1768"/>
      <c r="Z2915" s="1769"/>
    </row>
    <row r="2916" spans="6:26" ht="18" customHeight="1">
      <c r="F2916" s="154"/>
      <c r="I2916" s="673"/>
      <c r="J2916" s="209"/>
      <c r="L2916" s="154"/>
      <c r="M2916" s="222"/>
      <c r="P2916" s="1597"/>
      <c r="R2916" s="1598"/>
      <c r="T2916" s="1768"/>
      <c r="V2916" s="1769"/>
      <c r="X2916" s="1768"/>
      <c r="Z2916" s="1769"/>
    </row>
    <row r="2917" spans="6:26" ht="18" customHeight="1">
      <c r="F2917" s="154"/>
      <c r="I2917" s="673"/>
      <c r="J2917" s="209"/>
      <c r="L2917" s="154"/>
      <c r="M2917" s="222"/>
      <c r="P2917" s="1597"/>
      <c r="R2917" s="1598"/>
      <c r="T2917" s="1768"/>
      <c r="V2917" s="1769"/>
      <c r="X2917" s="1768"/>
      <c r="Z2917" s="1769"/>
    </row>
    <row r="2918" spans="6:26" ht="18" customHeight="1">
      <c r="F2918" s="154"/>
      <c r="I2918" s="673"/>
      <c r="J2918" s="209"/>
      <c r="L2918" s="154"/>
      <c r="M2918" s="222"/>
      <c r="P2918" s="1597"/>
      <c r="R2918" s="1598"/>
      <c r="T2918" s="1768"/>
      <c r="V2918" s="1769"/>
      <c r="X2918" s="1768"/>
      <c r="Z2918" s="1769"/>
    </row>
    <row r="2919" spans="6:26" ht="18" customHeight="1">
      <c r="F2919" s="154"/>
      <c r="I2919" s="673"/>
      <c r="J2919" s="209"/>
      <c r="L2919" s="154"/>
      <c r="M2919" s="222"/>
      <c r="P2919" s="1597"/>
      <c r="R2919" s="1598"/>
      <c r="T2919" s="1768"/>
      <c r="V2919" s="1769"/>
      <c r="X2919" s="1768"/>
      <c r="Z2919" s="1769"/>
    </row>
    <row r="2920" spans="6:26" ht="18" customHeight="1">
      <c r="F2920" s="154"/>
      <c r="I2920" s="673"/>
      <c r="J2920" s="209"/>
      <c r="L2920" s="154"/>
      <c r="M2920" s="222"/>
      <c r="P2920" s="1597"/>
      <c r="R2920" s="1598"/>
      <c r="T2920" s="1768"/>
      <c r="V2920" s="1769"/>
      <c r="X2920" s="1768"/>
      <c r="Z2920" s="1769"/>
    </row>
    <row r="2921" spans="6:26" ht="18" customHeight="1">
      <c r="F2921" s="154"/>
      <c r="I2921" s="673"/>
      <c r="J2921" s="209"/>
      <c r="L2921" s="154"/>
      <c r="M2921" s="222"/>
      <c r="P2921" s="1597"/>
      <c r="R2921" s="1598"/>
      <c r="T2921" s="1768"/>
      <c r="V2921" s="1769"/>
      <c r="X2921" s="1768"/>
      <c r="Z2921" s="1769"/>
    </row>
    <row r="2922" spans="6:26" ht="18" customHeight="1">
      <c r="F2922" s="154"/>
      <c r="I2922" s="673"/>
      <c r="J2922" s="209"/>
      <c r="L2922" s="154"/>
      <c r="M2922" s="222"/>
      <c r="P2922" s="1597"/>
      <c r="R2922" s="1598"/>
      <c r="T2922" s="1768"/>
      <c r="V2922" s="1769"/>
      <c r="X2922" s="1768"/>
      <c r="Z2922" s="1769"/>
    </row>
    <row r="2923" spans="6:26" ht="18" customHeight="1">
      <c r="F2923" s="154"/>
      <c r="I2923" s="673"/>
      <c r="J2923" s="209"/>
      <c r="L2923" s="154"/>
      <c r="M2923" s="222"/>
      <c r="P2923" s="1597"/>
      <c r="R2923" s="1598"/>
      <c r="T2923" s="1768"/>
      <c r="V2923" s="1769"/>
      <c r="X2923" s="1768"/>
      <c r="Z2923" s="1769"/>
    </row>
    <row r="2924" spans="6:26" ht="18" customHeight="1">
      <c r="F2924" s="154"/>
      <c r="I2924" s="673"/>
      <c r="J2924" s="209"/>
      <c r="L2924" s="154"/>
      <c r="M2924" s="222"/>
      <c r="P2924" s="1597"/>
      <c r="R2924" s="1598"/>
      <c r="T2924" s="1768"/>
      <c r="V2924" s="1769"/>
      <c r="X2924" s="1768"/>
      <c r="Z2924" s="1769"/>
    </row>
    <row r="2925" spans="6:26" ht="18" customHeight="1">
      <c r="F2925" s="154"/>
      <c r="I2925" s="673"/>
      <c r="J2925" s="209"/>
      <c r="L2925" s="154"/>
      <c r="M2925" s="222"/>
      <c r="P2925" s="1597"/>
      <c r="R2925" s="1598"/>
      <c r="T2925" s="1768"/>
      <c r="V2925" s="1769"/>
      <c r="X2925" s="1768"/>
      <c r="Z2925" s="1769"/>
    </row>
    <row r="2926" spans="6:26" ht="18" customHeight="1">
      <c r="F2926" s="154"/>
      <c r="I2926" s="673"/>
      <c r="J2926" s="209"/>
      <c r="L2926" s="154"/>
      <c r="M2926" s="222"/>
      <c r="P2926" s="1597"/>
      <c r="R2926" s="1598"/>
      <c r="T2926" s="1768"/>
      <c r="V2926" s="1769"/>
      <c r="X2926" s="1768"/>
      <c r="Z2926" s="1769"/>
    </row>
    <row r="2927" spans="6:26" ht="18" customHeight="1">
      <c r="F2927" s="154"/>
      <c r="I2927" s="673"/>
      <c r="J2927" s="209"/>
      <c r="L2927" s="154"/>
      <c r="M2927" s="222"/>
      <c r="P2927" s="1597"/>
      <c r="R2927" s="1598"/>
      <c r="T2927" s="1768"/>
      <c r="V2927" s="1769"/>
      <c r="X2927" s="1768"/>
      <c r="Z2927" s="1769"/>
    </row>
    <row r="2928" spans="6:26" ht="18" customHeight="1">
      <c r="F2928" s="154"/>
      <c r="I2928" s="673"/>
      <c r="J2928" s="209"/>
      <c r="L2928" s="154"/>
      <c r="M2928" s="222"/>
      <c r="P2928" s="1597"/>
      <c r="R2928" s="1598"/>
      <c r="T2928" s="1768"/>
      <c r="V2928" s="1769"/>
      <c r="X2928" s="1768"/>
      <c r="Z2928" s="1769"/>
    </row>
    <row r="2929" spans="6:26" ht="18" customHeight="1">
      <c r="F2929" s="154"/>
      <c r="I2929" s="673"/>
      <c r="J2929" s="209"/>
      <c r="L2929" s="154"/>
      <c r="M2929" s="222"/>
      <c r="P2929" s="1597"/>
      <c r="R2929" s="1598"/>
      <c r="T2929" s="1768"/>
      <c r="V2929" s="1769"/>
      <c r="X2929" s="1768"/>
      <c r="Z2929" s="1769"/>
    </row>
    <row r="2930" spans="6:26" ht="18" customHeight="1">
      <c r="F2930" s="154"/>
      <c r="I2930" s="673"/>
      <c r="J2930" s="209"/>
      <c r="L2930" s="154"/>
      <c r="M2930" s="222"/>
      <c r="P2930" s="1597"/>
      <c r="R2930" s="1598"/>
      <c r="T2930" s="1768"/>
      <c r="V2930" s="1769"/>
      <c r="X2930" s="1768"/>
      <c r="Z2930" s="1769"/>
    </row>
    <row r="2931" spans="6:26" ht="18" customHeight="1">
      <c r="F2931" s="154"/>
      <c r="I2931" s="673"/>
      <c r="J2931" s="209"/>
      <c r="L2931" s="154"/>
      <c r="M2931" s="222"/>
      <c r="P2931" s="1597"/>
      <c r="R2931" s="1598"/>
      <c r="T2931" s="1768"/>
      <c r="V2931" s="1769"/>
      <c r="X2931" s="1768"/>
      <c r="Z2931" s="1769"/>
    </row>
    <row r="2932" spans="6:26" ht="18" customHeight="1">
      <c r="F2932" s="154"/>
      <c r="I2932" s="673"/>
      <c r="J2932" s="209"/>
      <c r="L2932" s="154"/>
      <c r="M2932" s="222"/>
      <c r="P2932" s="1597"/>
      <c r="R2932" s="1598"/>
      <c r="T2932" s="1768"/>
      <c r="V2932" s="1769"/>
      <c r="X2932" s="1768"/>
      <c r="Z2932" s="1769"/>
    </row>
    <row r="2933" spans="6:26" ht="18" customHeight="1">
      <c r="F2933" s="154"/>
      <c r="I2933" s="673"/>
      <c r="J2933" s="209"/>
      <c r="L2933" s="154"/>
      <c r="M2933" s="222"/>
      <c r="P2933" s="1597"/>
      <c r="R2933" s="1598"/>
      <c r="T2933" s="1768"/>
      <c r="V2933" s="1769"/>
      <c r="X2933" s="1768"/>
      <c r="Z2933" s="1769"/>
    </row>
    <row r="2934" spans="6:26" ht="18" customHeight="1">
      <c r="F2934" s="154"/>
      <c r="I2934" s="673"/>
      <c r="J2934" s="209"/>
      <c r="L2934" s="154"/>
      <c r="M2934" s="222"/>
      <c r="P2934" s="1597"/>
      <c r="R2934" s="1598"/>
      <c r="T2934" s="1768"/>
      <c r="V2934" s="1769"/>
      <c r="X2934" s="1768"/>
      <c r="Z2934" s="1769"/>
    </row>
    <row r="2935" spans="6:26" ht="18" customHeight="1">
      <c r="F2935" s="154"/>
      <c r="I2935" s="673"/>
      <c r="J2935" s="209"/>
      <c r="L2935" s="154"/>
      <c r="M2935" s="222"/>
      <c r="P2935" s="1597"/>
      <c r="R2935" s="1598"/>
      <c r="T2935" s="1768"/>
      <c r="V2935" s="1769"/>
      <c r="X2935" s="1768"/>
      <c r="Z2935" s="1769"/>
    </row>
    <row r="2936" spans="6:26" ht="18" customHeight="1">
      <c r="F2936" s="154"/>
      <c r="I2936" s="673"/>
      <c r="J2936" s="209"/>
      <c r="L2936" s="154"/>
      <c r="M2936" s="222"/>
      <c r="P2936" s="1597"/>
      <c r="R2936" s="1598"/>
      <c r="T2936" s="1768"/>
      <c r="V2936" s="1769"/>
      <c r="X2936" s="1768"/>
      <c r="Z2936" s="1769"/>
    </row>
    <row r="2937" spans="6:26" ht="18" customHeight="1">
      <c r="F2937" s="154"/>
      <c r="I2937" s="673"/>
      <c r="J2937" s="209"/>
      <c r="L2937" s="154"/>
      <c r="M2937" s="222"/>
      <c r="P2937" s="1597"/>
      <c r="R2937" s="1598"/>
      <c r="T2937" s="1768"/>
      <c r="V2937" s="1769"/>
      <c r="X2937" s="1768"/>
      <c r="Z2937" s="1769"/>
    </row>
    <row r="2938" spans="6:26" ht="18" customHeight="1">
      <c r="F2938" s="154"/>
      <c r="I2938" s="673"/>
      <c r="J2938" s="209"/>
      <c r="L2938" s="154"/>
      <c r="M2938" s="222"/>
      <c r="P2938" s="1597"/>
      <c r="R2938" s="1598"/>
      <c r="T2938" s="1768"/>
      <c r="V2938" s="1769"/>
      <c r="X2938" s="1768"/>
      <c r="Z2938" s="1769"/>
    </row>
    <row r="2939" spans="6:26" ht="18" customHeight="1">
      <c r="F2939" s="154"/>
      <c r="I2939" s="673"/>
      <c r="J2939" s="209"/>
      <c r="L2939" s="154"/>
      <c r="M2939" s="222"/>
      <c r="P2939" s="1597"/>
      <c r="R2939" s="1598"/>
      <c r="T2939" s="1768"/>
      <c r="V2939" s="1769"/>
      <c r="X2939" s="1768"/>
      <c r="Z2939" s="1769"/>
    </row>
    <row r="2940" spans="6:26" ht="18" customHeight="1">
      <c r="F2940" s="154"/>
      <c r="I2940" s="673"/>
      <c r="J2940" s="209"/>
      <c r="L2940" s="154"/>
      <c r="M2940" s="222"/>
      <c r="P2940" s="1597"/>
      <c r="R2940" s="1598"/>
      <c r="T2940" s="1768"/>
      <c r="V2940" s="1769"/>
      <c r="X2940" s="1768"/>
      <c r="Z2940" s="1769"/>
    </row>
    <row r="2941" spans="6:26" ht="18" customHeight="1">
      <c r="F2941" s="154"/>
      <c r="I2941" s="673"/>
      <c r="J2941" s="209"/>
      <c r="L2941" s="154"/>
      <c r="M2941" s="222"/>
      <c r="P2941" s="1597"/>
      <c r="R2941" s="1598"/>
      <c r="T2941" s="1768"/>
      <c r="V2941" s="1769"/>
      <c r="X2941" s="1768"/>
      <c r="Z2941" s="1769"/>
    </row>
    <row r="2942" spans="6:26" ht="18" customHeight="1">
      <c r="F2942" s="154"/>
      <c r="I2942" s="673"/>
      <c r="J2942" s="209"/>
      <c r="L2942" s="154"/>
      <c r="M2942" s="222"/>
      <c r="P2942" s="1597"/>
      <c r="R2942" s="1598"/>
      <c r="T2942" s="1768"/>
      <c r="V2942" s="1769"/>
      <c r="X2942" s="1768"/>
      <c r="Z2942" s="1769"/>
    </row>
    <row r="2943" spans="6:26" ht="18" customHeight="1">
      <c r="F2943" s="154"/>
      <c r="I2943" s="673"/>
      <c r="J2943" s="209"/>
      <c r="L2943" s="154"/>
      <c r="M2943" s="222"/>
      <c r="P2943" s="1597"/>
      <c r="R2943" s="1598"/>
      <c r="T2943" s="1768"/>
      <c r="V2943" s="1769"/>
      <c r="X2943" s="1768"/>
      <c r="Z2943" s="1769"/>
    </row>
    <row r="2944" spans="6:26" ht="18" customHeight="1">
      <c r="F2944" s="154"/>
      <c r="I2944" s="673"/>
      <c r="J2944" s="209"/>
      <c r="L2944" s="154"/>
      <c r="M2944" s="222"/>
      <c r="P2944" s="1597"/>
      <c r="R2944" s="1598"/>
      <c r="T2944" s="1768"/>
      <c r="V2944" s="1769"/>
      <c r="X2944" s="1768"/>
      <c r="Z2944" s="1769"/>
    </row>
    <row r="2945" spans="6:26" ht="18" customHeight="1">
      <c r="F2945" s="154"/>
      <c r="I2945" s="673"/>
      <c r="J2945" s="209"/>
      <c r="L2945" s="154"/>
      <c r="M2945" s="222"/>
      <c r="P2945" s="1597"/>
      <c r="R2945" s="1598"/>
      <c r="T2945" s="1768"/>
      <c r="V2945" s="1769"/>
      <c r="X2945" s="1768"/>
      <c r="Z2945" s="1769"/>
    </row>
    <row r="2946" spans="6:26" ht="18" customHeight="1">
      <c r="F2946" s="154"/>
      <c r="I2946" s="673"/>
      <c r="J2946" s="209"/>
      <c r="L2946" s="154"/>
      <c r="M2946" s="222"/>
      <c r="P2946" s="1597"/>
      <c r="R2946" s="1598"/>
      <c r="T2946" s="1768"/>
      <c r="V2946" s="1769"/>
      <c r="X2946" s="1768"/>
      <c r="Z2946" s="1769"/>
    </row>
    <row r="2947" spans="6:26" ht="18" customHeight="1">
      <c r="F2947" s="154"/>
      <c r="I2947" s="673"/>
      <c r="J2947" s="209"/>
      <c r="L2947" s="154"/>
      <c r="M2947" s="222"/>
      <c r="P2947" s="1597"/>
      <c r="R2947" s="1598"/>
      <c r="T2947" s="1768"/>
      <c r="V2947" s="1769"/>
      <c r="X2947" s="1768"/>
      <c r="Z2947" s="1769"/>
    </row>
    <row r="2948" spans="6:26" ht="18" customHeight="1">
      <c r="F2948" s="154"/>
      <c r="I2948" s="673"/>
      <c r="J2948" s="209"/>
      <c r="L2948" s="154"/>
      <c r="M2948" s="222"/>
      <c r="P2948" s="1597"/>
      <c r="R2948" s="1598"/>
      <c r="T2948" s="1768"/>
      <c r="V2948" s="1769"/>
      <c r="X2948" s="1768"/>
      <c r="Z2948" s="1769"/>
    </row>
    <row r="2949" spans="6:26" ht="18" customHeight="1">
      <c r="F2949" s="154"/>
      <c r="I2949" s="673"/>
      <c r="J2949" s="209"/>
      <c r="L2949" s="154"/>
      <c r="M2949" s="222"/>
      <c r="P2949" s="1597"/>
      <c r="R2949" s="1598"/>
      <c r="T2949" s="1768"/>
      <c r="V2949" s="1769"/>
      <c r="X2949" s="1768"/>
      <c r="Z2949" s="1769"/>
    </row>
    <row r="2950" spans="6:26" ht="18" customHeight="1">
      <c r="F2950" s="154"/>
      <c r="I2950" s="673"/>
      <c r="J2950" s="209"/>
      <c r="L2950" s="154"/>
      <c r="M2950" s="222"/>
      <c r="P2950" s="1597"/>
      <c r="R2950" s="1598"/>
      <c r="T2950" s="1768"/>
      <c r="V2950" s="1769"/>
      <c r="X2950" s="1768"/>
      <c r="Z2950" s="1769"/>
    </row>
    <row r="2951" spans="6:26" ht="18" customHeight="1">
      <c r="F2951" s="154"/>
      <c r="I2951" s="673"/>
      <c r="J2951" s="209"/>
      <c r="L2951" s="154"/>
      <c r="M2951" s="222"/>
      <c r="P2951" s="1597"/>
      <c r="R2951" s="1598"/>
      <c r="T2951" s="1768"/>
      <c r="V2951" s="1769"/>
      <c r="X2951" s="1768"/>
      <c r="Z2951" s="1769"/>
    </row>
    <row r="2952" spans="6:26" ht="18" customHeight="1">
      <c r="F2952" s="154"/>
      <c r="I2952" s="673"/>
      <c r="J2952" s="209"/>
      <c r="L2952" s="154"/>
      <c r="M2952" s="222"/>
      <c r="P2952" s="1597"/>
      <c r="R2952" s="1598"/>
      <c r="T2952" s="1768"/>
      <c r="V2952" s="1769"/>
      <c r="X2952" s="1768"/>
      <c r="Z2952" s="1769"/>
    </row>
    <row r="2953" spans="6:26" ht="18" customHeight="1">
      <c r="F2953" s="154"/>
      <c r="I2953" s="673"/>
      <c r="J2953" s="209"/>
      <c r="L2953" s="154"/>
      <c r="M2953" s="222"/>
      <c r="P2953" s="1597"/>
      <c r="R2953" s="1598"/>
      <c r="T2953" s="1768"/>
      <c r="V2953" s="1769"/>
      <c r="X2953" s="1768"/>
      <c r="Z2953" s="1769"/>
    </row>
    <row r="2954" spans="6:26" ht="18" customHeight="1">
      <c r="F2954" s="154"/>
      <c r="I2954" s="673"/>
      <c r="J2954" s="209"/>
      <c r="L2954" s="154"/>
      <c r="M2954" s="222"/>
      <c r="P2954" s="1597"/>
      <c r="R2954" s="1598"/>
      <c r="T2954" s="1768"/>
      <c r="V2954" s="1769"/>
      <c r="X2954" s="1768"/>
      <c r="Z2954" s="1769"/>
    </row>
    <row r="2955" spans="6:26" ht="18" customHeight="1">
      <c r="F2955" s="154"/>
      <c r="I2955" s="673"/>
      <c r="J2955" s="209"/>
      <c r="L2955" s="154"/>
      <c r="M2955" s="222"/>
      <c r="P2955" s="1597"/>
      <c r="R2955" s="1598"/>
      <c r="T2955" s="1768"/>
      <c r="V2955" s="1769"/>
      <c r="X2955" s="1768"/>
      <c r="Z2955" s="1769"/>
    </row>
    <row r="2956" spans="6:26" ht="18" customHeight="1">
      <c r="F2956" s="154"/>
      <c r="I2956" s="673"/>
      <c r="J2956" s="209"/>
      <c r="L2956" s="154"/>
      <c r="M2956" s="222"/>
      <c r="P2956" s="1597"/>
      <c r="R2956" s="1598"/>
      <c r="T2956" s="1768"/>
      <c r="V2956" s="1769"/>
      <c r="X2956" s="1768"/>
      <c r="Z2956" s="1769"/>
    </row>
    <row r="2957" spans="6:26" ht="18" customHeight="1">
      <c r="F2957" s="154"/>
      <c r="I2957" s="673"/>
      <c r="J2957" s="209"/>
      <c r="L2957" s="154"/>
      <c r="M2957" s="222"/>
      <c r="P2957" s="1597"/>
      <c r="R2957" s="1598"/>
      <c r="T2957" s="1768"/>
      <c r="V2957" s="1769"/>
      <c r="X2957" s="1768"/>
      <c r="Z2957" s="1769"/>
    </row>
    <row r="2958" spans="6:26" ht="18" customHeight="1">
      <c r="F2958" s="154"/>
      <c r="I2958" s="673"/>
      <c r="J2958" s="209"/>
      <c r="L2958" s="154"/>
      <c r="M2958" s="222"/>
      <c r="P2958" s="1597"/>
      <c r="R2958" s="1598"/>
      <c r="T2958" s="1768"/>
      <c r="V2958" s="1769"/>
      <c r="X2958" s="1768"/>
      <c r="Z2958" s="1769"/>
    </row>
    <row r="2959" spans="6:26" ht="18" customHeight="1">
      <c r="F2959" s="154"/>
      <c r="I2959" s="673"/>
      <c r="J2959" s="209"/>
      <c r="L2959" s="154"/>
      <c r="M2959" s="222"/>
      <c r="P2959" s="1597"/>
      <c r="R2959" s="1598"/>
      <c r="T2959" s="1768"/>
      <c r="V2959" s="1769"/>
      <c r="X2959" s="1768"/>
      <c r="Z2959" s="1769"/>
    </row>
    <row r="2960" spans="6:26" ht="18" customHeight="1">
      <c r="F2960" s="154"/>
      <c r="I2960" s="673"/>
      <c r="J2960" s="209"/>
      <c r="L2960" s="154"/>
      <c r="M2960" s="222"/>
      <c r="P2960" s="1597"/>
      <c r="R2960" s="1598"/>
      <c r="T2960" s="1768"/>
      <c r="V2960" s="1769"/>
      <c r="X2960" s="1768"/>
      <c r="Z2960" s="1769"/>
    </row>
    <row r="2961" spans="6:26" ht="18" customHeight="1">
      <c r="F2961" s="154"/>
      <c r="I2961" s="673"/>
      <c r="J2961" s="209"/>
      <c r="L2961" s="154"/>
      <c r="M2961" s="222"/>
      <c r="P2961" s="1597"/>
      <c r="R2961" s="1598"/>
      <c r="T2961" s="1768"/>
      <c r="V2961" s="1769"/>
      <c r="X2961" s="1768"/>
      <c r="Z2961" s="1769"/>
    </row>
    <row r="2962" spans="6:26" ht="18" customHeight="1">
      <c r="F2962" s="154"/>
      <c r="I2962" s="673"/>
      <c r="J2962" s="209"/>
      <c r="L2962" s="154"/>
      <c r="M2962" s="222"/>
      <c r="P2962" s="1597"/>
      <c r="R2962" s="1598"/>
      <c r="T2962" s="1768"/>
      <c r="V2962" s="1769"/>
      <c r="X2962" s="1768"/>
      <c r="Z2962" s="1769"/>
    </row>
    <row r="2963" spans="6:26" ht="18" customHeight="1">
      <c r="F2963" s="154"/>
      <c r="I2963" s="673"/>
      <c r="J2963" s="209"/>
      <c r="L2963" s="154"/>
      <c r="M2963" s="222"/>
      <c r="P2963" s="1597"/>
      <c r="R2963" s="1598"/>
      <c r="T2963" s="1768"/>
      <c r="V2963" s="1769"/>
      <c r="X2963" s="1768"/>
      <c r="Z2963" s="1769"/>
    </row>
    <row r="2964" spans="6:26" ht="18" customHeight="1">
      <c r="F2964" s="154"/>
      <c r="I2964" s="673"/>
      <c r="J2964" s="209"/>
      <c r="L2964" s="154"/>
      <c r="M2964" s="222"/>
      <c r="P2964" s="1597"/>
      <c r="R2964" s="1598"/>
      <c r="T2964" s="1768"/>
      <c r="V2964" s="1769"/>
      <c r="X2964" s="1768"/>
      <c r="Z2964" s="1769"/>
    </row>
    <row r="2965" spans="6:26" ht="18" customHeight="1">
      <c r="F2965" s="154"/>
      <c r="I2965" s="673"/>
      <c r="J2965" s="209"/>
      <c r="L2965" s="154"/>
      <c r="M2965" s="222"/>
      <c r="P2965" s="1597"/>
      <c r="R2965" s="1598"/>
      <c r="T2965" s="1768"/>
      <c r="V2965" s="1769"/>
      <c r="X2965" s="1768"/>
      <c r="Z2965" s="1769"/>
    </row>
    <row r="2966" spans="6:26" ht="18" customHeight="1">
      <c r="F2966" s="154"/>
      <c r="I2966" s="673"/>
      <c r="J2966" s="209"/>
      <c r="L2966" s="154"/>
      <c r="M2966" s="222"/>
      <c r="P2966" s="1597"/>
      <c r="R2966" s="1598"/>
      <c r="T2966" s="1768"/>
      <c r="V2966" s="1769"/>
      <c r="X2966" s="1768"/>
      <c r="Z2966" s="1769"/>
    </row>
    <row r="2967" spans="6:26" ht="18" customHeight="1">
      <c r="F2967" s="154"/>
      <c r="I2967" s="673"/>
      <c r="J2967" s="209"/>
      <c r="L2967" s="154"/>
      <c r="M2967" s="222"/>
      <c r="P2967" s="1597"/>
      <c r="R2967" s="1598"/>
      <c r="T2967" s="1768"/>
      <c r="V2967" s="1769"/>
      <c r="X2967" s="1768"/>
      <c r="Z2967" s="1769"/>
    </row>
    <row r="2968" spans="6:26" ht="18" customHeight="1">
      <c r="F2968" s="154"/>
      <c r="I2968" s="673"/>
      <c r="J2968" s="209"/>
      <c r="L2968" s="154"/>
      <c r="M2968" s="222"/>
      <c r="P2968" s="1597"/>
      <c r="R2968" s="1598"/>
      <c r="T2968" s="1768"/>
      <c r="V2968" s="1769"/>
      <c r="X2968" s="1768"/>
      <c r="Z2968" s="1769"/>
    </row>
    <row r="2969" spans="6:26" ht="18" customHeight="1">
      <c r="F2969" s="154"/>
      <c r="I2969" s="673"/>
      <c r="J2969" s="209"/>
      <c r="L2969" s="154"/>
      <c r="M2969" s="222"/>
      <c r="P2969" s="1597"/>
      <c r="R2969" s="1598"/>
      <c r="T2969" s="1768"/>
      <c r="V2969" s="1769"/>
      <c r="X2969" s="1768"/>
      <c r="Z2969" s="1769"/>
    </row>
    <row r="2970" spans="6:26" ht="18" customHeight="1">
      <c r="F2970" s="154"/>
      <c r="I2970" s="673"/>
      <c r="J2970" s="209"/>
      <c r="L2970" s="154"/>
      <c r="M2970" s="222"/>
      <c r="P2970" s="1597"/>
      <c r="R2970" s="1598"/>
      <c r="T2970" s="1768"/>
      <c r="V2970" s="1769"/>
      <c r="X2970" s="1768"/>
      <c r="Z2970" s="1769"/>
    </row>
    <row r="2971" spans="6:26" ht="18" customHeight="1">
      <c r="F2971" s="154"/>
      <c r="I2971" s="673"/>
      <c r="J2971" s="209"/>
      <c r="L2971" s="154"/>
      <c r="M2971" s="222"/>
      <c r="P2971" s="1597"/>
      <c r="R2971" s="1598"/>
      <c r="T2971" s="1768"/>
      <c r="V2971" s="1769"/>
      <c r="X2971" s="1768"/>
      <c r="Z2971" s="1769"/>
    </row>
    <row r="2972" spans="6:26" ht="18" customHeight="1">
      <c r="F2972" s="154"/>
      <c r="I2972" s="673"/>
      <c r="J2972" s="209"/>
      <c r="L2972" s="154"/>
      <c r="M2972" s="222"/>
      <c r="P2972" s="1597"/>
      <c r="R2972" s="1598"/>
      <c r="T2972" s="1768"/>
      <c r="V2972" s="1769"/>
      <c r="X2972" s="1768"/>
      <c r="Z2972" s="1769"/>
    </row>
    <row r="2973" spans="6:26" ht="18" customHeight="1">
      <c r="F2973" s="154"/>
      <c r="I2973" s="673"/>
      <c r="J2973" s="209"/>
      <c r="L2973" s="154"/>
      <c r="M2973" s="222"/>
      <c r="P2973" s="1597"/>
      <c r="R2973" s="1598"/>
      <c r="T2973" s="1768"/>
      <c r="V2973" s="1769"/>
      <c r="X2973" s="1768"/>
      <c r="Z2973" s="1769"/>
    </row>
    <row r="2974" spans="6:26" ht="18" customHeight="1">
      <c r="F2974" s="154"/>
      <c r="I2974" s="673"/>
      <c r="J2974" s="209"/>
      <c r="L2974" s="154"/>
      <c r="M2974" s="222"/>
      <c r="P2974" s="1597"/>
      <c r="R2974" s="1598"/>
      <c r="T2974" s="1768"/>
      <c r="V2974" s="1769"/>
      <c r="X2974" s="1768"/>
      <c r="Z2974" s="1769"/>
    </row>
    <row r="2975" spans="6:26" ht="18" customHeight="1">
      <c r="F2975" s="154"/>
      <c r="I2975" s="673"/>
      <c r="J2975" s="209"/>
      <c r="L2975" s="154"/>
      <c r="M2975" s="222"/>
      <c r="P2975" s="1597"/>
      <c r="R2975" s="1598"/>
      <c r="T2975" s="1768"/>
      <c r="V2975" s="1769"/>
      <c r="X2975" s="1768"/>
      <c r="Z2975" s="1769"/>
    </row>
    <row r="2976" spans="6:26" ht="18" customHeight="1">
      <c r="F2976" s="154"/>
      <c r="I2976" s="673"/>
      <c r="J2976" s="209"/>
      <c r="L2976" s="154"/>
      <c r="M2976" s="222"/>
      <c r="P2976" s="1597"/>
      <c r="R2976" s="1598"/>
      <c r="T2976" s="1768"/>
      <c r="V2976" s="1769"/>
      <c r="X2976" s="1768"/>
      <c r="Z2976" s="1769"/>
    </row>
    <row r="2977" spans="6:26" ht="18" customHeight="1">
      <c r="F2977" s="154"/>
      <c r="I2977" s="673"/>
      <c r="J2977" s="209"/>
      <c r="L2977" s="154"/>
      <c r="M2977" s="222"/>
      <c r="P2977" s="1597"/>
      <c r="R2977" s="1598"/>
      <c r="T2977" s="1768"/>
      <c r="V2977" s="1769"/>
      <c r="X2977" s="1768"/>
      <c r="Z2977" s="1769"/>
    </row>
    <row r="2978" spans="6:26" ht="18" customHeight="1">
      <c r="F2978" s="154"/>
      <c r="I2978" s="673"/>
      <c r="J2978" s="209"/>
      <c r="L2978" s="154"/>
      <c r="M2978" s="222"/>
      <c r="P2978" s="1597"/>
      <c r="R2978" s="1598"/>
      <c r="T2978" s="1768"/>
      <c r="V2978" s="1769"/>
      <c r="X2978" s="1768"/>
      <c r="Z2978" s="1769"/>
    </row>
    <row r="2979" spans="6:26" ht="18" customHeight="1">
      <c r="F2979" s="154"/>
      <c r="I2979" s="673"/>
      <c r="J2979" s="209"/>
      <c r="L2979" s="154"/>
      <c r="M2979" s="222"/>
      <c r="P2979" s="1597"/>
      <c r="R2979" s="1598"/>
      <c r="T2979" s="1768"/>
      <c r="V2979" s="1769"/>
      <c r="X2979" s="1768"/>
      <c r="Z2979" s="1769"/>
    </row>
    <row r="2980" spans="6:26" ht="18" customHeight="1">
      <c r="F2980" s="154"/>
      <c r="I2980" s="673"/>
      <c r="J2980" s="209"/>
      <c r="L2980" s="154"/>
      <c r="M2980" s="222"/>
      <c r="P2980" s="1597"/>
      <c r="R2980" s="1598"/>
      <c r="T2980" s="1768"/>
      <c r="V2980" s="1769"/>
      <c r="X2980" s="1768"/>
      <c r="Z2980" s="1769"/>
    </row>
    <row r="2981" spans="6:26" ht="18" customHeight="1">
      <c r="F2981" s="154"/>
      <c r="I2981" s="673"/>
      <c r="J2981" s="209"/>
      <c r="L2981" s="154"/>
      <c r="M2981" s="222"/>
      <c r="P2981" s="1597"/>
      <c r="R2981" s="1598"/>
      <c r="T2981" s="1768"/>
      <c r="V2981" s="1769"/>
      <c r="X2981" s="1768"/>
      <c r="Z2981" s="1769"/>
    </row>
    <row r="2982" spans="6:26" ht="18" customHeight="1">
      <c r="F2982" s="154"/>
      <c r="I2982" s="673"/>
      <c r="J2982" s="209"/>
      <c r="L2982" s="154"/>
      <c r="M2982" s="222"/>
      <c r="P2982" s="1597"/>
      <c r="R2982" s="1598"/>
      <c r="T2982" s="1768"/>
      <c r="V2982" s="1769"/>
      <c r="X2982" s="1768"/>
      <c r="Z2982" s="1769"/>
    </row>
    <row r="2983" spans="6:26" ht="18" customHeight="1">
      <c r="F2983" s="154"/>
      <c r="I2983" s="673"/>
      <c r="J2983" s="209"/>
      <c r="L2983" s="154"/>
      <c r="M2983" s="222"/>
      <c r="P2983" s="1597"/>
      <c r="R2983" s="1598"/>
      <c r="T2983" s="1768"/>
      <c r="V2983" s="1769"/>
      <c r="X2983" s="1768"/>
      <c r="Z2983" s="1769"/>
    </row>
    <row r="2984" spans="6:26" ht="18" customHeight="1">
      <c r="F2984" s="154"/>
      <c r="I2984" s="673"/>
      <c r="J2984" s="209"/>
      <c r="L2984" s="154"/>
      <c r="M2984" s="222"/>
      <c r="P2984" s="1597"/>
      <c r="R2984" s="1598"/>
      <c r="T2984" s="1768"/>
      <c r="V2984" s="1769"/>
      <c r="X2984" s="1768"/>
      <c r="Z2984" s="1769"/>
    </row>
    <row r="2985" spans="6:26" ht="18" customHeight="1">
      <c r="F2985" s="154"/>
      <c r="I2985" s="673"/>
      <c r="J2985" s="209"/>
      <c r="L2985" s="154"/>
      <c r="M2985" s="222"/>
      <c r="P2985" s="1597"/>
      <c r="R2985" s="1598"/>
      <c r="T2985" s="1768"/>
      <c r="V2985" s="1769"/>
      <c r="X2985" s="1768"/>
      <c r="Z2985" s="1769"/>
    </row>
    <row r="2986" spans="6:26" ht="18" customHeight="1">
      <c r="F2986" s="154"/>
      <c r="I2986" s="673"/>
      <c r="J2986" s="209"/>
      <c r="L2986" s="154"/>
      <c r="M2986" s="222"/>
      <c r="P2986" s="1597"/>
      <c r="R2986" s="1598"/>
      <c r="T2986" s="1768"/>
      <c r="V2986" s="1769"/>
      <c r="X2986" s="1768"/>
      <c r="Z2986" s="1769"/>
    </row>
    <row r="2987" spans="6:26" ht="18" customHeight="1">
      <c r="F2987" s="154"/>
      <c r="I2987" s="673"/>
      <c r="J2987" s="209"/>
      <c r="L2987" s="154"/>
      <c r="M2987" s="222"/>
      <c r="P2987" s="1597"/>
      <c r="R2987" s="1598"/>
      <c r="T2987" s="1768"/>
      <c r="V2987" s="1769"/>
      <c r="X2987" s="1768"/>
      <c r="Z2987" s="1769"/>
    </row>
    <row r="2988" spans="6:26" ht="18" customHeight="1">
      <c r="F2988" s="154"/>
      <c r="I2988" s="673"/>
      <c r="J2988" s="209"/>
      <c r="L2988" s="154"/>
      <c r="M2988" s="222"/>
      <c r="P2988" s="1597"/>
      <c r="R2988" s="1598"/>
      <c r="T2988" s="1768"/>
      <c r="V2988" s="1769"/>
      <c r="X2988" s="1768"/>
      <c r="Z2988" s="1769"/>
    </row>
    <row r="2989" spans="6:26" ht="18" customHeight="1">
      <c r="F2989" s="154"/>
      <c r="I2989" s="673"/>
      <c r="J2989" s="209"/>
      <c r="L2989" s="154"/>
      <c r="M2989" s="222"/>
      <c r="P2989" s="1597"/>
      <c r="R2989" s="1598"/>
      <c r="T2989" s="1768"/>
      <c r="V2989" s="1769"/>
      <c r="X2989" s="1768"/>
      <c r="Z2989" s="1769"/>
    </row>
    <row r="2990" spans="6:26" ht="18" customHeight="1">
      <c r="F2990" s="154"/>
      <c r="I2990" s="673"/>
      <c r="J2990" s="209"/>
      <c r="L2990" s="154"/>
      <c r="M2990" s="222"/>
      <c r="P2990" s="1597"/>
      <c r="R2990" s="1598"/>
      <c r="T2990" s="1768"/>
      <c r="V2990" s="1769"/>
      <c r="X2990" s="1768"/>
      <c r="Z2990" s="1769"/>
    </row>
    <row r="2991" spans="6:26" ht="18" customHeight="1">
      <c r="F2991" s="154"/>
      <c r="I2991" s="673"/>
      <c r="J2991" s="209"/>
      <c r="L2991" s="154"/>
      <c r="M2991" s="222"/>
      <c r="P2991" s="1597"/>
      <c r="R2991" s="1598"/>
      <c r="T2991" s="1768"/>
      <c r="V2991" s="1769"/>
      <c r="X2991" s="1768"/>
      <c r="Z2991" s="1769"/>
    </row>
    <row r="2992" spans="6:26" ht="18" customHeight="1">
      <c r="F2992" s="154"/>
      <c r="I2992" s="673"/>
      <c r="J2992" s="209"/>
      <c r="L2992" s="154"/>
      <c r="M2992" s="222"/>
      <c r="P2992" s="1597"/>
      <c r="R2992" s="1598"/>
      <c r="T2992" s="1768"/>
      <c r="V2992" s="1769"/>
      <c r="X2992" s="1768"/>
      <c r="Z2992" s="1769"/>
    </row>
    <row r="2993" spans="6:26" ht="18" customHeight="1">
      <c r="F2993" s="154"/>
      <c r="I2993" s="673"/>
      <c r="J2993" s="209"/>
      <c r="L2993" s="154"/>
      <c r="M2993" s="222"/>
      <c r="P2993" s="1597"/>
      <c r="R2993" s="1598"/>
      <c r="T2993" s="1768"/>
      <c r="V2993" s="1769"/>
      <c r="X2993" s="1768"/>
      <c r="Z2993" s="1769"/>
    </row>
    <row r="2994" spans="6:26" ht="18" customHeight="1">
      <c r="F2994" s="154"/>
      <c r="I2994" s="673"/>
      <c r="J2994" s="209"/>
      <c r="L2994" s="154"/>
      <c r="M2994" s="222"/>
      <c r="P2994" s="1597"/>
      <c r="R2994" s="1598"/>
      <c r="T2994" s="1768"/>
      <c r="V2994" s="1769"/>
      <c r="X2994" s="1768"/>
      <c r="Z2994" s="1769"/>
    </row>
    <row r="2995" spans="6:26" ht="18" customHeight="1">
      <c r="F2995" s="154"/>
      <c r="I2995" s="673"/>
      <c r="J2995" s="209"/>
      <c r="L2995" s="154"/>
      <c r="M2995" s="222"/>
      <c r="P2995" s="1597"/>
      <c r="R2995" s="1598"/>
      <c r="T2995" s="1768"/>
      <c r="V2995" s="1769"/>
      <c r="X2995" s="1768"/>
      <c r="Z2995" s="1769"/>
    </row>
    <row r="2996" spans="6:26" ht="18" customHeight="1">
      <c r="F2996" s="154"/>
      <c r="I2996" s="673"/>
      <c r="J2996" s="209"/>
      <c r="L2996" s="154"/>
      <c r="M2996" s="222"/>
      <c r="P2996" s="1597"/>
      <c r="R2996" s="1598"/>
      <c r="T2996" s="1768"/>
      <c r="V2996" s="1769"/>
      <c r="X2996" s="1768"/>
      <c r="Z2996" s="1769"/>
    </row>
    <row r="2997" spans="6:26" ht="18" customHeight="1">
      <c r="F2997" s="154"/>
      <c r="I2997" s="673"/>
      <c r="J2997" s="209"/>
      <c r="L2997" s="154"/>
      <c r="M2997" s="222"/>
      <c r="P2997" s="1597"/>
      <c r="R2997" s="1598"/>
      <c r="T2997" s="1768"/>
      <c r="V2997" s="1769"/>
      <c r="X2997" s="1768"/>
      <c r="Z2997" s="1769"/>
    </row>
    <row r="2998" spans="6:26" ht="18" customHeight="1">
      <c r="F2998" s="154"/>
      <c r="I2998" s="673"/>
      <c r="J2998" s="209"/>
      <c r="L2998" s="154"/>
      <c r="M2998" s="222"/>
      <c r="P2998" s="1597"/>
      <c r="R2998" s="1598"/>
      <c r="T2998" s="1768"/>
      <c r="V2998" s="1769"/>
      <c r="X2998" s="1768"/>
      <c r="Z2998" s="1769"/>
    </row>
    <row r="2999" spans="6:26" ht="18" customHeight="1">
      <c r="F2999" s="154"/>
      <c r="I2999" s="673"/>
      <c r="J2999" s="209"/>
      <c r="L2999" s="154"/>
      <c r="M2999" s="222"/>
      <c r="P2999" s="1597"/>
      <c r="R2999" s="1598"/>
      <c r="T2999" s="1768"/>
      <c r="V2999" s="1769"/>
      <c r="X2999" s="1768"/>
      <c r="Z2999" s="1769"/>
    </row>
    <row r="3000" spans="6:26" ht="18" customHeight="1">
      <c r="F3000" s="154"/>
      <c r="I3000" s="673"/>
      <c r="J3000" s="209"/>
      <c r="L3000" s="154"/>
      <c r="M3000" s="222"/>
      <c r="P3000" s="1597"/>
      <c r="R3000" s="1598"/>
      <c r="T3000" s="1768"/>
      <c r="V3000" s="1769"/>
      <c r="X3000" s="1768"/>
      <c r="Z3000" s="1769"/>
    </row>
    <row r="3001" spans="6:26" ht="18" customHeight="1">
      <c r="F3001" s="154"/>
      <c r="I3001" s="673"/>
      <c r="J3001" s="209"/>
      <c r="L3001" s="154"/>
      <c r="M3001" s="222"/>
      <c r="P3001" s="1597"/>
      <c r="R3001" s="1598"/>
      <c r="T3001" s="1768"/>
      <c r="V3001" s="1769"/>
      <c r="X3001" s="1768"/>
      <c r="Z3001" s="1769"/>
    </row>
    <row r="3002" spans="6:26" ht="18" customHeight="1">
      <c r="F3002" s="154"/>
      <c r="I3002" s="673"/>
      <c r="J3002" s="209"/>
      <c r="L3002" s="154"/>
      <c r="M3002" s="222"/>
      <c r="P3002" s="1597"/>
      <c r="R3002" s="1598"/>
      <c r="T3002" s="1768"/>
      <c r="V3002" s="1769"/>
      <c r="X3002" s="1768"/>
      <c r="Z3002" s="1769"/>
    </row>
    <row r="3003" spans="6:26" ht="18" customHeight="1">
      <c r="F3003" s="154"/>
      <c r="I3003" s="673"/>
      <c r="J3003" s="209"/>
      <c r="L3003" s="154"/>
      <c r="M3003" s="222"/>
      <c r="P3003" s="1597"/>
      <c r="R3003" s="1598"/>
      <c r="T3003" s="1768"/>
      <c r="V3003" s="1769"/>
      <c r="X3003" s="1768"/>
      <c r="Z3003" s="1769"/>
    </row>
    <row r="3004" spans="6:26" ht="18" customHeight="1">
      <c r="F3004" s="154"/>
      <c r="I3004" s="673"/>
      <c r="J3004" s="209"/>
      <c r="L3004" s="154"/>
      <c r="M3004" s="222"/>
      <c r="P3004" s="1597"/>
      <c r="R3004" s="1598"/>
      <c r="T3004" s="1768"/>
      <c r="V3004" s="1769"/>
      <c r="X3004" s="1768"/>
      <c r="Z3004" s="1769"/>
    </row>
    <row r="3005" spans="6:26" ht="18" customHeight="1">
      <c r="F3005" s="154"/>
      <c r="I3005" s="673"/>
      <c r="J3005" s="209"/>
      <c r="L3005" s="154"/>
      <c r="M3005" s="222"/>
      <c r="P3005" s="1597"/>
      <c r="R3005" s="1598"/>
      <c r="T3005" s="1768"/>
      <c r="V3005" s="1769"/>
      <c r="X3005" s="1768"/>
      <c r="Z3005" s="1769"/>
    </row>
    <row r="3006" spans="6:26" ht="18" customHeight="1">
      <c r="F3006" s="154"/>
      <c r="I3006" s="673"/>
      <c r="J3006" s="209"/>
      <c r="L3006" s="154"/>
      <c r="M3006" s="222"/>
      <c r="P3006" s="1597"/>
      <c r="R3006" s="1598"/>
      <c r="T3006" s="1768"/>
      <c r="V3006" s="1769"/>
      <c r="X3006" s="1768"/>
      <c r="Z3006" s="1769"/>
    </row>
    <row r="3007" spans="6:26" ht="18" customHeight="1">
      <c r="F3007" s="154"/>
      <c r="I3007" s="673"/>
      <c r="J3007" s="209"/>
      <c r="L3007" s="154"/>
      <c r="M3007" s="222"/>
      <c r="P3007" s="1597"/>
      <c r="R3007" s="1598"/>
      <c r="T3007" s="1768"/>
      <c r="V3007" s="1769"/>
      <c r="X3007" s="1768"/>
      <c r="Z3007" s="1769"/>
    </row>
    <row r="3008" spans="6:26" ht="18" customHeight="1">
      <c r="F3008" s="154"/>
      <c r="I3008" s="673"/>
      <c r="J3008" s="209"/>
      <c r="L3008" s="154"/>
      <c r="M3008" s="222"/>
      <c r="P3008" s="1597"/>
      <c r="R3008" s="1598"/>
      <c r="T3008" s="1768"/>
      <c r="V3008" s="1769"/>
      <c r="X3008" s="1768"/>
      <c r="Z3008" s="1769"/>
    </row>
    <row r="3009" spans="6:26" ht="18" customHeight="1">
      <c r="F3009" s="154"/>
      <c r="I3009" s="673"/>
      <c r="J3009" s="209"/>
      <c r="L3009" s="154"/>
      <c r="M3009" s="222"/>
      <c r="P3009" s="1597"/>
      <c r="R3009" s="1598"/>
      <c r="T3009" s="1768"/>
      <c r="V3009" s="1769"/>
      <c r="X3009" s="1768"/>
      <c r="Z3009" s="1769"/>
    </row>
    <row r="3010" spans="6:26" ht="18" customHeight="1">
      <c r="F3010" s="154"/>
      <c r="I3010" s="673"/>
      <c r="J3010" s="209"/>
      <c r="L3010" s="154"/>
      <c r="M3010" s="222"/>
      <c r="P3010" s="1597"/>
      <c r="R3010" s="1598"/>
      <c r="T3010" s="1768"/>
      <c r="V3010" s="1769"/>
      <c r="X3010" s="1768"/>
      <c r="Z3010" s="1769"/>
    </row>
    <row r="3011" spans="6:26" ht="18" customHeight="1">
      <c r="F3011" s="154"/>
      <c r="I3011" s="673"/>
      <c r="J3011" s="209"/>
      <c r="L3011" s="154"/>
      <c r="M3011" s="222"/>
      <c r="P3011" s="1597"/>
      <c r="R3011" s="1598"/>
      <c r="T3011" s="1768"/>
      <c r="V3011" s="1769"/>
      <c r="X3011" s="1768"/>
      <c r="Z3011" s="1769"/>
    </row>
    <row r="3012" spans="6:26" ht="18" customHeight="1">
      <c r="F3012" s="154"/>
      <c r="I3012" s="673"/>
      <c r="J3012" s="209"/>
      <c r="L3012" s="154"/>
      <c r="M3012" s="222"/>
      <c r="P3012" s="1597"/>
      <c r="R3012" s="1598"/>
      <c r="T3012" s="1768"/>
      <c r="V3012" s="1769"/>
      <c r="X3012" s="1768"/>
      <c r="Z3012" s="1769"/>
    </row>
    <row r="3013" spans="6:26" ht="18" customHeight="1">
      <c r="F3013" s="154"/>
      <c r="I3013" s="673"/>
      <c r="J3013" s="209"/>
      <c r="L3013" s="154"/>
      <c r="M3013" s="222"/>
      <c r="P3013" s="1597"/>
      <c r="R3013" s="1598"/>
      <c r="T3013" s="1768"/>
      <c r="V3013" s="1769"/>
      <c r="X3013" s="1768"/>
      <c r="Z3013" s="1769"/>
    </row>
    <row r="3014" spans="6:26" ht="18" customHeight="1">
      <c r="F3014" s="154"/>
      <c r="I3014" s="673"/>
      <c r="J3014" s="209"/>
      <c r="L3014" s="154"/>
      <c r="M3014" s="222"/>
      <c r="P3014" s="1597"/>
      <c r="R3014" s="1598"/>
      <c r="T3014" s="1768"/>
      <c r="V3014" s="1769"/>
      <c r="X3014" s="1768"/>
      <c r="Z3014" s="1769"/>
    </row>
    <row r="3015" spans="6:26" ht="18" customHeight="1">
      <c r="F3015" s="154"/>
      <c r="I3015" s="673"/>
      <c r="J3015" s="209"/>
      <c r="L3015" s="154"/>
      <c r="M3015" s="222"/>
      <c r="P3015" s="1597"/>
      <c r="R3015" s="1598"/>
      <c r="T3015" s="1768"/>
      <c r="V3015" s="1769"/>
      <c r="X3015" s="1768"/>
      <c r="Z3015" s="1769"/>
    </row>
    <row r="3016" spans="6:26" ht="18" customHeight="1">
      <c r="F3016" s="154"/>
      <c r="I3016" s="673"/>
      <c r="J3016" s="209"/>
      <c r="L3016" s="154"/>
      <c r="M3016" s="222"/>
      <c r="P3016" s="1597"/>
      <c r="R3016" s="1598"/>
      <c r="T3016" s="1768"/>
      <c r="V3016" s="1769"/>
      <c r="X3016" s="1768"/>
      <c r="Z3016" s="1769"/>
    </row>
    <row r="3017" spans="6:26" ht="18" customHeight="1">
      <c r="F3017" s="154"/>
      <c r="I3017" s="673"/>
      <c r="J3017" s="209"/>
      <c r="L3017" s="154"/>
      <c r="M3017" s="222"/>
      <c r="P3017" s="1597"/>
      <c r="R3017" s="1598"/>
      <c r="T3017" s="1768"/>
      <c r="V3017" s="1769"/>
      <c r="X3017" s="1768"/>
      <c r="Z3017" s="1769"/>
    </row>
    <row r="3018" spans="6:26" ht="18" customHeight="1">
      <c r="F3018" s="154"/>
      <c r="I3018" s="673"/>
      <c r="J3018" s="209"/>
      <c r="L3018" s="154"/>
      <c r="M3018" s="222"/>
      <c r="P3018" s="1597"/>
      <c r="R3018" s="1598"/>
      <c r="T3018" s="1768"/>
      <c r="V3018" s="1769"/>
      <c r="X3018" s="1768"/>
      <c r="Z3018" s="1769"/>
    </row>
    <row r="3019" spans="6:26" ht="18" customHeight="1">
      <c r="F3019" s="154"/>
      <c r="I3019" s="673"/>
      <c r="J3019" s="209"/>
      <c r="L3019" s="154"/>
      <c r="M3019" s="222"/>
      <c r="P3019" s="1597"/>
      <c r="R3019" s="1598"/>
      <c r="T3019" s="1768"/>
      <c r="V3019" s="1769"/>
      <c r="X3019" s="1768"/>
      <c r="Z3019" s="1769"/>
    </row>
    <row r="3020" spans="6:26" ht="18" customHeight="1">
      <c r="F3020" s="154"/>
      <c r="I3020" s="673"/>
      <c r="J3020" s="209"/>
      <c r="L3020" s="154"/>
      <c r="M3020" s="222"/>
      <c r="P3020" s="1597"/>
      <c r="R3020" s="1598"/>
      <c r="T3020" s="1768"/>
      <c r="V3020" s="1769"/>
      <c r="X3020" s="1768"/>
      <c r="Z3020" s="1769"/>
    </row>
    <row r="3021" spans="6:26" ht="18" customHeight="1">
      <c r="F3021" s="154"/>
      <c r="I3021" s="673"/>
      <c r="J3021" s="209"/>
      <c r="L3021" s="154"/>
      <c r="M3021" s="222"/>
      <c r="P3021" s="1597"/>
      <c r="R3021" s="1598"/>
      <c r="T3021" s="1768"/>
      <c r="V3021" s="1769"/>
      <c r="X3021" s="1768"/>
      <c r="Z3021" s="1769"/>
    </row>
    <row r="3022" spans="6:26" ht="18" customHeight="1">
      <c r="F3022" s="154"/>
      <c r="I3022" s="673"/>
      <c r="J3022" s="209"/>
      <c r="L3022" s="154"/>
      <c r="M3022" s="222"/>
      <c r="P3022" s="1597"/>
      <c r="R3022" s="1598"/>
      <c r="T3022" s="1768"/>
      <c r="V3022" s="1769"/>
      <c r="X3022" s="1768"/>
      <c r="Z3022" s="1769"/>
    </row>
    <row r="3023" spans="6:26" ht="18" customHeight="1">
      <c r="F3023" s="154"/>
      <c r="I3023" s="673"/>
      <c r="J3023" s="209"/>
      <c r="L3023" s="154"/>
      <c r="M3023" s="222"/>
      <c r="P3023" s="1597"/>
      <c r="R3023" s="1598"/>
      <c r="T3023" s="1768"/>
      <c r="V3023" s="1769"/>
      <c r="X3023" s="1768"/>
      <c r="Z3023" s="1769"/>
    </row>
    <row r="3024" spans="6:26" ht="18" customHeight="1">
      <c r="F3024" s="154"/>
      <c r="I3024" s="673"/>
      <c r="J3024" s="209"/>
      <c r="L3024" s="154"/>
      <c r="M3024" s="222"/>
      <c r="P3024" s="1597"/>
      <c r="R3024" s="1598"/>
      <c r="T3024" s="1768"/>
      <c r="V3024" s="1769"/>
      <c r="X3024" s="1768"/>
      <c r="Z3024" s="1769"/>
    </row>
    <row r="3025" spans="6:26" ht="18" customHeight="1">
      <c r="F3025" s="154"/>
      <c r="I3025" s="673"/>
      <c r="J3025" s="209"/>
      <c r="L3025" s="154"/>
      <c r="M3025" s="222"/>
      <c r="P3025" s="1597"/>
      <c r="R3025" s="1598"/>
      <c r="T3025" s="1768"/>
      <c r="V3025" s="1769"/>
      <c r="X3025" s="1768"/>
      <c r="Z3025" s="1769"/>
    </row>
    <row r="3026" spans="6:26" ht="18" customHeight="1">
      <c r="F3026" s="154"/>
      <c r="I3026" s="673"/>
      <c r="J3026" s="209"/>
      <c r="L3026" s="154"/>
      <c r="M3026" s="222"/>
      <c r="P3026" s="1597"/>
      <c r="R3026" s="1598"/>
      <c r="T3026" s="1768"/>
      <c r="V3026" s="1769"/>
      <c r="X3026" s="1768"/>
      <c r="Z3026" s="1769"/>
    </row>
    <row r="3027" spans="6:26" ht="18" customHeight="1">
      <c r="F3027" s="154"/>
      <c r="I3027" s="673"/>
      <c r="J3027" s="209"/>
      <c r="L3027" s="154"/>
      <c r="M3027" s="222"/>
      <c r="P3027" s="1597"/>
      <c r="R3027" s="1598"/>
      <c r="T3027" s="1768"/>
      <c r="V3027" s="1769"/>
      <c r="X3027" s="1768"/>
      <c r="Z3027" s="1769"/>
    </row>
    <row r="3028" spans="6:26" ht="18" customHeight="1">
      <c r="F3028" s="154"/>
      <c r="I3028" s="673"/>
      <c r="J3028" s="209"/>
      <c r="L3028" s="154"/>
      <c r="M3028" s="222"/>
      <c r="P3028" s="1597"/>
      <c r="R3028" s="1598"/>
      <c r="T3028" s="1768"/>
      <c r="V3028" s="1769"/>
      <c r="X3028" s="1768"/>
      <c r="Z3028" s="1769"/>
    </row>
    <row r="3029" spans="6:26" ht="18" customHeight="1">
      <c r="F3029" s="154"/>
      <c r="I3029" s="673"/>
      <c r="J3029" s="209"/>
      <c r="L3029" s="154"/>
      <c r="M3029" s="222"/>
      <c r="P3029" s="1597"/>
      <c r="R3029" s="1598"/>
      <c r="T3029" s="1768"/>
      <c r="V3029" s="1769"/>
      <c r="X3029" s="1768"/>
      <c r="Z3029" s="1769"/>
    </row>
    <row r="3030" spans="6:26" ht="18" customHeight="1">
      <c r="F3030" s="154"/>
      <c r="I3030" s="673"/>
      <c r="J3030" s="209"/>
      <c r="L3030" s="154"/>
      <c r="M3030" s="222"/>
      <c r="P3030" s="1597"/>
      <c r="R3030" s="1598"/>
      <c r="T3030" s="1768"/>
      <c r="V3030" s="1769"/>
      <c r="X3030" s="1768"/>
      <c r="Z3030" s="1769"/>
    </row>
    <row r="3031" spans="6:26" ht="18" customHeight="1">
      <c r="F3031" s="154"/>
      <c r="I3031" s="673"/>
      <c r="J3031" s="209"/>
      <c r="L3031" s="154"/>
      <c r="M3031" s="222"/>
      <c r="P3031" s="1597"/>
      <c r="R3031" s="1598"/>
      <c r="T3031" s="1768"/>
      <c r="V3031" s="1769"/>
      <c r="X3031" s="1768"/>
      <c r="Z3031" s="1769"/>
    </row>
    <row r="3032" spans="6:26" ht="18" customHeight="1">
      <c r="F3032" s="154"/>
      <c r="I3032" s="673"/>
      <c r="J3032" s="209"/>
      <c r="L3032" s="154"/>
      <c r="M3032" s="222"/>
      <c r="P3032" s="1597"/>
      <c r="R3032" s="1598"/>
      <c r="T3032" s="1768"/>
      <c r="V3032" s="1769"/>
      <c r="X3032" s="1768"/>
      <c r="Z3032" s="1769"/>
    </row>
    <row r="3033" spans="6:26" ht="18" customHeight="1">
      <c r="F3033" s="154"/>
      <c r="I3033" s="673"/>
      <c r="J3033" s="209"/>
      <c r="L3033" s="154"/>
      <c r="M3033" s="222"/>
      <c r="P3033" s="1597"/>
      <c r="R3033" s="1598"/>
      <c r="T3033" s="1768"/>
      <c r="V3033" s="1769"/>
      <c r="X3033" s="1768"/>
      <c r="Z3033" s="1769"/>
    </row>
    <row r="3034" spans="6:26" ht="18" customHeight="1">
      <c r="F3034" s="154"/>
      <c r="I3034" s="673"/>
      <c r="J3034" s="209"/>
      <c r="L3034" s="154"/>
      <c r="M3034" s="222"/>
      <c r="P3034" s="1597"/>
      <c r="R3034" s="1598"/>
      <c r="T3034" s="1768"/>
      <c r="V3034" s="1769"/>
      <c r="X3034" s="1768"/>
      <c r="Z3034" s="1769"/>
    </row>
    <row r="3035" spans="6:26" ht="18" customHeight="1">
      <c r="F3035" s="154"/>
      <c r="I3035" s="673"/>
      <c r="J3035" s="209"/>
      <c r="L3035" s="154"/>
      <c r="M3035" s="222"/>
      <c r="P3035" s="1597"/>
      <c r="R3035" s="1598"/>
      <c r="T3035" s="1768"/>
      <c r="V3035" s="1769"/>
      <c r="X3035" s="1768"/>
      <c r="Z3035" s="1769"/>
    </row>
    <row r="3036" spans="6:26" ht="18" customHeight="1">
      <c r="F3036" s="154"/>
      <c r="I3036" s="673"/>
      <c r="J3036" s="209"/>
      <c r="L3036" s="154"/>
      <c r="M3036" s="222"/>
      <c r="P3036" s="1597"/>
      <c r="R3036" s="1598"/>
      <c r="T3036" s="1768"/>
      <c r="V3036" s="1769"/>
      <c r="X3036" s="1768"/>
      <c r="Z3036" s="1769"/>
    </row>
    <row r="3037" spans="6:26" ht="18" customHeight="1">
      <c r="F3037" s="154"/>
      <c r="I3037" s="673"/>
      <c r="J3037" s="209"/>
      <c r="L3037" s="154"/>
      <c r="M3037" s="222"/>
      <c r="P3037" s="1597"/>
      <c r="R3037" s="1598"/>
      <c r="T3037" s="1768"/>
      <c r="V3037" s="1769"/>
      <c r="X3037" s="1768"/>
      <c r="Z3037" s="1769"/>
    </row>
    <row r="3038" spans="6:26" ht="18" customHeight="1">
      <c r="F3038" s="154"/>
      <c r="I3038" s="673"/>
      <c r="J3038" s="209"/>
      <c r="L3038" s="154"/>
      <c r="M3038" s="222"/>
      <c r="P3038" s="1597"/>
      <c r="R3038" s="1598"/>
      <c r="T3038" s="1768"/>
      <c r="V3038" s="1769"/>
      <c r="X3038" s="1768"/>
      <c r="Z3038" s="1769"/>
    </row>
    <row r="3039" spans="6:26" ht="18" customHeight="1">
      <c r="F3039" s="154"/>
      <c r="I3039" s="673"/>
      <c r="J3039" s="209"/>
      <c r="L3039" s="154"/>
      <c r="M3039" s="222"/>
      <c r="P3039" s="1597"/>
      <c r="R3039" s="1598"/>
      <c r="T3039" s="1768"/>
      <c r="V3039" s="1769"/>
      <c r="X3039" s="1768"/>
      <c r="Z3039" s="1769"/>
    </row>
    <row r="3040" spans="6:26" ht="18" customHeight="1">
      <c r="F3040" s="154"/>
      <c r="I3040" s="673"/>
      <c r="J3040" s="209"/>
      <c r="L3040" s="154"/>
      <c r="M3040" s="222"/>
      <c r="P3040" s="1597"/>
      <c r="R3040" s="1598"/>
      <c r="T3040" s="1768"/>
      <c r="V3040" s="1769"/>
      <c r="X3040" s="1768"/>
      <c r="Z3040" s="1769"/>
    </row>
    <row r="3041" spans="6:26" ht="18" customHeight="1">
      <c r="F3041" s="154"/>
      <c r="I3041" s="673"/>
      <c r="J3041" s="209"/>
      <c r="L3041" s="154"/>
      <c r="M3041" s="222"/>
      <c r="P3041" s="1597"/>
      <c r="R3041" s="1598"/>
      <c r="T3041" s="1768"/>
      <c r="V3041" s="1769"/>
      <c r="X3041" s="1768"/>
      <c r="Z3041" s="1769"/>
    </row>
    <row r="3042" spans="6:26" ht="18" customHeight="1">
      <c r="F3042" s="154"/>
      <c r="I3042" s="673"/>
      <c r="J3042" s="209"/>
      <c r="L3042" s="154"/>
      <c r="M3042" s="222"/>
      <c r="P3042" s="1597"/>
      <c r="R3042" s="1598"/>
      <c r="T3042" s="1768"/>
      <c r="V3042" s="1769"/>
      <c r="X3042" s="1768"/>
      <c r="Z3042" s="1769"/>
    </row>
    <row r="3043" spans="6:26" ht="18" customHeight="1">
      <c r="F3043" s="154"/>
      <c r="I3043" s="673"/>
      <c r="J3043" s="209"/>
      <c r="L3043" s="154"/>
      <c r="M3043" s="222"/>
      <c r="P3043" s="1597"/>
      <c r="R3043" s="1598"/>
      <c r="T3043" s="1768"/>
      <c r="V3043" s="1769"/>
      <c r="X3043" s="1768"/>
      <c r="Z3043" s="1769"/>
    </row>
    <row r="3044" spans="6:26" ht="18" customHeight="1">
      <c r="F3044" s="154"/>
      <c r="I3044" s="673"/>
      <c r="J3044" s="209"/>
      <c r="L3044" s="154"/>
      <c r="M3044" s="222"/>
      <c r="P3044" s="1597"/>
      <c r="R3044" s="1598"/>
      <c r="T3044" s="1768"/>
      <c r="V3044" s="1769"/>
      <c r="X3044" s="1768"/>
      <c r="Z3044" s="1769"/>
    </row>
    <row r="3045" spans="6:26" ht="18" customHeight="1">
      <c r="F3045" s="154"/>
      <c r="I3045" s="673"/>
      <c r="J3045" s="209"/>
      <c r="L3045" s="154"/>
      <c r="M3045" s="222"/>
      <c r="P3045" s="1597"/>
      <c r="R3045" s="1598"/>
      <c r="T3045" s="1768"/>
      <c r="V3045" s="1769"/>
      <c r="X3045" s="1768"/>
      <c r="Z3045" s="1769"/>
    </row>
    <row r="3046" spans="6:26" ht="18" customHeight="1">
      <c r="F3046" s="154"/>
      <c r="I3046" s="673"/>
      <c r="J3046" s="209"/>
      <c r="L3046" s="154"/>
      <c r="M3046" s="222"/>
      <c r="P3046" s="1597"/>
      <c r="R3046" s="1598"/>
      <c r="T3046" s="1768"/>
      <c r="V3046" s="1769"/>
      <c r="X3046" s="1768"/>
      <c r="Z3046" s="1769"/>
    </row>
    <row r="3047" spans="6:26" ht="18" customHeight="1">
      <c r="F3047" s="154"/>
      <c r="I3047" s="673"/>
      <c r="J3047" s="209"/>
      <c r="L3047" s="154"/>
      <c r="M3047" s="222"/>
      <c r="P3047" s="1597"/>
      <c r="R3047" s="1598"/>
      <c r="T3047" s="1768"/>
      <c r="V3047" s="1769"/>
      <c r="X3047" s="1768"/>
      <c r="Z3047" s="1769"/>
    </row>
    <row r="3048" spans="6:26" ht="18" customHeight="1">
      <c r="F3048" s="154"/>
      <c r="I3048" s="673"/>
      <c r="J3048" s="209"/>
      <c r="L3048" s="154"/>
      <c r="M3048" s="222"/>
      <c r="P3048" s="1597"/>
      <c r="R3048" s="1598"/>
      <c r="T3048" s="1768"/>
      <c r="V3048" s="1769"/>
      <c r="X3048" s="1768"/>
      <c r="Z3048" s="1769"/>
    </row>
    <row r="3049" spans="6:26" ht="18" customHeight="1">
      <c r="F3049" s="154"/>
      <c r="I3049" s="673"/>
      <c r="J3049" s="209"/>
      <c r="L3049" s="154"/>
      <c r="M3049" s="222"/>
      <c r="P3049" s="1597"/>
      <c r="R3049" s="1598"/>
      <c r="T3049" s="1768"/>
      <c r="V3049" s="1769"/>
      <c r="X3049" s="1768"/>
      <c r="Z3049" s="1769"/>
    </row>
    <row r="3050" spans="6:26" ht="18" customHeight="1">
      <c r="F3050" s="154"/>
      <c r="I3050" s="673"/>
      <c r="J3050" s="209"/>
      <c r="L3050" s="154"/>
      <c r="M3050" s="222"/>
      <c r="P3050" s="1597"/>
      <c r="R3050" s="1598"/>
      <c r="T3050" s="1768"/>
      <c r="V3050" s="1769"/>
      <c r="X3050" s="1768"/>
      <c r="Z3050" s="1769"/>
    </row>
    <row r="3051" spans="6:26" ht="18" customHeight="1">
      <c r="F3051" s="154"/>
      <c r="I3051" s="673"/>
      <c r="J3051" s="209"/>
      <c r="L3051" s="154"/>
      <c r="M3051" s="222"/>
      <c r="P3051" s="1597"/>
      <c r="R3051" s="1598"/>
      <c r="T3051" s="1768"/>
      <c r="V3051" s="1769"/>
      <c r="X3051" s="1768"/>
      <c r="Z3051" s="1769"/>
    </row>
    <row r="3052" spans="6:26" ht="18" customHeight="1">
      <c r="F3052" s="154"/>
      <c r="I3052" s="673"/>
      <c r="J3052" s="209"/>
      <c r="L3052" s="154"/>
      <c r="M3052" s="222"/>
      <c r="P3052" s="1597"/>
      <c r="R3052" s="1598"/>
      <c r="T3052" s="1768"/>
      <c r="V3052" s="1769"/>
      <c r="X3052" s="1768"/>
      <c r="Z3052" s="1769"/>
    </row>
    <row r="3053" spans="6:26" ht="18" customHeight="1">
      <c r="F3053" s="154"/>
      <c r="I3053" s="673"/>
      <c r="J3053" s="209"/>
      <c r="L3053" s="154"/>
      <c r="M3053" s="222"/>
      <c r="P3053" s="1597"/>
      <c r="R3053" s="1598"/>
      <c r="T3053" s="1768"/>
      <c r="V3053" s="1769"/>
      <c r="X3053" s="1768"/>
      <c r="Z3053" s="1769"/>
    </row>
    <row r="3054" spans="6:26" ht="18" customHeight="1">
      <c r="F3054" s="154"/>
      <c r="I3054" s="673"/>
      <c r="J3054" s="209"/>
      <c r="L3054" s="154"/>
      <c r="M3054" s="222"/>
      <c r="P3054" s="1597"/>
      <c r="R3054" s="1598"/>
      <c r="T3054" s="1768"/>
      <c r="V3054" s="1769"/>
      <c r="X3054" s="1768"/>
      <c r="Z3054" s="1769"/>
    </row>
    <row r="3055" spans="6:26" ht="18" customHeight="1">
      <c r="F3055" s="154"/>
      <c r="I3055" s="673"/>
      <c r="J3055" s="209"/>
      <c r="L3055" s="154"/>
      <c r="M3055" s="222"/>
      <c r="P3055" s="1597"/>
      <c r="R3055" s="1598"/>
      <c r="T3055" s="1768"/>
      <c r="V3055" s="1769"/>
      <c r="X3055" s="1768"/>
      <c r="Z3055" s="1769"/>
    </row>
    <row r="3056" spans="6:26" ht="18" customHeight="1">
      <c r="F3056" s="154"/>
      <c r="I3056" s="673"/>
      <c r="J3056" s="209"/>
      <c r="L3056" s="154"/>
      <c r="M3056" s="222"/>
      <c r="P3056" s="1597"/>
      <c r="R3056" s="1598"/>
      <c r="T3056" s="1768"/>
      <c r="V3056" s="1769"/>
      <c r="X3056" s="1768"/>
      <c r="Z3056" s="1769"/>
    </row>
    <row r="3057" spans="6:26" ht="18" customHeight="1">
      <c r="F3057" s="154"/>
      <c r="I3057" s="673"/>
      <c r="J3057" s="209"/>
      <c r="L3057" s="154"/>
      <c r="M3057" s="222"/>
      <c r="P3057" s="1597"/>
      <c r="R3057" s="1598"/>
      <c r="T3057" s="1768"/>
      <c r="V3057" s="1769"/>
      <c r="X3057" s="1768"/>
      <c r="Z3057" s="1769"/>
    </row>
    <row r="3058" spans="6:26" ht="18" customHeight="1">
      <c r="F3058" s="154"/>
      <c r="I3058" s="673"/>
      <c r="J3058" s="209"/>
      <c r="L3058" s="154"/>
      <c r="M3058" s="222"/>
      <c r="P3058" s="1597"/>
      <c r="R3058" s="1598"/>
      <c r="T3058" s="1768"/>
      <c r="V3058" s="1769"/>
      <c r="X3058" s="1768"/>
      <c r="Z3058" s="1769"/>
    </row>
    <row r="3059" spans="6:26" ht="18" customHeight="1">
      <c r="F3059" s="154"/>
      <c r="I3059" s="673"/>
      <c r="J3059" s="209"/>
      <c r="L3059" s="154"/>
      <c r="M3059" s="222"/>
      <c r="P3059" s="1597"/>
      <c r="R3059" s="1598"/>
      <c r="T3059" s="1768"/>
      <c r="V3059" s="1769"/>
      <c r="X3059" s="1768"/>
      <c r="Z3059" s="1769"/>
    </row>
    <row r="3060" spans="6:26" ht="18" customHeight="1">
      <c r="F3060" s="154"/>
      <c r="I3060" s="673"/>
      <c r="J3060" s="209"/>
      <c r="L3060" s="154"/>
      <c r="M3060" s="222"/>
      <c r="P3060" s="1597"/>
      <c r="R3060" s="1598"/>
      <c r="T3060" s="1768"/>
      <c r="V3060" s="1769"/>
      <c r="X3060" s="1768"/>
      <c r="Z3060" s="1769"/>
    </row>
    <row r="3061" spans="6:26" ht="18" customHeight="1">
      <c r="F3061" s="154"/>
      <c r="I3061" s="673"/>
      <c r="J3061" s="209"/>
      <c r="L3061" s="154"/>
      <c r="M3061" s="222"/>
      <c r="P3061" s="1597"/>
      <c r="R3061" s="1598"/>
      <c r="T3061" s="1768"/>
      <c r="V3061" s="1769"/>
      <c r="X3061" s="1768"/>
      <c r="Z3061" s="1769"/>
    </row>
    <row r="3062" spans="6:26" ht="18" customHeight="1">
      <c r="F3062" s="154"/>
      <c r="I3062" s="673"/>
      <c r="J3062" s="209"/>
      <c r="L3062" s="154"/>
      <c r="M3062" s="222"/>
      <c r="P3062" s="1597"/>
      <c r="R3062" s="1598"/>
      <c r="T3062" s="1768"/>
      <c r="V3062" s="1769"/>
      <c r="X3062" s="1768"/>
      <c r="Z3062" s="1769"/>
    </row>
    <row r="3063" spans="6:26" ht="18" customHeight="1">
      <c r="F3063" s="154"/>
      <c r="I3063" s="673"/>
      <c r="J3063" s="209"/>
      <c r="L3063" s="154"/>
      <c r="M3063" s="222"/>
      <c r="P3063" s="1597"/>
      <c r="R3063" s="1598"/>
      <c r="T3063" s="1768"/>
      <c r="V3063" s="1769"/>
      <c r="X3063" s="1768"/>
      <c r="Z3063" s="1769"/>
    </row>
    <row r="3064" spans="6:26" ht="18" customHeight="1">
      <c r="F3064" s="154"/>
      <c r="I3064" s="673"/>
      <c r="J3064" s="209"/>
      <c r="L3064" s="154"/>
      <c r="M3064" s="222"/>
      <c r="P3064" s="1597"/>
      <c r="R3064" s="1598"/>
      <c r="T3064" s="1768"/>
      <c r="V3064" s="1769"/>
      <c r="X3064" s="1768"/>
      <c r="Z3064" s="1769"/>
    </row>
    <row r="3065" spans="6:26" ht="18" customHeight="1">
      <c r="F3065" s="154"/>
      <c r="I3065" s="673"/>
      <c r="J3065" s="209"/>
      <c r="L3065" s="154"/>
      <c r="M3065" s="222"/>
      <c r="P3065" s="1597"/>
      <c r="R3065" s="1598"/>
      <c r="T3065" s="1768"/>
      <c r="V3065" s="1769"/>
      <c r="X3065" s="1768"/>
      <c r="Z3065" s="1769"/>
    </row>
    <row r="3066" spans="6:26" ht="18" customHeight="1">
      <c r="F3066" s="154"/>
      <c r="I3066" s="673"/>
      <c r="J3066" s="209"/>
      <c r="L3066" s="154"/>
      <c r="M3066" s="222"/>
      <c r="P3066" s="1597"/>
      <c r="R3066" s="1598"/>
      <c r="T3066" s="1768"/>
      <c r="V3066" s="1769"/>
      <c r="X3066" s="1768"/>
      <c r="Z3066" s="1769"/>
    </row>
    <row r="3067" spans="6:26" ht="18" customHeight="1">
      <c r="F3067" s="154"/>
      <c r="I3067" s="673"/>
      <c r="J3067" s="209"/>
      <c r="L3067" s="154"/>
      <c r="M3067" s="222"/>
      <c r="P3067" s="1597"/>
      <c r="R3067" s="1598"/>
      <c r="T3067" s="1768"/>
      <c r="V3067" s="1769"/>
      <c r="X3067" s="1768"/>
      <c r="Z3067" s="1769"/>
    </row>
    <row r="3068" spans="6:26" ht="18" customHeight="1">
      <c r="F3068" s="154"/>
      <c r="I3068" s="673"/>
      <c r="J3068" s="209"/>
      <c r="L3068" s="154"/>
      <c r="M3068" s="222"/>
      <c r="P3068" s="1597"/>
      <c r="R3068" s="1598"/>
      <c r="T3068" s="1768"/>
      <c r="V3068" s="1769"/>
      <c r="X3068" s="1768"/>
      <c r="Z3068" s="1769"/>
    </row>
    <row r="3069" spans="6:26" ht="18" customHeight="1">
      <c r="F3069" s="154"/>
      <c r="I3069" s="673"/>
      <c r="J3069" s="209"/>
      <c r="L3069" s="154"/>
      <c r="M3069" s="222"/>
      <c r="P3069" s="1597"/>
      <c r="R3069" s="1598"/>
      <c r="T3069" s="1768"/>
      <c r="V3069" s="1769"/>
      <c r="X3069" s="1768"/>
      <c r="Z3069" s="1769"/>
    </row>
    <row r="3070" spans="6:26" ht="18" customHeight="1">
      <c r="F3070" s="154"/>
      <c r="I3070" s="673"/>
      <c r="J3070" s="209"/>
      <c r="L3070" s="154"/>
      <c r="M3070" s="222"/>
      <c r="P3070" s="1597"/>
      <c r="R3070" s="1598"/>
      <c r="T3070" s="1768"/>
      <c r="V3070" s="1769"/>
      <c r="X3070" s="1768"/>
      <c r="Z3070" s="1769"/>
    </row>
    <row r="3071" spans="6:26" ht="18" customHeight="1">
      <c r="F3071" s="154"/>
      <c r="I3071" s="673"/>
      <c r="J3071" s="209"/>
      <c r="L3071" s="154"/>
      <c r="M3071" s="222"/>
      <c r="P3071" s="1597"/>
      <c r="R3071" s="1598"/>
      <c r="T3071" s="1768"/>
      <c r="V3071" s="1769"/>
      <c r="X3071" s="1768"/>
      <c r="Z3071" s="1769"/>
    </row>
    <row r="3072" spans="6:26" ht="18" customHeight="1">
      <c r="F3072" s="154"/>
      <c r="I3072" s="673"/>
      <c r="J3072" s="209"/>
      <c r="L3072" s="154"/>
      <c r="M3072" s="222"/>
      <c r="P3072" s="1597"/>
      <c r="R3072" s="1598"/>
      <c r="T3072" s="1768"/>
      <c r="V3072" s="1769"/>
      <c r="X3072" s="1768"/>
      <c r="Z3072" s="1769"/>
    </row>
    <row r="3073" spans="6:26" ht="18" customHeight="1">
      <c r="F3073" s="154"/>
      <c r="I3073" s="673"/>
      <c r="J3073" s="209"/>
      <c r="L3073" s="154"/>
      <c r="M3073" s="222"/>
      <c r="P3073" s="1597"/>
      <c r="R3073" s="1598"/>
      <c r="T3073" s="1768"/>
      <c r="V3073" s="1769"/>
      <c r="X3073" s="1768"/>
      <c r="Z3073" s="1769"/>
    </row>
    <row r="3074" spans="6:26" ht="18" customHeight="1">
      <c r="F3074" s="154"/>
      <c r="I3074" s="673"/>
      <c r="J3074" s="209"/>
      <c r="L3074" s="154"/>
      <c r="M3074" s="222"/>
      <c r="P3074" s="1597"/>
      <c r="R3074" s="1598"/>
      <c r="T3074" s="1768"/>
      <c r="V3074" s="1769"/>
      <c r="X3074" s="1768"/>
      <c r="Z3074" s="1769"/>
    </row>
    <row r="3075" spans="6:26" ht="18" customHeight="1">
      <c r="F3075" s="154"/>
      <c r="I3075" s="673"/>
      <c r="J3075" s="209"/>
      <c r="L3075" s="154"/>
      <c r="M3075" s="222"/>
      <c r="P3075" s="1597"/>
      <c r="R3075" s="1598"/>
      <c r="T3075" s="1768"/>
      <c r="V3075" s="1769"/>
      <c r="X3075" s="1768"/>
      <c r="Z3075" s="1769"/>
    </row>
    <row r="3076" spans="6:26" ht="18" customHeight="1">
      <c r="F3076" s="154"/>
      <c r="I3076" s="673"/>
      <c r="J3076" s="209"/>
      <c r="L3076" s="154"/>
      <c r="M3076" s="222"/>
      <c r="P3076" s="1597"/>
      <c r="R3076" s="1598"/>
      <c r="T3076" s="1768"/>
      <c r="V3076" s="1769"/>
      <c r="X3076" s="1768"/>
      <c r="Z3076" s="1769"/>
    </row>
    <row r="3077" spans="6:26" ht="18" customHeight="1">
      <c r="F3077" s="154"/>
      <c r="I3077" s="673"/>
      <c r="J3077" s="209"/>
      <c r="L3077" s="154"/>
      <c r="M3077" s="222"/>
      <c r="P3077" s="1597"/>
      <c r="R3077" s="1598"/>
      <c r="T3077" s="1768"/>
      <c r="V3077" s="1769"/>
      <c r="X3077" s="1768"/>
      <c r="Z3077" s="1769"/>
    </row>
    <row r="3078" spans="6:26" ht="18" customHeight="1">
      <c r="F3078" s="154"/>
      <c r="I3078" s="673"/>
      <c r="J3078" s="209"/>
      <c r="L3078" s="154"/>
      <c r="M3078" s="222"/>
      <c r="P3078" s="1597"/>
      <c r="R3078" s="1598"/>
      <c r="T3078" s="1768"/>
      <c r="V3078" s="1769"/>
      <c r="X3078" s="1768"/>
      <c r="Z3078" s="1769"/>
    </row>
    <row r="3079" spans="6:26" ht="18" customHeight="1">
      <c r="F3079" s="154"/>
      <c r="I3079" s="673"/>
      <c r="J3079" s="209"/>
      <c r="L3079" s="154"/>
      <c r="M3079" s="222"/>
      <c r="P3079" s="1597"/>
      <c r="R3079" s="1598"/>
      <c r="T3079" s="1768"/>
      <c r="V3079" s="1769"/>
      <c r="X3079" s="1768"/>
      <c r="Z3079" s="1769"/>
    </row>
    <row r="3080" spans="6:26" ht="18" customHeight="1">
      <c r="F3080" s="154"/>
      <c r="I3080" s="673"/>
      <c r="J3080" s="209"/>
      <c r="L3080" s="154"/>
      <c r="M3080" s="222"/>
      <c r="P3080" s="1597"/>
      <c r="R3080" s="1598"/>
      <c r="T3080" s="1768"/>
      <c r="V3080" s="1769"/>
      <c r="X3080" s="1768"/>
      <c r="Z3080" s="1769"/>
    </row>
    <row r="3081" spans="6:26" ht="18" customHeight="1">
      <c r="F3081" s="154"/>
      <c r="I3081" s="673"/>
      <c r="J3081" s="209"/>
      <c r="L3081" s="154"/>
      <c r="M3081" s="222"/>
      <c r="P3081" s="1597"/>
      <c r="R3081" s="1598"/>
      <c r="T3081" s="1768"/>
      <c r="V3081" s="1769"/>
      <c r="X3081" s="1768"/>
      <c r="Z3081" s="1769"/>
    </row>
    <row r="3082" spans="6:26" ht="18" customHeight="1">
      <c r="F3082" s="154"/>
      <c r="I3082" s="673"/>
      <c r="J3082" s="209"/>
      <c r="L3082" s="154"/>
      <c r="M3082" s="222"/>
      <c r="P3082" s="1597"/>
      <c r="R3082" s="1598"/>
      <c r="T3082" s="1768"/>
      <c r="V3082" s="1769"/>
      <c r="X3082" s="1768"/>
      <c r="Z3082" s="1769"/>
    </row>
    <row r="3083" spans="6:26" ht="18" customHeight="1">
      <c r="F3083" s="154"/>
      <c r="I3083" s="673"/>
      <c r="J3083" s="209"/>
      <c r="L3083" s="154"/>
      <c r="M3083" s="222"/>
      <c r="P3083" s="1597"/>
      <c r="R3083" s="1598"/>
      <c r="T3083" s="1768"/>
      <c r="V3083" s="1769"/>
      <c r="X3083" s="1768"/>
      <c r="Z3083" s="1769"/>
    </row>
    <row r="3084" spans="6:26" ht="18" customHeight="1">
      <c r="F3084" s="154"/>
      <c r="I3084" s="673"/>
      <c r="J3084" s="209"/>
      <c r="L3084" s="154"/>
      <c r="M3084" s="222"/>
      <c r="P3084" s="1597"/>
      <c r="R3084" s="1598"/>
      <c r="T3084" s="1768"/>
      <c r="V3084" s="1769"/>
      <c r="X3084" s="1768"/>
      <c r="Z3084" s="1769"/>
    </row>
    <row r="3085" spans="6:26" ht="18" customHeight="1">
      <c r="F3085" s="154"/>
      <c r="I3085" s="673"/>
      <c r="J3085" s="209"/>
      <c r="L3085" s="154"/>
      <c r="M3085" s="222"/>
      <c r="P3085" s="1597"/>
      <c r="R3085" s="1598"/>
      <c r="T3085" s="1768"/>
      <c r="V3085" s="1769"/>
      <c r="X3085" s="1768"/>
      <c r="Z3085" s="1769"/>
    </row>
    <row r="3086" spans="6:26" ht="18" customHeight="1">
      <c r="F3086" s="154"/>
      <c r="I3086" s="673"/>
      <c r="J3086" s="209"/>
      <c r="L3086" s="154"/>
      <c r="M3086" s="222"/>
      <c r="P3086" s="1597"/>
      <c r="R3086" s="1598"/>
      <c r="T3086" s="1768"/>
      <c r="V3086" s="1769"/>
      <c r="X3086" s="1768"/>
      <c r="Z3086" s="1769"/>
    </row>
    <row r="3087" spans="6:26" ht="18" customHeight="1">
      <c r="F3087" s="154"/>
      <c r="I3087" s="673"/>
      <c r="J3087" s="209"/>
      <c r="L3087" s="154"/>
      <c r="M3087" s="222"/>
      <c r="P3087" s="1597"/>
      <c r="R3087" s="1598"/>
      <c r="T3087" s="1768"/>
      <c r="V3087" s="1769"/>
      <c r="X3087" s="1768"/>
      <c r="Z3087" s="1769"/>
    </row>
    <row r="3088" spans="6:26" ht="18" customHeight="1">
      <c r="F3088" s="154"/>
      <c r="I3088" s="673"/>
      <c r="J3088" s="209"/>
      <c r="L3088" s="154"/>
      <c r="M3088" s="222"/>
      <c r="P3088" s="1597"/>
      <c r="R3088" s="1598"/>
      <c r="T3088" s="1768"/>
      <c r="V3088" s="1769"/>
      <c r="X3088" s="1768"/>
      <c r="Z3088" s="1769"/>
    </row>
    <row r="3089" spans="6:26" ht="18" customHeight="1">
      <c r="F3089" s="154"/>
      <c r="I3089" s="673"/>
      <c r="J3089" s="209"/>
      <c r="L3089" s="154"/>
      <c r="M3089" s="222"/>
      <c r="P3089" s="1597"/>
      <c r="R3089" s="1598"/>
      <c r="T3089" s="1768"/>
      <c r="V3089" s="1769"/>
      <c r="X3089" s="1768"/>
      <c r="Z3089" s="1769"/>
    </row>
    <row r="3090" spans="6:26" ht="18" customHeight="1">
      <c r="F3090" s="154"/>
      <c r="I3090" s="673"/>
      <c r="J3090" s="209"/>
      <c r="L3090" s="154"/>
      <c r="M3090" s="222"/>
      <c r="P3090" s="1597"/>
      <c r="R3090" s="1598"/>
      <c r="T3090" s="1768"/>
      <c r="V3090" s="1769"/>
      <c r="X3090" s="1768"/>
      <c r="Z3090" s="1769"/>
    </row>
    <row r="3091" spans="6:26" ht="18" customHeight="1">
      <c r="F3091" s="154"/>
      <c r="I3091" s="673"/>
      <c r="J3091" s="209"/>
      <c r="L3091" s="154"/>
      <c r="M3091" s="222"/>
      <c r="P3091" s="1597"/>
      <c r="R3091" s="1598"/>
      <c r="T3091" s="1768"/>
      <c r="V3091" s="1769"/>
      <c r="X3091" s="1768"/>
      <c r="Z3091" s="1769"/>
    </row>
    <row r="3092" spans="6:26" ht="18" customHeight="1">
      <c r="F3092" s="154"/>
      <c r="I3092" s="673"/>
      <c r="J3092" s="209"/>
      <c r="L3092" s="154"/>
      <c r="M3092" s="222"/>
      <c r="P3092" s="1597"/>
      <c r="R3092" s="1598"/>
      <c r="T3092" s="1768"/>
      <c r="V3092" s="1769"/>
      <c r="X3092" s="1768"/>
      <c r="Z3092" s="1769"/>
    </row>
    <row r="3093" spans="6:26" ht="18" customHeight="1">
      <c r="F3093" s="154"/>
      <c r="I3093" s="673"/>
      <c r="J3093" s="209"/>
      <c r="L3093" s="154"/>
      <c r="M3093" s="222"/>
      <c r="P3093" s="1597"/>
      <c r="R3093" s="1598"/>
      <c r="T3093" s="1768"/>
      <c r="V3093" s="1769"/>
      <c r="X3093" s="1768"/>
      <c r="Z3093" s="1769"/>
    </row>
    <row r="3094" spans="6:26" ht="18" customHeight="1">
      <c r="F3094" s="154"/>
      <c r="I3094" s="673"/>
      <c r="J3094" s="209"/>
      <c r="L3094" s="154"/>
      <c r="M3094" s="222"/>
      <c r="P3094" s="1597"/>
      <c r="R3094" s="1598"/>
      <c r="T3094" s="1768"/>
      <c r="V3094" s="1769"/>
      <c r="X3094" s="1768"/>
      <c r="Z3094" s="1769"/>
    </row>
    <row r="3095" spans="6:26" ht="18" customHeight="1">
      <c r="F3095" s="154"/>
      <c r="I3095" s="673"/>
      <c r="J3095" s="209"/>
      <c r="L3095" s="154"/>
      <c r="M3095" s="222"/>
      <c r="P3095" s="1597"/>
      <c r="R3095" s="1598"/>
      <c r="T3095" s="1768"/>
      <c r="V3095" s="1769"/>
      <c r="X3095" s="1768"/>
      <c r="Z3095" s="1769"/>
    </row>
    <row r="3096" spans="6:26" ht="18" customHeight="1">
      <c r="F3096" s="154"/>
      <c r="I3096" s="673"/>
      <c r="J3096" s="209"/>
      <c r="L3096" s="154"/>
      <c r="M3096" s="222"/>
      <c r="P3096" s="1597"/>
      <c r="R3096" s="1598"/>
      <c r="T3096" s="1768"/>
      <c r="V3096" s="1769"/>
      <c r="X3096" s="1768"/>
      <c r="Z3096" s="1769"/>
    </row>
    <row r="3097" spans="6:26" ht="18" customHeight="1">
      <c r="F3097" s="154"/>
      <c r="I3097" s="673"/>
      <c r="J3097" s="209"/>
      <c r="L3097" s="154"/>
      <c r="M3097" s="222"/>
      <c r="P3097" s="1597"/>
      <c r="R3097" s="1598"/>
      <c r="T3097" s="1768"/>
      <c r="V3097" s="1769"/>
      <c r="X3097" s="1768"/>
      <c r="Z3097" s="1769"/>
    </row>
    <row r="3098" spans="6:26" ht="18" customHeight="1">
      <c r="F3098" s="154"/>
      <c r="I3098" s="673"/>
      <c r="J3098" s="209"/>
      <c r="L3098" s="154"/>
      <c r="M3098" s="222"/>
      <c r="P3098" s="1597"/>
      <c r="R3098" s="1598"/>
      <c r="T3098" s="1768"/>
      <c r="V3098" s="1769"/>
      <c r="X3098" s="1768"/>
      <c r="Z3098" s="1769"/>
    </row>
    <row r="3099" spans="6:26" ht="18" customHeight="1">
      <c r="F3099" s="154"/>
      <c r="I3099" s="673"/>
      <c r="J3099" s="209"/>
      <c r="L3099" s="154"/>
      <c r="M3099" s="222"/>
      <c r="P3099" s="1597"/>
      <c r="R3099" s="1598"/>
      <c r="T3099" s="1768"/>
      <c r="V3099" s="1769"/>
      <c r="X3099" s="1768"/>
      <c r="Z3099" s="1769"/>
    </row>
    <row r="3100" spans="6:26" ht="18" customHeight="1">
      <c r="F3100" s="154"/>
      <c r="I3100" s="673"/>
      <c r="J3100" s="209"/>
      <c r="L3100" s="154"/>
      <c r="M3100" s="222"/>
      <c r="P3100" s="1597"/>
      <c r="R3100" s="1598"/>
      <c r="T3100" s="1768"/>
      <c r="V3100" s="1769"/>
      <c r="X3100" s="1768"/>
      <c r="Z3100" s="1769"/>
    </row>
    <row r="3101" spans="6:26" ht="18" customHeight="1">
      <c r="F3101" s="154"/>
      <c r="I3101" s="673"/>
      <c r="J3101" s="209"/>
      <c r="L3101" s="154"/>
      <c r="M3101" s="222"/>
      <c r="P3101" s="1597"/>
      <c r="R3101" s="1598"/>
      <c r="T3101" s="1768"/>
      <c r="V3101" s="1769"/>
      <c r="X3101" s="1768"/>
      <c r="Z3101" s="1769"/>
    </row>
    <row r="3102" spans="6:26" ht="18" customHeight="1">
      <c r="F3102" s="154"/>
      <c r="I3102" s="673"/>
      <c r="J3102" s="209"/>
      <c r="L3102" s="154"/>
      <c r="M3102" s="222"/>
      <c r="P3102" s="1597"/>
      <c r="R3102" s="1598"/>
      <c r="T3102" s="1768"/>
      <c r="V3102" s="1769"/>
      <c r="X3102" s="1768"/>
      <c r="Z3102" s="1769"/>
    </row>
    <row r="3103" spans="6:26" ht="18" customHeight="1">
      <c r="F3103" s="154"/>
      <c r="I3103" s="673"/>
      <c r="J3103" s="209"/>
      <c r="L3103" s="154"/>
      <c r="M3103" s="222"/>
      <c r="P3103" s="1597"/>
      <c r="R3103" s="1598"/>
      <c r="T3103" s="1768"/>
      <c r="V3103" s="1769"/>
      <c r="X3103" s="1768"/>
      <c r="Z3103" s="1769"/>
    </row>
    <row r="3104" spans="6:26" ht="18" customHeight="1">
      <c r="F3104" s="154"/>
      <c r="I3104" s="673"/>
      <c r="J3104" s="209"/>
      <c r="L3104" s="154"/>
      <c r="M3104" s="222"/>
      <c r="P3104" s="1597"/>
      <c r="R3104" s="1598"/>
      <c r="T3104" s="1768"/>
      <c r="V3104" s="1769"/>
      <c r="X3104" s="1768"/>
      <c r="Z3104" s="1769"/>
    </row>
    <row r="3105" spans="6:26" ht="18" customHeight="1">
      <c r="F3105" s="154"/>
      <c r="I3105" s="673"/>
      <c r="J3105" s="209"/>
      <c r="L3105" s="154"/>
      <c r="M3105" s="222"/>
      <c r="P3105" s="1597"/>
      <c r="R3105" s="1598"/>
      <c r="T3105" s="1768"/>
      <c r="V3105" s="1769"/>
      <c r="X3105" s="1768"/>
      <c r="Z3105" s="1769"/>
    </row>
    <row r="3106" spans="6:26" ht="18" customHeight="1">
      <c r="F3106" s="154"/>
      <c r="I3106" s="673"/>
      <c r="J3106" s="209"/>
      <c r="L3106" s="154"/>
      <c r="M3106" s="222"/>
      <c r="P3106" s="1597"/>
      <c r="R3106" s="1598"/>
      <c r="T3106" s="1768"/>
      <c r="V3106" s="1769"/>
      <c r="X3106" s="1768"/>
      <c r="Z3106" s="1769"/>
    </row>
    <row r="3107" spans="6:26" ht="18" customHeight="1">
      <c r="F3107" s="154"/>
      <c r="I3107" s="673"/>
      <c r="J3107" s="209"/>
      <c r="L3107" s="154"/>
      <c r="M3107" s="222"/>
      <c r="P3107" s="1597"/>
      <c r="R3107" s="1598"/>
      <c r="T3107" s="1768"/>
      <c r="V3107" s="1769"/>
      <c r="X3107" s="1768"/>
      <c r="Z3107" s="1769"/>
    </row>
    <row r="3108" spans="6:26" ht="18" customHeight="1">
      <c r="F3108" s="154"/>
      <c r="I3108" s="673"/>
      <c r="J3108" s="209"/>
      <c r="L3108" s="154"/>
      <c r="M3108" s="222"/>
      <c r="P3108" s="1597"/>
      <c r="R3108" s="1598"/>
      <c r="T3108" s="1768"/>
      <c r="V3108" s="1769"/>
      <c r="X3108" s="1768"/>
      <c r="Z3108" s="1769"/>
    </row>
    <row r="3109" spans="6:26" ht="18" customHeight="1">
      <c r="F3109" s="154"/>
      <c r="I3109" s="673"/>
      <c r="J3109" s="209"/>
      <c r="L3109" s="154"/>
      <c r="M3109" s="222"/>
      <c r="P3109" s="1597"/>
      <c r="R3109" s="1598"/>
      <c r="T3109" s="1768"/>
      <c r="V3109" s="1769"/>
      <c r="X3109" s="1768"/>
      <c r="Z3109" s="1769"/>
    </row>
    <row r="3110" spans="6:26" ht="18" customHeight="1">
      <c r="F3110" s="154"/>
      <c r="I3110" s="673"/>
      <c r="J3110" s="209"/>
      <c r="L3110" s="154"/>
      <c r="M3110" s="222"/>
      <c r="P3110" s="1597"/>
      <c r="R3110" s="1598"/>
      <c r="T3110" s="1768"/>
      <c r="V3110" s="1769"/>
      <c r="X3110" s="1768"/>
      <c r="Z3110" s="1769"/>
    </row>
    <row r="3111" spans="6:26" ht="18" customHeight="1">
      <c r="F3111" s="154"/>
      <c r="I3111" s="673"/>
      <c r="J3111" s="209"/>
      <c r="L3111" s="154"/>
      <c r="M3111" s="222"/>
      <c r="P3111" s="1597"/>
      <c r="R3111" s="1598"/>
      <c r="T3111" s="1768"/>
      <c r="V3111" s="1769"/>
      <c r="X3111" s="1768"/>
      <c r="Z3111" s="1769"/>
    </row>
    <row r="3112" spans="6:26" ht="18" customHeight="1">
      <c r="F3112" s="154"/>
      <c r="I3112" s="673"/>
      <c r="J3112" s="209"/>
      <c r="L3112" s="154"/>
      <c r="M3112" s="222"/>
      <c r="P3112" s="1597"/>
      <c r="R3112" s="1598"/>
      <c r="T3112" s="1768"/>
      <c r="V3112" s="1769"/>
      <c r="X3112" s="1768"/>
      <c r="Z3112" s="1769"/>
    </row>
    <row r="3113" spans="6:26" ht="18" customHeight="1">
      <c r="F3113" s="154"/>
      <c r="I3113" s="673"/>
      <c r="J3113" s="209"/>
      <c r="L3113" s="154"/>
      <c r="M3113" s="222"/>
      <c r="P3113" s="1597"/>
      <c r="R3113" s="1598"/>
      <c r="T3113" s="1768"/>
      <c r="V3113" s="1769"/>
      <c r="X3113" s="1768"/>
      <c r="Z3113" s="1769"/>
    </row>
    <row r="3114" spans="6:26" ht="18" customHeight="1">
      <c r="F3114" s="154"/>
      <c r="I3114" s="673"/>
      <c r="J3114" s="209"/>
      <c r="L3114" s="154"/>
      <c r="M3114" s="222"/>
      <c r="P3114" s="1597"/>
      <c r="R3114" s="1598"/>
      <c r="T3114" s="1768"/>
      <c r="V3114" s="1769"/>
      <c r="X3114" s="1768"/>
      <c r="Z3114" s="1769"/>
    </row>
    <row r="3115" spans="6:26" ht="18" customHeight="1">
      <c r="F3115" s="154"/>
      <c r="I3115" s="673"/>
      <c r="J3115" s="209"/>
      <c r="L3115" s="154"/>
      <c r="M3115" s="222"/>
      <c r="P3115" s="1597"/>
      <c r="R3115" s="1598"/>
      <c r="T3115" s="1768"/>
      <c r="V3115" s="1769"/>
      <c r="X3115" s="1768"/>
      <c r="Z3115" s="1769"/>
    </row>
    <row r="3116" spans="6:26" ht="18" customHeight="1">
      <c r="F3116" s="154"/>
      <c r="I3116" s="673"/>
      <c r="J3116" s="209"/>
      <c r="L3116" s="154"/>
      <c r="M3116" s="222"/>
      <c r="P3116" s="1597"/>
      <c r="R3116" s="1598"/>
      <c r="T3116" s="1768"/>
      <c r="V3116" s="1769"/>
      <c r="X3116" s="1768"/>
      <c r="Z3116" s="1769"/>
    </row>
    <row r="3117" spans="6:26" ht="18" customHeight="1">
      <c r="F3117" s="154"/>
      <c r="I3117" s="673"/>
      <c r="J3117" s="209"/>
      <c r="L3117" s="154"/>
      <c r="M3117" s="222"/>
      <c r="P3117" s="1597"/>
      <c r="R3117" s="1598"/>
      <c r="T3117" s="1768"/>
      <c r="V3117" s="1769"/>
      <c r="X3117" s="1768"/>
      <c r="Z3117" s="1769"/>
    </row>
    <row r="3118" spans="6:26" ht="18" customHeight="1">
      <c r="F3118" s="154"/>
      <c r="I3118" s="673"/>
      <c r="J3118" s="209"/>
      <c r="L3118" s="154"/>
      <c r="M3118" s="222"/>
      <c r="P3118" s="1597"/>
      <c r="R3118" s="1598"/>
      <c r="T3118" s="1768"/>
      <c r="V3118" s="1769"/>
      <c r="X3118" s="1768"/>
      <c r="Z3118" s="1769"/>
    </row>
    <row r="3119" spans="6:26" ht="18" customHeight="1">
      <c r="F3119" s="154"/>
      <c r="I3119" s="673"/>
      <c r="J3119" s="209"/>
      <c r="L3119" s="154"/>
      <c r="M3119" s="222"/>
      <c r="P3119" s="1597"/>
      <c r="R3119" s="1598"/>
      <c r="T3119" s="1768"/>
      <c r="V3119" s="1769"/>
      <c r="X3119" s="1768"/>
      <c r="Z3119" s="1769"/>
    </row>
    <row r="3120" spans="6:26" ht="18" customHeight="1">
      <c r="F3120" s="154"/>
      <c r="I3120" s="673"/>
      <c r="J3120" s="209"/>
      <c r="L3120" s="154"/>
      <c r="M3120" s="222"/>
      <c r="P3120" s="1597"/>
      <c r="R3120" s="1598"/>
      <c r="T3120" s="1768"/>
      <c r="V3120" s="1769"/>
      <c r="X3120" s="1768"/>
      <c r="Z3120" s="1769"/>
    </row>
    <row r="3121" spans="6:26" ht="18" customHeight="1">
      <c r="F3121" s="154"/>
      <c r="I3121" s="673"/>
      <c r="J3121" s="209"/>
      <c r="L3121" s="154"/>
      <c r="M3121" s="222"/>
      <c r="P3121" s="1597"/>
      <c r="R3121" s="1598"/>
      <c r="T3121" s="1768"/>
      <c r="V3121" s="1769"/>
      <c r="X3121" s="1768"/>
      <c r="Z3121" s="1769"/>
    </row>
    <row r="3122" spans="6:26" ht="18" customHeight="1">
      <c r="F3122" s="154"/>
      <c r="I3122" s="673"/>
      <c r="J3122" s="209"/>
      <c r="L3122" s="154"/>
      <c r="M3122" s="222"/>
      <c r="P3122" s="1597"/>
      <c r="R3122" s="1598"/>
      <c r="T3122" s="1768"/>
      <c r="V3122" s="1769"/>
      <c r="X3122" s="1768"/>
      <c r="Z3122" s="1769"/>
    </row>
    <row r="3123" spans="6:26" ht="18" customHeight="1">
      <c r="F3123" s="154"/>
      <c r="I3123" s="673"/>
      <c r="J3123" s="209"/>
      <c r="L3123" s="154"/>
      <c r="M3123" s="222"/>
      <c r="P3123" s="1597"/>
      <c r="R3123" s="1598"/>
      <c r="T3123" s="1768"/>
      <c r="V3123" s="1769"/>
      <c r="X3123" s="1768"/>
      <c r="Z3123" s="1769"/>
    </row>
    <row r="3124" spans="6:26" ht="18" customHeight="1">
      <c r="F3124" s="154"/>
      <c r="I3124" s="673"/>
      <c r="J3124" s="209"/>
      <c r="L3124" s="154"/>
      <c r="M3124" s="222"/>
      <c r="P3124" s="1597"/>
      <c r="R3124" s="1598"/>
      <c r="T3124" s="1768"/>
      <c r="V3124" s="1769"/>
      <c r="X3124" s="1768"/>
      <c r="Z3124" s="1769"/>
    </row>
    <row r="3125" spans="6:26" ht="18" customHeight="1">
      <c r="F3125" s="154"/>
      <c r="I3125" s="673"/>
      <c r="J3125" s="209"/>
      <c r="L3125" s="154"/>
      <c r="M3125" s="222"/>
      <c r="P3125" s="1597"/>
      <c r="R3125" s="1598"/>
      <c r="T3125" s="1768"/>
      <c r="V3125" s="1769"/>
      <c r="X3125" s="1768"/>
      <c r="Z3125" s="1769"/>
    </row>
    <row r="3126" spans="6:26" ht="18" customHeight="1">
      <c r="F3126" s="154"/>
      <c r="I3126" s="673"/>
      <c r="J3126" s="209"/>
      <c r="L3126" s="154"/>
      <c r="M3126" s="222"/>
      <c r="P3126" s="1597"/>
      <c r="R3126" s="1598"/>
      <c r="T3126" s="1768"/>
      <c r="V3126" s="1769"/>
      <c r="X3126" s="1768"/>
      <c r="Z3126" s="1769"/>
    </row>
    <row r="3127" spans="6:26" ht="18" customHeight="1">
      <c r="F3127" s="154"/>
      <c r="I3127" s="673"/>
      <c r="J3127" s="209"/>
      <c r="L3127" s="154"/>
      <c r="M3127" s="222"/>
      <c r="P3127" s="1597"/>
      <c r="R3127" s="1598"/>
      <c r="T3127" s="1768"/>
      <c r="V3127" s="1769"/>
      <c r="X3127" s="1768"/>
      <c r="Z3127" s="1769"/>
    </row>
    <row r="3128" spans="6:26" ht="18" customHeight="1">
      <c r="F3128" s="154"/>
      <c r="I3128" s="673"/>
      <c r="J3128" s="209"/>
      <c r="L3128" s="154"/>
      <c r="M3128" s="222"/>
      <c r="P3128" s="1597"/>
      <c r="R3128" s="1598"/>
      <c r="T3128" s="1768"/>
      <c r="V3128" s="1769"/>
      <c r="X3128" s="1768"/>
      <c r="Z3128" s="1769"/>
    </row>
    <row r="3129" spans="6:26" ht="18" customHeight="1">
      <c r="F3129" s="154"/>
      <c r="I3129" s="673"/>
      <c r="J3129" s="209"/>
      <c r="L3129" s="154"/>
      <c r="M3129" s="222"/>
      <c r="P3129" s="1597"/>
      <c r="R3129" s="1598"/>
      <c r="T3129" s="1768"/>
      <c r="V3129" s="1769"/>
      <c r="X3129" s="1768"/>
      <c r="Z3129" s="1769"/>
    </row>
    <row r="3130" spans="6:26" ht="18" customHeight="1">
      <c r="F3130" s="154"/>
      <c r="I3130" s="673"/>
      <c r="J3130" s="209"/>
      <c r="L3130" s="154"/>
      <c r="M3130" s="222"/>
      <c r="P3130" s="1597"/>
      <c r="R3130" s="1598"/>
      <c r="T3130" s="1768"/>
      <c r="V3130" s="1769"/>
      <c r="X3130" s="1768"/>
      <c r="Z3130" s="1769"/>
    </row>
    <row r="3131" spans="6:26" ht="18" customHeight="1">
      <c r="F3131" s="154"/>
      <c r="I3131" s="673"/>
      <c r="J3131" s="209"/>
      <c r="L3131" s="154"/>
      <c r="M3131" s="222"/>
      <c r="P3131" s="1597"/>
      <c r="R3131" s="1598"/>
      <c r="T3131" s="1768"/>
      <c r="V3131" s="1769"/>
      <c r="X3131" s="1768"/>
      <c r="Z3131" s="1769"/>
    </row>
    <row r="3132" spans="6:26" ht="18" customHeight="1">
      <c r="F3132" s="154"/>
      <c r="I3132" s="673"/>
      <c r="J3132" s="209"/>
      <c r="L3132" s="154"/>
      <c r="M3132" s="222"/>
      <c r="P3132" s="1597"/>
      <c r="R3132" s="1598"/>
      <c r="T3132" s="1768"/>
      <c r="V3132" s="1769"/>
      <c r="X3132" s="1768"/>
      <c r="Z3132" s="1769"/>
    </row>
    <row r="3133" spans="6:26" ht="18" customHeight="1">
      <c r="F3133" s="154"/>
      <c r="I3133" s="673"/>
      <c r="J3133" s="209"/>
      <c r="L3133" s="154"/>
      <c r="M3133" s="222"/>
      <c r="P3133" s="1597"/>
      <c r="R3133" s="1598"/>
      <c r="T3133" s="1768"/>
      <c r="V3133" s="1769"/>
      <c r="X3133" s="1768"/>
      <c r="Z3133" s="1769"/>
    </row>
    <row r="3134" spans="6:26" ht="18" customHeight="1">
      <c r="F3134" s="154"/>
      <c r="I3134" s="673"/>
      <c r="J3134" s="209"/>
      <c r="L3134" s="154"/>
      <c r="M3134" s="222"/>
      <c r="P3134" s="1597"/>
      <c r="R3134" s="1598"/>
      <c r="T3134" s="1768"/>
      <c r="V3134" s="1769"/>
      <c r="X3134" s="1768"/>
      <c r="Z3134" s="1769"/>
    </row>
    <row r="3135" spans="6:26" ht="18" customHeight="1">
      <c r="F3135" s="154"/>
      <c r="I3135" s="673"/>
      <c r="J3135" s="209"/>
      <c r="L3135" s="154"/>
      <c r="M3135" s="222"/>
      <c r="P3135" s="1597"/>
      <c r="R3135" s="1598"/>
      <c r="T3135" s="1768"/>
      <c r="V3135" s="1769"/>
      <c r="X3135" s="1768"/>
      <c r="Z3135" s="1769"/>
    </row>
    <row r="3136" spans="6:26" ht="18" customHeight="1">
      <c r="F3136" s="154"/>
      <c r="I3136" s="673"/>
      <c r="J3136" s="209"/>
      <c r="L3136" s="154"/>
      <c r="M3136" s="222"/>
      <c r="P3136" s="1597"/>
      <c r="R3136" s="1598"/>
      <c r="T3136" s="1768"/>
      <c r="V3136" s="1769"/>
      <c r="X3136" s="1768"/>
      <c r="Z3136" s="1769"/>
    </row>
    <row r="3137" spans="6:26" ht="18" customHeight="1">
      <c r="F3137" s="154"/>
      <c r="I3137" s="673"/>
      <c r="J3137" s="209"/>
      <c r="L3137" s="154"/>
      <c r="M3137" s="222"/>
      <c r="P3137" s="1597"/>
      <c r="R3137" s="1598"/>
      <c r="T3137" s="1768"/>
      <c r="V3137" s="1769"/>
      <c r="X3137" s="1768"/>
      <c r="Z3137" s="1769"/>
    </row>
    <row r="3138" spans="6:26" ht="18" customHeight="1">
      <c r="F3138" s="154"/>
      <c r="I3138" s="673"/>
      <c r="J3138" s="209"/>
      <c r="L3138" s="154"/>
      <c r="M3138" s="222"/>
      <c r="P3138" s="1597"/>
      <c r="R3138" s="1598"/>
      <c r="T3138" s="1768"/>
      <c r="V3138" s="1769"/>
      <c r="X3138" s="1768"/>
      <c r="Z3138" s="1769"/>
    </row>
    <row r="3139" spans="6:26" ht="18" customHeight="1">
      <c r="F3139" s="154"/>
      <c r="I3139" s="673"/>
      <c r="J3139" s="209"/>
      <c r="L3139" s="154"/>
      <c r="M3139" s="222"/>
      <c r="P3139" s="1597"/>
      <c r="R3139" s="1598"/>
      <c r="T3139" s="1768"/>
      <c r="V3139" s="1769"/>
      <c r="X3139" s="1768"/>
      <c r="Z3139" s="1769"/>
    </row>
    <row r="3140" spans="6:26" ht="18" customHeight="1">
      <c r="F3140" s="154"/>
      <c r="I3140" s="673"/>
      <c r="J3140" s="209"/>
      <c r="L3140" s="154"/>
      <c r="M3140" s="222"/>
      <c r="P3140" s="1597"/>
      <c r="R3140" s="1598"/>
      <c r="T3140" s="1768"/>
      <c r="V3140" s="1769"/>
      <c r="X3140" s="1768"/>
      <c r="Z3140" s="1769"/>
    </row>
    <row r="3141" spans="6:26" ht="18" customHeight="1">
      <c r="F3141" s="154"/>
      <c r="I3141" s="673"/>
      <c r="J3141" s="209"/>
      <c r="L3141" s="154"/>
      <c r="M3141" s="222"/>
      <c r="P3141" s="1597"/>
      <c r="R3141" s="1598"/>
      <c r="T3141" s="1768"/>
      <c r="V3141" s="1769"/>
      <c r="X3141" s="1768"/>
      <c r="Z3141" s="1769"/>
    </row>
    <row r="3142" spans="6:26" ht="18" customHeight="1">
      <c r="F3142" s="154"/>
      <c r="I3142" s="673"/>
      <c r="J3142" s="209"/>
      <c r="L3142" s="154"/>
      <c r="M3142" s="222"/>
      <c r="P3142" s="1597"/>
      <c r="R3142" s="1598"/>
      <c r="T3142" s="1768"/>
      <c r="V3142" s="1769"/>
      <c r="X3142" s="1768"/>
      <c r="Z3142" s="1769"/>
    </row>
    <row r="3143" spans="6:26" ht="18" customHeight="1">
      <c r="F3143" s="154"/>
      <c r="I3143" s="673"/>
      <c r="J3143" s="209"/>
      <c r="L3143" s="154"/>
      <c r="M3143" s="222"/>
      <c r="P3143" s="1597"/>
      <c r="R3143" s="1598"/>
      <c r="T3143" s="1768"/>
      <c r="V3143" s="1769"/>
      <c r="X3143" s="1768"/>
      <c r="Z3143" s="1769"/>
    </row>
    <row r="3144" spans="6:26" ht="18" customHeight="1">
      <c r="F3144" s="154"/>
      <c r="I3144" s="673"/>
      <c r="J3144" s="209"/>
      <c r="L3144" s="154"/>
      <c r="M3144" s="222"/>
      <c r="P3144" s="1597"/>
      <c r="R3144" s="1598"/>
      <c r="T3144" s="1768"/>
      <c r="V3144" s="1769"/>
      <c r="X3144" s="1768"/>
      <c r="Z3144" s="1769"/>
    </row>
    <row r="3145" spans="6:26" ht="18" customHeight="1">
      <c r="F3145" s="154"/>
      <c r="I3145" s="673"/>
      <c r="J3145" s="209"/>
      <c r="L3145" s="154"/>
      <c r="M3145" s="222"/>
      <c r="P3145" s="1597"/>
      <c r="R3145" s="1598"/>
      <c r="T3145" s="1768"/>
      <c r="V3145" s="1769"/>
      <c r="X3145" s="1768"/>
      <c r="Z3145" s="1769"/>
    </row>
    <row r="3146" spans="6:26" ht="18" customHeight="1">
      <c r="F3146" s="154"/>
      <c r="I3146" s="673"/>
      <c r="J3146" s="209"/>
      <c r="L3146" s="154"/>
      <c r="M3146" s="222"/>
      <c r="P3146" s="1597"/>
      <c r="R3146" s="1598"/>
      <c r="T3146" s="1768"/>
      <c r="V3146" s="1769"/>
      <c r="X3146" s="1768"/>
      <c r="Z3146" s="1769"/>
    </row>
    <row r="3147" spans="6:26" ht="18" customHeight="1">
      <c r="F3147" s="154"/>
      <c r="I3147" s="673"/>
      <c r="J3147" s="209"/>
      <c r="L3147" s="154"/>
      <c r="M3147" s="222"/>
      <c r="P3147" s="1597"/>
      <c r="R3147" s="1598"/>
      <c r="T3147" s="1768"/>
      <c r="V3147" s="1769"/>
      <c r="X3147" s="1768"/>
      <c r="Z3147" s="1769"/>
    </row>
    <row r="3148" spans="6:26" ht="18" customHeight="1">
      <c r="F3148" s="154"/>
      <c r="I3148" s="673"/>
      <c r="J3148" s="209"/>
      <c r="L3148" s="154"/>
      <c r="M3148" s="222"/>
      <c r="P3148" s="1597"/>
      <c r="R3148" s="1598"/>
      <c r="T3148" s="1768"/>
      <c r="V3148" s="1769"/>
      <c r="X3148" s="1768"/>
      <c r="Z3148" s="1769"/>
    </row>
    <row r="3149" spans="6:26" ht="18" customHeight="1">
      <c r="F3149" s="154"/>
      <c r="I3149" s="673"/>
      <c r="J3149" s="209"/>
      <c r="L3149" s="154"/>
      <c r="M3149" s="222"/>
      <c r="P3149" s="1597"/>
      <c r="R3149" s="1598"/>
      <c r="T3149" s="1768"/>
      <c r="V3149" s="1769"/>
      <c r="X3149" s="1768"/>
      <c r="Z3149" s="1769"/>
    </row>
    <row r="3150" spans="6:26" ht="18" customHeight="1">
      <c r="F3150" s="154"/>
      <c r="I3150" s="673"/>
      <c r="J3150" s="209"/>
      <c r="L3150" s="154"/>
      <c r="M3150" s="222"/>
      <c r="P3150" s="1597"/>
      <c r="R3150" s="1598"/>
      <c r="T3150" s="1768"/>
      <c r="V3150" s="1769"/>
      <c r="X3150" s="1768"/>
      <c r="Z3150" s="1769"/>
    </row>
    <row r="3151" spans="6:26" ht="18" customHeight="1">
      <c r="F3151" s="154"/>
      <c r="I3151" s="673"/>
      <c r="J3151" s="209"/>
      <c r="L3151" s="154"/>
      <c r="M3151" s="222"/>
      <c r="P3151" s="1597"/>
      <c r="R3151" s="1598"/>
      <c r="T3151" s="1768"/>
      <c r="V3151" s="1769"/>
      <c r="X3151" s="1768"/>
      <c r="Z3151" s="1769"/>
    </row>
    <row r="3152" spans="6:26" ht="18" customHeight="1">
      <c r="F3152" s="154"/>
      <c r="I3152" s="673"/>
      <c r="J3152" s="209"/>
      <c r="L3152" s="154"/>
      <c r="M3152" s="222"/>
      <c r="P3152" s="1597"/>
      <c r="R3152" s="1598"/>
      <c r="T3152" s="1768"/>
      <c r="V3152" s="1769"/>
      <c r="X3152" s="1768"/>
      <c r="Z3152" s="1769"/>
    </row>
    <row r="3153" spans="6:26" ht="18" customHeight="1">
      <c r="F3153" s="154"/>
      <c r="I3153" s="673"/>
      <c r="J3153" s="209"/>
      <c r="L3153" s="154"/>
      <c r="M3153" s="222"/>
      <c r="P3153" s="1597"/>
      <c r="R3153" s="1598"/>
      <c r="T3153" s="1768"/>
      <c r="V3153" s="1769"/>
      <c r="X3153" s="1768"/>
      <c r="Z3153" s="1769"/>
    </row>
    <row r="3154" spans="6:26" ht="18" customHeight="1">
      <c r="F3154" s="154"/>
      <c r="I3154" s="673"/>
      <c r="J3154" s="209"/>
      <c r="L3154" s="154"/>
      <c r="M3154" s="222"/>
      <c r="P3154" s="1597"/>
      <c r="R3154" s="1598"/>
      <c r="T3154" s="1768"/>
      <c r="V3154" s="1769"/>
      <c r="X3154" s="1768"/>
      <c r="Z3154" s="1769"/>
    </row>
    <row r="3155" spans="6:26" ht="18" customHeight="1">
      <c r="F3155" s="154"/>
      <c r="I3155" s="673"/>
      <c r="J3155" s="209"/>
      <c r="L3155" s="154"/>
      <c r="M3155" s="222"/>
      <c r="P3155" s="1597"/>
      <c r="R3155" s="1598"/>
      <c r="T3155" s="1768"/>
      <c r="V3155" s="1769"/>
      <c r="X3155" s="1768"/>
      <c r="Z3155" s="1769"/>
    </row>
    <row r="3156" spans="6:26" ht="18" customHeight="1">
      <c r="F3156" s="154"/>
      <c r="I3156" s="673"/>
      <c r="J3156" s="209"/>
      <c r="L3156" s="154"/>
      <c r="M3156" s="222"/>
      <c r="P3156" s="1597"/>
      <c r="R3156" s="1598"/>
      <c r="T3156" s="1768"/>
      <c r="V3156" s="1769"/>
      <c r="X3156" s="1768"/>
      <c r="Z3156" s="1769"/>
    </row>
    <row r="3157" spans="6:26" ht="18" customHeight="1">
      <c r="F3157" s="154"/>
      <c r="I3157" s="673"/>
      <c r="J3157" s="209"/>
      <c r="L3157" s="154"/>
      <c r="M3157" s="222"/>
      <c r="P3157" s="1597"/>
      <c r="R3157" s="1598"/>
      <c r="T3157" s="1768"/>
      <c r="V3157" s="1769"/>
      <c r="X3157" s="1768"/>
      <c r="Z3157" s="1769"/>
    </row>
    <row r="3158" spans="6:26" ht="18" customHeight="1">
      <c r="F3158" s="154"/>
      <c r="I3158" s="673"/>
      <c r="J3158" s="209"/>
      <c r="L3158" s="154"/>
      <c r="M3158" s="222"/>
      <c r="P3158" s="1597"/>
      <c r="R3158" s="1598"/>
      <c r="T3158" s="1768"/>
      <c r="V3158" s="1769"/>
      <c r="X3158" s="1768"/>
      <c r="Z3158" s="1769"/>
    </row>
    <row r="3159" spans="6:26" ht="18" customHeight="1">
      <c r="F3159" s="154"/>
      <c r="I3159" s="673"/>
      <c r="J3159" s="209"/>
      <c r="L3159" s="154"/>
      <c r="M3159" s="222"/>
      <c r="P3159" s="1597"/>
      <c r="R3159" s="1598"/>
      <c r="T3159" s="1768"/>
      <c r="V3159" s="1769"/>
      <c r="X3159" s="1768"/>
      <c r="Z3159" s="1769"/>
    </row>
    <row r="3160" spans="6:26" ht="18" customHeight="1">
      <c r="F3160" s="154"/>
      <c r="I3160" s="673"/>
      <c r="J3160" s="209"/>
      <c r="L3160" s="154"/>
      <c r="M3160" s="222"/>
      <c r="P3160" s="1597"/>
      <c r="R3160" s="1598"/>
      <c r="T3160" s="1768"/>
      <c r="V3160" s="1769"/>
      <c r="X3160" s="1768"/>
      <c r="Z3160" s="1769"/>
    </row>
    <row r="3161" spans="6:26" ht="18" customHeight="1">
      <c r="F3161" s="154"/>
      <c r="I3161" s="673"/>
      <c r="J3161" s="209"/>
      <c r="L3161" s="154"/>
      <c r="M3161" s="222"/>
      <c r="P3161" s="1597"/>
      <c r="R3161" s="1598"/>
      <c r="T3161" s="1768"/>
      <c r="V3161" s="1769"/>
      <c r="X3161" s="1768"/>
      <c r="Z3161" s="1769"/>
    </row>
    <row r="3162" spans="6:26" ht="18" customHeight="1">
      <c r="F3162" s="154"/>
      <c r="I3162" s="673"/>
      <c r="J3162" s="209"/>
      <c r="L3162" s="154"/>
      <c r="M3162" s="222"/>
      <c r="P3162" s="1597"/>
      <c r="R3162" s="1598"/>
      <c r="T3162" s="1768"/>
      <c r="V3162" s="1769"/>
      <c r="X3162" s="1768"/>
      <c r="Z3162" s="1769"/>
    </row>
    <row r="3163" spans="6:26" ht="18" customHeight="1">
      <c r="F3163" s="154"/>
      <c r="I3163" s="673"/>
      <c r="J3163" s="209"/>
      <c r="L3163" s="154"/>
      <c r="M3163" s="222"/>
      <c r="P3163" s="1597"/>
      <c r="R3163" s="1598"/>
      <c r="T3163" s="1768"/>
      <c r="V3163" s="1769"/>
      <c r="X3163" s="1768"/>
      <c r="Z3163" s="1769"/>
    </row>
    <row r="3164" spans="6:26" ht="18" customHeight="1">
      <c r="F3164" s="154"/>
      <c r="I3164" s="673"/>
      <c r="J3164" s="209"/>
      <c r="L3164" s="154"/>
      <c r="M3164" s="222"/>
      <c r="P3164" s="1597"/>
      <c r="R3164" s="1598"/>
      <c r="T3164" s="1768"/>
      <c r="V3164" s="1769"/>
      <c r="X3164" s="1768"/>
      <c r="Z3164" s="1769"/>
    </row>
    <row r="3165" spans="6:26" ht="18" customHeight="1">
      <c r="F3165" s="154"/>
      <c r="I3165" s="673"/>
      <c r="J3165" s="209"/>
      <c r="L3165" s="154"/>
      <c r="M3165" s="222"/>
      <c r="P3165" s="1597"/>
      <c r="R3165" s="1598"/>
      <c r="T3165" s="1768"/>
      <c r="V3165" s="1769"/>
      <c r="X3165" s="1768"/>
      <c r="Z3165" s="1769"/>
    </row>
    <row r="3166" spans="6:26" ht="18" customHeight="1">
      <c r="F3166" s="154"/>
      <c r="I3166" s="673"/>
      <c r="J3166" s="209"/>
      <c r="L3166" s="154"/>
      <c r="M3166" s="222"/>
      <c r="P3166" s="1597"/>
      <c r="R3166" s="1598"/>
      <c r="T3166" s="1768"/>
      <c r="V3166" s="1769"/>
      <c r="X3166" s="1768"/>
      <c r="Z3166" s="1769"/>
    </row>
    <row r="3167" spans="6:26" ht="18" customHeight="1">
      <c r="F3167" s="154"/>
      <c r="I3167" s="673"/>
      <c r="J3167" s="209"/>
      <c r="L3167" s="154"/>
      <c r="M3167" s="222"/>
      <c r="P3167" s="1597"/>
      <c r="R3167" s="1598"/>
      <c r="T3167" s="1768"/>
      <c r="V3167" s="1769"/>
      <c r="X3167" s="1768"/>
      <c r="Z3167" s="1769"/>
    </row>
    <row r="3168" spans="6:26" ht="18" customHeight="1">
      <c r="F3168" s="154"/>
      <c r="I3168" s="673"/>
      <c r="J3168" s="209"/>
      <c r="L3168" s="154"/>
      <c r="M3168" s="222"/>
      <c r="P3168" s="1597"/>
      <c r="R3168" s="1598"/>
      <c r="T3168" s="1768"/>
      <c r="V3168" s="1769"/>
      <c r="X3168" s="1768"/>
      <c r="Z3168" s="1769"/>
    </row>
    <row r="3169" spans="6:26" ht="18" customHeight="1">
      <c r="F3169" s="154"/>
      <c r="I3169" s="673"/>
      <c r="J3169" s="209"/>
      <c r="L3169" s="154"/>
      <c r="M3169" s="222"/>
      <c r="P3169" s="1597"/>
      <c r="R3169" s="1598"/>
      <c r="T3169" s="1768"/>
      <c r="V3169" s="1769"/>
      <c r="X3169" s="1768"/>
      <c r="Z3169" s="1769"/>
    </row>
    <row r="3170" spans="6:26" ht="18" customHeight="1">
      <c r="F3170" s="154"/>
      <c r="I3170" s="673"/>
      <c r="J3170" s="209"/>
      <c r="L3170" s="154"/>
      <c r="M3170" s="222"/>
      <c r="P3170" s="1597"/>
      <c r="R3170" s="1598"/>
      <c r="T3170" s="1768"/>
      <c r="V3170" s="1769"/>
      <c r="X3170" s="1768"/>
      <c r="Z3170" s="1769"/>
    </row>
    <row r="3171" spans="6:26" ht="18" customHeight="1">
      <c r="F3171" s="154"/>
      <c r="I3171" s="673"/>
      <c r="J3171" s="209"/>
      <c r="L3171" s="154"/>
      <c r="M3171" s="222"/>
      <c r="P3171" s="1597"/>
      <c r="R3171" s="1598"/>
      <c r="T3171" s="1768"/>
      <c r="V3171" s="1769"/>
      <c r="X3171" s="1768"/>
      <c r="Z3171" s="1769"/>
    </row>
    <row r="3172" spans="6:26" ht="18" customHeight="1">
      <c r="F3172" s="154"/>
      <c r="I3172" s="673"/>
      <c r="J3172" s="209"/>
      <c r="L3172" s="154"/>
      <c r="M3172" s="222"/>
      <c r="P3172" s="1597"/>
      <c r="R3172" s="1598"/>
      <c r="T3172" s="1768"/>
      <c r="V3172" s="1769"/>
      <c r="X3172" s="1768"/>
      <c r="Z3172" s="1769"/>
    </row>
    <row r="3173" spans="6:26" ht="18" customHeight="1">
      <c r="F3173" s="154"/>
      <c r="I3173" s="673"/>
      <c r="J3173" s="209"/>
      <c r="L3173" s="154"/>
      <c r="M3173" s="222"/>
      <c r="P3173" s="1597"/>
      <c r="R3173" s="1598"/>
      <c r="T3173" s="1768"/>
      <c r="V3173" s="1769"/>
      <c r="X3173" s="1768"/>
      <c r="Z3173" s="1769"/>
    </row>
    <row r="3174" spans="6:26" ht="18" customHeight="1">
      <c r="F3174" s="154"/>
      <c r="I3174" s="673"/>
      <c r="J3174" s="209"/>
      <c r="L3174" s="154"/>
      <c r="M3174" s="222"/>
      <c r="P3174" s="1597"/>
      <c r="R3174" s="1598"/>
      <c r="T3174" s="1768"/>
      <c r="V3174" s="1769"/>
      <c r="X3174" s="1768"/>
      <c r="Z3174" s="1769"/>
    </row>
    <row r="3175" spans="6:26" ht="18" customHeight="1">
      <c r="F3175" s="154"/>
      <c r="I3175" s="673"/>
      <c r="J3175" s="209"/>
      <c r="L3175" s="154"/>
      <c r="M3175" s="222"/>
      <c r="P3175" s="1597"/>
      <c r="R3175" s="1598"/>
      <c r="T3175" s="1768"/>
      <c r="V3175" s="1769"/>
      <c r="X3175" s="1768"/>
      <c r="Z3175" s="1769"/>
    </row>
    <row r="3176" spans="6:26" ht="18" customHeight="1">
      <c r="F3176" s="154"/>
      <c r="I3176" s="673"/>
      <c r="J3176" s="209"/>
      <c r="L3176" s="154"/>
      <c r="M3176" s="222"/>
      <c r="P3176" s="1597"/>
      <c r="R3176" s="1598"/>
      <c r="T3176" s="1768"/>
      <c r="V3176" s="1769"/>
      <c r="X3176" s="1768"/>
      <c r="Z3176" s="1769"/>
    </row>
    <row r="3177" spans="6:26" ht="18" customHeight="1">
      <c r="F3177" s="154"/>
      <c r="I3177" s="673"/>
      <c r="J3177" s="209"/>
      <c r="L3177" s="154"/>
      <c r="M3177" s="222"/>
      <c r="P3177" s="1597"/>
      <c r="R3177" s="1598"/>
      <c r="T3177" s="1768"/>
      <c r="V3177" s="1769"/>
      <c r="X3177" s="1768"/>
      <c r="Z3177" s="1769"/>
    </row>
    <row r="3178" spans="6:26" ht="18" customHeight="1">
      <c r="F3178" s="154"/>
      <c r="I3178" s="673"/>
      <c r="J3178" s="209"/>
      <c r="L3178" s="154"/>
      <c r="M3178" s="222"/>
      <c r="P3178" s="1597"/>
      <c r="R3178" s="1598"/>
      <c r="T3178" s="1768"/>
      <c r="V3178" s="1769"/>
      <c r="X3178" s="1768"/>
      <c r="Z3178" s="1769"/>
    </row>
    <row r="3179" spans="6:26" ht="18" customHeight="1">
      <c r="F3179" s="154"/>
      <c r="I3179" s="673"/>
      <c r="J3179" s="209"/>
      <c r="L3179" s="154"/>
      <c r="M3179" s="222"/>
      <c r="P3179" s="1597"/>
      <c r="R3179" s="1598"/>
      <c r="T3179" s="1768"/>
      <c r="V3179" s="1769"/>
      <c r="X3179" s="1768"/>
      <c r="Z3179" s="1769"/>
    </row>
    <row r="3180" spans="6:26" ht="18" customHeight="1">
      <c r="F3180" s="154"/>
      <c r="I3180" s="673"/>
      <c r="J3180" s="209"/>
      <c r="L3180" s="154"/>
      <c r="M3180" s="222"/>
      <c r="P3180" s="1597"/>
      <c r="R3180" s="1598"/>
      <c r="T3180" s="1768"/>
      <c r="V3180" s="1769"/>
      <c r="X3180" s="1768"/>
      <c r="Z3180" s="1769"/>
    </row>
    <row r="3181" spans="6:26" ht="18" customHeight="1">
      <c r="F3181" s="154"/>
      <c r="I3181" s="673"/>
      <c r="J3181" s="209"/>
      <c r="L3181" s="154"/>
      <c r="M3181" s="222"/>
      <c r="P3181" s="1597"/>
      <c r="R3181" s="1598"/>
      <c r="T3181" s="1768"/>
      <c r="V3181" s="1769"/>
      <c r="X3181" s="1768"/>
      <c r="Z3181" s="1769"/>
    </row>
    <row r="3182" spans="6:26" ht="18" customHeight="1">
      <c r="F3182" s="154"/>
      <c r="I3182" s="673"/>
      <c r="J3182" s="209"/>
      <c r="L3182" s="154"/>
      <c r="M3182" s="222"/>
      <c r="P3182" s="1597"/>
      <c r="R3182" s="1598"/>
      <c r="T3182" s="1768"/>
      <c r="V3182" s="1769"/>
      <c r="X3182" s="1768"/>
      <c r="Z3182" s="1769"/>
    </row>
    <row r="3183" spans="6:26" ht="18" customHeight="1">
      <c r="F3183" s="154"/>
      <c r="I3183" s="673"/>
      <c r="J3183" s="209"/>
      <c r="L3183" s="154"/>
      <c r="M3183" s="222"/>
      <c r="P3183" s="1597"/>
      <c r="R3183" s="1598"/>
      <c r="T3183" s="1768"/>
      <c r="V3183" s="1769"/>
      <c r="X3183" s="1768"/>
      <c r="Z3183" s="1769"/>
    </row>
    <row r="3184" spans="6:26" ht="18" customHeight="1">
      <c r="F3184" s="154"/>
      <c r="I3184" s="673"/>
      <c r="J3184" s="209"/>
      <c r="L3184" s="154"/>
      <c r="M3184" s="222"/>
      <c r="P3184" s="1597"/>
      <c r="R3184" s="1598"/>
      <c r="T3184" s="1768"/>
      <c r="V3184" s="1769"/>
      <c r="X3184" s="1768"/>
      <c r="Z3184" s="1769"/>
    </row>
    <row r="3185" spans="6:26" ht="18" customHeight="1">
      <c r="F3185" s="154"/>
      <c r="I3185" s="673"/>
      <c r="J3185" s="209"/>
      <c r="L3185" s="154"/>
      <c r="M3185" s="222"/>
      <c r="P3185" s="1597"/>
      <c r="R3185" s="1598"/>
      <c r="T3185" s="1768"/>
      <c r="V3185" s="1769"/>
      <c r="X3185" s="1768"/>
      <c r="Z3185" s="1769"/>
    </row>
    <row r="3186" spans="6:26" ht="18" customHeight="1">
      <c r="F3186" s="154"/>
      <c r="I3186" s="673"/>
      <c r="J3186" s="209"/>
      <c r="L3186" s="154"/>
      <c r="M3186" s="222"/>
      <c r="P3186" s="1597"/>
      <c r="R3186" s="1598"/>
      <c r="T3186" s="1768"/>
      <c r="V3186" s="1769"/>
      <c r="X3186" s="1768"/>
      <c r="Z3186" s="1769"/>
    </row>
    <row r="3187" spans="6:26" ht="18" customHeight="1">
      <c r="F3187" s="154"/>
      <c r="I3187" s="673"/>
      <c r="J3187" s="209"/>
      <c r="L3187" s="154"/>
      <c r="M3187" s="222"/>
      <c r="P3187" s="1597"/>
      <c r="R3187" s="1598"/>
      <c r="T3187" s="1768"/>
      <c r="V3187" s="1769"/>
      <c r="X3187" s="1768"/>
      <c r="Z3187" s="1769"/>
    </row>
    <row r="3188" spans="6:26" ht="18" customHeight="1">
      <c r="F3188" s="154"/>
      <c r="I3188" s="673"/>
      <c r="J3188" s="209"/>
      <c r="L3188" s="154"/>
      <c r="M3188" s="222"/>
      <c r="P3188" s="1597"/>
      <c r="R3188" s="1598"/>
      <c r="T3188" s="1768"/>
      <c r="V3188" s="1769"/>
      <c r="X3188" s="1768"/>
      <c r="Z3188" s="1769"/>
    </row>
    <row r="3189" spans="6:26" ht="18" customHeight="1">
      <c r="F3189" s="154"/>
      <c r="I3189" s="673"/>
      <c r="J3189" s="209"/>
      <c r="L3189" s="154"/>
      <c r="M3189" s="222"/>
      <c r="P3189" s="1597"/>
      <c r="R3189" s="1598"/>
      <c r="T3189" s="1768"/>
      <c r="V3189" s="1769"/>
      <c r="X3189" s="1768"/>
      <c r="Z3189" s="1769"/>
    </row>
    <row r="3190" spans="6:26" ht="18" customHeight="1">
      <c r="F3190" s="154"/>
      <c r="I3190" s="673"/>
      <c r="J3190" s="209"/>
      <c r="L3190" s="154"/>
      <c r="M3190" s="222"/>
      <c r="P3190" s="1597"/>
      <c r="R3190" s="1598"/>
      <c r="T3190" s="1768"/>
      <c r="V3190" s="1769"/>
      <c r="X3190" s="1768"/>
      <c r="Z3190" s="1769"/>
    </row>
    <row r="3191" spans="6:26" ht="18" customHeight="1">
      <c r="F3191" s="154"/>
      <c r="I3191" s="673"/>
      <c r="J3191" s="209"/>
      <c r="L3191" s="154"/>
      <c r="M3191" s="222"/>
      <c r="P3191" s="1597"/>
      <c r="R3191" s="1598"/>
      <c r="T3191" s="1768"/>
      <c r="V3191" s="1769"/>
      <c r="X3191" s="1768"/>
      <c r="Z3191" s="1769"/>
    </row>
    <row r="3192" spans="6:26" ht="18" customHeight="1">
      <c r="F3192" s="154"/>
      <c r="I3192" s="673"/>
      <c r="J3192" s="209"/>
      <c r="L3192" s="154"/>
      <c r="M3192" s="222"/>
      <c r="P3192" s="1597"/>
      <c r="R3192" s="1598"/>
      <c r="T3192" s="1768"/>
      <c r="V3192" s="1769"/>
      <c r="X3192" s="1768"/>
      <c r="Z3192" s="1769"/>
    </row>
    <row r="3193" spans="6:26" ht="18" customHeight="1">
      <c r="F3193" s="154"/>
      <c r="I3193" s="673"/>
      <c r="J3193" s="209"/>
      <c r="L3193" s="154"/>
      <c r="M3193" s="222"/>
      <c r="P3193" s="1597"/>
      <c r="R3193" s="1598"/>
      <c r="T3193" s="1768"/>
      <c r="V3193" s="1769"/>
      <c r="X3193" s="1768"/>
      <c r="Z3193" s="1769"/>
    </row>
    <row r="3194" spans="6:26" ht="18" customHeight="1">
      <c r="F3194" s="154"/>
      <c r="I3194" s="673"/>
      <c r="J3194" s="209"/>
      <c r="L3194" s="154"/>
      <c r="M3194" s="222"/>
      <c r="P3194" s="1597"/>
      <c r="R3194" s="1598"/>
      <c r="T3194" s="1768"/>
      <c r="V3194" s="1769"/>
      <c r="X3194" s="1768"/>
      <c r="Z3194" s="1769"/>
    </row>
    <row r="3195" spans="6:26" ht="18" customHeight="1">
      <c r="F3195" s="154"/>
      <c r="I3195" s="673"/>
      <c r="J3195" s="209"/>
      <c r="L3195" s="154"/>
      <c r="M3195" s="222"/>
      <c r="P3195" s="1597"/>
      <c r="R3195" s="1598"/>
      <c r="T3195" s="1768"/>
      <c r="V3195" s="1769"/>
      <c r="X3195" s="1768"/>
      <c r="Z3195" s="1769"/>
    </row>
    <row r="3196" spans="6:26" ht="18" customHeight="1">
      <c r="F3196" s="154"/>
      <c r="I3196" s="673"/>
      <c r="J3196" s="209"/>
      <c r="L3196" s="154"/>
      <c r="M3196" s="222"/>
      <c r="P3196" s="1597"/>
      <c r="R3196" s="1598"/>
      <c r="T3196" s="1768"/>
      <c r="V3196" s="1769"/>
      <c r="X3196" s="1768"/>
      <c r="Z3196" s="1769"/>
    </row>
    <row r="3197" spans="6:26" ht="18" customHeight="1">
      <c r="F3197" s="154"/>
      <c r="I3197" s="673"/>
      <c r="J3197" s="209"/>
      <c r="L3197" s="154"/>
      <c r="M3197" s="222"/>
      <c r="P3197" s="1597"/>
      <c r="R3197" s="1598"/>
      <c r="T3197" s="1768"/>
      <c r="V3197" s="1769"/>
      <c r="X3197" s="1768"/>
      <c r="Z3197" s="1769"/>
    </row>
    <row r="3198" spans="6:26" ht="18" customHeight="1">
      <c r="F3198" s="154"/>
      <c r="I3198" s="673"/>
      <c r="J3198" s="209"/>
      <c r="L3198" s="154"/>
      <c r="M3198" s="222"/>
      <c r="P3198" s="1597"/>
      <c r="R3198" s="1598"/>
      <c r="T3198" s="1768"/>
      <c r="V3198" s="1769"/>
      <c r="X3198" s="1768"/>
      <c r="Z3198" s="1769"/>
    </row>
    <row r="3199" spans="6:26" ht="18" customHeight="1">
      <c r="F3199" s="154"/>
      <c r="I3199" s="673"/>
      <c r="J3199" s="209"/>
      <c r="L3199" s="154"/>
      <c r="M3199" s="222"/>
      <c r="P3199" s="1597"/>
      <c r="R3199" s="1598"/>
      <c r="T3199" s="1768"/>
      <c r="V3199" s="1769"/>
      <c r="X3199" s="1768"/>
      <c r="Z3199" s="1769"/>
    </row>
    <row r="3200" spans="6:26" ht="18" customHeight="1">
      <c r="F3200" s="154"/>
      <c r="I3200" s="673"/>
      <c r="J3200" s="209"/>
      <c r="L3200" s="154"/>
      <c r="M3200" s="222"/>
      <c r="P3200" s="1597"/>
      <c r="R3200" s="1598"/>
      <c r="T3200" s="1768"/>
      <c r="V3200" s="1769"/>
      <c r="X3200" s="1768"/>
      <c r="Z3200" s="1769"/>
    </row>
    <row r="3201" spans="6:26" ht="18" customHeight="1">
      <c r="F3201" s="154"/>
      <c r="I3201" s="673"/>
      <c r="J3201" s="209"/>
      <c r="L3201" s="154"/>
      <c r="M3201" s="222"/>
      <c r="P3201" s="1597"/>
      <c r="R3201" s="1598"/>
      <c r="T3201" s="1768"/>
      <c r="V3201" s="1769"/>
      <c r="X3201" s="1768"/>
      <c r="Z3201" s="1769"/>
    </row>
    <row r="3202" spans="6:26" ht="18" customHeight="1">
      <c r="F3202" s="154"/>
      <c r="I3202" s="673"/>
      <c r="J3202" s="209"/>
      <c r="L3202" s="154"/>
      <c r="M3202" s="222"/>
      <c r="P3202" s="1597"/>
      <c r="R3202" s="1598"/>
      <c r="T3202" s="1768"/>
      <c r="V3202" s="1769"/>
      <c r="X3202" s="1768"/>
      <c r="Z3202" s="1769"/>
    </row>
    <row r="3203" spans="6:26" ht="18" customHeight="1">
      <c r="F3203" s="154"/>
      <c r="I3203" s="673"/>
      <c r="J3203" s="209"/>
      <c r="L3203" s="154"/>
      <c r="M3203" s="222"/>
      <c r="P3203" s="1597"/>
      <c r="R3203" s="1598"/>
      <c r="T3203" s="1768"/>
      <c r="V3203" s="1769"/>
      <c r="X3203" s="1768"/>
      <c r="Z3203" s="1769"/>
    </row>
    <row r="3204" spans="6:26" ht="18" customHeight="1">
      <c r="F3204" s="154"/>
      <c r="I3204" s="673"/>
      <c r="J3204" s="209"/>
      <c r="L3204" s="154"/>
      <c r="M3204" s="222"/>
      <c r="P3204" s="1597"/>
      <c r="R3204" s="1598"/>
      <c r="T3204" s="1768"/>
      <c r="V3204" s="1769"/>
      <c r="X3204" s="1768"/>
      <c r="Z3204" s="1769"/>
    </row>
    <row r="3205" spans="6:26" ht="18" customHeight="1">
      <c r="F3205" s="154"/>
      <c r="I3205" s="673"/>
      <c r="J3205" s="209"/>
      <c r="L3205" s="154"/>
      <c r="M3205" s="222"/>
      <c r="P3205" s="1597"/>
      <c r="R3205" s="1598"/>
      <c r="T3205" s="1768"/>
      <c r="V3205" s="1769"/>
      <c r="X3205" s="1768"/>
      <c r="Z3205" s="1769"/>
    </row>
    <row r="3206" spans="6:26" ht="18" customHeight="1">
      <c r="F3206" s="154"/>
      <c r="I3206" s="673"/>
      <c r="J3206" s="209"/>
      <c r="L3206" s="154"/>
      <c r="M3206" s="222"/>
      <c r="P3206" s="1597"/>
      <c r="R3206" s="1598"/>
      <c r="T3206" s="1768"/>
      <c r="V3206" s="1769"/>
      <c r="X3206" s="1768"/>
      <c r="Z3206" s="1769"/>
    </row>
    <row r="3207" spans="6:26" ht="18" customHeight="1">
      <c r="F3207" s="154"/>
      <c r="I3207" s="673"/>
      <c r="J3207" s="209"/>
      <c r="L3207" s="154"/>
      <c r="M3207" s="222"/>
      <c r="P3207" s="1597"/>
      <c r="R3207" s="1598"/>
      <c r="T3207" s="1768"/>
      <c r="V3207" s="1769"/>
      <c r="X3207" s="1768"/>
      <c r="Z3207" s="1769"/>
    </row>
    <row r="3208" spans="6:26" ht="18" customHeight="1">
      <c r="F3208" s="154"/>
      <c r="I3208" s="673"/>
      <c r="J3208" s="209"/>
      <c r="L3208" s="154"/>
      <c r="M3208" s="222"/>
      <c r="P3208" s="1597"/>
      <c r="R3208" s="1598"/>
      <c r="T3208" s="1768"/>
      <c r="V3208" s="1769"/>
      <c r="X3208" s="1768"/>
      <c r="Z3208" s="1769"/>
    </row>
    <row r="3209" spans="6:26" ht="18" customHeight="1">
      <c r="F3209" s="154"/>
      <c r="I3209" s="673"/>
      <c r="J3209" s="209"/>
      <c r="L3209" s="154"/>
      <c r="M3209" s="222"/>
      <c r="P3209" s="1597"/>
      <c r="R3209" s="1598"/>
      <c r="T3209" s="1768"/>
      <c r="V3209" s="1769"/>
      <c r="X3209" s="1768"/>
      <c r="Z3209" s="1769"/>
    </row>
    <row r="3210" spans="6:26" ht="18" customHeight="1">
      <c r="F3210" s="154"/>
      <c r="I3210" s="673"/>
      <c r="J3210" s="209"/>
      <c r="L3210" s="154"/>
      <c r="M3210" s="222"/>
      <c r="P3210" s="1597"/>
      <c r="R3210" s="1598"/>
      <c r="T3210" s="1768"/>
      <c r="V3210" s="1769"/>
      <c r="X3210" s="1768"/>
      <c r="Z3210" s="1769"/>
    </row>
    <row r="3211" spans="6:26" ht="18" customHeight="1">
      <c r="F3211" s="154"/>
      <c r="I3211" s="673"/>
      <c r="J3211" s="209"/>
      <c r="L3211" s="154"/>
      <c r="M3211" s="222"/>
      <c r="P3211" s="1597"/>
      <c r="R3211" s="1598"/>
      <c r="T3211" s="1768"/>
      <c r="V3211" s="1769"/>
      <c r="X3211" s="1768"/>
      <c r="Z3211" s="1769"/>
    </row>
    <row r="3212" spans="6:26" ht="18" customHeight="1">
      <c r="F3212" s="154"/>
      <c r="I3212" s="673"/>
      <c r="J3212" s="209"/>
      <c r="L3212" s="154"/>
      <c r="M3212" s="222"/>
      <c r="P3212" s="1597"/>
      <c r="R3212" s="1598"/>
      <c r="T3212" s="1768"/>
      <c r="V3212" s="1769"/>
      <c r="X3212" s="1768"/>
      <c r="Z3212" s="1769"/>
    </row>
    <row r="3213" spans="6:26" ht="18" customHeight="1">
      <c r="F3213" s="154"/>
      <c r="I3213" s="673"/>
      <c r="J3213" s="209"/>
      <c r="L3213" s="154"/>
      <c r="M3213" s="222"/>
      <c r="P3213" s="1597"/>
      <c r="R3213" s="1598"/>
      <c r="T3213" s="1768"/>
      <c r="V3213" s="1769"/>
      <c r="X3213" s="1768"/>
      <c r="Z3213" s="1769"/>
    </row>
    <row r="3214" spans="6:26" ht="18" customHeight="1">
      <c r="F3214" s="154"/>
      <c r="I3214" s="673"/>
      <c r="J3214" s="209"/>
      <c r="L3214" s="154"/>
      <c r="M3214" s="222"/>
      <c r="P3214" s="1597"/>
      <c r="R3214" s="1598"/>
      <c r="T3214" s="1768"/>
      <c r="V3214" s="1769"/>
      <c r="X3214" s="1768"/>
      <c r="Z3214" s="1769"/>
    </row>
    <row r="3215" spans="6:26" ht="18" customHeight="1">
      <c r="F3215" s="154"/>
      <c r="I3215" s="673"/>
      <c r="J3215" s="209"/>
      <c r="L3215" s="154"/>
      <c r="M3215" s="222"/>
      <c r="P3215" s="1597"/>
      <c r="R3215" s="1598"/>
      <c r="T3215" s="1768"/>
      <c r="V3215" s="1769"/>
      <c r="X3215" s="1768"/>
      <c r="Z3215" s="1769"/>
    </row>
    <row r="3216" spans="6:26" ht="18" customHeight="1">
      <c r="F3216" s="154"/>
      <c r="I3216" s="673"/>
      <c r="J3216" s="209"/>
      <c r="L3216" s="154"/>
      <c r="M3216" s="222"/>
      <c r="P3216" s="1597"/>
      <c r="R3216" s="1598"/>
      <c r="T3216" s="1768"/>
      <c r="V3216" s="1769"/>
      <c r="X3216" s="1768"/>
      <c r="Z3216" s="1769"/>
    </row>
    <row r="3217" spans="6:26" ht="18" customHeight="1">
      <c r="F3217" s="154"/>
      <c r="I3217" s="673"/>
      <c r="J3217" s="209"/>
      <c r="L3217" s="154"/>
      <c r="M3217" s="222"/>
      <c r="P3217" s="1597"/>
      <c r="R3217" s="1598"/>
      <c r="T3217" s="1768"/>
      <c r="V3217" s="1769"/>
      <c r="X3217" s="1768"/>
      <c r="Z3217" s="1769"/>
    </row>
    <row r="3218" spans="6:26" ht="18" customHeight="1">
      <c r="F3218" s="154"/>
      <c r="I3218" s="673"/>
      <c r="J3218" s="209"/>
      <c r="L3218" s="154"/>
      <c r="M3218" s="222"/>
      <c r="P3218" s="1597"/>
      <c r="R3218" s="1598"/>
      <c r="T3218" s="1768"/>
      <c r="V3218" s="1769"/>
      <c r="X3218" s="1768"/>
      <c r="Z3218" s="1769"/>
    </row>
    <row r="3219" spans="6:26" ht="18" customHeight="1">
      <c r="F3219" s="154"/>
      <c r="I3219" s="673"/>
      <c r="J3219" s="209"/>
      <c r="L3219" s="154"/>
      <c r="M3219" s="222"/>
      <c r="P3219" s="1597"/>
      <c r="R3219" s="1598"/>
      <c r="T3219" s="1768"/>
      <c r="V3219" s="1769"/>
      <c r="X3219" s="1768"/>
      <c r="Z3219" s="1769"/>
    </row>
    <row r="3220" spans="6:26" ht="18" customHeight="1">
      <c r="F3220" s="154"/>
      <c r="I3220" s="673"/>
      <c r="J3220" s="209"/>
      <c r="L3220" s="154"/>
      <c r="M3220" s="222"/>
      <c r="P3220" s="1597"/>
      <c r="R3220" s="1598"/>
      <c r="T3220" s="1768"/>
      <c r="V3220" s="1769"/>
      <c r="X3220" s="1768"/>
      <c r="Z3220" s="1769"/>
    </row>
    <row r="3221" spans="6:26" ht="18" customHeight="1">
      <c r="F3221" s="154"/>
      <c r="I3221" s="673"/>
      <c r="J3221" s="209"/>
      <c r="L3221" s="154"/>
      <c r="M3221" s="222"/>
      <c r="P3221" s="1597"/>
      <c r="R3221" s="1598"/>
      <c r="T3221" s="1768"/>
      <c r="V3221" s="1769"/>
      <c r="X3221" s="1768"/>
      <c r="Z3221" s="1769"/>
    </row>
    <row r="3222" spans="6:26" ht="18" customHeight="1">
      <c r="F3222" s="154"/>
      <c r="I3222" s="673"/>
      <c r="J3222" s="209"/>
      <c r="L3222" s="154"/>
      <c r="M3222" s="222"/>
      <c r="P3222" s="1597"/>
      <c r="R3222" s="1598"/>
      <c r="T3222" s="1768"/>
      <c r="V3222" s="1769"/>
      <c r="X3222" s="1768"/>
      <c r="Z3222" s="1769"/>
    </row>
    <row r="3223" spans="6:26" ht="18" customHeight="1">
      <c r="F3223" s="154"/>
      <c r="I3223" s="673"/>
      <c r="J3223" s="209"/>
      <c r="L3223" s="154"/>
      <c r="M3223" s="222"/>
      <c r="P3223" s="1597"/>
      <c r="R3223" s="1598"/>
      <c r="T3223" s="1768"/>
      <c r="V3223" s="1769"/>
      <c r="X3223" s="1768"/>
      <c r="Z3223" s="1769"/>
    </row>
    <row r="3224" spans="6:26" ht="18" customHeight="1">
      <c r="F3224" s="154"/>
      <c r="I3224" s="673"/>
      <c r="J3224" s="209"/>
      <c r="L3224" s="154"/>
      <c r="M3224" s="222"/>
      <c r="P3224" s="1597"/>
      <c r="R3224" s="1598"/>
      <c r="T3224" s="1768"/>
      <c r="V3224" s="1769"/>
      <c r="X3224" s="1768"/>
      <c r="Z3224" s="1769"/>
    </row>
    <row r="3225" spans="6:26" ht="18" customHeight="1">
      <c r="F3225" s="154"/>
      <c r="I3225" s="673"/>
      <c r="J3225" s="209"/>
      <c r="L3225" s="154"/>
      <c r="M3225" s="222"/>
      <c r="P3225" s="1597"/>
      <c r="R3225" s="1598"/>
      <c r="T3225" s="1768"/>
      <c r="V3225" s="1769"/>
      <c r="X3225" s="1768"/>
      <c r="Z3225" s="1769"/>
    </row>
    <row r="3226" spans="6:26" ht="18" customHeight="1">
      <c r="F3226" s="154"/>
      <c r="I3226" s="673"/>
      <c r="J3226" s="209"/>
      <c r="L3226" s="154"/>
      <c r="M3226" s="222"/>
      <c r="P3226" s="1597"/>
      <c r="R3226" s="1598"/>
      <c r="T3226" s="1768"/>
      <c r="V3226" s="1769"/>
      <c r="X3226" s="1768"/>
      <c r="Z3226" s="1769"/>
    </row>
    <row r="3227" spans="6:26" ht="18" customHeight="1">
      <c r="F3227" s="154"/>
      <c r="I3227" s="673"/>
      <c r="J3227" s="209"/>
      <c r="L3227" s="154"/>
      <c r="M3227" s="222"/>
      <c r="P3227" s="1597"/>
      <c r="R3227" s="1598"/>
      <c r="T3227" s="1768"/>
      <c r="V3227" s="1769"/>
      <c r="X3227" s="1768"/>
      <c r="Z3227" s="1769"/>
    </row>
    <row r="3228" spans="6:26" ht="18" customHeight="1">
      <c r="F3228" s="154"/>
      <c r="I3228" s="673"/>
      <c r="J3228" s="209"/>
      <c r="L3228" s="154"/>
      <c r="M3228" s="222"/>
      <c r="P3228" s="1597"/>
      <c r="R3228" s="1598"/>
      <c r="T3228" s="1768"/>
      <c r="V3228" s="1769"/>
      <c r="X3228" s="1768"/>
      <c r="Z3228" s="1769"/>
    </row>
    <row r="3229" spans="6:26" ht="18" customHeight="1">
      <c r="F3229" s="154"/>
      <c r="I3229" s="673"/>
      <c r="J3229" s="209"/>
      <c r="L3229" s="154"/>
      <c r="M3229" s="222"/>
      <c r="P3229" s="1597"/>
      <c r="R3229" s="1598"/>
      <c r="T3229" s="1768"/>
      <c r="V3229" s="1769"/>
      <c r="X3229" s="1768"/>
      <c r="Z3229" s="1769"/>
    </row>
    <row r="3230" spans="6:26" ht="18" customHeight="1">
      <c r="F3230" s="154"/>
      <c r="I3230" s="673"/>
      <c r="J3230" s="209"/>
      <c r="L3230" s="154"/>
      <c r="M3230" s="222"/>
      <c r="P3230" s="1597"/>
      <c r="R3230" s="1598"/>
      <c r="T3230" s="1768"/>
      <c r="V3230" s="1769"/>
      <c r="X3230" s="1768"/>
      <c r="Z3230" s="1769"/>
    </row>
    <row r="3231" spans="6:26" ht="18" customHeight="1">
      <c r="F3231" s="154"/>
      <c r="I3231" s="673"/>
      <c r="J3231" s="209"/>
      <c r="L3231" s="154"/>
      <c r="M3231" s="222"/>
      <c r="P3231" s="1597"/>
      <c r="R3231" s="1598"/>
      <c r="T3231" s="1768"/>
      <c r="V3231" s="1769"/>
      <c r="X3231" s="1768"/>
      <c r="Z3231" s="1769"/>
    </row>
    <row r="3232" spans="6:26" ht="18" customHeight="1">
      <c r="F3232" s="154"/>
      <c r="I3232" s="673"/>
      <c r="J3232" s="209"/>
      <c r="L3232" s="154"/>
      <c r="M3232" s="222"/>
      <c r="P3232" s="1597"/>
      <c r="R3232" s="1598"/>
      <c r="T3232" s="1768"/>
      <c r="V3232" s="1769"/>
      <c r="X3232" s="1768"/>
      <c r="Z3232" s="1769"/>
    </row>
    <row r="3233" spans="6:26" ht="18" customHeight="1">
      <c r="F3233" s="154"/>
      <c r="I3233" s="673"/>
      <c r="J3233" s="209"/>
      <c r="L3233" s="154"/>
      <c r="M3233" s="222"/>
      <c r="P3233" s="1597"/>
      <c r="R3233" s="1598"/>
      <c r="T3233" s="1768"/>
      <c r="V3233" s="1769"/>
      <c r="X3233" s="1768"/>
      <c r="Z3233" s="1769"/>
    </row>
    <row r="3234" spans="6:26" ht="18" customHeight="1">
      <c r="F3234" s="154"/>
      <c r="I3234" s="673"/>
      <c r="J3234" s="209"/>
      <c r="L3234" s="154"/>
      <c r="M3234" s="222"/>
      <c r="P3234" s="1597"/>
      <c r="R3234" s="1598"/>
      <c r="T3234" s="1768"/>
      <c r="V3234" s="1769"/>
      <c r="X3234" s="1768"/>
      <c r="Z3234" s="1769"/>
    </row>
    <row r="3235" spans="6:26" ht="18" customHeight="1">
      <c r="F3235" s="154"/>
      <c r="I3235" s="673"/>
      <c r="J3235" s="209"/>
      <c r="L3235" s="154"/>
      <c r="M3235" s="222"/>
      <c r="P3235" s="1597"/>
      <c r="R3235" s="1598"/>
      <c r="T3235" s="1768"/>
      <c r="V3235" s="1769"/>
      <c r="X3235" s="1768"/>
      <c r="Z3235" s="1769"/>
    </row>
    <row r="3236" spans="6:26" ht="18" customHeight="1">
      <c r="F3236" s="154"/>
      <c r="I3236" s="673"/>
      <c r="J3236" s="209"/>
      <c r="L3236" s="154"/>
      <c r="M3236" s="222"/>
      <c r="P3236" s="1597"/>
      <c r="R3236" s="1598"/>
      <c r="T3236" s="1768"/>
      <c r="V3236" s="1769"/>
      <c r="X3236" s="1768"/>
      <c r="Z3236" s="1769"/>
    </row>
    <row r="3237" spans="6:26" ht="18" customHeight="1">
      <c r="F3237" s="154"/>
      <c r="I3237" s="673"/>
      <c r="J3237" s="209"/>
      <c r="L3237" s="154"/>
      <c r="M3237" s="222"/>
      <c r="P3237" s="1597"/>
      <c r="R3237" s="1598"/>
      <c r="T3237" s="1768"/>
      <c r="V3237" s="1769"/>
      <c r="X3237" s="1768"/>
      <c r="Z3237" s="1769"/>
    </row>
    <row r="3238" spans="6:26" ht="18" customHeight="1">
      <c r="F3238" s="154"/>
      <c r="I3238" s="673"/>
      <c r="J3238" s="209"/>
      <c r="L3238" s="154"/>
      <c r="M3238" s="222"/>
      <c r="P3238" s="1597"/>
      <c r="R3238" s="1598"/>
      <c r="T3238" s="1768"/>
      <c r="V3238" s="1769"/>
      <c r="X3238" s="1768"/>
      <c r="Z3238" s="1769"/>
    </row>
    <row r="3239" spans="6:26" ht="18" customHeight="1">
      <c r="F3239" s="154"/>
      <c r="I3239" s="673"/>
      <c r="J3239" s="209"/>
      <c r="L3239" s="154"/>
      <c r="M3239" s="222"/>
      <c r="P3239" s="1597"/>
      <c r="R3239" s="1598"/>
      <c r="T3239" s="1768"/>
      <c r="V3239" s="1769"/>
      <c r="X3239" s="1768"/>
      <c r="Z3239" s="1769"/>
    </row>
    <row r="3240" spans="6:26" ht="18" customHeight="1">
      <c r="F3240" s="154"/>
      <c r="I3240" s="673"/>
      <c r="J3240" s="209"/>
      <c r="L3240" s="154"/>
      <c r="M3240" s="222"/>
      <c r="P3240" s="1597"/>
      <c r="R3240" s="1598"/>
      <c r="T3240" s="1768"/>
      <c r="V3240" s="1769"/>
      <c r="X3240" s="1768"/>
      <c r="Z3240" s="1769"/>
    </row>
    <row r="3241" spans="6:26" ht="18" customHeight="1">
      <c r="F3241" s="154"/>
      <c r="I3241" s="673"/>
      <c r="J3241" s="209"/>
      <c r="L3241" s="154"/>
      <c r="M3241" s="222"/>
      <c r="P3241" s="1597"/>
      <c r="R3241" s="1598"/>
      <c r="T3241" s="1768"/>
      <c r="V3241" s="1769"/>
      <c r="X3241" s="1768"/>
      <c r="Z3241" s="1769"/>
    </row>
    <row r="3242" spans="6:26" ht="18" customHeight="1">
      <c r="F3242" s="154"/>
      <c r="I3242" s="673"/>
      <c r="J3242" s="209"/>
      <c r="L3242" s="154"/>
      <c r="M3242" s="222"/>
      <c r="P3242" s="1597"/>
      <c r="R3242" s="1598"/>
      <c r="T3242" s="1768"/>
      <c r="V3242" s="1769"/>
      <c r="X3242" s="1768"/>
      <c r="Z3242" s="1769"/>
    </row>
    <row r="3243" spans="6:26" ht="18" customHeight="1">
      <c r="F3243" s="154"/>
      <c r="I3243" s="673"/>
      <c r="J3243" s="209"/>
      <c r="L3243" s="154"/>
      <c r="M3243" s="222"/>
      <c r="P3243" s="1597"/>
      <c r="R3243" s="1598"/>
      <c r="T3243" s="1768"/>
      <c r="V3243" s="1769"/>
      <c r="X3243" s="1768"/>
      <c r="Z3243" s="1769"/>
    </row>
    <row r="3244" spans="6:26" ht="18" customHeight="1">
      <c r="F3244" s="154"/>
      <c r="I3244" s="673"/>
      <c r="J3244" s="209"/>
      <c r="L3244" s="154"/>
      <c r="M3244" s="222"/>
      <c r="P3244" s="1597"/>
      <c r="R3244" s="1598"/>
      <c r="T3244" s="1768"/>
      <c r="V3244" s="1769"/>
      <c r="X3244" s="1768"/>
      <c r="Z3244" s="1769"/>
    </row>
    <row r="3245" spans="6:26" ht="18" customHeight="1">
      <c r="F3245" s="154"/>
      <c r="I3245" s="673"/>
      <c r="J3245" s="209"/>
      <c r="L3245" s="154"/>
      <c r="M3245" s="222"/>
      <c r="P3245" s="1597"/>
      <c r="R3245" s="1598"/>
      <c r="T3245" s="1768"/>
      <c r="V3245" s="1769"/>
      <c r="X3245" s="1768"/>
      <c r="Z3245" s="1769"/>
    </row>
    <row r="3246" spans="6:26" ht="18" customHeight="1">
      <c r="F3246" s="154"/>
      <c r="I3246" s="673"/>
      <c r="J3246" s="209"/>
      <c r="L3246" s="154"/>
      <c r="M3246" s="222"/>
      <c r="P3246" s="1597"/>
      <c r="R3246" s="1598"/>
      <c r="T3246" s="1768"/>
      <c r="V3246" s="1769"/>
      <c r="X3246" s="1768"/>
      <c r="Z3246" s="1769"/>
    </row>
    <row r="3247" spans="6:26" ht="18" customHeight="1">
      <c r="F3247" s="154"/>
      <c r="I3247" s="673"/>
      <c r="J3247" s="209"/>
      <c r="L3247" s="154"/>
      <c r="M3247" s="222"/>
      <c r="P3247" s="1597"/>
      <c r="R3247" s="1598"/>
      <c r="T3247" s="1768"/>
      <c r="V3247" s="1769"/>
      <c r="X3247" s="1768"/>
      <c r="Z3247" s="1769"/>
    </row>
    <row r="3248" spans="6:26" ht="18" customHeight="1">
      <c r="F3248" s="154"/>
      <c r="I3248" s="673"/>
      <c r="J3248" s="209"/>
      <c r="L3248" s="154"/>
      <c r="M3248" s="222"/>
      <c r="P3248" s="1597"/>
      <c r="R3248" s="1598"/>
      <c r="T3248" s="1768"/>
      <c r="V3248" s="1769"/>
      <c r="X3248" s="1768"/>
      <c r="Z3248" s="1769"/>
    </row>
    <row r="3249" spans="6:26" ht="18" customHeight="1">
      <c r="F3249" s="154"/>
      <c r="I3249" s="673"/>
      <c r="J3249" s="209"/>
      <c r="L3249" s="154"/>
      <c r="M3249" s="222"/>
      <c r="P3249" s="1597"/>
      <c r="R3249" s="1598"/>
      <c r="T3249" s="1768"/>
      <c r="V3249" s="1769"/>
      <c r="X3249" s="1768"/>
      <c r="Z3249" s="1769"/>
    </row>
    <row r="3250" spans="6:26" ht="18" customHeight="1">
      <c r="F3250" s="154"/>
      <c r="I3250" s="673"/>
      <c r="J3250" s="209"/>
      <c r="L3250" s="154"/>
      <c r="M3250" s="222"/>
      <c r="P3250" s="1597"/>
      <c r="R3250" s="1598"/>
      <c r="T3250" s="1768"/>
      <c r="V3250" s="1769"/>
      <c r="X3250" s="1768"/>
      <c r="Z3250" s="1769"/>
    </row>
    <row r="3251" spans="6:26" ht="18" customHeight="1">
      <c r="F3251" s="154"/>
      <c r="I3251" s="673"/>
      <c r="J3251" s="209"/>
      <c r="L3251" s="154"/>
      <c r="M3251" s="222"/>
      <c r="P3251" s="1597"/>
      <c r="R3251" s="1598"/>
      <c r="T3251" s="1768"/>
      <c r="V3251" s="1769"/>
      <c r="X3251" s="1768"/>
      <c r="Z3251" s="1769"/>
    </row>
    <row r="3252" spans="6:26" ht="18" customHeight="1">
      <c r="F3252" s="154"/>
      <c r="I3252" s="673"/>
      <c r="J3252" s="209"/>
      <c r="L3252" s="154"/>
      <c r="M3252" s="222"/>
      <c r="P3252" s="1597"/>
      <c r="R3252" s="1598"/>
      <c r="T3252" s="1768"/>
      <c r="V3252" s="1769"/>
      <c r="X3252" s="1768"/>
      <c r="Z3252" s="1769"/>
    </row>
    <row r="3253" spans="6:26" ht="18" customHeight="1">
      <c r="F3253" s="154"/>
      <c r="I3253" s="673"/>
      <c r="J3253" s="209"/>
      <c r="L3253" s="154"/>
      <c r="M3253" s="222"/>
      <c r="P3253" s="1597"/>
      <c r="R3253" s="1598"/>
      <c r="T3253" s="1768"/>
      <c r="V3253" s="1769"/>
      <c r="X3253" s="1768"/>
      <c r="Z3253" s="1769"/>
    </row>
    <row r="3254" spans="6:26" ht="18" customHeight="1">
      <c r="F3254" s="154"/>
      <c r="I3254" s="673"/>
      <c r="J3254" s="209"/>
      <c r="L3254" s="154"/>
      <c r="M3254" s="222"/>
      <c r="P3254" s="1597"/>
      <c r="R3254" s="1598"/>
      <c r="T3254" s="1768"/>
      <c r="V3254" s="1769"/>
      <c r="X3254" s="1768"/>
      <c r="Z3254" s="1769"/>
    </row>
    <row r="3255" spans="6:26" ht="18" customHeight="1">
      <c r="F3255" s="154"/>
      <c r="I3255" s="673"/>
      <c r="J3255" s="209"/>
      <c r="L3255" s="154"/>
      <c r="M3255" s="222"/>
      <c r="P3255" s="1597"/>
      <c r="R3255" s="1598"/>
      <c r="T3255" s="1768"/>
      <c r="V3255" s="1769"/>
      <c r="X3255" s="1768"/>
      <c r="Z3255" s="1769"/>
    </row>
    <row r="3256" spans="6:26" ht="18" customHeight="1">
      <c r="F3256" s="154"/>
      <c r="I3256" s="673"/>
      <c r="J3256" s="209"/>
      <c r="L3256" s="154"/>
      <c r="M3256" s="222"/>
      <c r="P3256" s="1597"/>
      <c r="R3256" s="1598"/>
      <c r="T3256" s="1768"/>
      <c r="V3256" s="1769"/>
      <c r="X3256" s="1768"/>
      <c r="Z3256" s="1769"/>
    </row>
    <row r="3257" spans="6:26" ht="18" customHeight="1">
      <c r="F3257" s="154"/>
      <c r="I3257" s="673"/>
      <c r="J3257" s="209"/>
      <c r="L3257" s="154"/>
      <c r="M3257" s="222"/>
      <c r="P3257" s="1597"/>
      <c r="R3257" s="1598"/>
      <c r="T3257" s="1768"/>
      <c r="V3257" s="1769"/>
      <c r="X3257" s="1768"/>
      <c r="Z3257" s="1769"/>
    </row>
    <row r="3258" spans="6:26" ht="18" customHeight="1">
      <c r="F3258" s="154"/>
      <c r="I3258" s="673"/>
      <c r="J3258" s="209"/>
      <c r="L3258" s="154"/>
      <c r="M3258" s="222"/>
      <c r="P3258" s="1597"/>
      <c r="R3258" s="1598"/>
      <c r="T3258" s="1768"/>
      <c r="V3258" s="1769"/>
      <c r="X3258" s="1768"/>
      <c r="Z3258" s="1769"/>
    </row>
    <row r="3259" spans="6:26" ht="18" customHeight="1">
      <c r="F3259" s="154"/>
      <c r="I3259" s="673"/>
      <c r="J3259" s="209"/>
      <c r="L3259" s="154"/>
      <c r="M3259" s="222"/>
      <c r="P3259" s="1597"/>
      <c r="R3259" s="1598"/>
      <c r="T3259" s="1768"/>
      <c r="V3259" s="1769"/>
      <c r="X3259" s="1768"/>
      <c r="Z3259" s="1769"/>
    </row>
    <row r="3260" spans="6:26" ht="18" customHeight="1">
      <c r="F3260" s="154"/>
      <c r="I3260" s="673"/>
      <c r="J3260" s="209"/>
      <c r="L3260" s="154"/>
      <c r="M3260" s="222"/>
      <c r="P3260" s="1597"/>
      <c r="R3260" s="1598"/>
      <c r="T3260" s="1768"/>
      <c r="V3260" s="1769"/>
      <c r="X3260" s="1768"/>
      <c r="Z3260" s="1769"/>
    </row>
    <row r="3261" spans="6:26" ht="18" customHeight="1">
      <c r="F3261" s="154"/>
      <c r="I3261" s="673"/>
      <c r="J3261" s="209"/>
      <c r="L3261" s="154"/>
      <c r="M3261" s="222"/>
      <c r="P3261" s="1597"/>
      <c r="R3261" s="1598"/>
      <c r="T3261" s="1768"/>
      <c r="V3261" s="1769"/>
      <c r="X3261" s="1768"/>
      <c r="Z3261" s="1769"/>
    </row>
    <row r="3262" spans="6:26" ht="18" customHeight="1">
      <c r="F3262" s="154"/>
      <c r="I3262" s="673"/>
      <c r="J3262" s="209"/>
      <c r="L3262" s="154"/>
      <c r="M3262" s="222"/>
      <c r="P3262" s="1597"/>
      <c r="R3262" s="1598"/>
      <c r="T3262" s="1768"/>
      <c r="V3262" s="1769"/>
      <c r="X3262" s="1768"/>
      <c r="Z3262" s="1769"/>
    </row>
    <row r="3263" spans="6:26" ht="18" customHeight="1">
      <c r="F3263" s="154"/>
      <c r="I3263" s="673"/>
      <c r="J3263" s="209"/>
      <c r="L3263" s="154"/>
      <c r="M3263" s="222"/>
      <c r="P3263" s="1597"/>
      <c r="R3263" s="1598"/>
      <c r="T3263" s="1768"/>
      <c r="V3263" s="1769"/>
      <c r="X3263" s="1768"/>
      <c r="Z3263" s="1769"/>
    </row>
    <row r="3264" spans="6:26" ht="18" customHeight="1">
      <c r="F3264" s="154"/>
      <c r="I3264" s="673"/>
      <c r="J3264" s="209"/>
      <c r="L3264" s="154"/>
      <c r="M3264" s="222"/>
      <c r="P3264" s="1597"/>
      <c r="R3264" s="1598"/>
      <c r="T3264" s="1768"/>
      <c r="V3264" s="1769"/>
      <c r="X3264" s="1768"/>
      <c r="Z3264" s="1769"/>
    </row>
    <row r="3265" spans="6:26" ht="18" customHeight="1">
      <c r="F3265" s="154"/>
      <c r="I3265" s="673"/>
      <c r="J3265" s="209"/>
      <c r="L3265" s="154"/>
      <c r="M3265" s="222"/>
      <c r="P3265" s="1597"/>
      <c r="R3265" s="1598"/>
      <c r="T3265" s="1768"/>
      <c r="V3265" s="1769"/>
      <c r="X3265" s="1768"/>
      <c r="Z3265" s="1769"/>
    </row>
    <row r="3266" spans="6:26" ht="18" customHeight="1">
      <c r="F3266" s="154"/>
      <c r="I3266" s="673"/>
      <c r="J3266" s="209"/>
      <c r="L3266" s="154"/>
      <c r="M3266" s="222"/>
      <c r="P3266" s="1597"/>
      <c r="R3266" s="1598"/>
      <c r="T3266" s="1768"/>
      <c r="V3266" s="1769"/>
      <c r="X3266" s="1768"/>
      <c r="Z3266" s="1769"/>
    </row>
    <row r="3267" spans="6:26" ht="18" customHeight="1">
      <c r="F3267" s="154"/>
      <c r="I3267" s="673"/>
      <c r="J3267" s="209"/>
      <c r="L3267" s="154"/>
      <c r="M3267" s="222"/>
      <c r="P3267" s="1597"/>
      <c r="R3267" s="1598"/>
      <c r="T3267" s="1768"/>
      <c r="V3267" s="1769"/>
      <c r="X3267" s="1768"/>
      <c r="Z3267" s="1769"/>
    </row>
    <row r="3268" spans="6:26" ht="18" customHeight="1">
      <c r="F3268" s="154"/>
      <c r="I3268" s="673"/>
      <c r="J3268" s="209"/>
      <c r="L3268" s="154"/>
      <c r="M3268" s="222"/>
      <c r="P3268" s="1597"/>
      <c r="R3268" s="1598"/>
      <c r="T3268" s="1768"/>
      <c r="V3268" s="1769"/>
      <c r="X3268" s="1768"/>
      <c r="Z3268" s="1769"/>
    </row>
    <row r="3269" spans="6:26" ht="18" customHeight="1">
      <c r="F3269" s="154"/>
      <c r="I3269" s="673"/>
      <c r="J3269" s="209"/>
      <c r="L3269" s="154"/>
      <c r="M3269" s="222"/>
      <c r="P3269" s="1597"/>
      <c r="R3269" s="1598"/>
      <c r="T3269" s="1768"/>
      <c r="V3269" s="1769"/>
      <c r="X3269" s="1768"/>
      <c r="Z3269" s="1769"/>
    </row>
    <row r="3270" spans="6:26" ht="18" customHeight="1">
      <c r="F3270" s="154"/>
      <c r="I3270" s="673"/>
      <c r="J3270" s="209"/>
      <c r="L3270" s="154"/>
      <c r="M3270" s="222"/>
      <c r="P3270" s="1597"/>
      <c r="R3270" s="1598"/>
      <c r="T3270" s="1768"/>
      <c r="V3270" s="1769"/>
      <c r="X3270" s="1768"/>
      <c r="Z3270" s="1769"/>
    </row>
    <row r="3271" spans="6:26" ht="18" customHeight="1">
      <c r="F3271" s="154"/>
      <c r="I3271" s="673"/>
      <c r="J3271" s="209"/>
      <c r="L3271" s="154"/>
      <c r="M3271" s="222"/>
      <c r="P3271" s="1597"/>
      <c r="R3271" s="1598"/>
      <c r="T3271" s="1768"/>
      <c r="V3271" s="1769"/>
      <c r="X3271" s="1768"/>
      <c r="Z3271" s="1769"/>
    </row>
    <row r="3272" spans="6:26" ht="18" customHeight="1">
      <c r="F3272" s="154"/>
      <c r="I3272" s="673"/>
      <c r="J3272" s="209"/>
      <c r="L3272" s="154"/>
      <c r="M3272" s="222"/>
      <c r="P3272" s="1597"/>
      <c r="R3272" s="1598"/>
      <c r="T3272" s="1768"/>
      <c r="V3272" s="1769"/>
      <c r="X3272" s="1768"/>
      <c r="Z3272" s="1769"/>
    </row>
    <row r="3273" spans="6:26" ht="18" customHeight="1">
      <c r="F3273" s="154"/>
      <c r="I3273" s="673"/>
      <c r="J3273" s="209"/>
      <c r="L3273" s="154"/>
      <c r="M3273" s="222"/>
      <c r="P3273" s="1597"/>
      <c r="R3273" s="1598"/>
      <c r="T3273" s="1768"/>
      <c r="V3273" s="1769"/>
      <c r="X3273" s="1768"/>
      <c r="Z3273" s="1769"/>
    </row>
    <row r="3274" spans="6:26" ht="18" customHeight="1">
      <c r="F3274" s="154"/>
      <c r="I3274" s="673"/>
      <c r="J3274" s="209"/>
      <c r="L3274" s="154"/>
      <c r="M3274" s="222"/>
      <c r="P3274" s="1597"/>
      <c r="R3274" s="1598"/>
      <c r="T3274" s="1768"/>
      <c r="V3274" s="1769"/>
      <c r="X3274" s="1768"/>
      <c r="Z3274" s="1769"/>
    </row>
    <row r="3275" spans="6:26" ht="18" customHeight="1">
      <c r="F3275" s="154"/>
      <c r="I3275" s="673"/>
      <c r="J3275" s="209"/>
      <c r="L3275" s="154"/>
      <c r="M3275" s="222"/>
      <c r="P3275" s="1597"/>
      <c r="R3275" s="1598"/>
      <c r="T3275" s="1768"/>
      <c r="V3275" s="1769"/>
      <c r="X3275" s="1768"/>
      <c r="Z3275" s="1769"/>
    </row>
    <row r="3276" spans="6:26" ht="18" customHeight="1">
      <c r="F3276" s="154"/>
      <c r="I3276" s="673"/>
      <c r="J3276" s="209"/>
      <c r="L3276" s="154"/>
      <c r="M3276" s="222"/>
      <c r="P3276" s="1597"/>
      <c r="R3276" s="1598"/>
      <c r="T3276" s="1768"/>
      <c r="V3276" s="1769"/>
      <c r="X3276" s="1768"/>
      <c r="Z3276" s="1769"/>
    </row>
    <row r="3277" spans="6:26" ht="18" customHeight="1">
      <c r="F3277" s="154"/>
      <c r="I3277" s="673"/>
      <c r="J3277" s="209"/>
      <c r="L3277" s="154"/>
      <c r="M3277" s="222"/>
      <c r="P3277" s="1597"/>
      <c r="R3277" s="1598"/>
      <c r="T3277" s="1768"/>
      <c r="V3277" s="1769"/>
      <c r="X3277" s="1768"/>
      <c r="Z3277" s="1769"/>
    </row>
    <row r="3278" spans="6:26" ht="18" customHeight="1">
      <c r="F3278" s="154"/>
      <c r="I3278" s="673"/>
      <c r="J3278" s="209"/>
      <c r="L3278" s="154"/>
      <c r="M3278" s="222"/>
      <c r="P3278" s="1597"/>
      <c r="R3278" s="1598"/>
      <c r="T3278" s="1768"/>
      <c r="V3278" s="1769"/>
      <c r="X3278" s="1768"/>
      <c r="Z3278" s="1769"/>
    </row>
    <row r="3279" spans="6:26" ht="18" customHeight="1">
      <c r="F3279" s="154"/>
      <c r="I3279" s="673"/>
      <c r="J3279" s="209"/>
      <c r="L3279" s="154"/>
      <c r="M3279" s="222"/>
      <c r="P3279" s="1597"/>
      <c r="R3279" s="1598"/>
      <c r="T3279" s="1768"/>
      <c r="V3279" s="1769"/>
      <c r="X3279" s="1768"/>
      <c r="Z3279" s="1769"/>
    </row>
    <row r="3280" spans="6:26" ht="18" customHeight="1">
      <c r="F3280" s="154"/>
      <c r="I3280" s="673"/>
      <c r="J3280" s="209"/>
      <c r="L3280" s="154"/>
      <c r="M3280" s="222"/>
      <c r="P3280" s="1597"/>
      <c r="R3280" s="1598"/>
      <c r="T3280" s="1768"/>
      <c r="V3280" s="1769"/>
      <c r="X3280" s="1768"/>
      <c r="Z3280" s="1769"/>
    </row>
    <row r="3281" spans="6:26" ht="18" customHeight="1">
      <c r="F3281" s="154"/>
      <c r="I3281" s="673"/>
      <c r="J3281" s="209"/>
      <c r="L3281" s="154"/>
      <c r="M3281" s="222"/>
      <c r="P3281" s="1597"/>
      <c r="R3281" s="1598"/>
      <c r="T3281" s="1768"/>
      <c r="V3281" s="1769"/>
      <c r="X3281" s="1768"/>
      <c r="Z3281" s="1769"/>
    </row>
    <row r="3282" spans="6:26" ht="18" customHeight="1">
      <c r="F3282" s="154"/>
      <c r="I3282" s="673"/>
      <c r="J3282" s="209"/>
      <c r="L3282" s="154"/>
      <c r="M3282" s="222"/>
      <c r="P3282" s="1597"/>
      <c r="R3282" s="1598"/>
      <c r="T3282" s="1768"/>
      <c r="V3282" s="1769"/>
      <c r="X3282" s="1768"/>
      <c r="Z3282" s="1769"/>
    </row>
    <row r="3283" spans="6:26" ht="18" customHeight="1">
      <c r="F3283" s="154"/>
      <c r="I3283" s="673"/>
      <c r="J3283" s="209"/>
      <c r="L3283" s="154"/>
      <c r="M3283" s="222"/>
      <c r="P3283" s="1597"/>
      <c r="R3283" s="1598"/>
      <c r="T3283" s="1768"/>
      <c r="V3283" s="1769"/>
      <c r="X3283" s="1768"/>
      <c r="Z3283" s="1769"/>
    </row>
    <row r="3284" spans="6:26" ht="18" customHeight="1">
      <c r="F3284" s="154"/>
      <c r="I3284" s="673"/>
      <c r="J3284" s="209"/>
      <c r="L3284" s="154"/>
      <c r="M3284" s="222"/>
      <c r="P3284" s="1597"/>
      <c r="R3284" s="1598"/>
      <c r="T3284" s="1768"/>
      <c r="V3284" s="1769"/>
      <c r="X3284" s="1768"/>
      <c r="Z3284" s="1769"/>
    </row>
    <row r="3285" spans="6:26" ht="18" customHeight="1">
      <c r="F3285" s="154"/>
      <c r="I3285" s="673"/>
      <c r="J3285" s="209"/>
      <c r="L3285" s="154"/>
      <c r="M3285" s="222"/>
      <c r="P3285" s="1597"/>
      <c r="R3285" s="1598"/>
      <c r="T3285" s="1768"/>
      <c r="V3285" s="1769"/>
      <c r="X3285" s="1768"/>
      <c r="Z3285" s="1769"/>
    </row>
    <row r="3286" spans="6:26" ht="18" customHeight="1">
      <c r="F3286" s="154"/>
      <c r="I3286" s="673"/>
      <c r="J3286" s="209"/>
      <c r="L3286" s="154"/>
      <c r="M3286" s="222"/>
      <c r="P3286" s="1597"/>
      <c r="R3286" s="1598"/>
      <c r="T3286" s="1768"/>
      <c r="V3286" s="1769"/>
      <c r="X3286" s="1768"/>
      <c r="Z3286" s="1769"/>
    </row>
    <row r="3287" spans="6:26" ht="18" customHeight="1">
      <c r="F3287" s="154"/>
      <c r="I3287" s="673"/>
      <c r="J3287" s="209"/>
      <c r="L3287" s="154"/>
      <c r="M3287" s="222"/>
      <c r="P3287" s="1597"/>
      <c r="R3287" s="1598"/>
      <c r="T3287" s="1768"/>
      <c r="V3287" s="1769"/>
      <c r="X3287" s="1768"/>
      <c r="Z3287" s="1769"/>
    </row>
    <row r="3288" spans="6:26" ht="18" customHeight="1">
      <c r="F3288" s="154"/>
      <c r="I3288" s="673"/>
      <c r="J3288" s="209"/>
      <c r="L3288" s="154"/>
      <c r="M3288" s="222"/>
      <c r="P3288" s="1597"/>
      <c r="R3288" s="1598"/>
      <c r="T3288" s="1768"/>
      <c r="V3288" s="1769"/>
      <c r="X3288" s="1768"/>
      <c r="Z3288" s="1769"/>
    </row>
    <row r="3289" spans="6:26" ht="18" customHeight="1">
      <c r="F3289" s="154"/>
      <c r="I3289" s="673"/>
      <c r="J3289" s="209"/>
      <c r="L3289" s="154"/>
      <c r="M3289" s="222"/>
      <c r="P3289" s="1597"/>
      <c r="R3289" s="1598"/>
      <c r="T3289" s="1768"/>
      <c r="V3289" s="1769"/>
      <c r="X3289" s="1768"/>
      <c r="Z3289" s="1769"/>
    </row>
    <row r="3290" spans="6:26" ht="18" customHeight="1">
      <c r="F3290" s="154"/>
      <c r="I3290" s="673"/>
      <c r="J3290" s="209"/>
      <c r="L3290" s="154"/>
      <c r="M3290" s="222"/>
      <c r="P3290" s="1597"/>
      <c r="R3290" s="1598"/>
      <c r="T3290" s="1768"/>
      <c r="V3290" s="1769"/>
      <c r="X3290" s="1768"/>
      <c r="Z3290" s="1769"/>
    </row>
    <row r="3291" spans="6:26" ht="18" customHeight="1">
      <c r="F3291" s="154"/>
      <c r="I3291" s="673"/>
      <c r="J3291" s="209"/>
      <c r="L3291" s="154"/>
      <c r="M3291" s="222"/>
      <c r="P3291" s="1597"/>
      <c r="R3291" s="1598"/>
      <c r="T3291" s="1768"/>
      <c r="V3291" s="1769"/>
      <c r="X3291" s="1768"/>
      <c r="Z3291" s="1769"/>
    </row>
    <row r="3292" spans="6:26" ht="18" customHeight="1">
      <c r="F3292" s="154"/>
      <c r="I3292" s="673"/>
      <c r="J3292" s="209"/>
      <c r="L3292" s="154"/>
      <c r="M3292" s="222"/>
      <c r="P3292" s="1597"/>
      <c r="R3292" s="1598"/>
      <c r="T3292" s="1768"/>
      <c r="V3292" s="1769"/>
      <c r="X3292" s="1768"/>
      <c r="Z3292" s="1769"/>
    </row>
    <row r="3293" spans="6:26" ht="18" customHeight="1">
      <c r="F3293" s="154"/>
      <c r="I3293" s="673"/>
      <c r="J3293" s="209"/>
      <c r="L3293" s="154"/>
      <c r="M3293" s="222"/>
      <c r="P3293" s="1597"/>
      <c r="R3293" s="1598"/>
      <c r="T3293" s="1768"/>
      <c r="V3293" s="1769"/>
      <c r="X3293" s="1768"/>
      <c r="Z3293" s="1769"/>
    </row>
    <row r="3294" spans="6:26" ht="18" customHeight="1">
      <c r="F3294" s="154"/>
      <c r="I3294" s="673"/>
      <c r="J3294" s="209"/>
      <c r="L3294" s="154"/>
      <c r="M3294" s="222"/>
      <c r="P3294" s="1597"/>
      <c r="R3294" s="1598"/>
      <c r="T3294" s="1768"/>
      <c r="V3294" s="1769"/>
      <c r="X3294" s="1768"/>
      <c r="Z3294" s="1769"/>
    </row>
    <row r="3295" spans="6:26" ht="18" customHeight="1">
      <c r="F3295" s="154"/>
      <c r="I3295" s="673"/>
      <c r="J3295" s="209"/>
      <c r="L3295" s="154"/>
      <c r="M3295" s="222"/>
      <c r="P3295" s="1597"/>
      <c r="R3295" s="1598"/>
      <c r="T3295" s="1768"/>
      <c r="V3295" s="1769"/>
      <c r="X3295" s="1768"/>
      <c r="Z3295" s="1769"/>
    </row>
    <row r="3296" spans="6:26" ht="18" customHeight="1">
      <c r="F3296" s="154"/>
      <c r="I3296" s="673"/>
      <c r="J3296" s="209"/>
      <c r="L3296" s="154"/>
      <c r="M3296" s="222"/>
      <c r="P3296" s="1597"/>
      <c r="R3296" s="1598"/>
      <c r="T3296" s="1768"/>
      <c r="V3296" s="1769"/>
      <c r="X3296" s="1768"/>
      <c r="Z3296" s="1769"/>
    </row>
    <row r="3297" spans="6:26" ht="18" customHeight="1">
      <c r="F3297" s="154"/>
      <c r="I3297" s="673"/>
      <c r="J3297" s="209"/>
      <c r="L3297" s="154"/>
      <c r="M3297" s="222"/>
      <c r="P3297" s="1597"/>
      <c r="R3297" s="1598"/>
      <c r="T3297" s="1768"/>
      <c r="V3297" s="1769"/>
      <c r="X3297" s="1768"/>
      <c r="Z3297" s="1769"/>
    </row>
    <row r="3298" spans="6:26" ht="18" customHeight="1">
      <c r="F3298" s="154"/>
      <c r="I3298" s="673"/>
      <c r="J3298" s="209"/>
      <c r="L3298" s="154"/>
      <c r="M3298" s="222"/>
      <c r="P3298" s="1597"/>
      <c r="R3298" s="1598"/>
      <c r="T3298" s="1768"/>
      <c r="V3298" s="1769"/>
      <c r="X3298" s="1768"/>
      <c r="Z3298" s="1769"/>
    </row>
    <row r="3299" spans="6:26" ht="18" customHeight="1">
      <c r="F3299" s="154"/>
      <c r="I3299" s="673"/>
      <c r="J3299" s="209"/>
      <c r="L3299" s="154"/>
      <c r="M3299" s="222"/>
      <c r="P3299" s="1597"/>
      <c r="R3299" s="1598"/>
      <c r="T3299" s="1768"/>
      <c r="V3299" s="1769"/>
      <c r="X3299" s="1768"/>
      <c r="Z3299" s="1769"/>
    </row>
    <row r="3300" spans="6:26" ht="18" customHeight="1">
      <c r="F3300" s="154"/>
      <c r="I3300" s="673"/>
      <c r="J3300" s="209"/>
      <c r="L3300" s="154"/>
      <c r="M3300" s="222"/>
      <c r="P3300" s="1597"/>
      <c r="R3300" s="1598"/>
      <c r="T3300" s="1768"/>
      <c r="V3300" s="1769"/>
      <c r="X3300" s="1768"/>
      <c r="Z3300" s="1769"/>
    </row>
    <row r="3301" spans="6:26" ht="18" customHeight="1">
      <c r="F3301" s="154"/>
      <c r="I3301" s="673"/>
      <c r="J3301" s="209"/>
      <c r="L3301" s="154"/>
      <c r="M3301" s="222"/>
      <c r="P3301" s="1597"/>
      <c r="R3301" s="1598"/>
      <c r="T3301" s="1768"/>
      <c r="V3301" s="1769"/>
      <c r="X3301" s="1768"/>
      <c r="Z3301" s="1769"/>
    </row>
    <row r="3302" spans="6:26" ht="18" customHeight="1">
      <c r="F3302" s="154"/>
      <c r="I3302" s="673"/>
      <c r="J3302" s="209"/>
      <c r="L3302" s="154"/>
      <c r="M3302" s="222"/>
      <c r="P3302" s="1597"/>
      <c r="R3302" s="1598"/>
      <c r="T3302" s="1768"/>
      <c r="V3302" s="1769"/>
      <c r="X3302" s="1768"/>
      <c r="Z3302" s="1769"/>
    </row>
    <row r="3303" spans="6:26" ht="18" customHeight="1">
      <c r="F3303" s="154"/>
      <c r="I3303" s="673"/>
      <c r="J3303" s="209"/>
      <c r="L3303" s="154"/>
      <c r="M3303" s="222"/>
      <c r="P3303" s="1597"/>
      <c r="R3303" s="1598"/>
      <c r="T3303" s="1768"/>
      <c r="V3303" s="1769"/>
      <c r="X3303" s="1768"/>
      <c r="Z3303" s="1769"/>
    </row>
    <row r="3304" spans="6:26" ht="18" customHeight="1">
      <c r="F3304" s="154"/>
      <c r="I3304" s="673"/>
      <c r="J3304" s="209"/>
      <c r="L3304" s="154"/>
      <c r="M3304" s="222"/>
      <c r="P3304" s="1597"/>
      <c r="R3304" s="1598"/>
      <c r="T3304" s="1768"/>
      <c r="V3304" s="1769"/>
      <c r="X3304" s="1768"/>
      <c r="Z3304" s="1769"/>
    </row>
    <row r="3305" spans="6:26" ht="18" customHeight="1">
      <c r="F3305" s="154"/>
      <c r="I3305" s="673"/>
      <c r="J3305" s="209"/>
      <c r="L3305" s="154"/>
      <c r="M3305" s="222"/>
      <c r="P3305" s="1597"/>
      <c r="R3305" s="1598"/>
      <c r="T3305" s="1768"/>
      <c r="V3305" s="1769"/>
      <c r="X3305" s="1768"/>
      <c r="Z3305" s="1769"/>
    </row>
    <row r="3306" spans="6:26" ht="18" customHeight="1">
      <c r="F3306" s="154"/>
      <c r="I3306" s="673"/>
      <c r="J3306" s="209"/>
      <c r="L3306" s="154"/>
      <c r="M3306" s="222"/>
      <c r="P3306" s="1597"/>
      <c r="R3306" s="1598"/>
      <c r="T3306" s="1768"/>
      <c r="V3306" s="1769"/>
      <c r="X3306" s="1768"/>
      <c r="Z3306" s="1769"/>
    </row>
    <row r="3307" spans="6:26" ht="18" customHeight="1">
      <c r="F3307" s="154"/>
      <c r="I3307" s="673"/>
      <c r="J3307" s="209"/>
      <c r="L3307" s="154"/>
      <c r="M3307" s="222"/>
      <c r="P3307" s="1597"/>
      <c r="R3307" s="1598"/>
      <c r="T3307" s="1768"/>
      <c r="V3307" s="1769"/>
      <c r="X3307" s="1768"/>
      <c r="Z3307" s="1769"/>
    </row>
    <row r="3308" spans="6:26" ht="18" customHeight="1">
      <c r="F3308" s="154"/>
      <c r="I3308" s="673"/>
      <c r="J3308" s="209"/>
      <c r="L3308" s="154"/>
      <c r="M3308" s="222"/>
      <c r="P3308" s="1597"/>
      <c r="R3308" s="1598"/>
      <c r="T3308" s="1768"/>
      <c r="V3308" s="1769"/>
      <c r="X3308" s="1768"/>
      <c r="Z3308" s="1769"/>
    </row>
    <row r="3309" spans="6:26" ht="18" customHeight="1">
      <c r="F3309" s="154"/>
      <c r="I3309" s="673"/>
      <c r="J3309" s="209"/>
      <c r="L3309" s="154"/>
      <c r="M3309" s="222"/>
      <c r="P3309" s="1597"/>
      <c r="R3309" s="1598"/>
      <c r="T3309" s="1768"/>
      <c r="V3309" s="1769"/>
      <c r="X3309" s="1768"/>
      <c r="Z3309" s="1769"/>
    </row>
    <row r="3310" spans="6:26" ht="18" customHeight="1">
      <c r="F3310" s="154"/>
      <c r="I3310" s="673"/>
      <c r="J3310" s="209"/>
      <c r="L3310" s="154"/>
      <c r="M3310" s="222"/>
      <c r="P3310" s="1597"/>
      <c r="R3310" s="1598"/>
      <c r="T3310" s="1768"/>
      <c r="V3310" s="1769"/>
      <c r="X3310" s="1768"/>
      <c r="Z3310" s="1769"/>
    </row>
    <row r="3311" spans="6:26" ht="18" customHeight="1">
      <c r="F3311" s="154"/>
      <c r="I3311" s="673"/>
      <c r="J3311" s="209"/>
      <c r="L3311" s="154"/>
      <c r="M3311" s="222"/>
      <c r="P3311" s="1597"/>
      <c r="R3311" s="1598"/>
      <c r="T3311" s="1768"/>
      <c r="V3311" s="1769"/>
      <c r="X3311" s="1768"/>
      <c r="Z3311" s="1769"/>
    </row>
    <row r="3312" spans="6:26" ht="18" customHeight="1">
      <c r="F3312" s="154"/>
      <c r="I3312" s="673"/>
      <c r="J3312" s="209"/>
      <c r="L3312" s="154"/>
      <c r="M3312" s="222"/>
      <c r="P3312" s="1597"/>
      <c r="R3312" s="1598"/>
      <c r="T3312" s="1768"/>
      <c r="V3312" s="1769"/>
      <c r="X3312" s="1768"/>
      <c r="Z3312" s="1769"/>
    </row>
    <row r="3313" spans="6:26" ht="18" customHeight="1">
      <c r="F3313" s="154"/>
      <c r="I3313" s="673"/>
      <c r="J3313" s="209"/>
      <c r="L3313" s="154"/>
      <c r="M3313" s="222"/>
      <c r="P3313" s="1597"/>
      <c r="R3313" s="1598"/>
      <c r="T3313" s="1768"/>
      <c r="V3313" s="1769"/>
      <c r="X3313" s="1768"/>
      <c r="Z3313" s="1769"/>
    </row>
    <row r="3314" spans="6:26" ht="18" customHeight="1">
      <c r="F3314" s="154"/>
      <c r="I3314" s="673"/>
      <c r="J3314" s="209"/>
      <c r="L3314" s="154"/>
      <c r="M3314" s="222"/>
      <c r="P3314" s="1597"/>
      <c r="R3314" s="1598"/>
      <c r="T3314" s="1768"/>
      <c r="V3314" s="1769"/>
      <c r="X3314" s="1768"/>
      <c r="Z3314" s="1769"/>
    </row>
    <row r="3315" spans="6:26" ht="18" customHeight="1">
      <c r="F3315" s="154"/>
      <c r="I3315" s="673"/>
      <c r="J3315" s="209"/>
      <c r="L3315" s="154"/>
      <c r="M3315" s="222"/>
      <c r="P3315" s="1597"/>
      <c r="R3315" s="1598"/>
      <c r="T3315" s="1768"/>
      <c r="V3315" s="1769"/>
      <c r="X3315" s="1768"/>
      <c r="Z3315" s="1769"/>
    </row>
    <row r="3316" spans="6:26" ht="18" customHeight="1">
      <c r="F3316" s="154"/>
      <c r="I3316" s="673"/>
      <c r="J3316" s="209"/>
      <c r="L3316" s="154"/>
      <c r="M3316" s="222"/>
      <c r="P3316" s="1597"/>
      <c r="R3316" s="1598"/>
      <c r="T3316" s="1768"/>
      <c r="V3316" s="1769"/>
      <c r="X3316" s="1768"/>
      <c r="Z3316" s="1769"/>
    </row>
    <row r="3317" spans="6:26" ht="18" customHeight="1">
      <c r="F3317" s="154"/>
      <c r="I3317" s="673"/>
      <c r="J3317" s="209"/>
      <c r="L3317" s="154"/>
      <c r="M3317" s="222"/>
      <c r="P3317" s="1597"/>
      <c r="R3317" s="1598"/>
      <c r="T3317" s="1768"/>
      <c r="V3317" s="1769"/>
      <c r="X3317" s="1768"/>
      <c r="Z3317" s="1769"/>
    </row>
    <row r="3318" spans="6:26" ht="18" customHeight="1">
      <c r="F3318" s="154"/>
      <c r="I3318" s="673"/>
      <c r="J3318" s="209"/>
      <c r="L3318" s="154"/>
      <c r="M3318" s="222"/>
      <c r="P3318" s="1597"/>
      <c r="R3318" s="1598"/>
      <c r="T3318" s="1768"/>
      <c r="V3318" s="1769"/>
      <c r="X3318" s="1768"/>
      <c r="Z3318" s="1769"/>
    </row>
    <row r="3319" spans="6:26" ht="18" customHeight="1">
      <c r="F3319" s="154"/>
      <c r="I3319" s="673"/>
      <c r="J3319" s="209"/>
      <c r="L3319" s="154"/>
      <c r="M3319" s="222"/>
      <c r="P3319" s="1597"/>
      <c r="R3319" s="1598"/>
      <c r="T3319" s="1768"/>
      <c r="V3319" s="1769"/>
      <c r="X3319" s="1768"/>
      <c r="Z3319" s="1769"/>
    </row>
    <row r="3320" spans="6:26" ht="18" customHeight="1">
      <c r="F3320" s="154"/>
      <c r="I3320" s="673"/>
      <c r="J3320" s="209"/>
      <c r="L3320" s="154"/>
      <c r="M3320" s="222"/>
      <c r="P3320" s="1597"/>
      <c r="R3320" s="1598"/>
      <c r="T3320" s="1768"/>
      <c r="V3320" s="1769"/>
      <c r="X3320" s="1768"/>
      <c r="Z3320" s="1769"/>
    </row>
    <row r="3321" spans="6:26" ht="18" customHeight="1">
      <c r="F3321" s="154"/>
      <c r="I3321" s="673"/>
      <c r="J3321" s="209"/>
      <c r="L3321" s="154"/>
      <c r="M3321" s="222"/>
      <c r="P3321" s="1597"/>
      <c r="R3321" s="1598"/>
      <c r="T3321" s="1768"/>
      <c r="V3321" s="1769"/>
      <c r="X3321" s="1768"/>
      <c r="Z3321" s="1769"/>
    </row>
    <row r="3322" spans="6:26" ht="18" customHeight="1">
      <c r="F3322" s="154"/>
      <c r="I3322" s="673"/>
      <c r="J3322" s="209"/>
      <c r="L3322" s="154"/>
      <c r="M3322" s="222"/>
      <c r="P3322" s="1597"/>
      <c r="R3322" s="1598"/>
      <c r="T3322" s="1768"/>
      <c r="V3322" s="1769"/>
      <c r="X3322" s="1768"/>
      <c r="Z3322" s="1769"/>
    </row>
    <row r="3323" spans="6:26" ht="18" customHeight="1">
      <c r="F3323" s="154"/>
      <c r="I3323" s="673"/>
      <c r="J3323" s="209"/>
      <c r="L3323" s="154"/>
      <c r="M3323" s="222"/>
      <c r="P3323" s="1597"/>
      <c r="R3323" s="1598"/>
      <c r="T3323" s="1768"/>
      <c r="V3323" s="1769"/>
      <c r="X3323" s="1768"/>
      <c r="Z3323" s="1769"/>
    </row>
    <row r="3324" spans="6:26" ht="18" customHeight="1">
      <c r="F3324" s="154"/>
      <c r="I3324" s="673"/>
      <c r="J3324" s="209"/>
      <c r="L3324" s="154"/>
      <c r="M3324" s="222"/>
      <c r="P3324" s="1597"/>
      <c r="R3324" s="1598"/>
      <c r="T3324" s="1768"/>
      <c r="V3324" s="1769"/>
      <c r="X3324" s="1768"/>
      <c r="Z3324" s="1769"/>
    </row>
    <row r="3325" spans="6:26" ht="18" customHeight="1">
      <c r="F3325" s="154"/>
      <c r="I3325" s="673"/>
      <c r="J3325" s="209"/>
      <c r="L3325" s="154"/>
      <c r="M3325" s="222"/>
      <c r="P3325" s="1597"/>
      <c r="R3325" s="1598"/>
      <c r="T3325" s="1768"/>
      <c r="V3325" s="1769"/>
      <c r="X3325" s="1768"/>
      <c r="Z3325" s="1769"/>
    </row>
    <row r="3326" spans="6:26" ht="18" customHeight="1">
      <c r="F3326" s="154"/>
      <c r="I3326" s="673"/>
      <c r="J3326" s="209"/>
      <c r="L3326" s="154"/>
      <c r="M3326" s="222"/>
      <c r="P3326" s="1597"/>
      <c r="R3326" s="1598"/>
      <c r="T3326" s="1768"/>
      <c r="V3326" s="1769"/>
      <c r="X3326" s="1768"/>
      <c r="Z3326" s="1769"/>
    </row>
    <row r="3327" spans="6:26" ht="18" customHeight="1">
      <c r="F3327" s="154"/>
      <c r="I3327" s="673"/>
      <c r="J3327" s="209"/>
      <c r="L3327" s="154"/>
      <c r="M3327" s="222"/>
      <c r="P3327" s="1597"/>
      <c r="R3327" s="1598"/>
      <c r="T3327" s="1768"/>
      <c r="V3327" s="1769"/>
      <c r="X3327" s="1768"/>
      <c r="Z3327" s="1769"/>
    </row>
    <row r="3328" spans="6:26" ht="18" customHeight="1">
      <c r="F3328" s="154"/>
      <c r="I3328" s="673"/>
      <c r="J3328" s="209"/>
      <c r="L3328" s="154"/>
      <c r="M3328" s="222"/>
      <c r="P3328" s="1597"/>
      <c r="R3328" s="1598"/>
      <c r="T3328" s="1768"/>
      <c r="V3328" s="1769"/>
      <c r="X3328" s="1768"/>
      <c r="Z3328" s="1769"/>
    </row>
    <row r="3329" spans="6:26" ht="18" customHeight="1">
      <c r="F3329" s="154"/>
      <c r="I3329" s="673"/>
      <c r="J3329" s="209"/>
      <c r="L3329" s="154"/>
      <c r="M3329" s="222"/>
      <c r="P3329" s="1597"/>
      <c r="R3329" s="1598"/>
      <c r="T3329" s="1768"/>
      <c r="V3329" s="1769"/>
      <c r="X3329" s="1768"/>
      <c r="Z3329" s="1769"/>
    </row>
    <row r="3330" spans="6:26" ht="18" customHeight="1">
      <c r="F3330" s="154"/>
      <c r="I3330" s="673"/>
      <c r="J3330" s="209"/>
      <c r="L3330" s="154"/>
      <c r="M3330" s="222"/>
      <c r="P3330" s="1597"/>
      <c r="R3330" s="1598"/>
      <c r="T3330" s="1768"/>
      <c r="V3330" s="1769"/>
      <c r="X3330" s="1768"/>
      <c r="Z3330" s="1769"/>
    </row>
    <row r="3331" spans="6:26" ht="18" customHeight="1">
      <c r="F3331" s="154"/>
      <c r="I3331" s="673"/>
      <c r="J3331" s="209"/>
      <c r="L3331" s="154"/>
      <c r="M3331" s="222"/>
      <c r="P3331" s="1597"/>
      <c r="R3331" s="1598"/>
      <c r="T3331" s="1768"/>
      <c r="V3331" s="1769"/>
      <c r="X3331" s="1768"/>
      <c r="Z3331" s="1769"/>
    </row>
    <row r="3332" spans="6:26" ht="18" customHeight="1">
      <c r="F3332" s="154"/>
      <c r="I3332" s="673"/>
      <c r="J3332" s="209"/>
      <c r="L3332" s="154"/>
      <c r="M3332" s="222"/>
      <c r="P3332" s="1597"/>
      <c r="R3332" s="1598"/>
      <c r="T3332" s="1768"/>
      <c r="V3332" s="1769"/>
      <c r="X3332" s="1768"/>
      <c r="Z3332" s="1769"/>
    </row>
    <row r="3333" spans="6:26" ht="18" customHeight="1">
      <c r="F3333" s="154"/>
      <c r="I3333" s="673"/>
      <c r="J3333" s="209"/>
      <c r="L3333" s="154"/>
      <c r="M3333" s="222"/>
      <c r="P3333" s="1597"/>
      <c r="R3333" s="1598"/>
      <c r="T3333" s="1768"/>
      <c r="V3333" s="1769"/>
      <c r="X3333" s="1768"/>
      <c r="Z3333" s="1769"/>
    </row>
    <row r="3334" spans="6:26" ht="18" customHeight="1">
      <c r="F3334" s="154"/>
      <c r="I3334" s="673"/>
      <c r="J3334" s="209"/>
      <c r="L3334" s="154"/>
      <c r="M3334" s="222"/>
      <c r="P3334" s="1597"/>
      <c r="R3334" s="1598"/>
      <c r="T3334" s="1768"/>
      <c r="V3334" s="1769"/>
      <c r="X3334" s="1768"/>
      <c r="Z3334" s="1769"/>
    </row>
    <row r="3335" spans="6:26" ht="18" customHeight="1">
      <c r="F3335" s="154"/>
      <c r="I3335" s="673"/>
      <c r="J3335" s="209"/>
      <c r="L3335" s="154"/>
      <c r="M3335" s="222"/>
      <c r="P3335" s="1597"/>
      <c r="R3335" s="1598"/>
      <c r="T3335" s="1768"/>
      <c r="V3335" s="1769"/>
      <c r="X3335" s="1768"/>
      <c r="Z3335" s="1769"/>
    </row>
    <row r="3336" spans="6:26" ht="18" customHeight="1">
      <c r="F3336" s="154"/>
      <c r="I3336" s="673"/>
      <c r="J3336" s="209"/>
      <c r="L3336" s="154"/>
      <c r="M3336" s="222"/>
      <c r="P3336" s="1597"/>
      <c r="R3336" s="1598"/>
      <c r="T3336" s="1768"/>
      <c r="V3336" s="1769"/>
      <c r="X3336" s="1768"/>
      <c r="Z3336" s="1769"/>
    </row>
    <row r="3337" spans="6:26" ht="18" customHeight="1">
      <c r="F3337" s="154"/>
      <c r="I3337" s="673"/>
      <c r="J3337" s="209"/>
      <c r="L3337" s="154"/>
      <c r="M3337" s="222"/>
      <c r="P3337" s="1597"/>
      <c r="R3337" s="1598"/>
      <c r="T3337" s="1768"/>
      <c r="V3337" s="1769"/>
      <c r="X3337" s="1768"/>
      <c r="Z3337" s="1769"/>
    </row>
    <row r="3338" spans="6:26" ht="18" customHeight="1">
      <c r="F3338" s="154"/>
      <c r="I3338" s="673"/>
      <c r="J3338" s="209"/>
      <c r="L3338" s="154"/>
      <c r="M3338" s="222"/>
      <c r="P3338" s="1597"/>
      <c r="R3338" s="1598"/>
      <c r="T3338" s="1768"/>
      <c r="V3338" s="1769"/>
      <c r="X3338" s="1768"/>
      <c r="Z3338" s="1769"/>
    </row>
    <row r="3339" spans="6:26" ht="18" customHeight="1">
      <c r="F3339" s="154"/>
      <c r="I3339" s="673"/>
      <c r="J3339" s="209"/>
      <c r="L3339" s="154"/>
      <c r="M3339" s="222"/>
      <c r="P3339" s="1597"/>
      <c r="R3339" s="1598"/>
      <c r="T3339" s="1768"/>
      <c r="V3339" s="1769"/>
      <c r="X3339" s="1768"/>
      <c r="Z3339" s="1769"/>
    </row>
    <row r="3340" spans="6:26" ht="18" customHeight="1">
      <c r="F3340" s="154"/>
      <c r="I3340" s="673"/>
      <c r="J3340" s="209"/>
      <c r="L3340" s="154"/>
      <c r="M3340" s="222"/>
      <c r="P3340" s="1597"/>
      <c r="R3340" s="1598"/>
      <c r="T3340" s="1768"/>
      <c r="V3340" s="1769"/>
      <c r="X3340" s="1768"/>
      <c r="Z3340" s="1769"/>
    </row>
    <row r="3341" spans="6:26" ht="18" customHeight="1">
      <c r="F3341" s="154"/>
      <c r="I3341" s="673"/>
      <c r="J3341" s="209"/>
      <c r="L3341" s="154"/>
      <c r="M3341" s="222"/>
      <c r="P3341" s="1597"/>
      <c r="R3341" s="1598"/>
      <c r="T3341" s="1768"/>
      <c r="V3341" s="1769"/>
      <c r="X3341" s="1768"/>
      <c r="Z3341" s="1769"/>
    </row>
    <row r="3342" spans="6:26" ht="18" customHeight="1">
      <c r="F3342" s="154"/>
      <c r="I3342" s="673"/>
      <c r="J3342" s="209"/>
      <c r="L3342" s="154"/>
      <c r="M3342" s="222"/>
      <c r="P3342" s="1597"/>
      <c r="R3342" s="1598"/>
      <c r="T3342" s="1768"/>
      <c r="V3342" s="1769"/>
      <c r="X3342" s="1768"/>
      <c r="Z3342" s="1769"/>
    </row>
    <row r="3343" spans="6:26" ht="18" customHeight="1">
      <c r="F3343" s="154"/>
      <c r="I3343" s="673"/>
      <c r="J3343" s="209"/>
      <c r="L3343" s="154"/>
      <c r="M3343" s="222"/>
      <c r="P3343" s="1597"/>
      <c r="R3343" s="1598"/>
      <c r="T3343" s="1768"/>
      <c r="V3343" s="1769"/>
      <c r="X3343" s="1768"/>
      <c r="Z3343" s="1769"/>
    </row>
    <row r="3344" spans="6:26" ht="18" customHeight="1">
      <c r="F3344" s="154"/>
      <c r="I3344" s="673"/>
      <c r="J3344" s="209"/>
      <c r="L3344" s="154"/>
      <c r="M3344" s="222"/>
      <c r="P3344" s="1597"/>
      <c r="R3344" s="1598"/>
      <c r="T3344" s="1768"/>
      <c r="V3344" s="1769"/>
      <c r="X3344" s="1768"/>
      <c r="Z3344" s="1769"/>
    </row>
    <row r="3345" spans="6:26" ht="18" customHeight="1">
      <c r="F3345" s="154"/>
      <c r="I3345" s="673"/>
      <c r="J3345" s="209"/>
      <c r="L3345" s="154"/>
      <c r="M3345" s="222"/>
      <c r="P3345" s="1597"/>
      <c r="R3345" s="1598"/>
      <c r="T3345" s="1768"/>
      <c r="V3345" s="1769"/>
      <c r="X3345" s="1768"/>
      <c r="Z3345" s="1769"/>
    </row>
    <row r="3346" spans="6:26" ht="18" customHeight="1">
      <c r="F3346" s="154"/>
      <c r="I3346" s="673"/>
      <c r="J3346" s="209"/>
      <c r="L3346" s="154"/>
      <c r="M3346" s="222"/>
      <c r="P3346" s="1597"/>
      <c r="R3346" s="1598"/>
      <c r="T3346" s="1768"/>
      <c r="V3346" s="1769"/>
      <c r="X3346" s="1768"/>
      <c r="Z3346" s="1769"/>
    </row>
    <row r="3347" spans="6:26" ht="18" customHeight="1">
      <c r="F3347" s="154"/>
      <c r="I3347" s="673"/>
      <c r="J3347" s="209"/>
      <c r="L3347" s="154"/>
      <c r="M3347" s="222"/>
      <c r="P3347" s="1597"/>
      <c r="R3347" s="1598"/>
      <c r="T3347" s="1768"/>
      <c r="V3347" s="1769"/>
      <c r="X3347" s="1768"/>
      <c r="Z3347" s="1769"/>
    </row>
    <row r="3348" spans="6:26" ht="18" customHeight="1">
      <c r="F3348" s="154"/>
      <c r="I3348" s="673"/>
      <c r="J3348" s="209"/>
      <c r="L3348" s="154"/>
      <c r="M3348" s="222"/>
      <c r="P3348" s="1597"/>
      <c r="R3348" s="1598"/>
      <c r="T3348" s="1768"/>
      <c r="V3348" s="1769"/>
      <c r="X3348" s="1768"/>
      <c r="Z3348" s="1769"/>
    </row>
    <row r="3349" spans="6:26" ht="18" customHeight="1">
      <c r="F3349" s="154"/>
      <c r="I3349" s="673"/>
      <c r="J3349" s="209"/>
      <c r="L3349" s="154"/>
      <c r="M3349" s="222"/>
      <c r="P3349" s="1597"/>
      <c r="R3349" s="1598"/>
      <c r="T3349" s="1768"/>
      <c r="V3349" s="1769"/>
      <c r="X3349" s="1768"/>
      <c r="Z3349" s="1769"/>
    </row>
    <row r="3350" spans="6:26" ht="18" customHeight="1">
      <c r="F3350" s="154"/>
      <c r="I3350" s="673"/>
      <c r="J3350" s="209"/>
      <c r="L3350" s="154"/>
      <c r="M3350" s="222"/>
      <c r="P3350" s="1597"/>
      <c r="R3350" s="1598"/>
      <c r="T3350" s="1768"/>
      <c r="V3350" s="1769"/>
      <c r="X3350" s="1768"/>
      <c r="Z3350" s="1769"/>
    </row>
    <row r="3351" spans="6:26" ht="18" customHeight="1">
      <c r="F3351" s="154"/>
      <c r="I3351" s="673"/>
      <c r="J3351" s="209"/>
      <c r="L3351" s="154"/>
      <c r="M3351" s="222"/>
      <c r="P3351" s="1597"/>
      <c r="R3351" s="1598"/>
      <c r="T3351" s="1768"/>
      <c r="V3351" s="1769"/>
      <c r="X3351" s="1768"/>
      <c r="Z3351" s="1769"/>
    </row>
    <row r="3352" spans="6:26" ht="18" customHeight="1">
      <c r="F3352" s="154"/>
      <c r="I3352" s="673"/>
      <c r="J3352" s="209"/>
      <c r="L3352" s="154"/>
      <c r="M3352" s="222"/>
      <c r="P3352" s="1597"/>
      <c r="R3352" s="1598"/>
      <c r="T3352" s="1768"/>
      <c r="V3352" s="1769"/>
      <c r="X3352" s="1768"/>
      <c r="Z3352" s="1769"/>
    </row>
    <row r="3353" spans="6:26" ht="18" customHeight="1">
      <c r="F3353" s="154"/>
      <c r="I3353" s="673"/>
      <c r="J3353" s="209"/>
      <c r="L3353" s="154"/>
      <c r="M3353" s="222"/>
      <c r="P3353" s="1597"/>
      <c r="R3353" s="1598"/>
      <c r="T3353" s="1768"/>
      <c r="V3353" s="1769"/>
      <c r="X3353" s="1768"/>
      <c r="Z3353" s="1769"/>
    </row>
    <row r="3354" spans="6:26" ht="18" customHeight="1">
      <c r="F3354" s="154"/>
      <c r="I3354" s="673"/>
      <c r="J3354" s="209"/>
      <c r="L3354" s="154"/>
      <c r="M3354" s="222"/>
      <c r="P3354" s="1597"/>
      <c r="R3354" s="1598"/>
      <c r="T3354" s="1768"/>
      <c r="V3354" s="1769"/>
      <c r="X3354" s="1768"/>
      <c r="Z3354" s="1769"/>
    </row>
    <row r="3355" spans="6:26" ht="18" customHeight="1">
      <c r="F3355" s="154"/>
      <c r="I3355" s="673"/>
      <c r="J3355" s="209"/>
      <c r="L3355" s="154"/>
      <c r="M3355" s="222"/>
      <c r="P3355" s="1597"/>
      <c r="R3355" s="1598"/>
      <c r="T3355" s="1768"/>
      <c r="V3355" s="1769"/>
      <c r="X3355" s="1768"/>
      <c r="Z3355" s="1769"/>
    </row>
    <row r="3356" spans="6:26" ht="18" customHeight="1">
      <c r="F3356" s="154"/>
      <c r="I3356" s="673"/>
      <c r="J3356" s="209"/>
      <c r="L3356" s="154"/>
      <c r="M3356" s="222"/>
      <c r="P3356" s="1597"/>
      <c r="R3356" s="1598"/>
      <c r="T3356" s="1768"/>
      <c r="V3356" s="1769"/>
      <c r="X3356" s="1768"/>
      <c r="Z3356" s="1769"/>
    </row>
    <row r="3357" spans="6:26" ht="18" customHeight="1">
      <c r="F3357" s="154"/>
      <c r="I3357" s="673"/>
      <c r="J3357" s="209"/>
      <c r="L3357" s="154"/>
      <c r="M3357" s="222"/>
      <c r="P3357" s="1597"/>
      <c r="R3357" s="1598"/>
      <c r="T3357" s="1768"/>
      <c r="V3357" s="1769"/>
      <c r="X3357" s="1768"/>
      <c r="Z3357" s="1769"/>
    </row>
    <row r="3358" spans="6:26" ht="18" customHeight="1">
      <c r="F3358" s="154"/>
      <c r="I3358" s="673"/>
      <c r="J3358" s="209"/>
      <c r="L3358" s="154"/>
      <c r="M3358" s="222"/>
      <c r="P3358" s="1597"/>
      <c r="R3358" s="1598"/>
      <c r="T3358" s="1768"/>
      <c r="V3358" s="1769"/>
      <c r="X3358" s="1768"/>
      <c r="Z3358" s="1769"/>
    </row>
    <row r="3359" spans="6:26" ht="18" customHeight="1">
      <c r="F3359" s="154"/>
      <c r="I3359" s="673"/>
      <c r="J3359" s="209"/>
      <c r="L3359" s="154"/>
      <c r="M3359" s="222"/>
      <c r="P3359" s="1597"/>
      <c r="R3359" s="1598"/>
      <c r="T3359" s="1768"/>
      <c r="V3359" s="1769"/>
      <c r="X3359" s="1768"/>
      <c r="Z3359" s="1769"/>
    </row>
    <row r="3360" spans="6:26" ht="18" customHeight="1">
      <c r="F3360" s="154"/>
      <c r="I3360" s="673"/>
      <c r="J3360" s="209"/>
      <c r="L3360" s="154"/>
      <c r="M3360" s="222"/>
      <c r="P3360" s="1597"/>
      <c r="R3360" s="1598"/>
      <c r="T3360" s="1768"/>
      <c r="V3360" s="1769"/>
      <c r="X3360" s="1768"/>
      <c r="Z3360" s="1769"/>
    </row>
    <row r="3361" spans="6:26" ht="18" customHeight="1">
      <c r="F3361" s="154"/>
      <c r="I3361" s="673"/>
      <c r="J3361" s="209"/>
      <c r="L3361" s="154"/>
      <c r="M3361" s="222"/>
      <c r="P3361" s="1597"/>
      <c r="R3361" s="1598"/>
      <c r="T3361" s="1768"/>
      <c r="V3361" s="1769"/>
      <c r="X3361" s="1768"/>
      <c r="Z3361" s="1769"/>
    </row>
    <row r="3362" spans="6:26" ht="18" customHeight="1">
      <c r="F3362" s="154"/>
      <c r="I3362" s="673"/>
      <c r="J3362" s="209"/>
      <c r="L3362" s="154"/>
      <c r="M3362" s="222"/>
      <c r="P3362" s="1597"/>
      <c r="R3362" s="1598"/>
      <c r="T3362" s="1768"/>
      <c r="V3362" s="1769"/>
      <c r="X3362" s="1768"/>
      <c r="Z3362" s="1769"/>
    </row>
    <row r="3363" spans="6:26" ht="18" customHeight="1">
      <c r="F3363" s="154"/>
      <c r="I3363" s="673"/>
      <c r="J3363" s="209"/>
      <c r="L3363" s="154"/>
      <c r="M3363" s="222"/>
      <c r="P3363" s="1597"/>
      <c r="R3363" s="1598"/>
      <c r="T3363" s="1768"/>
      <c r="V3363" s="1769"/>
      <c r="X3363" s="1768"/>
      <c r="Z3363" s="1769"/>
    </row>
    <row r="3364" spans="6:26" ht="18" customHeight="1">
      <c r="F3364" s="154"/>
      <c r="I3364" s="673"/>
      <c r="J3364" s="209"/>
      <c r="L3364" s="154"/>
      <c r="M3364" s="222"/>
      <c r="P3364" s="1597"/>
      <c r="R3364" s="1598"/>
      <c r="T3364" s="1768"/>
      <c r="V3364" s="1769"/>
      <c r="X3364" s="1768"/>
      <c r="Z3364" s="1769"/>
    </row>
    <row r="3365" spans="6:26" ht="18" customHeight="1">
      <c r="F3365" s="154"/>
      <c r="I3365" s="673"/>
      <c r="J3365" s="209"/>
      <c r="L3365" s="154"/>
      <c r="M3365" s="222"/>
      <c r="P3365" s="1597"/>
      <c r="R3365" s="1598"/>
      <c r="T3365" s="1768"/>
      <c r="V3365" s="1769"/>
      <c r="X3365" s="1768"/>
      <c r="Z3365" s="1769"/>
    </row>
    <row r="3366" spans="6:26" ht="18" customHeight="1">
      <c r="F3366" s="154"/>
      <c r="I3366" s="673"/>
      <c r="J3366" s="209"/>
      <c r="L3366" s="154"/>
      <c r="M3366" s="222"/>
      <c r="P3366" s="1597"/>
      <c r="R3366" s="1598"/>
      <c r="T3366" s="1768"/>
      <c r="V3366" s="1769"/>
      <c r="X3366" s="1768"/>
      <c r="Z3366" s="1769"/>
    </row>
    <row r="3367" spans="6:26" ht="18" customHeight="1">
      <c r="F3367" s="154"/>
      <c r="I3367" s="673"/>
      <c r="J3367" s="209"/>
      <c r="L3367" s="154"/>
      <c r="M3367" s="222"/>
      <c r="P3367" s="1597"/>
      <c r="R3367" s="1598"/>
      <c r="T3367" s="1768"/>
      <c r="V3367" s="1769"/>
      <c r="X3367" s="1768"/>
      <c r="Z3367" s="1769"/>
    </row>
    <row r="3368" spans="6:26" ht="18" customHeight="1">
      <c r="F3368" s="154"/>
      <c r="I3368" s="673"/>
      <c r="J3368" s="209"/>
      <c r="L3368" s="154"/>
      <c r="M3368" s="222"/>
      <c r="P3368" s="1597"/>
      <c r="R3368" s="1598"/>
      <c r="T3368" s="1768"/>
      <c r="V3368" s="1769"/>
      <c r="X3368" s="1768"/>
      <c r="Z3368" s="1769"/>
    </row>
    <row r="3369" spans="6:26" ht="18" customHeight="1">
      <c r="F3369" s="154"/>
      <c r="I3369" s="673"/>
      <c r="J3369" s="209"/>
      <c r="L3369" s="154"/>
      <c r="M3369" s="222"/>
      <c r="P3369" s="1597"/>
      <c r="R3369" s="1598"/>
      <c r="T3369" s="1768"/>
      <c r="V3369" s="1769"/>
      <c r="X3369" s="1768"/>
      <c r="Z3369" s="1769"/>
    </row>
    <row r="3370" spans="6:26" ht="18" customHeight="1">
      <c r="F3370" s="154"/>
      <c r="I3370" s="673"/>
      <c r="J3370" s="209"/>
      <c r="L3370" s="154"/>
      <c r="M3370" s="222"/>
      <c r="P3370" s="1597"/>
      <c r="R3370" s="1598"/>
      <c r="T3370" s="1768"/>
      <c r="V3370" s="1769"/>
      <c r="X3370" s="1768"/>
      <c r="Z3370" s="1769"/>
    </row>
    <row r="3371" spans="6:26" ht="18" customHeight="1">
      <c r="F3371" s="154"/>
      <c r="I3371" s="673"/>
      <c r="J3371" s="209"/>
      <c r="L3371" s="154"/>
      <c r="M3371" s="222"/>
      <c r="P3371" s="1597"/>
      <c r="R3371" s="1598"/>
      <c r="T3371" s="1768"/>
      <c r="V3371" s="1769"/>
      <c r="X3371" s="1768"/>
      <c r="Z3371" s="1769"/>
    </row>
    <row r="3372" spans="6:26" ht="18" customHeight="1">
      <c r="F3372" s="154"/>
      <c r="I3372" s="673"/>
      <c r="J3372" s="209"/>
      <c r="L3372" s="154"/>
      <c r="M3372" s="222"/>
      <c r="P3372" s="1597"/>
      <c r="R3372" s="1598"/>
      <c r="T3372" s="1768"/>
      <c r="V3372" s="1769"/>
      <c r="X3372" s="1768"/>
      <c r="Z3372" s="1769"/>
    </row>
    <row r="3373" spans="6:26" ht="18" customHeight="1">
      <c r="F3373" s="154"/>
      <c r="I3373" s="673"/>
      <c r="J3373" s="209"/>
      <c r="L3373" s="154"/>
      <c r="M3373" s="222"/>
      <c r="P3373" s="1597"/>
      <c r="R3373" s="1598"/>
      <c r="T3373" s="1768"/>
      <c r="V3373" s="1769"/>
      <c r="X3373" s="1768"/>
      <c r="Z3373" s="1769"/>
    </row>
    <row r="3374" spans="6:26" ht="18" customHeight="1">
      <c r="F3374" s="154"/>
      <c r="I3374" s="673"/>
      <c r="J3374" s="209"/>
      <c r="L3374" s="154"/>
      <c r="M3374" s="222"/>
      <c r="P3374" s="1597"/>
      <c r="R3374" s="1598"/>
      <c r="T3374" s="1768"/>
      <c r="V3374" s="1769"/>
      <c r="X3374" s="1768"/>
      <c r="Z3374" s="1769"/>
    </row>
    <row r="3375" spans="6:26" ht="18" customHeight="1">
      <c r="F3375" s="154"/>
      <c r="I3375" s="673"/>
      <c r="J3375" s="209"/>
      <c r="L3375" s="154"/>
      <c r="M3375" s="222"/>
      <c r="P3375" s="1597"/>
      <c r="R3375" s="1598"/>
      <c r="T3375" s="1768"/>
      <c r="V3375" s="1769"/>
      <c r="X3375" s="1768"/>
      <c r="Z3375" s="1769"/>
    </row>
    <row r="3376" spans="6:26" ht="18" customHeight="1">
      <c r="F3376" s="154"/>
      <c r="I3376" s="673"/>
      <c r="J3376" s="209"/>
      <c r="L3376" s="154"/>
      <c r="M3376" s="222"/>
      <c r="P3376" s="1597"/>
      <c r="R3376" s="1598"/>
      <c r="T3376" s="1768"/>
      <c r="V3376" s="1769"/>
      <c r="X3376" s="1768"/>
      <c r="Z3376" s="1769"/>
    </row>
    <row r="3377" spans="6:26" ht="18" customHeight="1">
      <c r="F3377" s="154"/>
      <c r="I3377" s="673"/>
      <c r="J3377" s="209"/>
      <c r="L3377" s="154"/>
      <c r="M3377" s="222"/>
      <c r="P3377" s="1597"/>
      <c r="R3377" s="1598"/>
      <c r="T3377" s="1768"/>
      <c r="V3377" s="1769"/>
      <c r="X3377" s="1768"/>
      <c r="Z3377" s="1769"/>
    </row>
    <row r="3378" spans="6:26" ht="18" customHeight="1">
      <c r="F3378" s="154"/>
      <c r="I3378" s="673"/>
      <c r="J3378" s="209"/>
      <c r="L3378" s="154"/>
      <c r="M3378" s="222"/>
      <c r="P3378" s="1597"/>
      <c r="R3378" s="1598"/>
      <c r="T3378" s="1768"/>
      <c r="V3378" s="1769"/>
      <c r="X3378" s="1768"/>
      <c r="Z3378" s="1769"/>
    </row>
    <row r="3379" spans="6:26" ht="18" customHeight="1">
      <c r="F3379" s="154"/>
      <c r="I3379" s="673"/>
      <c r="J3379" s="209"/>
      <c r="L3379" s="154"/>
      <c r="M3379" s="222"/>
      <c r="P3379" s="1597"/>
      <c r="R3379" s="1598"/>
      <c r="T3379" s="1768"/>
      <c r="V3379" s="1769"/>
      <c r="X3379" s="1768"/>
      <c r="Z3379" s="1769"/>
    </row>
    <row r="3380" spans="6:26" ht="18" customHeight="1">
      <c r="F3380" s="154"/>
      <c r="I3380" s="673"/>
      <c r="J3380" s="209"/>
      <c r="L3380" s="154"/>
      <c r="M3380" s="222"/>
      <c r="P3380" s="1597"/>
      <c r="R3380" s="1598"/>
      <c r="T3380" s="1768"/>
      <c r="V3380" s="1769"/>
      <c r="X3380" s="1768"/>
      <c r="Z3380" s="1769"/>
    </row>
    <row r="3381" spans="6:26" ht="18" customHeight="1">
      <c r="F3381" s="154"/>
      <c r="I3381" s="673"/>
      <c r="J3381" s="209"/>
      <c r="L3381" s="154"/>
      <c r="M3381" s="222"/>
      <c r="P3381" s="1597"/>
      <c r="R3381" s="1598"/>
      <c r="T3381" s="1768"/>
      <c r="V3381" s="1769"/>
      <c r="X3381" s="1768"/>
      <c r="Z3381" s="1769"/>
    </row>
    <row r="3382" spans="6:26" ht="18" customHeight="1">
      <c r="F3382" s="154"/>
      <c r="I3382" s="673"/>
      <c r="J3382" s="209"/>
      <c r="L3382" s="154"/>
      <c r="M3382" s="222"/>
      <c r="P3382" s="1597"/>
      <c r="R3382" s="1598"/>
      <c r="T3382" s="1768"/>
      <c r="V3382" s="1769"/>
      <c r="X3382" s="1768"/>
      <c r="Z3382" s="1769"/>
    </row>
    <row r="3383" spans="6:26" ht="18" customHeight="1">
      <c r="F3383" s="154"/>
      <c r="I3383" s="673"/>
      <c r="J3383" s="209"/>
      <c r="L3383" s="154"/>
      <c r="M3383" s="222"/>
      <c r="P3383" s="1597"/>
      <c r="R3383" s="1598"/>
      <c r="T3383" s="1768"/>
      <c r="V3383" s="1769"/>
      <c r="X3383" s="1768"/>
      <c r="Z3383" s="1769"/>
    </row>
    <row r="3384" spans="6:26" ht="18" customHeight="1">
      <c r="F3384" s="154"/>
      <c r="I3384" s="673"/>
      <c r="J3384" s="209"/>
      <c r="L3384" s="154"/>
      <c r="M3384" s="222"/>
      <c r="P3384" s="1597"/>
      <c r="R3384" s="1598"/>
      <c r="T3384" s="1768"/>
      <c r="V3384" s="1769"/>
      <c r="X3384" s="1768"/>
      <c r="Z3384" s="1769"/>
    </row>
    <row r="3385" spans="6:26" ht="18" customHeight="1">
      <c r="F3385" s="154"/>
      <c r="I3385" s="673"/>
      <c r="J3385" s="209"/>
      <c r="L3385" s="154"/>
      <c r="M3385" s="222"/>
      <c r="P3385" s="1597"/>
      <c r="R3385" s="1598"/>
      <c r="T3385" s="1768"/>
      <c r="V3385" s="1769"/>
      <c r="X3385" s="1768"/>
      <c r="Z3385" s="1769"/>
    </row>
    <row r="3386" spans="6:26" ht="18" customHeight="1">
      <c r="F3386" s="154"/>
      <c r="I3386" s="673"/>
      <c r="J3386" s="209"/>
      <c r="L3386" s="154"/>
      <c r="M3386" s="222"/>
      <c r="P3386" s="1597"/>
      <c r="R3386" s="1598"/>
      <c r="T3386" s="1768"/>
      <c r="V3386" s="1769"/>
      <c r="X3386" s="1768"/>
      <c r="Z3386" s="1769"/>
    </row>
    <row r="3387" spans="6:26" ht="18" customHeight="1">
      <c r="F3387" s="154"/>
      <c r="I3387" s="673"/>
      <c r="J3387" s="209"/>
      <c r="L3387" s="154"/>
      <c r="M3387" s="222"/>
      <c r="P3387" s="1597"/>
      <c r="R3387" s="1598"/>
      <c r="T3387" s="1768"/>
      <c r="V3387" s="1769"/>
      <c r="X3387" s="1768"/>
      <c r="Z3387" s="1769"/>
    </row>
    <row r="3388" spans="6:26" ht="18" customHeight="1">
      <c r="F3388" s="154"/>
      <c r="I3388" s="673"/>
      <c r="J3388" s="209"/>
      <c r="L3388" s="154"/>
      <c r="M3388" s="222"/>
      <c r="P3388" s="1597"/>
      <c r="R3388" s="1598"/>
      <c r="T3388" s="1768"/>
      <c r="V3388" s="1769"/>
      <c r="X3388" s="1768"/>
      <c r="Z3388" s="1769"/>
    </row>
    <row r="3389" spans="6:26" ht="18" customHeight="1">
      <c r="F3389" s="154"/>
      <c r="I3389" s="673"/>
      <c r="J3389" s="209"/>
      <c r="L3389" s="154"/>
      <c r="M3389" s="222"/>
      <c r="P3389" s="1597"/>
      <c r="R3389" s="1598"/>
      <c r="T3389" s="1768"/>
      <c r="V3389" s="1769"/>
      <c r="X3389" s="1768"/>
      <c r="Z3389" s="1769"/>
    </row>
    <row r="3390" spans="6:26" ht="18" customHeight="1">
      <c r="F3390" s="154"/>
      <c r="I3390" s="673"/>
      <c r="J3390" s="209"/>
      <c r="L3390" s="154"/>
      <c r="M3390" s="222"/>
      <c r="P3390" s="1597"/>
      <c r="R3390" s="1598"/>
      <c r="T3390" s="1768"/>
      <c r="V3390" s="1769"/>
      <c r="X3390" s="1768"/>
      <c r="Z3390" s="1769"/>
    </row>
    <row r="3391" spans="6:26" ht="18" customHeight="1">
      <c r="F3391" s="154"/>
      <c r="I3391" s="673"/>
      <c r="J3391" s="209"/>
      <c r="L3391" s="154"/>
      <c r="M3391" s="222"/>
      <c r="P3391" s="1597"/>
      <c r="R3391" s="1598"/>
      <c r="T3391" s="1768"/>
      <c r="V3391" s="1769"/>
      <c r="X3391" s="1768"/>
      <c r="Z3391" s="1769"/>
    </row>
    <row r="3392" spans="6:26" ht="18" customHeight="1">
      <c r="F3392" s="154"/>
      <c r="I3392" s="673"/>
      <c r="J3392" s="209"/>
      <c r="L3392" s="154"/>
      <c r="M3392" s="222"/>
      <c r="P3392" s="1597"/>
      <c r="R3392" s="1598"/>
      <c r="T3392" s="1768"/>
      <c r="V3392" s="1769"/>
      <c r="X3392" s="1768"/>
      <c r="Z3392" s="1769"/>
    </row>
    <row r="3393" spans="6:26" ht="18" customHeight="1">
      <c r="F3393" s="154"/>
      <c r="I3393" s="673"/>
      <c r="J3393" s="209"/>
      <c r="L3393" s="154"/>
      <c r="M3393" s="222"/>
      <c r="P3393" s="1597"/>
      <c r="R3393" s="1598"/>
      <c r="T3393" s="1768"/>
      <c r="V3393" s="1769"/>
      <c r="X3393" s="1768"/>
      <c r="Z3393" s="1769"/>
    </row>
    <row r="3394" spans="6:26" ht="18" customHeight="1">
      <c r="F3394" s="154"/>
      <c r="I3394" s="673"/>
      <c r="J3394" s="209"/>
      <c r="L3394" s="154"/>
      <c r="M3394" s="222"/>
      <c r="P3394" s="1597"/>
      <c r="R3394" s="1598"/>
      <c r="T3394" s="1768"/>
      <c r="V3394" s="1769"/>
      <c r="X3394" s="1768"/>
      <c r="Z3394" s="1769"/>
    </row>
    <row r="3395" spans="6:26" ht="18" customHeight="1">
      <c r="F3395" s="154"/>
      <c r="I3395" s="673"/>
      <c r="J3395" s="209"/>
      <c r="L3395" s="154"/>
      <c r="M3395" s="222"/>
      <c r="P3395" s="1597"/>
      <c r="R3395" s="1598"/>
      <c r="T3395" s="1768"/>
      <c r="V3395" s="1769"/>
      <c r="X3395" s="1768"/>
      <c r="Z3395" s="1769"/>
    </row>
    <row r="3396" spans="6:26" ht="18" customHeight="1">
      <c r="F3396" s="154"/>
      <c r="I3396" s="673"/>
      <c r="J3396" s="209"/>
      <c r="L3396" s="154"/>
      <c r="M3396" s="222"/>
      <c r="P3396" s="1597"/>
      <c r="R3396" s="1598"/>
      <c r="T3396" s="1768"/>
      <c r="V3396" s="1769"/>
      <c r="X3396" s="1768"/>
      <c r="Z3396" s="1769"/>
    </row>
    <row r="3397" spans="6:26" ht="18" customHeight="1">
      <c r="F3397" s="154"/>
      <c r="I3397" s="673"/>
      <c r="J3397" s="209"/>
      <c r="L3397" s="154"/>
      <c r="M3397" s="222"/>
      <c r="P3397" s="1597"/>
      <c r="R3397" s="1598"/>
      <c r="T3397" s="1768"/>
      <c r="V3397" s="1769"/>
      <c r="X3397" s="1768"/>
      <c r="Z3397" s="1769"/>
    </row>
    <row r="3398" spans="6:26" ht="18" customHeight="1">
      <c r="F3398" s="154"/>
      <c r="I3398" s="673"/>
      <c r="J3398" s="209"/>
      <c r="L3398" s="154"/>
      <c r="M3398" s="222"/>
      <c r="P3398" s="1597"/>
      <c r="R3398" s="1598"/>
      <c r="T3398" s="1768"/>
      <c r="V3398" s="1769"/>
      <c r="X3398" s="1768"/>
      <c r="Z3398" s="1769"/>
    </row>
    <row r="3399" spans="6:26" ht="18" customHeight="1">
      <c r="F3399" s="154"/>
      <c r="I3399" s="673"/>
      <c r="J3399" s="209"/>
      <c r="L3399" s="154"/>
      <c r="M3399" s="222"/>
      <c r="P3399" s="1597"/>
      <c r="R3399" s="1598"/>
      <c r="T3399" s="1768"/>
      <c r="V3399" s="1769"/>
      <c r="X3399" s="1768"/>
      <c r="Z3399" s="1769"/>
    </row>
    <row r="3400" spans="6:26" ht="18" customHeight="1">
      <c r="F3400" s="154"/>
      <c r="I3400" s="673"/>
      <c r="J3400" s="209"/>
      <c r="L3400" s="154"/>
      <c r="M3400" s="222"/>
      <c r="P3400" s="1597"/>
      <c r="R3400" s="1598"/>
      <c r="T3400" s="1768"/>
      <c r="V3400" s="1769"/>
      <c r="X3400" s="1768"/>
      <c r="Z3400" s="1769"/>
    </row>
    <row r="3401" spans="6:26" ht="18" customHeight="1">
      <c r="F3401" s="154"/>
      <c r="I3401" s="673"/>
      <c r="J3401" s="209"/>
      <c r="L3401" s="154"/>
      <c r="M3401" s="222"/>
      <c r="P3401" s="1597"/>
      <c r="R3401" s="1598"/>
      <c r="T3401" s="1768"/>
      <c r="V3401" s="1769"/>
      <c r="X3401" s="1768"/>
      <c r="Z3401" s="1769"/>
    </row>
    <row r="3402" spans="6:26" ht="18" customHeight="1">
      <c r="F3402" s="154"/>
      <c r="I3402" s="673"/>
      <c r="J3402" s="209"/>
      <c r="L3402" s="154"/>
      <c r="M3402" s="222"/>
      <c r="P3402" s="1597"/>
      <c r="R3402" s="1598"/>
      <c r="T3402" s="1768"/>
      <c r="V3402" s="1769"/>
      <c r="X3402" s="1768"/>
      <c r="Z3402" s="1769"/>
    </row>
    <row r="3403" spans="6:26" ht="18" customHeight="1">
      <c r="F3403" s="154"/>
      <c r="I3403" s="673"/>
      <c r="J3403" s="209"/>
      <c r="L3403" s="154"/>
      <c r="M3403" s="222"/>
      <c r="P3403" s="1597"/>
      <c r="R3403" s="1598"/>
      <c r="T3403" s="1768"/>
      <c r="V3403" s="1769"/>
      <c r="X3403" s="1768"/>
      <c r="Z3403" s="1769"/>
    </row>
    <row r="3404" spans="6:26" ht="18" customHeight="1">
      <c r="F3404" s="154"/>
      <c r="I3404" s="673"/>
      <c r="J3404" s="209"/>
      <c r="L3404" s="154"/>
      <c r="M3404" s="222"/>
      <c r="P3404" s="1597"/>
      <c r="R3404" s="1598"/>
      <c r="T3404" s="1768"/>
      <c r="V3404" s="1769"/>
      <c r="X3404" s="1768"/>
      <c r="Z3404" s="1769"/>
    </row>
    <row r="3405" spans="6:26" ht="18" customHeight="1">
      <c r="F3405" s="154"/>
      <c r="I3405" s="673"/>
      <c r="J3405" s="209"/>
      <c r="L3405" s="154"/>
      <c r="M3405" s="222"/>
      <c r="P3405" s="1597"/>
      <c r="R3405" s="1598"/>
      <c r="T3405" s="1768"/>
      <c r="V3405" s="1769"/>
      <c r="X3405" s="1768"/>
      <c r="Z3405" s="1769"/>
    </row>
    <row r="3406" spans="6:26" ht="18" customHeight="1">
      <c r="F3406" s="154"/>
      <c r="I3406" s="673"/>
      <c r="J3406" s="209"/>
      <c r="L3406" s="154"/>
      <c r="M3406" s="222"/>
      <c r="P3406" s="1597"/>
      <c r="R3406" s="1598"/>
      <c r="T3406" s="1768"/>
      <c r="V3406" s="1769"/>
      <c r="X3406" s="1768"/>
      <c r="Z3406" s="1769"/>
    </row>
    <row r="3407" spans="6:26" ht="18" customHeight="1">
      <c r="F3407" s="154"/>
      <c r="I3407" s="673"/>
      <c r="J3407" s="209"/>
      <c r="L3407" s="154"/>
      <c r="M3407" s="222"/>
      <c r="P3407" s="1597"/>
      <c r="R3407" s="1598"/>
      <c r="T3407" s="1768"/>
      <c r="V3407" s="1769"/>
      <c r="X3407" s="1768"/>
      <c r="Z3407" s="1769"/>
    </row>
    <row r="3408" spans="6:26" ht="18" customHeight="1">
      <c r="F3408" s="154"/>
      <c r="I3408" s="673"/>
      <c r="J3408" s="209"/>
      <c r="L3408" s="154"/>
      <c r="M3408" s="222"/>
      <c r="P3408" s="1597"/>
      <c r="R3408" s="1598"/>
      <c r="T3408" s="1768"/>
      <c r="V3408" s="1769"/>
      <c r="X3408" s="1768"/>
      <c r="Z3408" s="1769"/>
    </row>
    <row r="3409" spans="6:26" ht="18" customHeight="1">
      <c r="F3409" s="154"/>
      <c r="I3409" s="673"/>
      <c r="J3409" s="209"/>
      <c r="L3409" s="154"/>
      <c r="M3409" s="222"/>
      <c r="P3409" s="1597"/>
      <c r="R3409" s="1598"/>
      <c r="T3409" s="1768"/>
      <c r="V3409" s="1769"/>
      <c r="X3409" s="1768"/>
      <c r="Z3409" s="1769"/>
    </row>
    <row r="3410" spans="6:26" ht="18" customHeight="1">
      <c r="F3410" s="154"/>
      <c r="I3410" s="673"/>
      <c r="J3410" s="209"/>
      <c r="L3410" s="154"/>
      <c r="M3410" s="222"/>
      <c r="P3410" s="1597"/>
      <c r="R3410" s="1598"/>
      <c r="T3410" s="1768"/>
      <c r="V3410" s="1769"/>
      <c r="X3410" s="1768"/>
      <c r="Z3410" s="1769"/>
    </row>
    <row r="3411" spans="6:26" ht="18" customHeight="1">
      <c r="F3411" s="154"/>
      <c r="I3411" s="673"/>
      <c r="J3411" s="209"/>
      <c r="L3411" s="154"/>
      <c r="M3411" s="222"/>
      <c r="P3411" s="1597"/>
      <c r="R3411" s="1598"/>
      <c r="T3411" s="1768"/>
      <c r="V3411" s="1769"/>
      <c r="X3411" s="1768"/>
      <c r="Z3411" s="1769"/>
    </row>
    <row r="3412" spans="6:26" ht="18" customHeight="1">
      <c r="F3412" s="154"/>
      <c r="I3412" s="673"/>
      <c r="J3412" s="209"/>
      <c r="L3412" s="154"/>
      <c r="M3412" s="222"/>
      <c r="P3412" s="1597"/>
      <c r="R3412" s="1598"/>
      <c r="T3412" s="1768"/>
      <c r="V3412" s="1769"/>
      <c r="X3412" s="1768"/>
      <c r="Z3412" s="1769"/>
    </row>
    <row r="3413" spans="6:26" ht="18" customHeight="1">
      <c r="F3413" s="154"/>
      <c r="I3413" s="673"/>
      <c r="J3413" s="209"/>
      <c r="L3413" s="154"/>
      <c r="M3413" s="222"/>
      <c r="P3413" s="1597"/>
      <c r="R3413" s="1598"/>
      <c r="T3413" s="1768"/>
      <c r="V3413" s="1769"/>
      <c r="X3413" s="1768"/>
      <c r="Z3413" s="1769"/>
    </row>
    <row r="3414" spans="6:26" ht="18" customHeight="1">
      <c r="F3414" s="154"/>
      <c r="I3414" s="673"/>
      <c r="J3414" s="209"/>
      <c r="L3414" s="154"/>
      <c r="M3414" s="222"/>
      <c r="P3414" s="1597"/>
      <c r="R3414" s="1598"/>
      <c r="T3414" s="1768"/>
      <c r="V3414" s="1769"/>
      <c r="X3414" s="1768"/>
      <c r="Z3414" s="1769"/>
    </row>
    <row r="3415" spans="6:26" ht="18" customHeight="1">
      <c r="F3415" s="154"/>
      <c r="I3415" s="673"/>
      <c r="J3415" s="209"/>
      <c r="L3415" s="154"/>
      <c r="M3415" s="222"/>
      <c r="P3415" s="1597"/>
      <c r="R3415" s="1598"/>
      <c r="T3415" s="1768"/>
      <c r="V3415" s="1769"/>
      <c r="X3415" s="1768"/>
      <c r="Z3415" s="1769"/>
    </row>
    <row r="3416" spans="6:26" ht="18" customHeight="1">
      <c r="F3416" s="154"/>
      <c r="I3416" s="673"/>
      <c r="J3416" s="209"/>
      <c r="L3416" s="154"/>
      <c r="M3416" s="222"/>
      <c r="P3416" s="1597"/>
      <c r="R3416" s="1598"/>
      <c r="T3416" s="1768"/>
      <c r="V3416" s="1769"/>
      <c r="X3416" s="1768"/>
      <c r="Z3416" s="1769"/>
    </row>
    <row r="3417" spans="6:26" ht="18" customHeight="1">
      <c r="F3417" s="154"/>
      <c r="I3417" s="673"/>
      <c r="J3417" s="209"/>
      <c r="L3417" s="154"/>
      <c r="M3417" s="222"/>
      <c r="P3417" s="1597"/>
      <c r="R3417" s="1598"/>
      <c r="T3417" s="1768"/>
      <c r="V3417" s="1769"/>
      <c r="X3417" s="1768"/>
      <c r="Z3417" s="1769"/>
    </row>
    <row r="3418" spans="6:26" ht="18" customHeight="1">
      <c r="F3418" s="154"/>
      <c r="I3418" s="673"/>
      <c r="J3418" s="209"/>
      <c r="L3418" s="154"/>
      <c r="M3418" s="222"/>
      <c r="P3418" s="1597"/>
      <c r="R3418" s="1598"/>
      <c r="T3418" s="1768"/>
      <c r="V3418" s="1769"/>
      <c r="X3418" s="1768"/>
      <c r="Z3418" s="1769"/>
    </row>
    <row r="3419" spans="6:26" ht="18" customHeight="1">
      <c r="F3419" s="154"/>
      <c r="I3419" s="673"/>
      <c r="J3419" s="209"/>
      <c r="L3419" s="154"/>
      <c r="M3419" s="222"/>
      <c r="P3419" s="1597"/>
      <c r="R3419" s="1598"/>
      <c r="T3419" s="1768"/>
      <c r="V3419" s="1769"/>
      <c r="X3419" s="1768"/>
      <c r="Z3419" s="1769"/>
    </row>
    <row r="3420" spans="6:26" ht="18" customHeight="1">
      <c r="F3420" s="154"/>
      <c r="I3420" s="673"/>
      <c r="J3420" s="209"/>
      <c r="L3420" s="154"/>
      <c r="M3420" s="222"/>
      <c r="P3420" s="1597"/>
      <c r="R3420" s="1598"/>
      <c r="T3420" s="1768"/>
      <c r="V3420" s="1769"/>
      <c r="X3420" s="1768"/>
      <c r="Z3420" s="1769"/>
    </row>
    <row r="3421" spans="6:26" ht="18" customHeight="1">
      <c r="F3421" s="154"/>
      <c r="I3421" s="673"/>
      <c r="J3421" s="209"/>
      <c r="L3421" s="154"/>
      <c r="M3421" s="222"/>
      <c r="P3421" s="1597"/>
      <c r="R3421" s="1598"/>
      <c r="T3421" s="1768"/>
      <c r="V3421" s="1769"/>
      <c r="X3421" s="1768"/>
      <c r="Z3421" s="1769"/>
    </row>
    <row r="3422" spans="6:26" ht="18" customHeight="1">
      <c r="F3422" s="154"/>
      <c r="I3422" s="673"/>
      <c r="J3422" s="209"/>
      <c r="L3422" s="154"/>
      <c r="M3422" s="222"/>
      <c r="P3422" s="1597"/>
      <c r="R3422" s="1598"/>
      <c r="T3422" s="1768"/>
      <c r="V3422" s="1769"/>
      <c r="X3422" s="1768"/>
      <c r="Z3422" s="1769"/>
    </row>
    <row r="3423" spans="6:26" ht="18" customHeight="1">
      <c r="F3423" s="154"/>
      <c r="I3423" s="673"/>
      <c r="J3423" s="209"/>
      <c r="L3423" s="154"/>
      <c r="M3423" s="222"/>
      <c r="P3423" s="1597"/>
      <c r="R3423" s="1598"/>
      <c r="T3423" s="1768"/>
      <c r="V3423" s="1769"/>
      <c r="X3423" s="1768"/>
      <c r="Z3423" s="1769"/>
    </row>
    <row r="3424" spans="6:26" ht="18" customHeight="1">
      <c r="F3424" s="154"/>
      <c r="I3424" s="673"/>
      <c r="J3424" s="209"/>
      <c r="L3424" s="154"/>
      <c r="M3424" s="222"/>
      <c r="P3424" s="1597"/>
      <c r="R3424" s="1598"/>
      <c r="T3424" s="1768"/>
      <c r="V3424" s="1769"/>
      <c r="X3424" s="1768"/>
      <c r="Z3424" s="1769"/>
    </row>
    <row r="3425" spans="6:26" ht="18" customHeight="1">
      <c r="F3425" s="154"/>
      <c r="I3425" s="673"/>
      <c r="J3425" s="209"/>
      <c r="L3425" s="154"/>
      <c r="M3425" s="222"/>
      <c r="P3425" s="1597"/>
      <c r="R3425" s="1598"/>
      <c r="T3425" s="1768"/>
      <c r="V3425" s="1769"/>
      <c r="X3425" s="1768"/>
      <c r="Z3425" s="1769"/>
    </row>
    <row r="3426" spans="6:26" ht="18" customHeight="1">
      <c r="F3426" s="154"/>
      <c r="I3426" s="673"/>
      <c r="J3426" s="209"/>
      <c r="L3426" s="154"/>
      <c r="M3426" s="222"/>
      <c r="P3426" s="1597"/>
      <c r="R3426" s="1598"/>
      <c r="T3426" s="1768"/>
      <c r="V3426" s="1769"/>
      <c r="X3426" s="1768"/>
      <c r="Z3426" s="1769"/>
    </row>
    <row r="3427" spans="6:26" ht="18" customHeight="1">
      <c r="F3427" s="154"/>
      <c r="I3427" s="673"/>
      <c r="J3427" s="209"/>
      <c r="L3427" s="154"/>
      <c r="M3427" s="222"/>
      <c r="P3427" s="1597"/>
      <c r="R3427" s="1598"/>
      <c r="T3427" s="1768"/>
      <c r="V3427" s="1769"/>
      <c r="X3427" s="1768"/>
      <c r="Z3427" s="1769"/>
    </row>
    <row r="3428" spans="6:26" ht="18" customHeight="1">
      <c r="F3428" s="154"/>
      <c r="I3428" s="673"/>
      <c r="J3428" s="209"/>
      <c r="L3428" s="154"/>
      <c r="M3428" s="222"/>
      <c r="P3428" s="1597"/>
      <c r="R3428" s="1598"/>
      <c r="T3428" s="1768"/>
      <c r="V3428" s="1769"/>
      <c r="X3428" s="1768"/>
      <c r="Z3428" s="1769"/>
    </row>
    <row r="3429" spans="6:26" ht="18" customHeight="1">
      <c r="F3429" s="154"/>
      <c r="I3429" s="673"/>
      <c r="J3429" s="209"/>
      <c r="L3429" s="154"/>
      <c r="M3429" s="222"/>
      <c r="P3429" s="1597"/>
      <c r="R3429" s="1598"/>
      <c r="T3429" s="1768"/>
      <c r="V3429" s="1769"/>
      <c r="X3429" s="1768"/>
      <c r="Z3429" s="1769"/>
    </row>
    <row r="3430" spans="6:26" ht="18" customHeight="1">
      <c r="F3430" s="154"/>
      <c r="I3430" s="673"/>
      <c r="J3430" s="209"/>
      <c r="L3430" s="154"/>
      <c r="M3430" s="222"/>
      <c r="P3430" s="1597"/>
      <c r="R3430" s="1598"/>
      <c r="T3430" s="1768"/>
      <c r="V3430" s="1769"/>
      <c r="X3430" s="1768"/>
      <c r="Z3430" s="1769"/>
    </row>
    <row r="3431" spans="6:26" ht="18" customHeight="1">
      <c r="F3431" s="154"/>
      <c r="I3431" s="673"/>
      <c r="J3431" s="209"/>
      <c r="L3431" s="154"/>
      <c r="M3431" s="222"/>
      <c r="P3431" s="1597"/>
      <c r="R3431" s="1598"/>
      <c r="T3431" s="1768"/>
      <c r="V3431" s="1769"/>
      <c r="X3431" s="1768"/>
      <c r="Z3431" s="1769"/>
    </row>
    <row r="3432" spans="6:26" ht="18" customHeight="1">
      <c r="F3432" s="154"/>
      <c r="I3432" s="673"/>
      <c r="J3432" s="209"/>
      <c r="L3432" s="154"/>
      <c r="M3432" s="222"/>
      <c r="P3432" s="1597"/>
      <c r="R3432" s="1598"/>
      <c r="T3432" s="1768"/>
      <c r="V3432" s="1769"/>
      <c r="X3432" s="1768"/>
      <c r="Z3432" s="1769"/>
    </row>
    <row r="3433" spans="6:26" ht="18" customHeight="1">
      <c r="F3433" s="154"/>
      <c r="I3433" s="673"/>
      <c r="J3433" s="209"/>
      <c r="L3433" s="154"/>
      <c r="M3433" s="222"/>
      <c r="P3433" s="1597"/>
      <c r="R3433" s="1598"/>
      <c r="T3433" s="1768"/>
      <c r="V3433" s="1769"/>
      <c r="X3433" s="1768"/>
      <c r="Z3433" s="1769"/>
    </row>
    <row r="3434" spans="6:26" ht="18" customHeight="1">
      <c r="F3434" s="154"/>
      <c r="I3434" s="673"/>
      <c r="J3434" s="209"/>
      <c r="L3434" s="154"/>
      <c r="M3434" s="222"/>
      <c r="P3434" s="1597"/>
      <c r="R3434" s="1598"/>
      <c r="T3434" s="1768"/>
      <c r="V3434" s="1769"/>
      <c r="X3434" s="1768"/>
      <c r="Z3434" s="1769"/>
    </row>
    <row r="3435" spans="6:26" ht="18" customHeight="1">
      <c r="F3435" s="154"/>
      <c r="L3435" s="154"/>
      <c r="R3435" s="1598"/>
      <c r="V3435" s="1769"/>
      <c r="Z3435" s="1769"/>
    </row>
    <row r="3436" spans="6:26" ht="18" customHeight="1">
      <c r="F3436" s="154"/>
      <c r="L3436" s="154"/>
      <c r="R3436" s="1598"/>
      <c r="V3436" s="1769"/>
      <c r="Z3436" s="1769"/>
    </row>
    <row r="3437" spans="6:26" ht="18" customHeight="1">
      <c r="F3437" s="154"/>
      <c r="L3437" s="154"/>
      <c r="R3437" s="1598"/>
      <c r="V3437" s="1769"/>
      <c r="Z3437" s="1769"/>
    </row>
    <row r="3438" spans="6:26" ht="18" customHeight="1">
      <c r="F3438" s="154"/>
      <c r="L3438" s="154"/>
      <c r="R3438" s="1598"/>
      <c r="V3438" s="1769"/>
      <c r="Z3438" s="1769"/>
    </row>
    <row r="3439" spans="6:26" ht="18" customHeight="1">
      <c r="F3439" s="154"/>
      <c r="L3439" s="154"/>
      <c r="R3439" s="1598"/>
      <c r="V3439" s="1769"/>
      <c r="Z3439" s="1769"/>
    </row>
    <row r="3440" spans="6:26" ht="18" customHeight="1">
      <c r="F3440" s="154"/>
      <c r="L3440" s="154"/>
      <c r="R3440" s="1598"/>
      <c r="V3440" s="1769"/>
      <c r="Z3440" s="1769"/>
    </row>
    <row r="3441" spans="6:26" ht="18" customHeight="1">
      <c r="F3441" s="154"/>
      <c r="L3441" s="154"/>
      <c r="R3441" s="1598"/>
      <c r="V3441" s="1769"/>
      <c r="Z3441" s="1769"/>
    </row>
    <row r="3442" spans="6:26" ht="18" customHeight="1">
      <c r="F3442" s="154"/>
      <c r="L3442" s="154"/>
      <c r="R3442" s="1598"/>
      <c r="V3442" s="1769"/>
      <c r="Z3442" s="1769"/>
    </row>
    <row r="3443" spans="6:26" ht="18" customHeight="1">
      <c r="F3443" s="154"/>
      <c r="L3443" s="154"/>
      <c r="R3443" s="1598"/>
      <c r="V3443" s="1769"/>
      <c r="Z3443" s="1769"/>
    </row>
    <row r="3444" spans="6:26" ht="18" customHeight="1">
      <c r="F3444" s="154"/>
      <c r="L3444" s="154"/>
      <c r="R3444" s="1598"/>
      <c r="V3444" s="1769"/>
      <c r="Z3444" s="1769"/>
    </row>
    <row r="3445" spans="6:26" ht="18" customHeight="1">
      <c r="F3445" s="154"/>
      <c r="L3445" s="154"/>
      <c r="R3445" s="1598"/>
      <c r="V3445" s="1769"/>
      <c r="Z3445" s="1769"/>
    </row>
    <row r="3446" spans="6:26" ht="18" customHeight="1">
      <c r="F3446" s="154"/>
      <c r="L3446" s="154"/>
      <c r="R3446" s="1598"/>
      <c r="V3446" s="1769"/>
      <c r="Z3446" s="1769"/>
    </row>
    <row r="3447" spans="6:26" ht="18" customHeight="1">
      <c r="F3447" s="154"/>
      <c r="L3447" s="154"/>
      <c r="R3447" s="1598"/>
      <c r="V3447" s="1769"/>
      <c r="Z3447" s="1769"/>
    </row>
    <row r="3448" spans="6:26" ht="18" customHeight="1">
      <c r="F3448" s="154"/>
      <c r="L3448" s="154"/>
      <c r="R3448" s="1598"/>
      <c r="V3448" s="1769"/>
      <c r="Z3448" s="1769"/>
    </row>
    <row r="3449" spans="6:26" ht="18" customHeight="1">
      <c r="F3449" s="154"/>
      <c r="L3449" s="154"/>
      <c r="R3449" s="1598"/>
      <c r="V3449" s="1769"/>
      <c r="Z3449" s="1769"/>
    </row>
    <row r="3450" spans="6:26" ht="18" customHeight="1">
      <c r="F3450" s="154"/>
      <c r="L3450" s="154"/>
      <c r="R3450" s="1598"/>
      <c r="V3450" s="1769"/>
      <c r="Z3450" s="1769"/>
    </row>
    <row r="3451" spans="6:26" ht="18" customHeight="1">
      <c r="F3451" s="154"/>
      <c r="L3451" s="154"/>
      <c r="R3451" s="1598"/>
      <c r="V3451" s="1769"/>
      <c r="Z3451" s="1769"/>
    </row>
    <row r="3452" spans="6:26" ht="18" customHeight="1">
      <c r="F3452" s="154"/>
      <c r="L3452" s="154"/>
      <c r="R3452" s="1598"/>
      <c r="V3452" s="1769"/>
      <c r="Z3452" s="1769"/>
    </row>
    <row r="3453" spans="6:26" ht="18" customHeight="1">
      <c r="F3453" s="154"/>
      <c r="L3453" s="154"/>
      <c r="R3453" s="1598"/>
      <c r="V3453" s="1769"/>
      <c r="Z3453" s="1769"/>
    </row>
    <row r="3454" spans="6:26" ht="18" customHeight="1">
      <c r="F3454" s="154"/>
      <c r="L3454" s="154"/>
      <c r="R3454" s="1598"/>
      <c r="V3454" s="1769"/>
      <c r="Z3454" s="1769"/>
    </row>
    <row r="3455" spans="6:26" ht="18" customHeight="1">
      <c r="F3455" s="154"/>
      <c r="L3455" s="154"/>
      <c r="R3455" s="1598"/>
      <c r="V3455" s="1769"/>
      <c r="Z3455" s="1769"/>
    </row>
    <row r="3456" spans="6:26" ht="18" customHeight="1">
      <c r="F3456" s="154"/>
      <c r="L3456" s="154"/>
      <c r="R3456" s="1598"/>
      <c r="V3456" s="1769"/>
      <c r="Z3456" s="1769"/>
    </row>
    <row r="3457" spans="6:26" ht="18" customHeight="1">
      <c r="F3457" s="154"/>
      <c r="L3457" s="154"/>
      <c r="R3457" s="1598"/>
      <c r="V3457" s="1769"/>
      <c r="Z3457" s="1769"/>
    </row>
    <row r="3458" spans="6:26" ht="18" customHeight="1">
      <c r="L3458" s="154"/>
      <c r="R3458" s="1598"/>
      <c r="V3458" s="1769"/>
      <c r="Z3458" s="1769"/>
    </row>
  </sheetData>
  <mergeCells count="12">
    <mergeCell ref="A1:F1"/>
    <mergeCell ref="AE4:AG4"/>
    <mergeCell ref="C6:E6"/>
    <mergeCell ref="D8:E8"/>
    <mergeCell ref="F157:G157"/>
    <mergeCell ref="D39:E39"/>
    <mergeCell ref="D76:E76"/>
    <mergeCell ref="D133:E133"/>
    <mergeCell ref="F149:G149"/>
    <mergeCell ref="F155:G155"/>
    <mergeCell ref="F132:G132"/>
    <mergeCell ref="F156:G156"/>
  </mergeCells>
  <phoneticPr fontId="0" type="noConversion"/>
  <conditionalFormatting sqref="Z158">
    <cfRule type="cellIs" dxfId="1" priority="1" stopIfTrue="1" operator="lessThan">
      <formula>$Z$159</formula>
    </cfRule>
  </conditionalFormatting>
  <conditionalFormatting sqref="R158 V158">
    <cfRule type="cellIs" dxfId="0" priority="2" stopIfTrue="1" operator="lessThan">
      <formula>0</formula>
    </cfRule>
  </conditionalFormatting>
  <printOptions horizontalCentered="1" verticalCentered="1"/>
  <pageMargins left="0.39370078740157483" right="0.39370078740157483" top="0.82677165354330717" bottom="0.78740157480314965" header="0.39370078740157483" footer="0.39370078740157483"/>
  <pageSetup paperSize="9" scale="42" fitToHeight="2" orientation="portrait" r:id="rId1"/>
  <headerFooter alignWithMargins="0">
    <oddHeader>&amp;L&amp;20SODEGIS&amp;C&amp;"Arial Narrow,Gras"&amp;14BILAN PAR COMPOSANTS&amp;R&amp;"Arial Narrow,Gras"&amp;14PRLC</oddHeader>
    <oddFooter>&amp;L&amp;14&amp;D-&amp;T&amp;C&amp;"Arial,Gras"&amp;14&amp;P&amp;R&amp;"Arial,Italique"&amp;12V 05-13</oddFooter>
  </headerFooter>
  <rowBreaks count="1" manualBreakCount="1">
    <brk id="107" max="35" man="1"/>
  </rowBreaks>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0"/>
  </sheetPr>
  <dimension ref="A1:AM119"/>
  <sheetViews>
    <sheetView view="pageBreakPreview" topLeftCell="R62" zoomScale="85" zoomScaleNormal="100" zoomScaleSheetLayoutView="85" zoomScalePageLayoutView="40" workbookViewId="0">
      <selection activeCell="AC71" sqref="AC71:AC77"/>
    </sheetView>
  </sheetViews>
  <sheetFormatPr baseColWidth="10" defaultColWidth="10.85546875" defaultRowHeight="12.75" outlineLevelRow="1" outlineLevelCol="1"/>
  <cols>
    <col min="1" max="1" width="14.42578125" style="851" customWidth="1"/>
    <col min="2" max="2" width="15.42578125" style="828" customWidth="1"/>
    <col min="3" max="3" width="17.42578125" style="922" customWidth="1"/>
    <col min="4" max="4" width="11.140625" style="830" customWidth="1"/>
    <col min="5" max="5" width="21" style="810" customWidth="1"/>
    <col min="6" max="6" width="21" style="810" bestFit="1" customWidth="1"/>
    <col min="7" max="7" width="17.85546875" style="837" customWidth="1"/>
    <col min="8" max="8" width="14.5703125" style="837" customWidth="1"/>
    <col min="9" max="9" width="18.42578125" style="837" customWidth="1"/>
    <col min="10" max="10" width="13" style="837" customWidth="1"/>
    <col min="11" max="11" width="13" style="837" customWidth="1" outlineLevel="1"/>
    <col min="12" max="12" width="10.85546875" style="837" customWidth="1" outlineLevel="1"/>
    <col min="13" max="13" width="12.140625" style="837" customWidth="1" outlineLevel="1"/>
    <col min="14" max="14" width="10.42578125" style="837" customWidth="1" outlineLevel="1"/>
    <col min="15" max="15" width="11.42578125" style="837" customWidth="1" outlineLevel="1"/>
    <col min="16" max="16" width="12.5703125" style="837" customWidth="1" outlineLevel="1"/>
    <col min="17" max="17" width="16.140625" style="810" customWidth="1"/>
    <col min="18" max="18" width="12.42578125" style="810" customWidth="1"/>
    <col min="19" max="19" width="10.42578125" style="810" customWidth="1"/>
    <col min="20" max="20" width="11.5703125" style="810" customWidth="1"/>
    <col min="21" max="21" width="10.140625" style="837" customWidth="1"/>
    <col min="22" max="22" width="9.85546875" style="837" customWidth="1"/>
    <col min="23" max="23" width="17.42578125" style="837" customWidth="1"/>
    <col min="24" max="24" width="15.5703125" style="837" bestFit="1" customWidth="1"/>
    <col min="25" max="25" width="14.42578125" style="810" customWidth="1"/>
    <col min="26" max="26" width="15.5703125" style="810" bestFit="1" customWidth="1"/>
    <col min="27" max="27" width="12.28515625" style="810" customWidth="1"/>
    <col min="28" max="28" width="15.28515625" style="810" bestFit="1" customWidth="1"/>
    <col min="29" max="29" width="13.85546875" bestFit="1" customWidth="1"/>
    <col min="30" max="34" width="10.85546875" customWidth="1"/>
    <col min="35" max="16384" width="10.85546875" style="685"/>
  </cols>
  <sheetData>
    <row r="1" spans="1:35" ht="21.75" customHeight="1">
      <c r="A1" s="677" t="s">
        <v>427</v>
      </c>
      <c r="B1" s="678" t="s">
        <v>428</v>
      </c>
      <c r="C1" s="2260"/>
      <c r="D1" s="3471"/>
      <c r="E1" s="3472"/>
      <c r="F1" s="3472"/>
      <c r="G1" s="679"/>
      <c r="H1" s="679"/>
      <c r="I1" s="680"/>
      <c r="J1" s="680"/>
      <c r="K1" s="680"/>
      <c r="L1" s="680"/>
      <c r="M1" s="680"/>
      <c r="N1" s="680"/>
      <c r="O1" s="680"/>
      <c r="P1" s="680"/>
      <c r="Q1" s="681"/>
      <c r="R1" s="681"/>
      <c r="S1" s="681"/>
      <c r="T1" s="681"/>
      <c r="U1" s="682"/>
      <c r="V1" s="682"/>
      <c r="W1" s="682"/>
      <c r="X1" s="682"/>
      <c r="Y1" s="681"/>
      <c r="Z1" s="681"/>
      <c r="AA1" s="683"/>
      <c r="AC1" s="684"/>
    </row>
    <row r="2" spans="1:35" s="689" customFormat="1" ht="15.95" customHeight="1">
      <c r="A2" s="686"/>
      <c r="B2" s="687"/>
      <c r="C2" s="688"/>
      <c r="E2" s="690"/>
      <c r="F2" s="3470"/>
      <c r="G2" s="3470"/>
      <c r="H2" s="3470"/>
      <c r="I2" s="3470"/>
      <c r="J2" s="691"/>
      <c r="K2" s="691"/>
      <c r="L2" s="691"/>
      <c r="M2" s="691"/>
      <c r="N2" s="691"/>
      <c r="O2" s="691"/>
      <c r="T2" s="692"/>
      <c r="V2" s="693"/>
      <c r="W2" s="694"/>
      <c r="X2" s="694"/>
      <c r="Y2" s="694"/>
      <c r="Z2" s="694"/>
      <c r="AA2"/>
      <c r="AB2"/>
      <c r="AC2"/>
      <c r="AD2"/>
      <c r="AE2"/>
      <c r="AF2"/>
      <c r="AG2"/>
      <c r="AH2"/>
    </row>
    <row r="3" spans="1:35" ht="15.95" customHeight="1">
      <c r="A3" s="695"/>
      <c r="B3" s="696"/>
      <c r="C3" s="696"/>
      <c r="D3" s="697"/>
      <c r="E3" s="697"/>
      <c r="F3" s="697"/>
      <c r="G3" s="697"/>
      <c r="H3" s="697"/>
      <c r="I3" s="697"/>
      <c r="J3" s="698"/>
      <c r="K3" s="698"/>
      <c r="L3" s="698"/>
      <c r="M3" s="698"/>
      <c r="N3" s="698"/>
      <c r="O3" s="698"/>
      <c r="P3" s="697"/>
      <c r="Q3" s="697"/>
      <c r="R3" s="697"/>
      <c r="S3" s="697"/>
      <c r="T3" s="697"/>
      <c r="U3" s="697"/>
      <c r="V3" s="697"/>
      <c r="W3" s="697"/>
      <c r="X3" s="697"/>
      <c r="Y3" s="697"/>
      <c r="Z3" s="697"/>
      <c r="AA3"/>
      <c r="AB3"/>
    </row>
    <row r="4" spans="1:35" ht="15.95" customHeight="1">
      <c r="A4" s="695" t="s">
        <v>429</v>
      </c>
      <c r="B4" s="699"/>
      <c r="C4" s="700"/>
      <c r="D4" s="697"/>
      <c r="E4" s="697"/>
      <c r="F4" s="697"/>
      <c r="G4" s="698"/>
      <c r="H4" s="698"/>
      <c r="I4" s="698"/>
      <c r="J4" s="698"/>
      <c r="K4" s="698"/>
      <c r="L4" s="698"/>
      <c r="M4" s="698"/>
      <c r="N4" s="698"/>
      <c r="O4" s="698"/>
      <c r="P4" s="698"/>
      <c r="Q4" s="697"/>
      <c r="R4" s="697"/>
      <c r="S4" s="697"/>
      <c r="T4" s="697"/>
      <c r="U4" s="698"/>
      <c r="V4" s="698"/>
      <c r="W4" s="698"/>
      <c r="X4" s="698"/>
      <c r="Y4" s="697"/>
      <c r="Z4" s="697"/>
      <c r="AA4"/>
      <c r="AB4"/>
    </row>
    <row r="5" spans="1:35" s="689" customFormat="1" ht="15.95" customHeight="1">
      <c r="A5" s="701" t="s">
        <v>430</v>
      </c>
      <c r="B5" s="702"/>
      <c r="C5" s="702"/>
      <c r="D5" s="702"/>
      <c r="E5" s="703"/>
      <c r="F5" s="703"/>
      <c r="G5" s="703"/>
      <c r="H5" s="676" t="s">
        <v>431</v>
      </c>
      <c r="I5" s="676" t="s">
        <v>432</v>
      </c>
      <c r="J5" s="702" t="s">
        <v>433</v>
      </c>
      <c r="K5" s="3473" t="s">
        <v>434</v>
      </c>
      <c r="L5" s="3473"/>
      <c r="M5" s="3473"/>
      <c r="N5" s="704" t="s">
        <v>435</v>
      </c>
      <c r="O5" s="704"/>
      <c r="P5" s="704"/>
      <c r="Q5" s="702" t="s">
        <v>436</v>
      </c>
      <c r="R5" s="702" t="s">
        <v>412</v>
      </c>
      <c r="S5" s="702" t="s">
        <v>437</v>
      </c>
      <c r="T5" s="702" t="s">
        <v>438</v>
      </c>
      <c r="U5" s="702" t="s">
        <v>439</v>
      </c>
      <c r="V5" s="705" t="s">
        <v>440</v>
      </c>
      <c r="W5" s="706" t="s">
        <v>418</v>
      </c>
      <c r="X5" s="3494" t="s">
        <v>441</v>
      </c>
      <c r="Y5" s="3494"/>
      <c r="Z5" s="3494"/>
      <c r="AA5" s="3494"/>
      <c r="AB5" s="3494"/>
      <c r="AC5" s="3495"/>
      <c r="AD5"/>
      <c r="AE5"/>
      <c r="AF5"/>
      <c r="AG5"/>
      <c r="AH5"/>
      <c r="AI5"/>
    </row>
    <row r="6" spans="1:35" s="723" customFormat="1" ht="37.15" customHeight="1">
      <c r="A6" s="707" t="s">
        <v>442</v>
      </c>
      <c r="B6" s="2212" t="s">
        <v>1096</v>
      </c>
      <c r="C6" s="2212" t="s">
        <v>1097</v>
      </c>
      <c r="D6" s="708" t="s">
        <v>443</v>
      </c>
      <c r="E6" s="709" t="s">
        <v>444</v>
      </c>
      <c r="F6" s="708" t="s">
        <v>445</v>
      </c>
      <c r="G6" s="2212" t="s">
        <v>897</v>
      </c>
      <c r="H6" s="710" t="s">
        <v>446</v>
      </c>
      <c r="I6" s="711" t="s">
        <v>447</v>
      </c>
      <c r="J6" s="712" t="s">
        <v>300</v>
      </c>
      <c r="K6" s="713" t="s">
        <v>448</v>
      </c>
      <c r="L6" s="713" t="s">
        <v>449</v>
      </c>
      <c r="M6" s="714" t="s">
        <v>450</v>
      </c>
      <c r="N6" s="713" t="s">
        <v>451</v>
      </c>
      <c r="O6" s="715" t="s">
        <v>452</v>
      </c>
      <c r="P6" s="714" t="s">
        <v>453</v>
      </c>
      <c r="Q6" s="716" t="s">
        <v>434</v>
      </c>
      <c r="R6" s="717" t="s">
        <v>454</v>
      </c>
      <c r="S6" s="718" t="s">
        <v>435</v>
      </c>
      <c r="T6" s="719" t="s">
        <v>302</v>
      </c>
      <c r="U6" s="720" t="s">
        <v>298</v>
      </c>
      <c r="V6" s="707"/>
      <c r="W6" s="721" t="s">
        <v>455</v>
      </c>
      <c r="X6" s="712" t="s">
        <v>456</v>
      </c>
      <c r="Y6" s="712" t="s">
        <v>457</v>
      </c>
      <c r="Z6" s="712" t="s">
        <v>458</v>
      </c>
      <c r="AA6" s="722" t="s">
        <v>437</v>
      </c>
      <c r="AB6" s="722" t="s">
        <v>438</v>
      </c>
      <c r="AC6" s="720" t="s">
        <v>459</v>
      </c>
      <c r="AD6"/>
      <c r="AE6"/>
      <c r="AF6"/>
      <c r="AG6"/>
      <c r="AH6"/>
      <c r="AI6"/>
    </row>
    <row r="7" spans="1:35" ht="15.95" customHeight="1">
      <c r="A7" s="724"/>
      <c r="B7" s="725"/>
      <c r="C7" s="726"/>
      <c r="D7" s="727" t="s">
        <v>2</v>
      </c>
      <c r="E7" s="728"/>
      <c r="F7" s="728"/>
      <c r="G7" s="740"/>
      <c r="H7" s="729" t="s">
        <v>460</v>
      </c>
      <c r="I7" s="730" t="s">
        <v>461</v>
      </c>
      <c r="J7" s="731"/>
      <c r="K7" s="732"/>
      <c r="L7" s="732"/>
      <c r="M7" s="733" t="s">
        <v>462</v>
      </c>
      <c r="N7" s="732"/>
      <c r="O7" s="732"/>
      <c r="P7" s="733" t="s">
        <v>462</v>
      </c>
      <c r="Q7" s="734">
        <v>0.5</v>
      </c>
      <c r="R7" s="735"/>
      <c r="S7" s="734">
        <v>0.5</v>
      </c>
      <c r="T7" s="736">
        <v>0.5</v>
      </c>
      <c r="U7" s="737"/>
      <c r="V7" s="738"/>
      <c r="W7" s="739"/>
      <c r="X7" s="731"/>
      <c r="Y7" s="731"/>
      <c r="Z7" s="731"/>
      <c r="AA7" s="740"/>
      <c r="AB7" s="740"/>
      <c r="AC7" s="737"/>
      <c r="AD7" s="3248"/>
      <c r="AE7" s="3248"/>
      <c r="AF7" s="3248"/>
      <c r="AG7" s="3248"/>
      <c r="AH7" s="3248"/>
      <c r="AI7"/>
    </row>
    <row r="8" spans="1:35" ht="15.95" customHeight="1" outlineLevel="1">
      <c r="A8" s="3065" t="s">
        <v>900</v>
      </c>
      <c r="B8" s="3066" t="s">
        <v>901</v>
      </c>
      <c r="C8" s="3067" t="s">
        <v>1098</v>
      </c>
      <c r="D8" s="3066" t="s">
        <v>902</v>
      </c>
      <c r="E8" s="3068"/>
      <c r="F8" s="3069"/>
      <c r="G8" s="3070"/>
      <c r="H8" s="3081">
        <v>30</v>
      </c>
      <c r="I8" s="3069"/>
      <c r="J8" s="3071">
        <f t="shared" ref="J8" si="0">H8+I8</f>
        <v>30</v>
      </c>
      <c r="K8" s="3072"/>
      <c r="L8" s="3072"/>
      <c r="M8" s="3073">
        <f t="shared" ref="M8" si="1">K8+L8</f>
        <v>0</v>
      </c>
      <c r="N8" s="3272"/>
      <c r="O8" s="3273"/>
      <c r="P8" s="3073">
        <f t="shared" ref="P8" si="2">N8+O8</f>
        <v>0</v>
      </c>
      <c r="Q8" s="3074">
        <f t="shared" ref="Q8" si="3">M8*$Q$7</f>
        <v>0</v>
      </c>
      <c r="R8" s="3075">
        <f t="shared" ref="R8" si="4">J8+Q8</f>
        <v>30</v>
      </c>
      <c r="S8" s="3076">
        <f t="shared" ref="S8" si="5">P8*$S$7</f>
        <v>0</v>
      </c>
      <c r="T8" s="3077">
        <f t="shared" ref="T8:T13" si="6">IF(S.LCR=0,0,S.LCR/(NbreLLS+NbreLLTS)*$T$7)</f>
        <v>0</v>
      </c>
      <c r="U8" s="3078">
        <f t="shared" ref="U8" si="7">J8+Q8+S8+T8</f>
        <v>30</v>
      </c>
      <c r="V8" s="3183">
        <v>4</v>
      </c>
      <c r="W8" s="3184">
        <f t="shared" ref="W8" si="8">V8</f>
        <v>4</v>
      </c>
      <c r="X8" s="3079">
        <f t="shared" ref="X8" si="9">J8*$V8</f>
        <v>120</v>
      </c>
      <c r="Y8" s="3079">
        <f t="shared" ref="Y8" si="10">Q8*$V8</f>
        <v>0</v>
      </c>
      <c r="Z8" s="3079">
        <f t="shared" ref="Z8" si="11">R8*$V8</f>
        <v>120</v>
      </c>
      <c r="AA8" s="3079">
        <f t="shared" ref="AA8" si="12">S8*$V8</f>
        <v>0</v>
      </c>
      <c r="AB8" s="3079">
        <f t="shared" ref="AB8" si="13">T8*$V8</f>
        <v>0</v>
      </c>
      <c r="AC8" s="3080">
        <f t="shared" ref="AC8" si="14">U8*$V8</f>
        <v>120</v>
      </c>
      <c r="AD8" s="3248"/>
      <c r="AE8" s="3248"/>
      <c r="AF8" s="3248"/>
      <c r="AG8" s="3248"/>
      <c r="AH8" s="3248"/>
      <c r="AI8"/>
    </row>
    <row r="9" spans="1:35" ht="15.95" customHeight="1" outlineLevel="1">
      <c r="A9" s="3084" t="s">
        <v>903</v>
      </c>
      <c r="B9" s="3085" t="s">
        <v>901</v>
      </c>
      <c r="C9" s="3086" t="s">
        <v>1098</v>
      </c>
      <c r="D9" s="3085" t="s">
        <v>902</v>
      </c>
      <c r="E9" s="3087"/>
      <c r="F9" s="3088"/>
      <c r="G9" s="3089"/>
      <c r="H9" s="3100">
        <v>46</v>
      </c>
      <c r="I9" s="3088"/>
      <c r="J9" s="3090">
        <f t="shared" ref="J9:J13" si="15">H9+I9</f>
        <v>46</v>
      </c>
      <c r="K9" s="3091"/>
      <c r="L9" s="3091"/>
      <c r="M9" s="3092">
        <f t="shared" ref="M9:M13" si="16">K9+L9</f>
        <v>0</v>
      </c>
      <c r="N9" s="3274"/>
      <c r="O9" s="3275"/>
      <c r="P9" s="3092">
        <f t="shared" ref="P9:P14" si="17">N9+O9</f>
        <v>0</v>
      </c>
      <c r="Q9" s="3093">
        <f t="shared" ref="Q9:Q14" si="18">M9*$Q$7</f>
        <v>0</v>
      </c>
      <c r="R9" s="3094">
        <f t="shared" ref="R9:R14" si="19">J9+Q9</f>
        <v>46</v>
      </c>
      <c r="S9" s="3095">
        <f t="shared" ref="S9:S14" si="20">P9*$S$7</f>
        <v>0</v>
      </c>
      <c r="T9" s="3096">
        <f t="shared" si="6"/>
        <v>0</v>
      </c>
      <c r="U9" s="3097">
        <f t="shared" ref="U9:U14" si="21">J9+Q9+S9+T9</f>
        <v>46</v>
      </c>
      <c r="V9" s="3185">
        <v>7</v>
      </c>
      <c r="W9" s="3186">
        <f t="shared" ref="W9:W13" si="22">V9</f>
        <v>7</v>
      </c>
      <c r="X9" s="3098">
        <f t="shared" ref="X9:X13" si="23">J9*$V9</f>
        <v>322</v>
      </c>
      <c r="Y9" s="3098">
        <f t="shared" ref="Y9:Y13" si="24">Q9*$V9</f>
        <v>0</v>
      </c>
      <c r="Z9" s="3098">
        <f t="shared" ref="Z9:Z13" si="25">R9*$V9</f>
        <v>322</v>
      </c>
      <c r="AA9" s="3098">
        <f t="shared" ref="AA9:AA13" si="26">S9*$V9</f>
        <v>0</v>
      </c>
      <c r="AB9" s="3098">
        <f t="shared" ref="AB9:AB14" si="27">T9*$V9</f>
        <v>0</v>
      </c>
      <c r="AC9" s="3099">
        <f t="shared" ref="AC9:AC14" si="28">U9*$V9</f>
        <v>322</v>
      </c>
      <c r="AD9" s="3248"/>
      <c r="AE9" s="3248"/>
      <c r="AF9" s="3248"/>
      <c r="AG9" s="3248"/>
      <c r="AH9" s="3248"/>
      <c r="AI9"/>
    </row>
    <row r="10" spans="1:35" ht="15.95" customHeight="1" outlineLevel="1">
      <c r="A10" s="3103" t="s">
        <v>464</v>
      </c>
      <c r="B10" s="3104" t="s">
        <v>1103</v>
      </c>
      <c r="C10" s="3105" t="s">
        <v>1099</v>
      </c>
      <c r="D10" s="3104" t="s">
        <v>466</v>
      </c>
      <c r="E10" s="3106"/>
      <c r="F10" s="3107"/>
      <c r="G10" s="3108"/>
      <c r="H10" s="3179">
        <v>66</v>
      </c>
      <c r="I10" s="3107"/>
      <c r="J10" s="3109">
        <f t="shared" si="15"/>
        <v>66</v>
      </c>
      <c r="K10" s="3110"/>
      <c r="L10" s="3110"/>
      <c r="M10" s="3111">
        <f t="shared" si="16"/>
        <v>0</v>
      </c>
      <c r="N10" s="3276"/>
      <c r="O10" s="3277"/>
      <c r="P10" s="3111">
        <f t="shared" si="17"/>
        <v>0</v>
      </c>
      <c r="Q10" s="3112">
        <f t="shared" si="18"/>
        <v>0</v>
      </c>
      <c r="R10" s="3113">
        <f t="shared" si="19"/>
        <v>66</v>
      </c>
      <c r="S10" s="3114">
        <f t="shared" si="20"/>
        <v>0</v>
      </c>
      <c r="T10" s="3115">
        <f t="shared" si="6"/>
        <v>0</v>
      </c>
      <c r="U10" s="3116">
        <f t="shared" si="21"/>
        <v>66</v>
      </c>
      <c r="V10" s="3187">
        <v>11</v>
      </c>
      <c r="W10" s="3188">
        <f t="shared" si="22"/>
        <v>11</v>
      </c>
      <c r="X10" s="3117">
        <f t="shared" si="23"/>
        <v>726</v>
      </c>
      <c r="Y10" s="3117">
        <f t="shared" si="24"/>
        <v>0</v>
      </c>
      <c r="Z10" s="3117">
        <f t="shared" si="25"/>
        <v>726</v>
      </c>
      <c r="AA10" s="3117">
        <f t="shared" si="26"/>
        <v>0</v>
      </c>
      <c r="AB10" s="3117">
        <f t="shared" si="27"/>
        <v>0</v>
      </c>
      <c r="AC10" s="3118">
        <f t="shared" si="28"/>
        <v>726</v>
      </c>
      <c r="AD10" s="3248"/>
      <c r="AE10" s="3248"/>
      <c r="AF10" s="3248"/>
      <c r="AG10" s="3248"/>
      <c r="AH10" s="3248"/>
      <c r="AI10"/>
    </row>
    <row r="11" spans="1:35" ht="15.95" customHeight="1" outlineLevel="1">
      <c r="A11" s="3119" t="s">
        <v>467</v>
      </c>
      <c r="B11" s="3120" t="s">
        <v>1104</v>
      </c>
      <c r="C11" s="3121" t="s">
        <v>1100</v>
      </c>
      <c r="D11" s="3120" t="s">
        <v>469</v>
      </c>
      <c r="E11" s="3122"/>
      <c r="F11" s="3123"/>
      <c r="G11" s="3124"/>
      <c r="H11" s="3135">
        <v>76</v>
      </c>
      <c r="I11" s="3123"/>
      <c r="J11" s="3125">
        <f t="shared" si="15"/>
        <v>76</v>
      </c>
      <c r="K11" s="3126"/>
      <c r="L11" s="3126"/>
      <c r="M11" s="3127">
        <f t="shared" si="16"/>
        <v>0</v>
      </c>
      <c r="N11" s="3278"/>
      <c r="O11" s="3279"/>
      <c r="P11" s="3127">
        <f t="shared" si="17"/>
        <v>0</v>
      </c>
      <c r="Q11" s="3128">
        <f t="shared" si="18"/>
        <v>0</v>
      </c>
      <c r="R11" s="3129">
        <f t="shared" si="19"/>
        <v>76</v>
      </c>
      <c r="S11" s="3130">
        <f t="shared" si="20"/>
        <v>0</v>
      </c>
      <c r="T11" s="3131">
        <f t="shared" si="6"/>
        <v>0</v>
      </c>
      <c r="U11" s="3132">
        <f t="shared" si="21"/>
        <v>76</v>
      </c>
      <c r="V11" s="3189">
        <v>10</v>
      </c>
      <c r="W11" s="3190">
        <f t="shared" si="22"/>
        <v>10</v>
      </c>
      <c r="X11" s="3133">
        <f t="shared" si="23"/>
        <v>760</v>
      </c>
      <c r="Y11" s="3133">
        <f t="shared" si="24"/>
        <v>0</v>
      </c>
      <c r="Z11" s="3133">
        <f t="shared" si="25"/>
        <v>760</v>
      </c>
      <c r="AA11" s="3133">
        <f t="shared" si="26"/>
        <v>0</v>
      </c>
      <c r="AB11" s="3133">
        <f t="shared" si="27"/>
        <v>0</v>
      </c>
      <c r="AC11" s="3134">
        <f t="shared" si="28"/>
        <v>760</v>
      </c>
      <c r="AD11" s="3248"/>
      <c r="AE11" s="3248"/>
      <c r="AF11" s="3248"/>
      <c r="AG11" s="3248"/>
      <c r="AH11" s="3248"/>
      <c r="AI11"/>
    </row>
    <row r="12" spans="1:35" ht="15.95" customHeight="1" outlineLevel="1">
      <c r="A12" s="3138" t="s">
        <v>470</v>
      </c>
      <c r="B12" s="3139" t="s">
        <v>1105</v>
      </c>
      <c r="C12" s="3140" t="s">
        <v>1101</v>
      </c>
      <c r="D12" s="3139" t="s">
        <v>472</v>
      </c>
      <c r="E12" s="3141"/>
      <c r="F12" s="3142"/>
      <c r="G12" s="3143"/>
      <c r="H12" s="3154">
        <v>86</v>
      </c>
      <c r="I12" s="3142"/>
      <c r="J12" s="3144">
        <f t="shared" si="15"/>
        <v>86</v>
      </c>
      <c r="K12" s="3145"/>
      <c r="L12" s="3145"/>
      <c r="M12" s="3146">
        <f t="shared" si="16"/>
        <v>0</v>
      </c>
      <c r="N12" s="3280"/>
      <c r="O12" s="3281"/>
      <c r="P12" s="3146">
        <f t="shared" si="17"/>
        <v>0</v>
      </c>
      <c r="Q12" s="3147">
        <f t="shared" si="18"/>
        <v>0</v>
      </c>
      <c r="R12" s="3148">
        <f t="shared" si="19"/>
        <v>86</v>
      </c>
      <c r="S12" s="3149">
        <f t="shared" si="20"/>
        <v>0</v>
      </c>
      <c r="T12" s="3150">
        <f t="shared" si="6"/>
        <v>0</v>
      </c>
      <c r="U12" s="3151">
        <f t="shared" si="21"/>
        <v>86</v>
      </c>
      <c r="V12" s="3191">
        <v>3</v>
      </c>
      <c r="W12" s="3192">
        <f t="shared" si="22"/>
        <v>3</v>
      </c>
      <c r="X12" s="3152">
        <f t="shared" si="23"/>
        <v>258</v>
      </c>
      <c r="Y12" s="3152">
        <f t="shared" si="24"/>
        <v>0</v>
      </c>
      <c r="Z12" s="3152">
        <f t="shared" si="25"/>
        <v>258</v>
      </c>
      <c r="AA12" s="3152">
        <f t="shared" si="26"/>
        <v>0</v>
      </c>
      <c r="AB12" s="3152">
        <f t="shared" si="27"/>
        <v>0</v>
      </c>
      <c r="AC12" s="3153">
        <f t="shared" si="28"/>
        <v>258</v>
      </c>
      <c r="AD12" s="3248"/>
      <c r="AE12" s="3248"/>
      <c r="AF12" s="3248"/>
      <c r="AG12" s="3248"/>
      <c r="AH12" s="3248"/>
      <c r="AI12"/>
    </row>
    <row r="13" spans="1:35" s="763" customFormat="1" ht="15.95" customHeight="1" outlineLevel="1">
      <c r="A13" s="3157" t="s">
        <v>909</v>
      </c>
      <c r="B13" s="3158" t="s">
        <v>1106</v>
      </c>
      <c r="C13" s="3159" t="s">
        <v>1102</v>
      </c>
      <c r="D13" s="3158" t="s">
        <v>474</v>
      </c>
      <c r="E13" s="3160"/>
      <c r="F13" s="3161"/>
      <c r="G13" s="3162"/>
      <c r="H13" s="3176"/>
      <c r="I13" s="3166"/>
      <c r="J13" s="3163">
        <f t="shared" si="15"/>
        <v>0</v>
      </c>
      <c r="K13" s="3164"/>
      <c r="L13" s="3164"/>
      <c r="M13" s="3165">
        <f t="shared" si="16"/>
        <v>0</v>
      </c>
      <c r="N13" s="3282"/>
      <c r="O13" s="3283"/>
      <c r="P13" s="3165">
        <f t="shared" si="17"/>
        <v>0</v>
      </c>
      <c r="Q13" s="3168">
        <f t="shared" si="18"/>
        <v>0</v>
      </c>
      <c r="R13" s="3169">
        <f t="shared" si="19"/>
        <v>0</v>
      </c>
      <c r="S13" s="3170">
        <f t="shared" si="20"/>
        <v>0</v>
      </c>
      <c r="T13" s="3171">
        <f t="shared" si="6"/>
        <v>0</v>
      </c>
      <c r="U13" s="3172">
        <f t="shared" si="21"/>
        <v>0</v>
      </c>
      <c r="V13" s="3193"/>
      <c r="W13" s="3194">
        <f t="shared" si="22"/>
        <v>0</v>
      </c>
      <c r="X13" s="3173">
        <f t="shared" si="23"/>
        <v>0</v>
      </c>
      <c r="Y13" s="3173">
        <f t="shared" si="24"/>
        <v>0</v>
      </c>
      <c r="Z13" s="3173">
        <f t="shared" si="25"/>
        <v>0</v>
      </c>
      <c r="AA13" s="3173">
        <f t="shared" si="26"/>
        <v>0</v>
      </c>
      <c r="AB13" s="3173">
        <f t="shared" si="27"/>
        <v>0</v>
      </c>
      <c r="AC13" s="3174">
        <f t="shared" si="28"/>
        <v>0</v>
      </c>
      <c r="AD13" s="3248"/>
      <c r="AE13" s="3248"/>
      <c r="AF13" s="3248"/>
      <c r="AG13" s="3248"/>
      <c r="AH13" s="3248"/>
      <c r="AI13" s="3248"/>
    </row>
    <row r="14" spans="1:35" ht="15.95" customHeight="1" outlineLevel="1">
      <c r="A14" s="3250" t="s">
        <v>1088</v>
      </c>
      <c r="B14" s="3251"/>
      <c r="C14" s="3252"/>
      <c r="D14" s="3251"/>
      <c r="E14" s="3253"/>
      <c r="F14" s="3254"/>
      <c r="G14" s="3255"/>
      <c r="H14" s="3256"/>
      <c r="I14" s="3257"/>
      <c r="J14" s="3258"/>
      <c r="K14" s="3259"/>
      <c r="L14" s="3259"/>
      <c r="M14" s="3260"/>
      <c r="N14" s="3254">
        <v>25</v>
      </c>
      <c r="O14" s="3255"/>
      <c r="P14" s="3261">
        <f t="shared" si="17"/>
        <v>25</v>
      </c>
      <c r="Q14" s="3262">
        <f t="shared" si="18"/>
        <v>0</v>
      </c>
      <c r="R14" s="3263">
        <f t="shared" si="19"/>
        <v>0</v>
      </c>
      <c r="S14" s="3264">
        <f t="shared" si="20"/>
        <v>12.5</v>
      </c>
      <c r="T14" s="3265"/>
      <c r="U14" s="3266">
        <f t="shared" si="21"/>
        <v>12.5</v>
      </c>
      <c r="V14" s="3267">
        <v>35</v>
      </c>
      <c r="W14" s="3268"/>
      <c r="X14" s="3269"/>
      <c r="Y14" s="3269"/>
      <c r="Z14" s="3269"/>
      <c r="AA14" s="3270">
        <f>S14*$V14</f>
        <v>437.5</v>
      </c>
      <c r="AB14" s="3270">
        <f t="shared" si="27"/>
        <v>0</v>
      </c>
      <c r="AC14" s="3271">
        <f t="shared" si="28"/>
        <v>437.5</v>
      </c>
      <c r="AD14" s="3248"/>
      <c r="AE14" s="3248"/>
      <c r="AF14" s="3248"/>
      <c r="AG14" s="3248"/>
      <c r="AH14" s="3248"/>
    </row>
    <row r="15" spans="1:35" s="777" customFormat="1" ht="15.95" customHeight="1" thickBot="1">
      <c r="A15" s="3498" t="s">
        <v>573</v>
      </c>
      <c r="B15" s="3499"/>
      <c r="C15" s="764"/>
      <c r="D15" s="765"/>
      <c r="E15" s="766"/>
      <c r="F15" s="765"/>
      <c r="G15" s="765"/>
      <c r="H15" s="3180"/>
      <c r="I15" s="3180"/>
      <c r="J15" s="768">
        <f>SH.LLS/NbreLLS</f>
        <v>62.457142857142856</v>
      </c>
      <c r="K15" s="769"/>
      <c r="L15" s="769"/>
      <c r="M15" s="769"/>
      <c r="N15" s="769"/>
      <c r="O15" s="769"/>
      <c r="P15" s="769"/>
      <c r="Q15" s="767"/>
      <c r="R15" s="770">
        <f>SU.LLS/NbreLLS</f>
        <v>62.457142857142856</v>
      </c>
      <c r="S15" s="771"/>
      <c r="T15" s="771"/>
      <c r="U15" s="768">
        <f>SF.LLS/NbreLLS</f>
        <v>74.957142857142856</v>
      </c>
      <c r="V15" s="3195">
        <f>SUM(V8:V13)</f>
        <v>35</v>
      </c>
      <c r="W15" s="3196">
        <f t="shared" ref="W15:AB15" si="29">SUM(W8:W14)</f>
        <v>35</v>
      </c>
      <c r="X15" s="774">
        <f t="shared" si="29"/>
        <v>2186</v>
      </c>
      <c r="Y15" s="775">
        <f t="shared" si="29"/>
        <v>0</v>
      </c>
      <c r="Z15" s="775">
        <f t="shared" si="29"/>
        <v>2186</v>
      </c>
      <c r="AA15" s="775">
        <f t="shared" si="29"/>
        <v>437.5</v>
      </c>
      <c r="AB15" s="775">
        <f t="shared" si="29"/>
        <v>0</v>
      </c>
      <c r="AC15" s="776">
        <f>SUM(AC8:AC14)</f>
        <v>2623.5</v>
      </c>
      <c r="AD15" s="3248"/>
      <c r="AE15" s="3248"/>
      <c r="AF15" s="3248"/>
      <c r="AG15" s="3248"/>
      <c r="AH15" s="3248"/>
      <c r="AI15"/>
    </row>
    <row r="16" spans="1:35" ht="15.95" customHeight="1" thickBot="1">
      <c r="A16" s="778"/>
      <c r="B16" s="779"/>
      <c r="C16" s="780"/>
      <c r="D16" s="780"/>
      <c r="E16" s="781"/>
      <c r="F16" s="780"/>
      <c r="G16" s="2211"/>
      <c r="H16" s="781"/>
      <c r="I16" s="781"/>
      <c r="J16" s="781"/>
      <c r="K16" s="782"/>
      <c r="L16" s="782"/>
      <c r="M16" s="782"/>
      <c r="N16" s="782"/>
      <c r="O16" s="782"/>
      <c r="P16" s="782"/>
      <c r="Q16" s="781"/>
      <c r="R16" s="783"/>
      <c r="S16" s="784"/>
      <c r="T16" s="785"/>
      <c r="U16" s="783"/>
      <c r="V16" s="783"/>
      <c r="W16" s="786"/>
      <c r="X16" s="781"/>
      <c r="Y16" s="781"/>
      <c r="Z16" s="781"/>
      <c r="AA16" s="781"/>
      <c r="AB16" s="781"/>
      <c r="AC16" s="787">
        <f>SF.LLS-SU.LLS-AA15-AB15</f>
        <v>0</v>
      </c>
      <c r="AD16" s="3248"/>
      <c r="AE16" s="3248"/>
      <c r="AF16" s="3248"/>
      <c r="AG16" s="3248"/>
      <c r="AH16" s="3248"/>
      <c r="AI16"/>
    </row>
    <row r="17" spans="1:35" ht="15.95" customHeight="1">
      <c r="A17" s="724"/>
      <c r="B17" s="788"/>
      <c r="C17" s="726"/>
      <c r="D17" s="727" t="s">
        <v>3</v>
      </c>
      <c r="E17" s="728"/>
      <c r="F17" s="728"/>
      <c r="G17" s="740"/>
      <c r="H17" s="3181"/>
      <c r="I17" s="3182"/>
      <c r="J17" s="726"/>
      <c r="K17" s="732"/>
      <c r="L17" s="732"/>
      <c r="M17" s="733" t="s">
        <v>462</v>
      </c>
      <c r="N17" s="732"/>
      <c r="O17" s="732"/>
      <c r="P17" s="789" t="s">
        <v>462</v>
      </c>
      <c r="Q17" s="730"/>
      <c r="R17" s="790"/>
      <c r="S17" s="791"/>
      <c r="T17" s="792"/>
      <c r="U17" s="737"/>
      <c r="V17" s="3197"/>
      <c r="W17" s="3198"/>
      <c r="X17" s="731"/>
      <c r="Y17" s="731"/>
      <c r="Z17" s="731"/>
      <c r="AA17" s="740"/>
      <c r="AB17" s="740"/>
      <c r="AC17" s="737"/>
      <c r="AD17" s="3248"/>
      <c r="AE17" s="3248"/>
      <c r="AF17" s="3248"/>
      <c r="AG17" s="3248"/>
      <c r="AH17" s="3248"/>
      <c r="AI17"/>
    </row>
    <row r="18" spans="1:35" ht="15.95" customHeight="1" outlineLevel="1">
      <c r="A18" s="3065" t="s">
        <v>900</v>
      </c>
      <c r="B18" s="3066" t="s">
        <v>901</v>
      </c>
      <c r="C18" s="3067" t="s">
        <v>1098</v>
      </c>
      <c r="D18" s="3066" t="s">
        <v>902</v>
      </c>
      <c r="E18" s="3068"/>
      <c r="F18" s="3069"/>
      <c r="G18" s="3070"/>
      <c r="H18" s="3081">
        <v>30</v>
      </c>
      <c r="I18" s="3069"/>
      <c r="J18" s="3071">
        <f t="shared" ref="J18" si="30">H18+I18</f>
        <v>30</v>
      </c>
      <c r="K18" s="3072"/>
      <c r="L18" s="3072"/>
      <c r="M18" s="3073">
        <f t="shared" ref="M18" si="31">K18+L18</f>
        <v>0</v>
      </c>
      <c r="N18" s="3272"/>
      <c r="O18" s="3273"/>
      <c r="P18" s="3073">
        <f t="shared" ref="P18" si="32">N18+O18</f>
        <v>0</v>
      </c>
      <c r="Q18" s="3074">
        <f t="shared" ref="Q18" si="33">M18*$Q$7</f>
        <v>0</v>
      </c>
      <c r="R18" s="3075">
        <f t="shared" ref="R18" si="34">J18+Q18</f>
        <v>30</v>
      </c>
      <c r="S18" s="3076">
        <f t="shared" ref="S18" si="35">P18*$S$7</f>
        <v>0</v>
      </c>
      <c r="T18" s="3077">
        <f t="shared" ref="T18:T23" si="36">IF(S.LCR=0,0,S.LCR/Nbre*$T$7)</f>
        <v>0</v>
      </c>
      <c r="U18" s="3078">
        <f t="shared" ref="U18" si="37">J18+Q18+S18+T18</f>
        <v>30</v>
      </c>
      <c r="V18" s="3082">
        <v>4</v>
      </c>
      <c r="W18" s="3083">
        <f t="shared" ref="W18" si="38">V18</f>
        <v>4</v>
      </c>
      <c r="X18" s="3079">
        <f t="shared" ref="X18" si="39">J18*$V18</f>
        <v>120</v>
      </c>
      <c r="Y18" s="3079">
        <f t="shared" ref="Y18" si="40">Q18*$V18</f>
        <v>0</v>
      </c>
      <c r="Z18" s="3079">
        <f t="shared" ref="Z18" si="41">R18*$V18</f>
        <v>120</v>
      </c>
      <c r="AA18" s="3079">
        <f t="shared" ref="AA18" si="42">S18*$V18</f>
        <v>0</v>
      </c>
      <c r="AB18" s="3079">
        <f t="shared" ref="AB18" si="43">T18*$V18</f>
        <v>0</v>
      </c>
      <c r="AC18" s="3080">
        <f t="shared" ref="AC18" si="44">U18*$V18</f>
        <v>120</v>
      </c>
      <c r="AD18" s="3248"/>
      <c r="AE18" s="3248"/>
      <c r="AF18" s="3248"/>
      <c r="AG18" s="3248"/>
      <c r="AH18" s="3248"/>
      <c r="AI18"/>
    </row>
    <row r="19" spans="1:35" ht="15.95" customHeight="1" outlineLevel="1">
      <c r="A19" s="3084" t="s">
        <v>903</v>
      </c>
      <c r="B19" s="3085" t="s">
        <v>901</v>
      </c>
      <c r="C19" s="3086" t="s">
        <v>1098</v>
      </c>
      <c r="D19" s="3085" t="s">
        <v>902</v>
      </c>
      <c r="E19" s="3087"/>
      <c r="F19" s="3088"/>
      <c r="G19" s="3089"/>
      <c r="H19" s="3100">
        <v>46</v>
      </c>
      <c r="I19" s="3088"/>
      <c r="J19" s="3090">
        <f t="shared" ref="J19:J23" si="45">H19+I19</f>
        <v>46</v>
      </c>
      <c r="K19" s="3091"/>
      <c r="L19" s="3091"/>
      <c r="M19" s="3092">
        <f t="shared" ref="M19:M23" si="46">K19+L19</f>
        <v>0</v>
      </c>
      <c r="N19" s="3274"/>
      <c r="O19" s="3275"/>
      <c r="P19" s="3092">
        <f t="shared" ref="P19:P24" si="47">N19+O19</f>
        <v>0</v>
      </c>
      <c r="Q19" s="3093">
        <f t="shared" ref="Q19:Q24" si="48">M19*$Q$7</f>
        <v>0</v>
      </c>
      <c r="R19" s="3094">
        <f t="shared" ref="R19:R24" si="49">J19+Q19</f>
        <v>46</v>
      </c>
      <c r="S19" s="3095">
        <f t="shared" ref="S19:S24" si="50">P19*$S$7</f>
        <v>0</v>
      </c>
      <c r="T19" s="3096">
        <f t="shared" si="36"/>
        <v>0</v>
      </c>
      <c r="U19" s="3097">
        <f t="shared" ref="U19:U24" si="51">J19+Q19+S19+T19</f>
        <v>46</v>
      </c>
      <c r="V19" s="3101">
        <v>7</v>
      </c>
      <c r="W19" s="3102">
        <f t="shared" ref="W19:W24" si="52">V19</f>
        <v>7</v>
      </c>
      <c r="X19" s="3098">
        <f t="shared" ref="X19:X23" si="53">J19*$V19</f>
        <v>322</v>
      </c>
      <c r="Y19" s="3098">
        <f t="shared" ref="Y19:Y23" si="54">Q19*$V19</f>
        <v>0</v>
      </c>
      <c r="Z19" s="3098">
        <f t="shared" ref="Z19:Z23" si="55">R19*$V19</f>
        <v>322</v>
      </c>
      <c r="AA19" s="3098">
        <f t="shared" ref="AA19:AA24" si="56">S19*$V19</f>
        <v>0</v>
      </c>
      <c r="AB19" s="3098">
        <f t="shared" ref="AB19:AB24" si="57">T19*$V19</f>
        <v>0</v>
      </c>
      <c r="AC19" s="3099">
        <f t="shared" ref="AC19:AC24" si="58">U19*$V19</f>
        <v>322</v>
      </c>
      <c r="AD19" s="3248"/>
      <c r="AE19" s="3248"/>
      <c r="AF19" s="3248"/>
      <c r="AG19" s="3248"/>
      <c r="AH19" s="3248"/>
      <c r="AI19"/>
    </row>
    <row r="20" spans="1:35" ht="15.95" customHeight="1" outlineLevel="1">
      <c r="A20" s="3103" t="s">
        <v>464</v>
      </c>
      <c r="B20" s="3104" t="s">
        <v>1103</v>
      </c>
      <c r="C20" s="3105" t="s">
        <v>1099</v>
      </c>
      <c r="D20" s="3104" t="s">
        <v>466</v>
      </c>
      <c r="E20" s="3106"/>
      <c r="F20" s="3107"/>
      <c r="G20" s="3108"/>
      <c r="H20" s="3179">
        <v>66</v>
      </c>
      <c r="I20" s="3107"/>
      <c r="J20" s="3109">
        <f t="shared" si="45"/>
        <v>66</v>
      </c>
      <c r="K20" s="3110"/>
      <c r="L20" s="3110"/>
      <c r="M20" s="3111">
        <f t="shared" si="46"/>
        <v>0</v>
      </c>
      <c r="N20" s="3276"/>
      <c r="O20" s="3277"/>
      <c r="P20" s="3111">
        <f t="shared" si="47"/>
        <v>0</v>
      </c>
      <c r="Q20" s="3112">
        <f t="shared" si="48"/>
        <v>0</v>
      </c>
      <c r="R20" s="3113">
        <f t="shared" si="49"/>
        <v>66</v>
      </c>
      <c r="S20" s="3114">
        <f t="shared" si="50"/>
        <v>0</v>
      </c>
      <c r="T20" s="3115">
        <f t="shared" si="36"/>
        <v>0</v>
      </c>
      <c r="U20" s="3116">
        <f t="shared" si="51"/>
        <v>66</v>
      </c>
      <c r="V20" s="3199">
        <v>11</v>
      </c>
      <c r="W20" s="3200">
        <f t="shared" si="52"/>
        <v>11</v>
      </c>
      <c r="X20" s="3117">
        <f t="shared" si="53"/>
        <v>726</v>
      </c>
      <c r="Y20" s="3117">
        <f t="shared" si="54"/>
        <v>0</v>
      </c>
      <c r="Z20" s="3117">
        <f t="shared" si="55"/>
        <v>726</v>
      </c>
      <c r="AA20" s="3117">
        <f t="shared" si="56"/>
        <v>0</v>
      </c>
      <c r="AB20" s="3117">
        <f t="shared" si="57"/>
        <v>0</v>
      </c>
      <c r="AC20" s="3118">
        <f t="shared" si="58"/>
        <v>726</v>
      </c>
      <c r="AD20" s="3248"/>
      <c r="AE20" s="3248"/>
      <c r="AF20" s="3248"/>
      <c r="AG20" s="3248"/>
      <c r="AH20" s="3248"/>
      <c r="AI20"/>
    </row>
    <row r="21" spans="1:35" ht="15.95" customHeight="1" outlineLevel="1">
      <c r="A21" s="3119" t="s">
        <v>467</v>
      </c>
      <c r="B21" s="3120" t="s">
        <v>1104</v>
      </c>
      <c r="C21" s="3121" t="s">
        <v>1100</v>
      </c>
      <c r="D21" s="3120" t="s">
        <v>469</v>
      </c>
      <c r="E21" s="3122"/>
      <c r="F21" s="3123"/>
      <c r="G21" s="3124"/>
      <c r="H21" s="3135">
        <v>76</v>
      </c>
      <c r="I21" s="3123"/>
      <c r="J21" s="3125">
        <f t="shared" si="45"/>
        <v>76</v>
      </c>
      <c r="K21" s="3126"/>
      <c r="L21" s="3126"/>
      <c r="M21" s="3127">
        <f t="shared" si="46"/>
        <v>0</v>
      </c>
      <c r="N21" s="3278"/>
      <c r="O21" s="3279"/>
      <c r="P21" s="3127">
        <f t="shared" si="47"/>
        <v>0</v>
      </c>
      <c r="Q21" s="3128">
        <f t="shared" si="48"/>
        <v>0</v>
      </c>
      <c r="R21" s="3129">
        <f t="shared" si="49"/>
        <v>76</v>
      </c>
      <c r="S21" s="3130">
        <f t="shared" si="50"/>
        <v>0</v>
      </c>
      <c r="T21" s="3131">
        <f t="shared" si="36"/>
        <v>0</v>
      </c>
      <c r="U21" s="3132">
        <f t="shared" si="51"/>
        <v>76</v>
      </c>
      <c r="V21" s="3136">
        <v>10</v>
      </c>
      <c r="W21" s="3137">
        <f t="shared" si="52"/>
        <v>10</v>
      </c>
      <c r="X21" s="3133">
        <f t="shared" si="53"/>
        <v>760</v>
      </c>
      <c r="Y21" s="3133">
        <f t="shared" si="54"/>
        <v>0</v>
      </c>
      <c r="Z21" s="3133">
        <f t="shared" si="55"/>
        <v>760</v>
      </c>
      <c r="AA21" s="3133">
        <f t="shared" si="56"/>
        <v>0</v>
      </c>
      <c r="AB21" s="3133">
        <f t="shared" si="57"/>
        <v>0</v>
      </c>
      <c r="AC21" s="3134">
        <f t="shared" si="58"/>
        <v>760</v>
      </c>
      <c r="AD21" s="3248"/>
      <c r="AE21" s="3248"/>
      <c r="AF21" s="3248"/>
      <c r="AG21" s="3248"/>
      <c r="AH21" s="3248"/>
      <c r="AI21"/>
    </row>
    <row r="22" spans="1:35" ht="15.95" customHeight="1" outlineLevel="1">
      <c r="A22" s="3138" t="s">
        <v>470</v>
      </c>
      <c r="B22" s="3139" t="s">
        <v>1105</v>
      </c>
      <c r="C22" s="3140" t="s">
        <v>1101</v>
      </c>
      <c r="D22" s="3139" t="s">
        <v>472</v>
      </c>
      <c r="E22" s="3141"/>
      <c r="F22" s="3142"/>
      <c r="G22" s="3143"/>
      <c r="H22" s="3154">
        <v>86</v>
      </c>
      <c r="I22" s="3142"/>
      <c r="J22" s="3144">
        <f t="shared" si="45"/>
        <v>86</v>
      </c>
      <c r="K22" s="3145"/>
      <c r="L22" s="3145"/>
      <c r="M22" s="3146">
        <f t="shared" si="46"/>
        <v>0</v>
      </c>
      <c r="N22" s="3280"/>
      <c r="O22" s="3281"/>
      <c r="P22" s="3146">
        <f t="shared" si="47"/>
        <v>0</v>
      </c>
      <c r="Q22" s="3147">
        <f t="shared" si="48"/>
        <v>0</v>
      </c>
      <c r="R22" s="3148">
        <f t="shared" si="49"/>
        <v>86</v>
      </c>
      <c r="S22" s="3149">
        <f t="shared" si="50"/>
        <v>0</v>
      </c>
      <c r="T22" s="3150">
        <f t="shared" si="36"/>
        <v>0</v>
      </c>
      <c r="U22" s="3151">
        <f t="shared" si="51"/>
        <v>86</v>
      </c>
      <c r="V22" s="3155">
        <v>3</v>
      </c>
      <c r="W22" s="3156">
        <f t="shared" si="52"/>
        <v>3</v>
      </c>
      <c r="X22" s="3152">
        <f t="shared" si="53"/>
        <v>258</v>
      </c>
      <c r="Y22" s="3152">
        <f t="shared" si="54"/>
        <v>0</v>
      </c>
      <c r="Z22" s="3152">
        <f t="shared" si="55"/>
        <v>258</v>
      </c>
      <c r="AA22" s="3152">
        <f t="shared" si="56"/>
        <v>0</v>
      </c>
      <c r="AB22" s="3152">
        <f t="shared" si="57"/>
        <v>0</v>
      </c>
      <c r="AC22" s="3153">
        <f t="shared" si="58"/>
        <v>258</v>
      </c>
      <c r="AD22" s="3248"/>
      <c r="AE22" s="3248"/>
      <c r="AF22" s="3248"/>
      <c r="AG22" s="3248"/>
      <c r="AH22" s="3248"/>
      <c r="AI22"/>
    </row>
    <row r="23" spans="1:35" ht="15.95" customHeight="1" outlineLevel="1">
      <c r="A23" s="3157" t="s">
        <v>909</v>
      </c>
      <c r="B23" s="3158" t="s">
        <v>1106</v>
      </c>
      <c r="C23" s="3159" t="s">
        <v>1102</v>
      </c>
      <c r="D23" s="3158" t="s">
        <v>474</v>
      </c>
      <c r="E23" s="3175"/>
      <c r="F23" s="3166"/>
      <c r="G23" s="3167"/>
      <c r="H23" s="3176"/>
      <c r="I23" s="3166"/>
      <c r="J23" s="3163">
        <f t="shared" si="45"/>
        <v>0</v>
      </c>
      <c r="K23" s="3164"/>
      <c r="L23" s="3164"/>
      <c r="M23" s="3165">
        <f t="shared" si="46"/>
        <v>0</v>
      </c>
      <c r="N23" s="3282"/>
      <c r="O23" s="3283"/>
      <c r="P23" s="3165">
        <f t="shared" si="47"/>
        <v>0</v>
      </c>
      <c r="Q23" s="3168">
        <f t="shared" si="48"/>
        <v>0</v>
      </c>
      <c r="R23" s="3169">
        <f t="shared" si="49"/>
        <v>0</v>
      </c>
      <c r="S23" s="3170">
        <f t="shared" si="50"/>
        <v>0</v>
      </c>
      <c r="T23" s="3171">
        <f t="shared" si="36"/>
        <v>0</v>
      </c>
      <c r="U23" s="3172">
        <f t="shared" si="51"/>
        <v>0</v>
      </c>
      <c r="V23" s="3177"/>
      <c r="W23" s="3178">
        <f t="shared" si="52"/>
        <v>0</v>
      </c>
      <c r="X23" s="3173">
        <f t="shared" si="53"/>
        <v>0</v>
      </c>
      <c r="Y23" s="3173">
        <f t="shared" si="54"/>
        <v>0</v>
      </c>
      <c r="Z23" s="3173">
        <f t="shared" si="55"/>
        <v>0</v>
      </c>
      <c r="AA23" s="3173">
        <f t="shared" si="56"/>
        <v>0</v>
      </c>
      <c r="AB23" s="3173">
        <f t="shared" si="57"/>
        <v>0</v>
      </c>
      <c r="AC23" s="3174">
        <f t="shared" si="58"/>
        <v>0</v>
      </c>
      <c r="AD23" s="3248"/>
      <c r="AE23" s="3248"/>
      <c r="AF23" s="3248"/>
      <c r="AG23" s="3248"/>
      <c r="AH23" s="3248"/>
      <c r="AI23" s="3248"/>
    </row>
    <row r="24" spans="1:35" ht="15.95" customHeight="1" outlineLevel="1">
      <c r="A24" s="3250" t="s">
        <v>1088</v>
      </c>
      <c r="B24" s="3251"/>
      <c r="C24" s="3252"/>
      <c r="D24" s="3251"/>
      <c r="E24" s="3253"/>
      <c r="F24" s="3254"/>
      <c r="G24" s="3255"/>
      <c r="H24" s="3256"/>
      <c r="I24" s="3257"/>
      <c r="J24" s="3258"/>
      <c r="K24" s="3259"/>
      <c r="L24" s="3259"/>
      <c r="M24" s="3260"/>
      <c r="N24" s="3254">
        <v>25</v>
      </c>
      <c r="O24" s="3255"/>
      <c r="P24" s="3261">
        <f t="shared" si="47"/>
        <v>25</v>
      </c>
      <c r="Q24" s="3262">
        <f t="shared" si="48"/>
        <v>0</v>
      </c>
      <c r="R24" s="3263">
        <f t="shared" si="49"/>
        <v>0</v>
      </c>
      <c r="S24" s="3264">
        <f t="shared" si="50"/>
        <v>12.5</v>
      </c>
      <c r="T24" s="3265"/>
      <c r="U24" s="3266">
        <f t="shared" si="51"/>
        <v>12.5</v>
      </c>
      <c r="V24" s="3267">
        <v>35</v>
      </c>
      <c r="W24" s="3268">
        <f t="shared" si="52"/>
        <v>35</v>
      </c>
      <c r="X24" s="3269"/>
      <c r="Y24" s="3269"/>
      <c r="Z24" s="3269"/>
      <c r="AA24" s="3270">
        <f t="shared" si="56"/>
        <v>437.5</v>
      </c>
      <c r="AB24" s="3270">
        <f t="shared" si="57"/>
        <v>0</v>
      </c>
      <c r="AC24" s="3271">
        <f t="shared" si="58"/>
        <v>437.5</v>
      </c>
      <c r="AD24" s="3232"/>
      <c r="AE24" s="3248"/>
      <c r="AF24" s="3248"/>
      <c r="AG24" s="3248"/>
      <c r="AH24" s="3248"/>
    </row>
    <row r="25" spans="1:35" ht="15.95" customHeight="1" thickBot="1">
      <c r="A25" s="3498" t="s">
        <v>574</v>
      </c>
      <c r="B25" s="3499"/>
      <c r="C25" s="764"/>
      <c r="D25" s="765"/>
      <c r="E25" s="766"/>
      <c r="F25" s="765"/>
      <c r="G25" s="765"/>
      <c r="H25" s="767"/>
      <c r="I25" s="767"/>
      <c r="J25" s="768">
        <f>SH.LLTS/NbreLLTS</f>
        <v>62.457142857142856</v>
      </c>
      <c r="K25" s="769"/>
      <c r="L25" s="769"/>
      <c r="M25" s="769"/>
      <c r="N25" s="769"/>
      <c r="O25" s="769"/>
      <c r="P25" s="769"/>
      <c r="Q25" s="767"/>
      <c r="R25" s="770">
        <f>SU.LLTS/NbreLLTS</f>
        <v>62.457142857142856</v>
      </c>
      <c r="S25" s="771"/>
      <c r="T25" s="771"/>
      <c r="U25" s="768">
        <f>SF.LLTS/NbreLLTS</f>
        <v>74.957142857142856</v>
      </c>
      <c r="V25" s="772">
        <f>SUM(V18:V23)</f>
        <v>35</v>
      </c>
      <c r="W25" s="773">
        <f t="shared" ref="W25:AC25" si="59">SUM(W18:W24)</f>
        <v>70</v>
      </c>
      <c r="X25" s="774">
        <f t="shared" si="59"/>
        <v>2186</v>
      </c>
      <c r="Y25" s="775">
        <f t="shared" si="59"/>
        <v>0</v>
      </c>
      <c r="Z25" s="775">
        <f t="shared" si="59"/>
        <v>2186</v>
      </c>
      <c r="AA25" s="775">
        <f t="shared" si="59"/>
        <v>437.5</v>
      </c>
      <c r="AB25" s="775">
        <f t="shared" si="59"/>
        <v>0</v>
      </c>
      <c r="AC25" s="776">
        <f t="shared" si="59"/>
        <v>2623.5</v>
      </c>
      <c r="AD25" s="3248"/>
      <c r="AE25" s="3248"/>
      <c r="AF25" s="3248"/>
      <c r="AG25" s="3248"/>
      <c r="AH25" s="3248"/>
      <c r="AI25"/>
    </row>
    <row r="26" spans="1:35" ht="15.95" customHeight="1" thickBot="1">
      <c r="A26" s="778"/>
      <c r="B26" s="779"/>
      <c r="C26" s="780"/>
      <c r="D26" s="780"/>
      <c r="E26" s="781"/>
      <c r="F26" s="780"/>
      <c r="G26" s="2211"/>
      <c r="H26" s="781"/>
      <c r="I26" s="781"/>
      <c r="J26" s="781"/>
      <c r="K26" s="793"/>
      <c r="L26" s="793"/>
      <c r="M26" s="793"/>
      <c r="N26" s="793"/>
      <c r="O26" s="793"/>
      <c r="P26" s="793"/>
      <c r="Q26" s="781"/>
      <c r="R26" s="783"/>
      <c r="S26" s="781"/>
      <c r="T26" s="781"/>
      <c r="U26" s="783"/>
      <c r="V26" s="783"/>
      <c r="W26" s="786"/>
      <c r="X26" s="781"/>
      <c r="Y26" s="781"/>
      <c r="Z26" s="781"/>
      <c r="AA26" s="781"/>
      <c r="AB26" s="781"/>
      <c r="AC26" s="787">
        <f>SF.LLTS-SU.LLTS-AA25-AB25</f>
        <v>0</v>
      </c>
      <c r="AD26" s="3248"/>
      <c r="AE26" s="3248"/>
      <c r="AF26" s="3248"/>
      <c r="AG26" s="3248"/>
      <c r="AH26" s="3248"/>
      <c r="AI26"/>
    </row>
    <row r="27" spans="1:35" ht="15.95" customHeight="1">
      <c r="A27" s="724"/>
      <c r="B27" s="788"/>
      <c r="C27" s="726"/>
      <c r="D27" s="727" t="s">
        <v>475</v>
      </c>
      <c r="E27" s="728"/>
      <c r="F27" s="728"/>
      <c r="G27" s="696"/>
      <c r="H27" s="1813"/>
      <c r="I27" s="730"/>
      <c r="J27" s="726"/>
      <c r="K27" s="732"/>
      <c r="L27" s="732"/>
      <c r="M27" s="733" t="s">
        <v>462</v>
      </c>
      <c r="N27" s="732"/>
      <c r="O27" s="732"/>
      <c r="P27" s="789" t="s">
        <v>462</v>
      </c>
      <c r="Q27" s="730"/>
      <c r="R27" s="790"/>
      <c r="S27" s="791"/>
      <c r="T27" s="792"/>
      <c r="U27" s="737"/>
      <c r="V27" s="738"/>
      <c r="W27" s="739"/>
      <c r="X27" s="731"/>
      <c r="Y27" s="731"/>
      <c r="Z27" s="731"/>
      <c r="AA27" s="740"/>
      <c r="AB27" s="740"/>
      <c r="AC27" s="737"/>
      <c r="AD27" s="3248"/>
      <c r="AE27" s="3248"/>
      <c r="AF27" s="3248"/>
      <c r="AG27" s="3248"/>
      <c r="AH27" s="3248"/>
      <c r="AI27"/>
    </row>
    <row r="28" spans="1:35" ht="15.95" customHeight="1" outlineLevel="1">
      <c r="A28" s="741" t="s">
        <v>476</v>
      </c>
      <c r="B28" s="742"/>
      <c r="C28" s="743"/>
      <c r="D28" s="744"/>
      <c r="E28" s="745"/>
      <c r="F28" s="746"/>
      <c r="G28" s="2210"/>
      <c r="H28" s="747"/>
      <c r="I28" s="748"/>
      <c r="J28" s="749">
        <f>H28+I28</f>
        <v>0</v>
      </c>
      <c r="K28" s="750"/>
      <c r="L28" s="750"/>
      <c r="M28" s="751">
        <f>K28+L28</f>
        <v>0</v>
      </c>
      <c r="N28" s="752"/>
      <c r="O28" s="753"/>
      <c r="P28" s="751">
        <f>N28+O28</f>
        <v>0</v>
      </c>
      <c r="Q28" s="754">
        <f>M28*$Q$7</f>
        <v>0</v>
      </c>
      <c r="R28" s="755">
        <f>J28+Q28</f>
        <v>0</v>
      </c>
      <c r="S28" s="756">
        <f>P28*$S$7</f>
        <v>0</v>
      </c>
      <c r="T28" s="757">
        <v>0</v>
      </c>
      <c r="U28" s="758">
        <f>J28+Q28+S28+T28</f>
        <v>0</v>
      </c>
      <c r="V28" s="759"/>
      <c r="W28" s="760"/>
      <c r="X28" s="761">
        <f>J28*$V28</f>
        <v>0</v>
      </c>
      <c r="Y28" s="761">
        <f t="shared" ref="Y28:AC31" si="60">Q28*$V28</f>
        <v>0</v>
      </c>
      <c r="Z28" s="761">
        <f t="shared" si="60"/>
        <v>0</v>
      </c>
      <c r="AA28" s="761">
        <f t="shared" si="60"/>
        <v>0</v>
      </c>
      <c r="AB28" s="761">
        <f t="shared" si="60"/>
        <v>0</v>
      </c>
      <c r="AC28" s="762">
        <f t="shared" si="60"/>
        <v>0</v>
      </c>
      <c r="AI28"/>
    </row>
    <row r="29" spans="1:35" ht="15.95" customHeight="1" outlineLevel="1">
      <c r="A29" s="741" t="s">
        <v>477</v>
      </c>
      <c r="B29" s="742"/>
      <c r="C29" s="743"/>
      <c r="D29" s="744"/>
      <c r="E29" s="745"/>
      <c r="F29" s="746"/>
      <c r="G29" s="2210"/>
      <c r="H29" s="747"/>
      <c r="I29" s="748"/>
      <c r="J29" s="749">
        <f>H29+I29</f>
        <v>0</v>
      </c>
      <c r="K29" s="750"/>
      <c r="L29" s="750"/>
      <c r="M29" s="751">
        <f>K29+L29</f>
        <v>0</v>
      </c>
      <c r="N29" s="752"/>
      <c r="O29" s="753"/>
      <c r="P29" s="751">
        <f>N29+O29</f>
        <v>0</v>
      </c>
      <c r="Q29" s="754">
        <f>M29*$Q$7</f>
        <v>0</v>
      </c>
      <c r="R29" s="755">
        <f>J29+Q29</f>
        <v>0</v>
      </c>
      <c r="S29" s="756">
        <f>P29*$S$7</f>
        <v>0</v>
      </c>
      <c r="T29" s="757">
        <v>0</v>
      </c>
      <c r="U29" s="758">
        <f>J29+Q29+S29+T29</f>
        <v>0</v>
      </c>
      <c r="V29" s="759"/>
      <c r="W29" s="760"/>
      <c r="X29" s="761">
        <f>J29*$V29</f>
        <v>0</v>
      </c>
      <c r="Y29" s="761">
        <f t="shared" si="60"/>
        <v>0</v>
      </c>
      <c r="Z29" s="761">
        <f t="shared" si="60"/>
        <v>0</v>
      </c>
      <c r="AA29" s="761">
        <f t="shared" si="60"/>
        <v>0</v>
      </c>
      <c r="AB29" s="761">
        <f t="shared" si="60"/>
        <v>0</v>
      </c>
      <c r="AC29" s="762">
        <f t="shared" si="60"/>
        <v>0</v>
      </c>
      <c r="AI29"/>
    </row>
    <row r="30" spans="1:35" ht="15.95" customHeight="1" outlineLevel="1">
      <c r="A30" s="741" t="s">
        <v>478</v>
      </c>
      <c r="B30" s="742"/>
      <c r="C30" s="743"/>
      <c r="D30" s="744"/>
      <c r="E30" s="745"/>
      <c r="F30" s="746"/>
      <c r="G30" s="2210"/>
      <c r="H30" s="747"/>
      <c r="I30" s="748"/>
      <c r="J30" s="749">
        <f>H30+I30</f>
        <v>0</v>
      </c>
      <c r="K30" s="750"/>
      <c r="L30" s="750"/>
      <c r="M30" s="751">
        <f>K30+L30</f>
        <v>0</v>
      </c>
      <c r="N30" s="752"/>
      <c r="O30" s="753"/>
      <c r="P30" s="751">
        <f>N30+O30</f>
        <v>0</v>
      </c>
      <c r="Q30" s="754">
        <f>M30*$Q$7</f>
        <v>0</v>
      </c>
      <c r="R30" s="755">
        <f>J30+Q30</f>
        <v>0</v>
      </c>
      <c r="S30" s="756">
        <f>P30*$S$7</f>
        <v>0</v>
      </c>
      <c r="T30" s="757">
        <v>0</v>
      </c>
      <c r="U30" s="758">
        <f>J30+Q30+S30+T30</f>
        <v>0</v>
      </c>
      <c r="V30" s="759"/>
      <c r="W30" s="760"/>
      <c r="X30" s="761">
        <f>J30*$V30</f>
        <v>0</v>
      </c>
      <c r="Y30" s="761">
        <f t="shared" si="60"/>
        <v>0</v>
      </c>
      <c r="Z30" s="761">
        <f t="shared" si="60"/>
        <v>0</v>
      </c>
      <c r="AA30" s="761">
        <f t="shared" si="60"/>
        <v>0</v>
      </c>
      <c r="AB30" s="761">
        <f t="shared" si="60"/>
        <v>0</v>
      </c>
      <c r="AC30" s="762">
        <f t="shared" si="60"/>
        <v>0</v>
      </c>
      <c r="AI30"/>
    </row>
    <row r="31" spans="1:35" ht="15.95" customHeight="1" outlineLevel="1">
      <c r="A31" s="741" t="s">
        <v>479</v>
      </c>
      <c r="B31" s="742"/>
      <c r="C31" s="743"/>
      <c r="D31" s="744"/>
      <c r="E31" s="745"/>
      <c r="F31" s="746"/>
      <c r="G31" s="2210"/>
      <c r="H31" s="747"/>
      <c r="I31" s="748"/>
      <c r="J31" s="749">
        <f>H31+I31</f>
        <v>0</v>
      </c>
      <c r="K31" s="750"/>
      <c r="L31" s="750"/>
      <c r="M31" s="751">
        <f>K31+L31</f>
        <v>0</v>
      </c>
      <c r="N31" s="752"/>
      <c r="O31" s="753"/>
      <c r="P31" s="751">
        <f>N31+O31</f>
        <v>0</v>
      </c>
      <c r="Q31" s="754">
        <f>M31*$Q$7</f>
        <v>0</v>
      </c>
      <c r="R31" s="755">
        <f>J31+Q31</f>
        <v>0</v>
      </c>
      <c r="S31" s="756">
        <f>P31*$S$7</f>
        <v>0</v>
      </c>
      <c r="T31" s="757">
        <v>0</v>
      </c>
      <c r="U31" s="758">
        <f>J31+Q31+S31+T31</f>
        <v>0</v>
      </c>
      <c r="V31" s="759"/>
      <c r="W31" s="760"/>
      <c r="X31" s="761">
        <f>J31*$V31</f>
        <v>0</v>
      </c>
      <c r="Y31" s="761">
        <f t="shared" si="60"/>
        <v>0</v>
      </c>
      <c r="Z31" s="761">
        <f t="shared" si="60"/>
        <v>0</v>
      </c>
      <c r="AA31" s="761">
        <f t="shared" si="60"/>
        <v>0</v>
      </c>
      <c r="AB31" s="761">
        <f t="shared" si="60"/>
        <v>0</v>
      </c>
      <c r="AC31" s="762">
        <f t="shared" si="60"/>
        <v>0</v>
      </c>
      <c r="AI31"/>
    </row>
    <row r="32" spans="1:35" ht="15.95" customHeight="1" thickBot="1">
      <c r="A32" s="3498" t="s">
        <v>575</v>
      </c>
      <c r="B32" s="3499"/>
      <c r="C32" s="764"/>
      <c r="D32" s="765"/>
      <c r="E32" s="766"/>
      <c r="F32" s="765"/>
      <c r="G32" s="765"/>
      <c r="H32" s="767"/>
      <c r="I32" s="767"/>
      <c r="J32" s="768" t="e">
        <f>SH.COMM/NbreCOMM</f>
        <v>#DIV/0!</v>
      </c>
      <c r="K32" s="769"/>
      <c r="L32" s="769"/>
      <c r="M32" s="769"/>
      <c r="N32" s="769"/>
      <c r="O32" s="769"/>
      <c r="P32" s="769"/>
      <c r="Q32" s="767"/>
      <c r="R32" s="770" t="e">
        <f>SU.COMM/NbreCOMM</f>
        <v>#DIV/0!</v>
      </c>
      <c r="S32" s="771"/>
      <c r="T32" s="771"/>
      <c r="U32" s="768" t="e">
        <f>SF.COMM/NbreCOMM</f>
        <v>#DIV/0!</v>
      </c>
      <c r="V32" s="772">
        <f t="shared" ref="V32:AC32" si="61">SUM(V28:V31)</f>
        <v>0</v>
      </c>
      <c r="W32" s="773">
        <f t="shared" si="61"/>
        <v>0</v>
      </c>
      <c r="X32" s="774">
        <f t="shared" si="61"/>
        <v>0</v>
      </c>
      <c r="Y32" s="775">
        <f t="shared" si="61"/>
        <v>0</v>
      </c>
      <c r="Z32" s="775">
        <f t="shared" si="61"/>
        <v>0</v>
      </c>
      <c r="AA32" s="775">
        <f t="shared" si="61"/>
        <v>0</v>
      </c>
      <c r="AB32" s="775">
        <f t="shared" si="61"/>
        <v>0</v>
      </c>
      <c r="AC32" s="776">
        <f t="shared" si="61"/>
        <v>0</v>
      </c>
      <c r="AI32"/>
    </row>
    <row r="33" spans="1:36" ht="15.95" customHeight="1" thickBot="1">
      <c r="A33" s="724"/>
      <c r="B33" s="788"/>
      <c r="C33" s="726"/>
      <c r="D33" s="727"/>
      <c r="E33" s="728"/>
      <c r="F33" s="728"/>
      <c r="G33" s="740"/>
      <c r="H33" s="729"/>
      <c r="I33" s="730"/>
      <c r="J33" s="726"/>
      <c r="K33" s="732"/>
      <c r="L33" s="732"/>
      <c r="M33" s="733"/>
      <c r="N33" s="732"/>
      <c r="O33" s="732"/>
      <c r="P33" s="789"/>
      <c r="Q33" s="730"/>
      <c r="R33" s="790"/>
      <c r="S33" s="791"/>
      <c r="T33" s="792"/>
      <c r="U33" s="737"/>
      <c r="V33" s="738"/>
      <c r="W33" s="739"/>
      <c r="X33" s="731"/>
      <c r="Y33" s="731"/>
      <c r="Z33" s="731"/>
      <c r="AA33" s="740"/>
      <c r="AB33" s="740"/>
      <c r="AC33" s="737"/>
      <c r="AI33"/>
    </row>
    <row r="34" spans="1:36" ht="15.95" customHeight="1" thickBot="1">
      <c r="A34" s="3500" t="s">
        <v>576</v>
      </c>
      <c r="B34" s="3501"/>
      <c r="C34" s="794"/>
      <c r="D34" s="795"/>
      <c r="E34" s="796"/>
      <c r="F34" s="795"/>
      <c r="G34" s="795"/>
      <c r="H34" s="797"/>
      <c r="I34" s="797"/>
      <c r="J34" s="798">
        <f>SH.T/Nbre</f>
        <v>62.457142857142856</v>
      </c>
      <c r="K34" s="799"/>
      <c r="L34" s="799"/>
      <c r="M34" s="799"/>
      <c r="N34" s="799"/>
      <c r="O34" s="799"/>
      <c r="P34" s="799"/>
      <c r="Q34" s="798"/>
      <c r="R34" s="798">
        <f>SU.T/Nbre</f>
        <v>62.457142857142856</v>
      </c>
      <c r="S34" s="798"/>
      <c r="T34" s="798"/>
      <c r="U34" s="800">
        <f>SF.T/Nbre</f>
        <v>74.957142857142856</v>
      </c>
      <c r="V34" s="801">
        <f t="shared" ref="V34:AB34" si="62">V15+V25+V32</f>
        <v>70</v>
      </c>
      <c r="W34" s="801">
        <f t="shared" si="62"/>
        <v>105</v>
      </c>
      <c r="X34" s="801">
        <f t="shared" si="62"/>
        <v>4372</v>
      </c>
      <c r="Y34" s="801">
        <f t="shared" si="62"/>
        <v>0</v>
      </c>
      <c r="Z34" s="801">
        <f t="shared" si="62"/>
        <v>4372</v>
      </c>
      <c r="AA34" s="801">
        <f t="shared" si="62"/>
        <v>875</v>
      </c>
      <c r="AB34" s="801">
        <f t="shared" si="62"/>
        <v>0</v>
      </c>
      <c r="AC34" s="1823">
        <f>SF.LLS+SF.LLTS+SF.COMM</f>
        <v>5247</v>
      </c>
      <c r="AI34"/>
    </row>
    <row r="35" spans="1:36" ht="15.95" customHeight="1">
      <c r="A35" s="802"/>
      <c r="B35" s="803"/>
      <c r="C35" s="804"/>
      <c r="D35" s="805"/>
      <c r="E35" s="806"/>
      <c r="F35" s="805"/>
      <c r="G35" s="807"/>
      <c r="H35" s="807"/>
      <c r="I35" s="807"/>
      <c r="J35" s="807"/>
      <c r="K35" s="808"/>
      <c r="L35" s="808"/>
      <c r="M35" s="808"/>
      <c r="N35" s="808"/>
      <c r="O35" s="808"/>
      <c r="P35" s="808"/>
      <c r="Q35" s="807"/>
      <c r="R35" s="809"/>
      <c r="T35" s="811"/>
      <c r="U35" s="3496" t="s">
        <v>418</v>
      </c>
      <c r="V35" s="805" t="s">
        <v>2</v>
      </c>
      <c r="W35" s="812">
        <f>W15</f>
        <v>35</v>
      </c>
      <c r="X35" s="807"/>
      <c r="Y35" s="813" t="s">
        <v>302</v>
      </c>
      <c r="Z35" s="814" t="s">
        <v>480</v>
      </c>
      <c r="AA35" s="815"/>
      <c r="AB35" s="816" t="s">
        <v>481</v>
      </c>
      <c r="AC35" s="817"/>
      <c r="AI35"/>
    </row>
    <row r="36" spans="1:36" ht="15.95" customHeight="1">
      <c r="A36" s="802"/>
      <c r="B36" s="803"/>
      <c r="C36" s="804"/>
      <c r="D36" s="805"/>
      <c r="E36" s="806"/>
      <c r="F36" s="806"/>
      <c r="G36" s="807"/>
      <c r="H36" s="807"/>
      <c r="I36" s="807"/>
      <c r="J36" s="807"/>
      <c r="K36" s="808"/>
      <c r="L36" s="808"/>
      <c r="M36" s="808"/>
      <c r="N36" s="808"/>
      <c r="O36" s="808"/>
      <c r="P36" s="808"/>
      <c r="Q36" s="807"/>
      <c r="R36" s="806"/>
      <c r="T36" s="811"/>
      <c r="U36" s="3497"/>
      <c r="V36" s="805" t="s">
        <v>3</v>
      </c>
      <c r="W36" s="818">
        <f>W25</f>
        <v>70</v>
      </c>
      <c r="X36" s="807"/>
      <c r="Y36" s="819"/>
      <c r="Z36" s="820" t="s">
        <v>309</v>
      </c>
      <c r="AA36" s="821">
        <f>AA35-AB34*2</f>
        <v>0</v>
      </c>
      <c r="AB36" s="822" t="s">
        <v>587</v>
      </c>
      <c r="AC36" s="823"/>
      <c r="AI36"/>
    </row>
    <row r="37" spans="1:36" ht="15.95" customHeight="1">
      <c r="A37" s="701" t="s">
        <v>482</v>
      </c>
      <c r="B37" s="702" t="s">
        <v>483</v>
      </c>
      <c r="C37" s="702" t="s">
        <v>484</v>
      </c>
      <c r="D37" s="702">
        <v>2018</v>
      </c>
      <c r="E37" s="702"/>
      <c r="F37" s="824"/>
      <c r="G37" s="824" t="s">
        <v>485</v>
      </c>
      <c r="H37" s="825"/>
      <c r="I37" s="826"/>
      <c r="J37" s="826"/>
      <c r="K37" s="703"/>
      <c r="L37" s="703"/>
      <c r="M37" s="703"/>
      <c r="N37" s="703"/>
      <c r="O37" s="703"/>
      <c r="P37" s="703"/>
      <c r="Q37" s="703"/>
      <c r="R37" s="824"/>
      <c r="S37" s="824"/>
      <c r="T37" s="824"/>
      <c r="U37" s="703"/>
      <c r="V37" s="824" t="s">
        <v>486</v>
      </c>
      <c r="W37" s="825"/>
      <c r="X37" s="824"/>
      <c r="Y37" s="824"/>
      <c r="Z37" s="824"/>
      <c r="AA37" s="824"/>
      <c r="AB37" s="703"/>
      <c r="AC37" s="827"/>
      <c r="AI37"/>
    </row>
    <row r="38" spans="1:36" ht="15.95" customHeight="1">
      <c r="A38" s="828" t="s">
        <v>487</v>
      </c>
      <c r="B38" s="829" t="s">
        <v>577</v>
      </c>
      <c r="C38" s="829"/>
      <c r="E38" s="3509" t="s">
        <v>488</v>
      </c>
      <c r="F38" s="831" t="s">
        <v>0</v>
      </c>
      <c r="G38" s="832" t="s">
        <v>439</v>
      </c>
      <c r="H38" s="3478" t="s">
        <v>489</v>
      </c>
      <c r="I38" s="833" t="s">
        <v>439</v>
      </c>
      <c r="J38" s="833"/>
      <c r="K38" s="834"/>
      <c r="L38" s="834"/>
      <c r="M38" s="834"/>
      <c r="N38" s="834"/>
      <c r="O38" s="834"/>
      <c r="P38" s="834"/>
      <c r="Q38" s="3478" t="s">
        <v>417</v>
      </c>
      <c r="R38" s="835" t="s">
        <v>0</v>
      </c>
      <c r="S38" s="832" t="s">
        <v>439</v>
      </c>
      <c r="T38" s="3478" t="s">
        <v>418</v>
      </c>
      <c r="U38" s="836" t="s">
        <v>0</v>
      </c>
      <c r="V38" s="696"/>
      <c r="X38" s="838" t="s">
        <v>2</v>
      </c>
      <c r="Y38" s="838" t="s">
        <v>3</v>
      </c>
      <c r="Z38" s="838" t="s">
        <v>475</v>
      </c>
      <c r="AA38" s="839" t="s">
        <v>299</v>
      </c>
      <c r="AB38" s="696"/>
      <c r="AC38" s="840"/>
      <c r="AI38"/>
      <c r="AJ38"/>
    </row>
    <row r="39" spans="1:36" ht="15.95" customHeight="1">
      <c r="A39" s="1816">
        <v>42736</v>
      </c>
      <c r="B39" s="1817" t="s">
        <v>1049</v>
      </c>
      <c r="C39" s="1818">
        <v>1618.5</v>
      </c>
      <c r="D39" s="1819">
        <v>2017</v>
      </c>
      <c r="E39" s="3479"/>
      <c r="F39" s="841">
        <v>36559</v>
      </c>
      <c r="G39" s="842">
        <v>1162</v>
      </c>
      <c r="H39" s="3479"/>
      <c r="I39" s="843">
        <v>150</v>
      </c>
      <c r="J39" s="2213"/>
      <c r="K39" s="834"/>
      <c r="L39" s="834"/>
      <c r="M39" s="834"/>
      <c r="N39" s="834"/>
      <c r="O39" s="834"/>
      <c r="P39" s="834"/>
      <c r="Q39" s="3479"/>
      <c r="R39" s="1821">
        <v>32605</v>
      </c>
      <c r="S39" s="1821">
        <v>1037</v>
      </c>
      <c r="T39" s="3479"/>
      <c r="U39" s="1821">
        <v>2691</v>
      </c>
      <c r="V39" s="844"/>
      <c r="W39" s="844" t="s">
        <v>417</v>
      </c>
      <c r="X39" s="845">
        <f>($R$40*NbreLLS)+($S$40*SF.LLS)</f>
        <v>3939413</v>
      </c>
      <c r="Y39" s="845">
        <f>($R$40*NbreLLTS)+($S$40*SF.LLTS)</f>
        <v>3939413</v>
      </c>
      <c r="Z39" s="845"/>
      <c r="AA39" s="845">
        <f>X39+Y39+Z39</f>
        <v>7878826</v>
      </c>
      <c r="AB39" s="846"/>
      <c r="AC39" s="847"/>
      <c r="AI39"/>
      <c r="AJ39"/>
    </row>
    <row r="40" spans="1:36" ht="15.95" customHeight="1">
      <c r="A40" s="1816">
        <v>43101</v>
      </c>
      <c r="B40" s="1817" t="s">
        <v>1057</v>
      </c>
      <c r="C40" s="1818">
        <v>1650.5</v>
      </c>
      <c r="D40" s="1819">
        <v>2018</v>
      </c>
      <c r="E40" s="3480"/>
      <c r="F40" s="848">
        <f>F39*$C$41</f>
        <v>37281.822366388631</v>
      </c>
      <c r="G40" s="848">
        <f>G39*$C$41</f>
        <v>1184.9743589743589</v>
      </c>
      <c r="H40" s="3480"/>
      <c r="I40" s="848">
        <v>150</v>
      </c>
      <c r="J40" s="2214"/>
      <c r="K40" s="834"/>
      <c r="L40" s="834"/>
      <c r="M40" s="834"/>
      <c r="N40" s="834"/>
      <c r="O40" s="834"/>
      <c r="P40" s="834"/>
      <c r="Q40" s="3479"/>
      <c r="R40" s="1822">
        <v>33250</v>
      </c>
      <c r="S40" s="1822">
        <v>1058</v>
      </c>
      <c r="T40" s="3480"/>
      <c r="U40" s="1822">
        <v>2744</v>
      </c>
      <c r="V40" s="849"/>
      <c r="W40" s="849" t="s">
        <v>418</v>
      </c>
      <c r="X40" s="845">
        <f>($W$35*$U$40)</f>
        <v>96040</v>
      </c>
      <c r="Y40" s="845">
        <f>($W$36*$U$40)</f>
        <v>192080</v>
      </c>
      <c r="Z40" s="845"/>
      <c r="AA40" s="845">
        <f>X40+Y40+Z40</f>
        <v>288120</v>
      </c>
      <c r="AB40" s="846"/>
      <c r="AC40" s="850"/>
      <c r="AI40"/>
      <c r="AJ40"/>
    </row>
    <row r="41" spans="1:36" ht="15.95" customHeight="1">
      <c r="B41" s="1871" t="s">
        <v>1058</v>
      </c>
      <c r="C41" s="852">
        <f>C40/C39</f>
        <v>1.0197713932653691</v>
      </c>
      <c r="H41"/>
      <c r="K41" s="834"/>
      <c r="L41" s="834"/>
      <c r="M41" s="834"/>
      <c r="N41" s="834"/>
      <c r="O41" s="834"/>
      <c r="P41" s="834"/>
      <c r="Q41" s="3480"/>
      <c r="T41" s="853" t="s">
        <v>490</v>
      </c>
      <c r="U41" s="854"/>
      <c r="V41" s="855" t="s">
        <v>491</v>
      </c>
      <c r="W41" s="856" t="s">
        <v>490</v>
      </c>
      <c r="X41" s="845">
        <f>$U$41*F53</f>
        <v>0</v>
      </c>
      <c r="Y41" s="845">
        <f>$U$41*G53</f>
        <v>0</v>
      </c>
      <c r="Z41" s="845"/>
      <c r="AA41" s="845">
        <f>X41+Y41+Z41</f>
        <v>0</v>
      </c>
      <c r="AC41" s="840"/>
      <c r="AI41"/>
      <c r="AJ41"/>
    </row>
    <row r="42" spans="1:36" ht="15.95" customHeight="1">
      <c r="A42" s="810"/>
      <c r="B42" s="829" t="s">
        <v>492</v>
      </c>
      <c r="C42" s="829"/>
      <c r="D42" s="828" t="s">
        <v>493</v>
      </c>
      <c r="F42" s="857"/>
      <c r="G42"/>
      <c r="H42"/>
      <c r="I42" s="858"/>
      <c r="J42" s="858"/>
      <c r="K42" s="834"/>
      <c r="L42" s="834"/>
      <c r="M42" s="834"/>
      <c r="N42" s="834"/>
      <c r="O42" s="834"/>
      <c r="P42" s="834"/>
      <c r="Q42" s="858"/>
      <c r="R42" s="858"/>
      <c r="U42" s="810"/>
      <c r="V42" s="859"/>
      <c r="W42" s="859" t="s">
        <v>494</v>
      </c>
      <c r="X42" s="860"/>
      <c r="Y42" s="860"/>
      <c r="Z42" s="860"/>
      <c r="AA42" s="860">
        <f>X42+Y42</f>
        <v>0</v>
      </c>
      <c r="AC42" s="840"/>
      <c r="AI42"/>
      <c r="AJ42"/>
    </row>
    <row r="43" spans="1:36" ht="15.95" customHeight="1">
      <c r="A43" s="861">
        <v>42736</v>
      </c>
      <c r="B43" s="1817" t="s">
        <v>1049</v>
      </c>
      <c r="C43" s="1820">
        <v>125.26</v>
      </c>
      <c r="D43" s="2232">
        <v>6.92</v>
      </c>
      <c r="E43" s="857" t="s">
        <v>495</v>
      </c>
      <c r="F43" s="862" t="s">
        <v>2</v>
      </c>
      <c r="G43" s="862" t="s">
        <v>3</v>
      </c>
      <c r="H43" s="839" t="s">
        <v>496</v>
      </c>
      <c r="I43" s="839" t="s">
        <v>299</v>
      </c>
      <c r="J43" s="2180"/>
      <c r="K43" s="834"/>
      <c r="L43" s="834"/>
      <c r="M43" s="834"/>
      <c r="N43" s="834"/>
      <c r="O43" s="834"/>
      <c r="P43" s="834"/>
      <c r="Q43" s="837"/>
      <c r="R43" s="858"/>
      <c r="T43" s="3478" t="s">
        <v>497</v>
      </c>
      <c r="U43" s="1821">
        <v>8780</v>
      </c>
      <c r="V43" s="3474" t="s">
        <v>498</v>
      </c>
      <c r="W43" s="3475"/>
      <c r="X43" s="863">
        <f>SUM(X39:X41)</f>
        <v>4035453</v>
      </c>
      <c r="Y43" s="863">
        <f>SUM(Y39:Y42)</f>
        <v>4131493</v>
      </c>
      <c r="Z43" s="863"/>
      <c r="AA43" s="863">
        <f>X43+Y43</f>
        <v>8166946</v>
      </c>
      <c r="AC43" s="840"/>
      <c r="AI43"/>
      <c r="AJ43"/>
    </row>
    <row r="44" spans="1:36" ht="15.95" customHeight="1">
      <c r="A44" s="861">
        <v>43101</v>
      </c>
      <c r="B44" s="1817" t="s">
        <v>1057</v>
      </c>
      <c r="C44" s="1820">
        <v>126.19</v>
      </c>
      <c r="D44" s="2232">
        <v>6.97</v>
      </c>
      <c r="E44" s="839" t="s">
        <v>488</v>
      </c>
      <c r="F44" s="864">
        <f>($F$40*NbreLLS)+($G$40*SF.LLS)</f>
        <v>4413644.0135928327</v>
      </c>
      <c r="G44" s="865">
        <f>($F$40*NbreLLTS)+($G$40*SF.LLTS)</f>
        <v>4413644.0135928327</v>
      </c>
      <c r="H44" s="865">
        <f>($F$40*NbreCOMM)+($G$40*SF.COMM)</f>
        <v>0</v>
      </c>
      <c r="I44" s="866">
        <f>F44+G44+H44</f>
        <v>8827288.0271856654</v>
      </c>
      <c r="J44" s="2215"/>
      <c r="K44" s="867"/>
      <c r="L44" s="867"/>
      <c r="M44" s="867"/>
      <c r="N44" s="867"/>
      <c r="O44" s="867"/>
      <c r="P44" s="867"/>
      <c r="Q44" s="837"/>
      <c r="R44" s="868"/>
      <c r="T44" s="3480"/>
      <c r="U44" s="1822">
        <v>8954</v>
      </c>
      <c r="V44" s="3476" t="s">
        <v>499</v>
      </c>
      <c r="W44" s="3477"/>
      <c r="X44" s="869">
        <v>0.27</v>
      </c>
      <c r="Y44" s="870">
        <v>0.32500000000000001</v>
      </c>
      <c r="Z44" s="871"/>
      <c r="AA44"/>
      <c r="AC44" s="872"/>
      <c r="AI44"/>
      <c r="AJ44"/>
    </row>
    <row r="45" spans="1:36" ht="15" customHeight="1">
      <c r="A45" s="873"/>
      <c r="B45" s="1871" t="s">
        <v>1058</v>
      </c>
      <c r="C45" s="874">
        <f>C44/C43</f>
        <v>1.0074245569216029</v>
      </c>
      <c r="E45" s="696" t="s">
        <v>500</v>
      </c>
      <c r="F45" s="875">
        <f>F44/SF.LLS</f>
        <v>1682.349538247697</v>
      </c>
      <c r="G45" s="876">
        <f>G44/SF.LLTS</f>
        <v>1682.349538247697</v>
      </c>
      <c r="H45" s="876" t="e">
        <f>H44/SF.COMM</f>
        <v>#DIV/0!</v>
      </c>
      <c r="I45" s="875">
        <f>I44/SF.T</f>
        <v>1682.349538247697</v>
      </c>
      <c r="J45" s="2216"/>
      <c r="K45" s="877"/>
      <c r="L45" s="877"/>
      <c r="M45" s="877"/>
      <c r="N45" s="877"/>
      <c r="O45" s="877"/>
      <c r="P45" s="877"/>
      <c r="Q45" s="837"/>
      <c r="R45" s="868"/>
      <c r="U45" s="878"/>
      <c r="V45" s="879" t="s">
        <v>501</v>
      </c>
      <c r="W45" s="879"/>
      <c r="X45" s="880">
        <f>X43*X44</f>
        <v>1089572.31</v>
      </c>
      <c r="Y45" s="880">
        <f>Y43*Y44</f>
        <v>1342735.2250000001</v>
      </c>
      <c r="Z45" s="880"/>
      <c r="AA45" s="881">
        <f>X45+Y45</f>
        <v>2432307.5350000001</v>
      </c>
      <c r="AC45" s="840"/>
      <c r="AI45"/>
      <c r="AJ45"/>
    </row>
    <row r="46" spans="1:36" ht="15.95" customHeight="1">
      <c r="A46" s="685"/>
      <c r="B46" s="882"/>
      <c r="C46" s="685"/>
      <c r="D46" s="685"/>
      <c r="E46" s="858"/>
      <c r="F46" s="858"/>
      <c r="G46" s="858"/>
      <c r="H46" s="858"/>
      <c r="I46" s="858"/>
      <c r="J46" s="858"/>
      <c r="K46" s="883"/>
      <c r="L46" s="883"/>
      <c r="M46" s="883"/>
      <c r="N46" s="883"/>
      <c r="O46" s="883"/>
      <c r="P46" s="883"/>
      <c r="Q46" s="837"/>
      <c r="R46" s="858"/>
      <c r="S46" s="858"/>
      <c r="T46" s="858"/>
      <c r="U46" s="858"/>
      <c r="X46" s="884"/>
      <c r="Y46" s="885"/>
      <c r="Z46" s="885"/>
      <c r="AA46" s="886"/>
      <c r="AB46" s="837"/>
      <c r="AC46" s="887"/>
      <c r="AI46"/>
      <c r="AJ46"/>
    </row>
    <row r="47" spans="1:36" ht="15.95" customHeight="1">
      <c r="A47" s="888" t="s">
        <v>502</v>
      </c>
      <c r="B47" s="702" t="s">
        <v>503</v>
      </c>
      <c r="C47" s="889"/>
      <c r="D47" s="890"/>
      <c r="E47" s="891" t="s">
        <v>283</v>
      </c>
      <c r="F47" s="824" t="s">
        <v>2</v>
      </c>
      <c r="G47" s="702" t="s">
        <v>3</v>
      </c>
      <c r="H47" s="824" t="s">
        <v>496</v>
      </c>
      <c r="I47" s="702" t="s">
        <v>299</v>
      </c>
      <c r="J47" s="702"/>
      <c r="K47" s="892" t="s">
        <v>2</v>
      </c>
      <c r="L47" s="892" t="s">
        <v>3</v>
      </c>
      <c r="M47" s="893" t="s">
        <v>496</v>
      </c>
      <c r="N47" s="894"/>
      <c r="O47" s="895"/>
      <c r="P47" s="895"/>
      <c r="Q47" s="896" t="s">
        <v>500</v>
      </c>
      <c r="R47" s="896" t="s">
        <v>504</v>
      </c>
      <c r="S47" s="896"/>
      <c r="T47" s="896"/>
      <c r="U47" s="703"/>
      <c r="V47" s="824" t="s">
        <v>486</v>
      </c>
      <c r="W47" s="824"/>
      <c r="X47" s="897" t="s">
        <v>2</v>
      </c>
      <c r="Y47" s="898" t="s">
        <v>3</v>
      </c>
      <c r="Z47" s="824" t="s">
        <v>496</v>
      </c>
      <c r="AA47" s="898" t="s">
        <v>299</v>
      </c>
      <c r="AB47" s="837"/>
      <c r="AC47" s="899"/>
      <c r="AD47" s="685"/>
      <c r="AI47"/>
      <c r="AJ47"/>
    </row>
    <row r="48" spans="1:36" ht="10.5" customHeight="1">
      <c r="A48" s="695"/>
      <c r="B48" s="696"/>
      <c r="C48" s="696"/>
      <c r="D48" s="697"/>
      <c r="E48" s="697"/>
      <c r="F48" s="900"/>
      <c r="G48" s="900"/>
      <c r="H48" s="900"/>
      <c r="I48" s="900"/>
      <c r="J48" s="900"/>
      <c r="K48" s="901" t="s">
        <v>505</v>
      </c>
      <c r="L48" s="901" t="s">
        <v>505</v>
      </c>
      <c r="M48" s="901" t="s">
        <v>505</v>
      </c>
      <c r="N48" s="894"/>
      <c r="O48" s="895"/>
      <c r="P48" s="895"/>
      <c r="Q48" s="902"/>
      <c r="R48" s="902"/>
      <c r="S48" s="903"/>
      <c r="T48" s="858"/>
      <c r="U48" s="697"/>
      <c r="X48" s="884"/>
      <c r="Y48" s="885"/>
      <c r="Z48" s="904"/>
      <c r="AA48" s="886"/>
      <c r="AB48" s="837"/>
      <c r="AC48" s="905"/>
      <c r="AD48" s="685"/>
      <c r="AI48"/>
      <c r="AJ48"/>
    </row>
    <row r="49" spans="1:38" ht="15.95" customHeight="1">
      <c r="A49" s="3502" t="s">
        <v>285</v>
      </c>
      <c r="B49" s="3503"/>
      <c r="C49" s="3503" t="s">
        <v>506</v>
      </c>
      <c r="D49" s="3503"/>
      <c r="E49" s="697" t="s">
        <v>285</v>
      </c>
      <c r="F49" s="3046">
        <f>Bdgt!R185</f>
        <v>32697.525000000001</v>
      </c>
      <c r="G49" s="3046">
        <f>Bdgt!V185</f>
        <v>32697.525000000001</v>
      </c>
      <c r="H49" s="3046">
        <f>Bdgt!Z185</f>
        <v>0</v>
      </c>
      <c r="I49" s="906">
        <f>F49+G49+H49</f>
        <v>65395.05</v>
      </c>
      <c r="J49" s="2217"/>
      <c r="K49" s="907">
        <f>F49/SF.LLS</f>
        <v>12.463321898227559</v>
      </c>
      <c r="L49" s="907">
        <f>G49/SF.LLTS</f>
        <v>12.463321898227559</v>
      </c>
      <c r="M49" s="907" t="e">
        <f>H49/SF.COMM</f>
        <v>#DIV/0!</v>
      </c>
      <c r="N49" s="894"/>
      <c r="O49" s="895"/>
      <c r="P49" s="895"/>
      <c r="Q49" s="908">
        <f>I49/SF.T</f>
        <v>12.463321898227559</v>
      </c>
      <c r="R49" s="909">
        <f>I49/Nbre</f>
        <v>934.21500000000003</v>
      </c>
      <c r="S49" s="910" t="s">
        <v>507</v>
      </c>
      <c r="T49" s="911"/>
      <c r="U49" s="912"/>
      <c r="V49" s="913" t="s">
        <v>275</v>
      </c>
      <c r="W49" s="914"/>
      <c r="X49" s="915">
        <f>SUM(X50:X55)</f>
        <v>0</v>
      </c>
      <c r="Y49" s="915">
        <f>SUM(Y50:Y55)</f>
        <v>0</v>
      </c>
      <c r="Z49" s="915">
        <f>SUM(Z50:Z55)</f>
        <v>0</v>
      </c>
      <c r="AA49" s="915">
        <f>SUM(AA50:AA55)</f>
        <v>0</v>
      </c>
      <c r="AB49" s="837"/>
      <c r="AC49" s="916"/>
      <c r="AD49" s="685"/>
      <c r="AI49"/>
      <c r="AJ49"/>
    </row>
    <row r="50" spans="1:38" ht="15.95" customHeight="1">
      <c r="A50" s="917"/>
      <c r="B50" s="805"/>
      <c r="C50" s="805"/>
      <c r="D50" s="806"/>
      <c r="E50" s="697" t="s">
        <v>286</v>
      </c>
      <c r="F50" s="3046">
        <f>Bdgt!R186</f>
        <v>35377.649999999994</v>
      </c>
      <c r="G50" s="3046">
        <f>Bdgt!V186</f>
        <v>35377.649999999994</v>
      </c>
      <c r="H50" s="3046">
        <f>Bdgt!Z186</f>
        <v>0</v>
      </c>
      <c r="I50" s="906">
        <f>F50+G50+H50</f>
        <v>70755.299999999988</v>
      </c>
      <c r="J50" s="2217"/>
      <c r="K50" s="907">
        <f>F50/SF.LLS</f>
        <v>13.484905660377356</v>
      </c>
      <c r="L50" s="907">
        <f>G50/SF.LLTS</f>
        <v>13.484905660377356</v>
      </c>
      <c r="M50" s="907" t="e">
        <f>H50/SF.COMM</f>
        <v>#DIV/0!</v>
      </c>
      <c r="N50" s="894"/>
      <c r="O50" s="918"/>
      <c r="P50" s="918"/>
      <c r="Q50" s="908">
        <f>I50/SF.T</f>
        <v>13.484905660377356</v>
      </c>
      <c r="R50" s="909">
        <f>I50/Nbre</f>
        <v>1010.7899999999998</v>
      </c>
      <c r="S50" s="910" t="s">
        <v>508</v>
      </c>
      <c r="T50" s="911"/>
      <c r="U50" s="912"/>
      <c r="V50" s="919" t="s">
        <v>417</v>
      </c>
      <c r="W50" s="920"/>
      <c r="X50" s="3049">
        <f>Bdgt!R168</f>
        <v>0</v>
      </c>
      <c r="Y50" s="3049">
        <f>Bdgt!V168</f>
        <v>0</v>
      </c>
      <c r="Z50" s="3049"/>
      <c r="AA50" s="3049">
        <f t="shared" ref="AA50:AA55" si="63">X50+Y50+Z50</f>
        <v>0</v>
      </c>
      <c r="AB50" s="837"/>
      <c r="AC50" s="921"/>
      <c r="AD50" s="685"/>
      <c r="AI50"/>
      <c r="AJ50"/>
    </row>
    <row r="51" spans="1:38" ht="15.95" customHeight="1">
      <c r="A51" s="917"/>
      <c r="B51" s="805"/>
      <c r="D51" s="923"/>
      <c r="E51" s="924">
        <f>I52/I63</f>
        <v>0.33270886253396986</v>
      </c>
      <c r="F51" s="3047"/>
      <c r="G51" s="3047"/>
      <c r="H51" s="3047"/>
      <c r="I51" s="906">
        <f>F51+G51+H51</f>
        <v>0</v>
      </c>
      <c r="J51" s="2217"/>
      <c r="K51" s="925"/>
      <c r="L51" s="925"/>
      <c r="M51" s="925"/>
      <c r="N51" s="894"/>
      <c r="O51" s="918"/>
      <c r="P51" s="918"/>
      <c r="Q51" s="926"/>
      <c r="R51" s="926"/>
      <c r="T51" s="927"/>
      <c r="U51" s="928"/>
      <c r="V51" s="685" t="s">
        <v>509</v>
      </c>
      <c r="W51" s="685"/>
      <c r="X51" s="3049"/>
      <c r="Y51" s="3049"/>
      <c r="Z51" s="3049"/>
      <c r="AA51" s="3049">
        <f t="shared" si="63"/>
        <v>0</v>
      </c>
      <c r="AB51" s="837"/>
      <c r="AC51" s="916"/>
      <c r="AD51" s="685"/>
      <c r="AI51"/>
      <c r="AJ51"/>
      <c r="AK51"/>
      <c r="AL51"/>
    </row>
    <row r="52" spans="1:38" ht="15.95" customHeight="1">
      <c r="A52" s="917"/>
      <c r="B52" s="805"/>
      <c r="C52" s="697"/>
      <c r="D52" s="923"/>
      <c r="E52" s="919" t="s">
        <v>287</v>
      </c>
      <c r="F52" s="3048">
        <f>SUM(F49:F51)</f>
        <v>68075.174999999988</v>
      </c>
      <c r="G52" s="3048">
        <f>SUM(G49:G51)</f>
        <v>68075.174999999988</v>
      </c>
      <c r="H52" s="3048">
        <f>SUM(H49:H51)</f>
        <v>0</v>
      </c>
      <c r="I52" s="915">
        <f>SUM(I49:I51)</f>
        <v>136150.34999999998</v>
      </c>
      <c r="J52" s="2218"/>
      <c r="K52" s="907">
        <f t="shared" ref="K52:K57" si="64">F52/SF.LLS</f>
        <v>25.948227558604913</v>
      </c>
      <c r="L52" s="907">
        <f t="shared" ref="L52:L57" si="65">G52/SF.LLTS</f>
        <v>25.948227558604913</v>
      </c>
      <c r="M52" s="929" t="e">
        <f>H54/SF.COMM</f>
        <v>#DIV/0!</v>
      </c>
      <c r="N52" s="894"/>
      <c r="O52" s="918"/>
      <c r="P52" s="918"/>
      <c r="Q52" s="930">
        <f t="shared" ref="Q52:Q62" si="66">I52/SF.T</f>
        <v>25.948227558604913</v>
      </c>
      <c r="R52" s="930">
        <f t="shared" ref="R52:R62" si="67">I52/Nbre</f>
        <v>1945.0049999999997</v>
      </c>
      <c r="T52" s="927"/>
      <c r="U52" s="931">
        <f>U44</f>
        <v>8954</v>
      </c>
      <c r="V52" s="697" t="s">
        <v>510</v>
      </c>
      <c r="X52" s="3046"/>
      <c r="Y52" s="3049"/>
      <c r="Z52" s="3049"/>
      <c r="AA52" s="3049">
        <f t="shared" si="63"/>
        <v>0</v>
      </c>
      <c r="AB52" s="837"/>
      <c r="AC52" s="916"/>
      <c r="AD52" s="685"/>
      <c r="AI52"/>
      <c r="AJ52"/>
      <c r="AK52"/>
      <c r="AL52"/>
    </row>
    <row r="53" spans="1:38" ht="15.95" customHeight="1">
      <c r="A53" s="917"/>
      <c r="B53" s="805"/>
      <c r="C53" s="697" t="s">
        <v>511</v>
      </c>
      <c r="D53" s="932"/>
      <c r="E53" s="697" t="s">
        <v>288</v>
      </c>
      <c r="F53" s="3046">
        <f>Bdgt!R189</f>
        <v>0</v>
      </c>
      <c r="G53" s="3046">
        <f>Bdgt!V189</f>
        <v>0</v>
      </c>
      <c r="H53" s="3046">
        <f>Bdgt!Z189</f>
        <v>0</v>
      </c>
      <c r="I53" s="906">
        <f>F53+G53+H53</f>
        <v>0</v>
      </c>
      <c r="J53" s="2217"/>
      <c r="K53" s="907">
        <f t="shared" si="64"/>
        <v>0</v>
      </c>
      <c r="L53" s="907">
        <f t="shared" si="65"/>
        <v>0</v>
      </c>
      <c r="M53" s="929" t="e">
        <f>H56/SF.COMM</f>
        <v>#DIV/0!</v>
      </c>
      <c r="N53" s="894"/>
      <c r="O53" s="918"/>
      <c r="P53" s="918"/>
      <c r="Q53" s="908">
        <f t="shared" si="66"/>
        <v>0</v>
      </c>
      <c r="R53" s="908">
        <f t="shared" si="67"/>
        <v>0</v>
      </c>
      <c r="T53" s="927"/>
      <c r="U53" s="931">
        <f>4000</f>
        <v>4000</v>
      </c>
      <c r="V53" s="933" t="s">
        <v>512</v>
      </c>
      <c r="X53" s="3046"/>
      <c r="Y53" s="3049"/>
      <c r="Z53" s="3049"/>
      <c r="AA53" s="3049">
        <f t="shared" si="63"/>
        <v>0</v>
      </c>
      <c r="AB53" s="837"/>
      <c r="AC53" s="916"/>
      <c r="AD53" s="685"/>
      <c r="AF53" s="934"/>
      <c r="AI53"/>
      <c r="AJ53"/>
      <c r="AK53"/>
      <c r="AL53"/>
    </row>
    <row r="54" spans="1:38" ht="15.95" customHeight="1">
      <c r="A54" s="695" t="s">
        <v>513</v>
      </c>
      <c r="B54" s="935"/>
      <c r="C54" s="858" t="s">
        <v>514</v>
      </c>
      <c r="D54" s="935"/>
      <c r="E54" s="697" t="s">
        <v>289</v>
      </c>
      <c r="F54" s="3046">
        <f>Bdgt!R190</f>
        <v>57175.999999999993</v>
      </c>
      <c r="G54" s="3046">
        <f>Bdgt!V190</f>
        <v>57175.999999999993</v>
      </c>
      <c r="H54" s="3046">
        <f>Bdgt!Z190</f>
        <v>0</v>
      </c>
      <c r="I54" s="906">
        <f>F54+G54+H54</f>
        <v>114351.99999999999</v>
      </c>
      <c r="J54" s="2217"/>
      <c r="K54" s="907">
        <f t="shared" si="64"/>
        <v>21.793786925862396</v>
      </c>
      <c r="L54" s="907">
        <f t="shared" si="65"/>
        <v>21.793786925862396</v>
      </c>
      <c r="M54" s="929" t="e">
        <f>H57/SF.COMM</f>
        <v>#DIV/0!</v>
      </c>
      <c r="N54" s="894"/>
      <c r="O54" s="918"/>
      <c r="P54" s="918"/>
      <c r="Q54" s="908">
        <f t="shared" si="66"/>
        <v>21.793786925862396</v>
      </c>
      <c r="R54" s="908">
        <f t="shared" si="67"/>
        <v>1633.5999999999997</v>
      </c>
      <c r="T54" s="936"/>
      <c r="U54" s="937">
        <v>3200</v>
      </c>
      <c r="V54" s="933" t="s">
        <v>515</v>
      </c>
      <c r="W54" s="938" t="s">
        <v>418</v>
      </c>
      <c r="X54" s="3046"/>
      <c r="Y54" s="3049"/>
      <c r="Z54" s="3049"/>
      <c r="AA54" s="3049">
        <f t="shared" si="63"/>
        <v>0</v>
      </c>
      <c r="AB54" s="837"/>
      <c r="AC54" s="905"/>
      <c r="AD54" s="685"/>
      <c r="AF54" s="806"/>
      <c r="AI54"/>
      <c r="AJ54"/>
      <c r="AK54"/>
      <c r="AL54"/>
    </row>
    <row r="55" spans="1:38" ht="15.95" customHeight="1">
      <c r="A55" s="695" t="s">
        <v>516</v>
      </c>
      <c r="B55" s="939"/>
      <c r="C55" s="697" t="s">
        <v>517</v>
      </c>
      <c r="D55" s="940"/>
      <c r="E55" s="697" t="s">
        <v>518</v>
      </c>
      <c r="F55" s="3046">
        <f>Bdgt!R191</f>
        <v>1173.0999794059753</v>
      </c>
      <c r="G55" s="3046">
        <f>Bdgt!V191</f>
        <v>1173.0999794059753</v>
      </c>
      <c r="H55" s="3046">
        <f>Bdgt!Z191</f>
        <v>0</v>
      </c>
      <c r="I55" s="906">
        <f>F55+G55+H55</f>
        <v>2346.1999588119506</v>
      </c>
      <c r="J55" s="2217"/>
      <c r="K55" s="907">
        <f t="shared" si="64"/>
        <v>0.4471507449613018</v>
      </c>
      <c r="L55" s="907">
        <f t="shared" si="65"/>
        <v>0.4471507449613018</v>
      </c>
      <c r="M55" s="929" t="e">
        <f>H58/SF.COMM</f>
        <v>#DIV/0!</v>
      </c>
      <c r="N55" s="894"/>
      <c r="O55" s="918"/>
      <c r="P55" s="918"/>
      <c r="Q55" s="908">
        <f t="shared" si="66"/>
        <v>0.4471507449613018</v>
      </c>
      <c r="R55" s="908">
        <f t="shared" si="67"/>
        <v>33.517142268742155</v>
      </c>
      <c r="T55" s="927"/>
      <c r="U55" s="928"/>
      <c r="V55" s="933" t="s">
        <v>515</v>
      </c>
      <c r="W55" s="938" t="s">
        <v>915</v>
      </c>
      <c r="X55" s="3046"/>
      <c r="Y55" s="3049"/>
      <c r="Z55" s="3049"/>
      <c r="AA55" s="3049">
        <f t="shared" si="63"/>
        <v>0</v>
      </c>
      <c r="AB55" s="837"/>
      <c r="AC55" s="941"/>
      <c r="AD55" s="685"/>
      <c r="AI55"/>
      <c r="AJ55"/>
      <c r="AK55"/>
      <c r="AL55"/>
    </row>
    <row r="56" spans="1:38" ht="15.95" customHeight="1">
      <c r="A56" s="695" t="s">
        <v>519</v>
      </c>
      <c r="B56" s="942"/>
      <c r="C56" s="697" t="s">
        <v>520</v>
      </c>
      <c r="D56" s="935"/>
      <c r="E56" s="810" t="s">
        <v>297</v>
      </c>
      <c r="F56" s="3046">
        <f>Bdgt!R192</f>
        <v>0</v>
      </c>
      <c r="G56" s="3046">
        <f>Bdgt!V192</f>
        <v>0</v>
      </c>
      <c r="H56" s="3046">
        <f>Bdgt!Z192</f>
        <v>0</v>
      </c>
      <c r="I56" s="906">
        <f>F56+G56+H56</f>
        <v>0</v>
      </c>
      <c r="J56" s="2217"/>
      <c r="K56" s="907">
        <f t="shared" si="64"/>
        <v>0</v>
      </c>
      <c r="L56" s="907">
        <f t="shared" si="65"/>
        <v>0</v>
      </c>
      <c r="M56" s="929" t="e">
        <f>H59/SF.COMM</f>
        <v>#DIV/0!</v>
      </c>
      <c r="N56" s="894"/>
      <c r="O56" s="918"/>
      <c r="P56" s="918"/>
      <c r="Q56" s="908">
        <f t="shared" si="66"/>
        <v>0</v>
      </c>
      <c r="R56" s="908">
        <f t="shared" si="67"/>
        <v>0</v>
      </c>
      <c r="S56" s="685"/>
      <c r="T56" s="685"/>
      <c r="U56" s="685"/>
      <c r="V56" s="913" t="s">
        <v>521</v>
      </c>
      <c r="W56" s="914"/>
      <c r="X56" s="3048">
        <f>SUM(X57:X58)</f>
        <v>68075.174999999988</v>
      </c>
      <c r="Y56" s="3050">
        <f>SUM(Y57:Y58)</f>
        <v>68075.174999999988</v>
      </c>
      <c r="Z56" s="3050">
        <f>SUM(Z57:Z58)</f>
        <v>0</v>
      </c>
      <c r="AA56" s="3050">
        <f>SUM(AA57:AA58)</f>
        <v>136150.34999999998</v>
      </c>
      <c r="AB56" s="837"/>
      <c r="AC56" s="943"/>
      <c r="AD56" s="685"/>
      <c r="AI56"/>
      <c r="AJ56"/>
      <c r="AK56"/>
      <c r="AL56"/>
    </row>
    <row r="57" spans="1:38" ht="15.95" customHeight="1">
      <c r="A57" s="695" t="s">
        <v>522</v>
      </c>
      <c r="B57" s="3223" t="e">
        <f>B56/B55</f>
        <v>#DIV/0!</v>
      </c>
      <c r="C57" s="697" t="s">
        <v>523</v>
      </c>
      <c r="D57" s="944"/>
      <c r="E57" s="919" t="s">
        <v>524</v>
      </c>
      <c r="F57" s="3048">
        <f>SUM(F53:F56)</f>
        <v>58349.099979405968</v>
      </c>
      <c r="G57" s="3048">
        <f>SUM(G53:G56)</f>
        <v>58349.099979405968</v>
      </c>
      <c r="H57" s="3048">
        <f>SUM(H53:H56)</f>
        <v>0</v>
      </c>
      <c r="I57" s="915">
        <f>SUM(I53:I56)</f>
        <v>116698.19995881194</v>
      </c>
      <c r="J57" s="2218"/>
      <c r="K57" s="907">
        <f t="shared" si="64"/>
        <v>22.240937670823698</v>
      </c>
      <c r="L57" s="907">
        <f t="shared" si="65"/>
        <v>22.240937670823698</v>
      </c>
      <c r="M57" s="929" t="e">
        <f>H60/SF.COMM</f>
        <v>#DIV/0!</v>
      </c>
      <c r="N57" s="894"/>
      <c r="O57" s="918"/>
      <c r="P57" s="918"/>
      <c r="Q57" s="930">
        <f t="shared" si="66"/>
        <v>22.240937670823698</v>
      </c>
      <c r="R57" s="930">
        <f t="shared" si="67"/>
        <v>1667.1171422687419</v>
      </c>
      <c r="S57" s="685"/>
      <c r="T57" s="685"/>
      <c r="U57" s="685"/>
      <c r="V57" s="697" t="s">
        <v>424</v>
      </c>
      <c r="W57" s="945"/>
      <c r="X57" s="3046">
        <f>Bdgt!R161</f>
        <v>0</v>
      </c>
      <c r="Y57" s="3046">
        <f>Bdgt!V161</f>
        <v>0</v>
      </c>
      <c r="Z57" s="3046"/>
      <c r="AA57" s="3046">
        <f>X57+Y57+Z57</f>
        <v>0</v>
      </c>
      <c r="AB57" s="837"/>
      <c r="AC57" s="921"/>
      <c r="AD57" s="685"/>
      <c r="AI57"/>
      <c r="AJ57"/>
      <c r="AK57"/>
      <c r="AL57"/>
    </row>
    <row r="58" spans="1:38" ht="15.95" customHeight="1">
      <c r="A58" s="695" t="s">
        <v>525</v>
      </c>
      <c r="B58" s="3223" t="e">
        <f>B56/SP</f>
        <v>#DIV/0!</v>
      </c>
      <c r="C58" s="697" t="s">
        <v>526</v>
      </c>
      <c r="D58" s="946">
        <f>DATE(YEAR($D$56),MONTH($D$56)+$D$57,DAY($D$56))</f>
        <v>0</v>
      </c>
      <c r="E58" s="810" t="s">
        <v>527</v>
      </c>
      <c r="F58" s="3046">
        <f>Bdgt!R195</f>
        <v>78184.566761470283</v>
      </c>
      <c r="G58" s="3046">
        <f>Bdgt!V195</f>
        <v>78184.566761470283</v>
      </c>
      <c r="H58" s="3046">
        <f>Bdgt!Z195</f>
        <v>0</v>
      </c>
      <c r="I58" s="906">
        <f>F58+G58+H58</f>
        <v>156369.13352294057</v>
      </c>
      <c r="J58" s="2217"/>
      <c r="K58" s="907"/>
      <c r="L58" s="907"/>
      <c r="M58" s="929"/>
      <c r="N58" s="894"/>
      <c r="O58" s="918"/>
      <c r="P58" s="918"/>
      <c r="Q58" s="908">
        <f t="shared" si="66"/>
        <v>29.801626362290939</v>
      </c>
      <c r="R58" s="908">
        <f t="shared" si="67"/>
        <v>2233.8447646134368</v>
      </c>
      <c r="T58" s="909"/>
      <c r="U58" s="928"/>
      <c r="V58" s="697" t="s">
        <v>423</v>
      </c>
      <c r="W58" s="806"/>
      <c r="X58" s="3046">
        <f>Bdgt!R162</f>
        <v>68075.174999999988</v>
      </c>
      <c r="Y58" s="3046">
        <f>Bdgt!V162</f>
        <v>68075.174999999988</v>
      </c>
      <c r="Z58" s="3046"/>
      <c r="AA58" s="3046">
        <f>X58+Y58+Z58</f>
        <v>136150.34999999998</v>
      </c>
      <c r="AB58" s="837"/>
      <c r="AC58" s="947"/>
      <c r="AD58" s="685"/>
      <c r="AI58"/>
      <c r="AJ58"/>
    </row>
    <row r="59" spans="1:38" ht="15.95" customHeight="1">
      <c r="A59" s="695" t="s">
        <v>528</v>
      </c>
      <c r="B59" s="939" t="s">
        <v>529</v>
      </c>
      <c r="C59" s="697" t="s">
        <v>530</v>
      </c>
      <c r="D59" s="946">
        <f>DATE(YEAR($D$56),MONTH($D$56)+$D$57+1,DAY($D$56))</f>
        <v>31</v>
      </c>
      <c r="E59" s="810" t="s">
        <v>531</v>
      </c>
      <c r="F59" s="3046"/>
      <c r="G59" s="3046"/>
      <c r="H59" s="3046"/>
      <c r="I59" s="906">
        <f>F59+G59+H59</f>
        <v>0</v>
      </c>
      <c r="J59" s="2217"/>
      <c r="K59" s="907"/>
      <c r="L59" s="907"/>
      <c r="M59" s="929"/>
      <c r="N59" s="894"/>
      <c r="O59" s="918"/>
      <c r="P59" s="918"/>
      <c r="Q59" s="908">
        <f t="shared" si="66"/>
        <v>0</v>
      </c>
      <c r="R59" s="908">
        <f t="shared" si="67"/>
        <v>0</v>
      </c>
      <c r="T59" s="909"/>
      <c r="U59" s="928"/>
      <c r="V59" s="913" t="s">
        <v>532</v>
      </c>
      <c r="W59" s="914"/>
      <c r="X59" s="3048">
        <f>SUM(X60:X61)</f>
        <v>0</v>
      </c>
      <c r="Y59" s="3048">
        <f>SUM(Y60:Y61)</f>
        <v>0</v>
      </c>
      <c r="Z59" s="3048">
        <f>SUM(Z60:Z61)</f>
        <v>0</v>
      </c>
      <c r="AA59" s="3048">
        <f>SUM(AA60:AA61)</f>
        <v>0</v>
      </c>
      <c r="AB59" s="837"/>
      <c r="AC59" s="948"/>
      <c r="AD59" s="685"/>
      <c r="AI59"/>
      <c r="AJ59"/>
    </row>
    <row r="60" spans="1:38" ht="15.95" customHeight="1">
      <c r="A60" s="917"/>
      <c r="B60" s="805"/>
      <c r="C60" s="697" t="s">
        <v>533</v>
      </c>
      <c r="D60" s="946">
        <f>DATE(YEAR($D$56),MONTH($D$56)+$D$57+2,DAY($D$56))</f>
        <v>60</v>
      </c>
      <c r="E60" s="810" t="s">
        <v>301</v>
      </c>
      <c r="F60" s="3046"/>
      <c r="G60" s="3046"/>
      <c r="H60" s="3046"/>
      <c r="I60" s="906">
        <f>F60+G60+H60</f>
        <v>0</v>
      </c>
      <c r="J60" s="2217"/>
      <c r="K60" s="907"/>
      <c r="L60" s="907"/>
      <c r="M60" s="929"/>
      <c r="N60" s="894"/>
      <c r="O60" s="918"/>
      <c r="P60" s="918"/>
      <c r="Q60" s="908">
        <f t="shared" si="66"/>
        <v>0</v>
      </c>
      <c r="R60" s="908">
        <f t="shared" si="67"/>
        <v>0</v>
      </c>
      <c r="T60" s="936"/>
      <c r="U60" s="928"/>
      <c r="V60" s="949" t="s">
        <v>534</v>
      </c>
      <c r="W60" s="806"/>
      <c r="X60" s="3046"/>
      <c r="Y60" s="3046"/>
      <c r="Z60" s="3046"/>
      <c r="AA60" s="3046">
        <f>X60+Y60+Z60</f>
        <v>0</v>
      </c>
      <c r="AB60" s="837"/>
      <c r="AC60" s="948"/>
      <c r="AD60" s="685"/>
      <c r="AI60"/>
      <c r="AJ60"/>
    </row>
    <row r="61" spans="1:38" ht="15.95" customHeight="1">
      <c r="A61" s="917"/>
      <c r="B61" s="805"/>
      <c r="C61" s="697" t="s">
        <v>535</v>
      </c>
      <c r="D61" s="935"/>
      <c r="E61" s="919" t="s">
        <v>536</v>
      </c>
      <c r="F61" s="915">
        <f>SUM(F58:F60)</f>
        <v>78184.566761470283</v>
      </c>
      <c r="G61" s="915">
        <f>SUM(G58:G60)</f>
        <v>78184.566761470283</v>
      </c>
      <c r="H61" s="915">
        <f>SUM(H58:H60)</f>
        <v>0</v>
      </c>
      <c r="I61" s="915">
        <f>F61+G61+H61</f>
        <v>156369.13352294057</v>
      </c>
      <c r="J61" s="2218"/>
      <c r="K61" s="907">
        <f>F61/SF.LLS</f>
        <v>29.801626362290939</v>
      </c>
      <c r="L61" s="907">
        <f>G61/SF.LLTS</f>
        <v>29.801626362290939</v>
      </c>
      <c r="M61" s="929" t="e">
        <f>H61/SF.COMM</f>
        <v>#DIV/0!</v>
      </c>
      <c r="N61" s="894"/>
      <c r="O61" s="918"/>
      <c r="P61" s="918"/>
      <c r="Q61" s="930">
        <f t="shared" si="66"/>
        <v>29.801626362290939</v>
      </c>
      <c r="R61" s="930">
        <f t="shared" si="67"/>
        <v>2233.8447646134368</v>
      </c>
      <c r="T61" s="909"/>
      <c r="U61" s="950"/>
      <c r="V61" s="3503" t="s">
        <v>583</v>
      </c>
      <c r="W61" s="3508"/>
      <c r="X61" s="951">
        <f>Bdgt!R178</f>
        <v>0</v>
      </c>
      <c r="Y61" s="951">
        <f>Bdgt!V178</f>
        <v>0</v>
      </c>
      <c r="Z61" s="951"/>
      <c r="AA61" s="951">
        <f>X61+Y61+Z61</f>
        <v>0</v>
      </c>
      <c r="AB61" s="837"/>
      <c r="AC61" s="943"/>
      <c r="AD61" s="685"/>
      <c r="AI61"/>
      <c r="AJ61"/>
    </row>
    <row r="62" spans="1:38" ht="15.95" customHeight="1">
      <c r="A62" s="917"/>
      <c r="B62" s="805"/>
      <c r="C62" s="697"/>
      <c r="D62" s="935"/>
      <c r="E62" s="919" t="s">
        <v>537</v>
      </c>
      <c r="F62" s="915">
        <f>Bdgt!R196</f>
        <v>0</v>
      </c>
      <c r="G62" s="915">
        <f>Bdgt!V196</f>
        <v>0</v>
      </c>
      <c r="H62" s="915"/>
      <c r="I62" s="915">
        <f>F62+G62+H62</f>
        <v>0</v>
      </c>
      <c r="J62" s="2218"/>
      <c r="K62" s="907"/>
      <c r="L62" s="907"/>
      <c r="M62" s="929"/>
      <c r="N62" s="894"/>
      <c r="O62" s="918"/>
      <c r="P62" s="918"/>
      <c r="Q62" s="930">
        <f t="shared" si="66"/>
        <v>0</v>
      </c>
      <c r="R62" s="930">
        <f t="shared" si="67"/>
        <v>0</v>
      </c>
      <c r="T62" s="909"/>
      <c r="U62" s="950"/>
      <c r="V62" s="913" t="s">
        <v>914</v>
      </c>
      <c r="W62" s="914"/>
      <c r="X62" s="951">
        <f>Bdgt!R177</f>
        <v>0</v>
      </c>
      <c r="Y62" s="951">
        <f>Bdgt!V177</f>
        <v>0</v>
      </c>
      <c r="Z62" s="951"/>
      <c r="AA62" s="951">
        <f>X62+Y62+Z62</f>
        <v>0</v>
      </c>
      <c r="AB62" s="837"/>
      <c r="AC62" s="943"/>
      <c r="AD62" s="685"/>
      <c r="AI62"/>
      <c r="AJ62"/>
    </row>
    <row r="63" spans="1:38" ht="15.95" customHeight="1">
      <c r="A63" s="917"/>
      <c r="B63" s="805"/>
      <c r="C63" s="805"/>
      <c r="D63" s="806"/>
      <c r="E63" s="839" t="s">
        <v>538</v>
      </c>
      <c r="F63" s="952">
        <f>F52+F57+F61+F62</f>
        <v>204608.84174087623</v>
      </c>
      <c r="G63" s="952">
        <f>G52+G57+G61+G62</f>
        <v>204608.84174087623</v>
      </c>
      <c r="H63" s="952">
        <f>H52+H57+H61+H62</f>
        <v>0</v>
      </c>
      <c r="I63" s="952">
        <f>I52+I57+I61+I62</f>
        <v>409217.68348175247</v>
      </c>
      <c r="J63" s="2218"/>
      <c r="K63" s="907">
        <f>F63/SF.LLS</f>
        <v>77.990791591719542</v>
      </c>
      <c r="L63" s="907">
        <f>G63/SF.LLTS</f>
        <v>77.990791591719542</v>
      </c>
      <c r="M63" s="929" t="e">
        <f>H63/SF.COMM</f>
        <v>#DIV/0!</v>
      </c>
      <c r="N63" s="894"/>
      <c r="O63" s="918"/>
      <c r="P63" s="918"/>
      <c r="Q63" s="953">
        <f>Q52+Q57+Q61+Q62</f>
        <v>77.990791591719557</v>
      </c>
      <c r="R63" s="953">
        <f>R52+R57+R61+R62</f>
        <v>5845.9669068821786</v>
      </c>
      <c r="T63" s="954"/>
      <c r="U63" s="697"/>
      <c r="V63" s="913" t="s">
        <v>539</v>
      </c>
      <c r="W63" s="914"/>
      <c r="X63" s="952">
        <f>X49+X56+X59+X61+X62</f>
        <v>68075.174999999988</v>
      </c>
      <c r="Y63" s="952">
        <f>Y49+Y56+Y59+Y61+Y62</f>
        <v>68075.174999999988</v>
      </c>
      <c r="Z63" s="952">
        <f>Z49+Z56+Z59+Z61+Z62</f>
        <v>0</v>
      </c>
      <c r="AA63" s="952">
        <f>X63+Y63+Z63</f>
        <v>136150.34999999998</v>
      </c>
      <c r="AB63" s="955">
        <f>AA63-(AA56+AA59+AA49+AA62)</f>
        <v>0</v>
      </c>
      <c r="AC63" s="840" t="s">
        <v>1111</v>
      </c>
      <c r="AD63" s="685"/>
      <c r="AI63"/>
      <c r="AJ63"/>
    </row>
    <row r="64" spans="1:38" ht="15.95" customHeight="1">
      <c r="A64" s="695"/>
      <c r="B64" s="696"/>
      <c r="C64" s="696"/>
      <c r="D64" s="697"/>
      <c r="E64" s="697"/>
      <c r="F64" s="956">
        <f>F63/$F$44</f>
        <v>4.6358256604007074E-2</v>
      </c>
      <c r="G64" s="956">
        <f>G63/$G$44</f>
        <v>4.6358256604007074E-2</v>
      </c>
      <c r="I64" s="909">
        <f>(F63+G63+H63-I63)</f>
        <v>0</v>
      </c>
      <c r="J64" s="909"/>
      <c r="K64" s="957"/>
      <c r="L64" s="958"/>
      <c r="M64" s="958"/>
      <c r="N64" s="894"/>
      <c r="O64" s="958"/>
      <c r="P64" s="958"/>
      <c r="Q64" s="837"/>
      <c r="R64" s="959"/>
      <c r="S64" s="960"/>
      <c r="T64" s="960"/>
      <c r="U64" s="810"/>
      <c r="V64" s="913"/>
      <c r="W64" s="914"/>
      <c r="X64" s="961">
        <f>X63-F63</f>
        <v>-136533.66674087624</v>
      </c>
      <c r="Y64" s="961">
        <f>Y63-G63</f>
        <v>-136533.66674087624</v>
      </c>
      <c r="Z64" s="961">
        <f>Z63-H63</f>
        <v>0</v>
      </c>
      <c r="AA64" s="962">
        <f>AA63-I63</f>
        <v>-273067.33348175249</v>
      </c>
      <c r="AC64" s="840"/>
      <c r="AI64"/>
      <c r="AJ64"/>
    </row>
    <row r="65" spans="1:39" ht="15.95" customHeight="1">
      <c r="A65" s="695"/>
      <c r="B65" s="696"/>
      <c r="C65" s="696"/>
      <c r="D65" s="697"/>
      <c r="E65" s="697"/>
      <c r="F65" s="963"/>
      <c r="G65" s="963"/>
      <c r="I65" s="963"/>
      <c r="J65" s="963"/>
      <c r="K65" s="964"/>
      <c r="L65" s="964"/>
      <c r="M65" s="964"/>
      <c r="N65" s="964"/>
      <c r="O65" s="964"/>
      <c r="P65" s="964"/>
      <c r="Q65" s="965"/>
      <c r="R65" s="965"/>
      <c r="S65" s="965"/>
      <c r="T65" s="965"/>
      <c r="U65" s="697"/>
      <c r="V65" s="697"/>
      <c r="W65" s="697"/>
      <c r="X65" s="697"/>
      <c r="Y65" s="697"/>
      <c r="Z65" s="697"/>
      <c r="AA65" s="697"/>
      <c r="AB65" s="697"/>
      <c r="AC65" s="840"/>
      <c r="AI65"/>
      <c r="AJ65"/>
    </row>
    <row r="66" spans="1:39" s="627" customFormat="1" ht="21.2" customHeight="1">
      <c r="A66" s="966" t="s">
        <v>540</v>
      </c>
      <c r="B66" s="967"/>
      <c r="C66" s="968"/>
      <c r="D66" s="969"/>
      <c r="E66" s="3481" t="s">
        <v>541</v>
      </c>
      <c r="F66" s="3489"/>
      <c r="G66" s="3489"/>
      <c r="H66" s="3489"/>
      <c r="I66" s="3490"/>
      <c r="J66" s="2179"/>
      <c r="K66" s="970"/>
      <c r="L66" s="970"/>
      <c r="M66" s="970"/>
      <c r="N66" s="970"/>
      <c r="O66" s="970"/>
      <c r="P66" s="970"/>
      <c r="Q66" s="971" t="s">
        <v>542</v>
      </c>
      <c r="R66" s="970"/>
      <c r="S66" s="970"/>
      <c r="T66" s="972"/>
      <c r="U66" s="973"/>
      <c r="V66" s="3481" t="s">
        <v>543</v>
      </c>
      <c r="W66" s="3489"/>
      <c r="X66" s="3489"/>
      <c r="Y66" s="3489"/>
      <c r="Z66" s="3489"/>
      <c r="AA66" s="3490"/>
      <c r="AB66" s="3249"/>
      <c r="AC66" s="3249"/>
      <c r="AD66" s="3249"/>
      <c r="AE66" s="3249"/>
      <c r="AF66" s="3481" t="s">
        <v>544</v>
      </c>
      <c r="AG66" s="3482"/>
      <c r="AH66" s="974"/>
      <c r="AI66" s="974"/>
      <c r="AJ66" s="974"/>
      <c r="AK66" s="974"/>
      <c r="AL66" s="974"/>
      <c r="AM66" s="974"/>
    </row>
    <row r="67" spans="1:39" s="777" customFormat="1" ht="20.25" customHeight="1" thickBot="1">
      <c r="A67" s="975"/>
      <c r="B67" s="839"/>
      <c r="C67"/>
      <c r="E67" s="976" t="s">
        <v>492</v>
      </c>
      <c r="F67" s="977">
        <f>C44</f>
        <v>126.19</v>
      </c>
      <c r="G67" s="978" t="str">
        <f>B44</f>
        <v>2 TR 2017</v>
      </c>
      <c r="H67" s="979" t="s">
        <v>545</v>
      </c>
      <c r="I67" s="980">
        <f>A44</f>
        <v>43101</v>
      </c>
      <c r="J67" s="980"/>
      <c r="K67" s="867"/>
      <c r="L67" s="867"/>
      <c r="M67" s="867"/>
      <c r="N67" s="3486" t="s">
        <v>546</v>
      </c>
      <c r="O67" s="3486"/>
      <c r="P67" s="3486"/>
      <c r="Q67" s="982">
        <v>1</v>
      </c>
      <c r="R67" s="977">
        <f>F67*Q67</f>
        <v>126.19</v>
      </c>
      <c r="S67" s="978" t="s">
        <v>1030</v>
      </c>
      <c r="T67" s="983">
        <v>42917</v>
      </c>
      <c r="U67" s="984"/>
      <c r="V67" s="976" t="s">
        <v>492</v>
      </c>
      <c r="W67" s="985">
        <f>R67</f>
        <v>126.19</v>
      </c>
      <c r="X67" s="978" t="s">
        <v>547</v>
      </c>
      <c r="Y67" s="983" t="s">
        <v>548</v>
      </c>
      <c r="Z67" s="986"/>
      <c r="AA67" s="987"/>
      <c r="AB67" s="987"/>
      <c r="AC67" s="987"/>
      <c r="AD67" s="987"/>
      <c r="AE67" s="987"/>
      <c r="AF67" s="807"/>
      <c r="AG67" s="943"/>
      <c r="AH67"/>
      <c r="AI67"/>
      <c r="AJ67"/>
      <c r="AK67"/>
      <c r="AL67"/>
      <c r="AM67"/>
    </row>
    <row r="68" spans="1:39" ht="15.95" customHeight="1">
      <c r="A68" s="988" t="str">
        <f>$A6</f>
        <v>Type</v>
      </c>
      <c r="B68" s="989" t="s">
        <v>0</v>
      </c>
      <c r="C68" s="3506" t="s">
        <v>459</v>
      </c>
      <c r="D68" s="3504" t="s">
        <v>549</v>
      </c>
      <c r="E68" s="3487" t="s">
        <v>550</v>
      </c>
      <c r="F68" s="3484"/>
      <c r="G68" s="3484"/>
      <c r="H68" s="3488"/>
      <c r="I68" s="990" t="s">
        <v>551</v>
      </c>
      <c r="J68" s="2178"/>
      <c r="K68" s="3491" t="s">
        <v>552</v>
      </c>
      <c r="L68" s="3492"/>
      <c r="M68" s="3493"/>
      <c r="N68" s="991" t="s">
        <v>553</v>
      </c>
      <c r="O68" s="992" t="s">
        <v>554</v>
      </c>
      <c r="P68" s="993" t="s">
        <v>462</v>
      </c>
      <c r="Q68" s="3483" t="s">
        <v>550</v>
      </c>
      <c r="R68" s="3484"/>
      <c r="S68" s="3484"/>
      <c r="T68" s="3485"/>
      <c r="U68"/>
      <c r="V68" s="3487" t="s">
        <v>555</v>
      </c>
      <c r="W68" s="3484"/>
      <c r="X68" s="3484"/>
      <c r="Y68" s="3484"/>
      <c r="Z68" s="994" t="s">
        <v>556</v>
      </c>
      <c r="AA68" s="995" t="s">
        <v>462</v>
      </c>
      <c r="AB68" s="3292" t="s">
        <v>1108</v>
      </c>
      <c r="AC68" s="3293" t="s">
        <v>1108</v>
      </c>
      <c r="AD68" s="3285"/>
      <c r="AE68" s="3285"/>
      <c r="AF68" s="996" t="s">
        <v>557</v>
      </c>
      <c r="AG68" s="997" t="s">
        <v>558</v>
      </c>
      <c r="AI68"/>
      <c r="AJ68"/>
      <c r="AK68"/>
      <c r="AL68"/>
      <c r="AM68"/>
    </row>
    <row r="69" spans="1:39" ht="15.95" customHeight="1" thickBot="1">
      <c r="A69" s="998"/>
      <c r="B69" s="999"/>
      <c r="C69" s="3507"/>
      <c r="D69" s="3505"/>
      <c r="E69" s="1000" t="s">
        <v>559</v>
      </c>
      <c r="F69" s="1001" t="s">
        <v>560</v>
      </c>
      <c r="G69" s="1002" t="s">
        <v>561</v>
      </c>
      <c r="H69" s="1001" t="s">
        <v>562</v>
      </c>
      <c r="I69" s="1003"/>
      <c r="J69" s="2219"/>
      <c r="K69" s="1004" t="s">
        <v>433</v>
      </c>
      <c r="L69" s="1005" t="s">
        <v>412</v>
      </c>
      <c r="M69" s="1005" t="s">
        <v>439</v>
      </c>
      <c r="N69" s="1006" t="s">
        <v>563</v>
      </c>
      <c r="O69" s="1007"/>
      <c r="P69" s="1008" t="s">
        <v>564</v>
      </c>
      <c r="Q69" s="1009" t="s">
        <v>559</v>
      </c>
      <c r="R69" s="1001" t="s">
        <v>560</v>
      </c>
      <c r="S69" s="1002" t="s">
        <v>561</v>
      </c>
      <c r="T69" s="1010" t="s">
        <v>562</v>
      </c>
      <c r="U69"/>
      <c r="V69" s="1011" t="s">
        <v>559</v>
      </c>
      <c r="W69" s="1001" t="s">
        <v>565</v>
      </c>
      <c r="X69" s="1002" t="s">
        <v>566</v>
      </c>
      <c r="Y69" s="1012" t="s">
        <v>562</v>
      </c>
      <c r="Z69" s="1013" t="s">
        <v>567</v>
      </c>
      <c r="AA69" s="1014" t="s">
        <v>568</v>
      </c>
      <c r="AB69" s="3294" t="s">
        <v>1109</v>
      </c>
      <c r="AC69" s="3295" t="s">
        <v>1110</v>
      </c>
      <c r="AD69" s="3286"/>
      <c r="AE69" s="3286"/>
      <c r="AF69" s="1015" t="s">
        <v>569</v>
      </c>
      <c r="AG69" s="1016" t="s">
        <v>570</v>
      </c>
      <c r="AI69"/>
      <c r="AJ69"/>
      <c r="AK69"/>
      <c r="AL69"/>
      <c r="AM69"/>
    </row>
    <row r="70" spans="1:39" ht="15.95" customHeight="1">
      <c r="A70" s="1017" t="s">
        <v>2</v>
      </c>
      <c r="B70" s="1018"/>
      <c r="C70" s="1019"/>
      <c r="D70" s="1020"/>
      <c r="E70" s="1021"/>
      <c r="F70" s="1022">
        <f>D44</f>
        <v>6.97</v>
      </c>
      <c r="G70" s="1023"/>
      <c r="H70" s="1024"/>
      <c r="I70" s="1025"/>
      <c r="J70" s="2220"/>
      <c r="K70" s="1026"/>
      <c r="L70" s="1027"/>
      <c r="M70" s="1027"/>
      <c r="N70" s="1028"/>
      <c r="O70" s="1029"/>
      <c r="P70" s="1030"/>
      <c r="Q70" s="1031"/>
      <c r="R70" s="1022">
        <f>LMDom/$F$67*$R$67</f>
        <v>6.97</v>
      </c>
      <c r="S70" s="1023"/>
      <c r="T70" s="683"/>
      <c r="U70" s="1032"/>
      <c r="V70" s="1033"/>
      <c r="W70" s="1034"/>
      <c r="X70" s="1023"/>
      <c r="Y70" s="683"/>
      <c r="Z70" s="1035">
        <v>1</v>
      </c>
      <c r="AA70" s="1036"/>
      <c r="AB70" s="3287"/>
      <c r="AC70" s="3287"/>
      <c r="AD70" s="3287"/>
      <c r="AE70" s="3287"/>
      <c r="AF70" s="1037"/>
      <c r="AG70" s="1038"/>
      <c r="AI70"/>
      <c r="AJ70"/>
      <c r="AK70"/>
      <c r="AL70"/>
      <c r="AM70"/>
    </row>
    <row r="71" spans="1:39" ht="15.95" customHeight="1" outlineLevel="1">
      <c r="A71" s="975" t="str">
        <f>$A8</f>
        <v>T I Bis a</v>
      </c>
      <c r="B71" s="1039">
        <f>$V8</f>
        <v>4</v>
      </c>
      <c r="C71" s="1040">
        <f>$AC8</f>
        <v>120</v>
      </c>
      <c r="D71" s="1041">
        <f t="shared" ref="D71:D78" si="68">0.685*(31*B71+C71)/C71</f>
        <v>1.3928333333333334</v>
      </c>
      <c r="E71" s="1042">
        <f t="shared" ref="E71:E78" si="69">LMDom*D71*M71</f>
        <v>291.24145000000004</v>
      </c>
      <c r="F71" s="1043">
        <f t="shared" ref="F71:F78" si="70">LMDom*D71</f>
        <v>9.7080483333333341</v>
      </c>
      <c r="G71" s="1044">
        <f t="shared" ref="G71:G78" si="71">$E71/L71</f>
        <v>9.7080483333333341</v>
      </c>
      <c r="H71" s="1045">
        <f t="shared" ref="H71:H78" si="72">$E71/K71</f>
        <v>9.7080483333333341</v>
      </c>
      <c r="I71" s="1046">
        <f t="shared" ref="I71" si="73">E71*B71*12</f>
        <v>13979.589600000003</v>
      </c>
      <c r="J71" s="1157"/>
      <c r="K71" s="1047">
        <f>$J8</f>
        <v>30</v>
      </c>
      <c r="L71" s="1048">
        <f>$R8</f>
        <v>30</v>
      </c>
      <c r="M71" s="1048">
        <f>$U8</f>
        <v>30</v>
      </c>
      <c r="N71" s="1049">
        <f t="shared" ref="N71" si="74">V71*B71*12</f>
        <v>13979.589600000003</v>
      </c>
      <c r="O71" s="1050">
        <f t="shared" ref="O71" si="75">Z71*B71*12</f>
        <v>1440</v>
      </c>
      <c r="P71" s="1051">
        <f t="shared" ref="P71" si="76">N71+O71</f>
        <v>15419.589600000003</v>
      </c>
      <c r="Q71" s="1052">
        <f t="shared" ref="Q71:Q78" si="77">E71/$F$67*$R$67</f>
        <v>291.24145000000004</v>
      </c>
      <c r="R71" s="1043">
        <f t="shared" ref="R71:R78" si="78">$Q71/M71</f>
        <v>9.7080483333333341</v>
      </c>
      <c r="S71" s="1043">
        <f t="shared" ref="S71:S78" si="79">$Q71/L71</f>
        <v>9.7080483333333341</v>
      </c>
      <c r="T71" s="1053">
        <f t="shared" ref="T71:T78" si="80">$Q71/K71</f>
        <v>9.7080483333333341</v>
      </c>
      <c r="U71" s="1032"/>
      <c r="V71" s="1054">
        <f t="shared" ref="V71" si="81">Q71</f>
        <v>291.24145000000004</v>
      </c>
      <c r="W71" s="1043">
        <f t="shared" ref="W71:W78" si="82">$Q71/M71</f>
        <v>9.7080483333333341</v>
      </c>
      <c r="X71" s="1043">
        <f t="shared" ref="X71:X78" si="83">$Q71/L71</f>
        <v>9.7080483333333341</v>
      </c>
      <c r="Y71" s="1053">
        <f t="shared" ref="Y71:Y78" si="84">$Q71/K71</f>
        <v>9.7080483333333341</v>
      </c>
      <c r="Z71" s="1055">
        <f t="shared" ref="Z71:Z78" si="85">$Z$70*L71</f>
        <v>30</v>
      </c>
      <c r="AA71" s="1056">
        <f t="shared" ref="AA71" si="86">V71+Z71</f>
        <v>321.24145000000004</v>
      </c>
      <c r="AB71" s="3288"/>
      <c r="AC71" s="3288" t="e">
        <f>INDEX(Max!B3:D7,MATCH(A71,Max!A3:A7,0),1)</f>
        <v>#N/A</v>
      </c>
      <c r="AD71" s="3288"/>
      <c r="AE71" s="3288"/>
      <c r="AF71" s="1057"/>
      <c r="AG71" s="1058"/>
      <c r="AI71"/>
      <c r="AJ71"/>
      <c r="AK71"/>
      <c r="AL71"/>
      <c r="AM71"/>
    </row>
    <row r="72" spans="1:39" ht="15.95" customHeight="1" outlineLevel="1">
      <c r="A72" s="975" t="str">
        <f t="shared" ref="A72:A77" si="87">$A9</f>
        <v>T I Bis a + V</v>
      </c>
      <c r="B72" s="1039">
        <f t="shared" ref="B72:B77" si="88">$V9</f>
        <v>7</v>
      </c>
      <c r="C72" s="1040">
        <f t="shared" ref="C72:C77" si="89">$AC9</f>
        <v>322</v>
      </c>
      <c r="D72" s="1041">
        <f t="shared" ref="D72:D76" si="90">0.685*(31*B72+C72)/C72</f>
        <v>1.1466304347826088</v>
      </c>
      <c r="E72" s="1042">
        <f t="shared" ref="E72:E77" si="91">LMDom*D72*M72</f>
        <v>367.63265000000001</v>
      </c>
      <c r="F72" s="1043">
        <f t="shared" ref="F72:F77" si="92">LMDom*D72</f>
        <v>7.9920141304347831</v>
      </c>
      <c r="G72" s="1044">
        <f t="shared" ref="G72:G77" si="93">$E72/L72</f>
        <v>7.9920141304347831</v>
      </c>
      <c r="H72" s="1045">
        <f t="shared" ref="H72:H77" si="94">$E72/K72</f>
        <v>7.9920141304347831</v>
      </c>
      <c r="I72" s="1046">
        <f t="shared" ref="I72:I77" si="95">E72*B72*12</f>
        <v>30881.142599999999</v>
      </c>
      <c r="J72" s="1157"/>
      <c r="K72" s="1047">
        <f t="shared" ref="K72:K77" si="96">$J9</f>
        <v>46</v>
      </c>
      <c r="L72" s="1048">
        <f t="shared" ref="L72:L77" si="97">$R9</f>
        <v>46</v>
      </c>
      <c r="M72" s="1048">
        <f t="shared" ref="M72:M77" si="98">$U9</f>
        <v>46</v>
      </c>
      <c r="N72" s="1049">
        <f t="shared" ref="N72:N77" si="99">V72*B72*12</f>
        <v>30881.142599999999</v>
      </c>
      <c r="O72" s="1050">
        <f t="shared" ref="O72:O77" si="100">Z72*B72*12</f>
        <v>3864</v>
      </c>
      <c r="P72" s="1051">
        <f t="shared" ref="P72:P77" si="101">N72+O72</f>
        <v>34745.142599999999</v>
      </c>
      <c r="Q72" s="1052">
        <f t="shared" ref="Q72:Q77" si="102">E72/$F$67*$R$67</f>
        <v>367.63265000000001</v>
      </c>
      <c r="R72" s="1043">
        <f t="shared" ref="R72:R77" si="103">$Q72/M72</f>
        <v>7.9920141304347831</v>
      </c>
      <c r="S72" s="1043">
        <f t="shared" ref="S72:S77" si="104">$Q72/L72</f>
        <v>7.9920141304347831</v>
      </c>
      <c r="T72" s="1053">
        <f t="shared" ref="T72:T77" si="105">$Q72/K72</f>
        <v>7.9920141304347831</v>
      </c>
      <c r="U72" s="1032"/>
      <c r="V72" s="1054">
        <f t="shared" ref="V72:V77" si="106">Q72</f>
        <v>367.63265000000001</v>
      </c>
      <c r="W72" s="1043">
        <f t="shared" ref="W72:W77" si="107">$Q72/M72</f>
        <v>7.9920141304347831</v>
      </c>
      <c r="X72" s="1043">
        <f t="shared" ref="X72:X77" si="108">$Q72/L72</f>
        <v>7.9920141304347831</v>
      </c>
      <c r="Y72" s="1053">
        <f t="shared" ref="Y72:Y77" si="109">$Q72/K72</f>
        <v>7.9920141304347831</v>
      </c>
      <c r="Z72" s="1055">
        <f t="shared" ref="Z72:Z77" si="110">$Z$70*L72</f>
        <v>46</v>
      </c>
      <c r="AA72" s="1056">
        <f t="shared" ref="AA72:AA77" si="111">V72+Z72</f>
        <v>413.63265000000001</v>
      </c>
      <c r="AB72" s="3288"/>
      <c r="AC72" s="3288" t="e">
        <f>INDEX(Max!B4:D8,MATCH(A72,Max!A4:A8,0),1)</f>
        <v>#N/A</v>
      </c>
      <c r="AD72" s="3288"/>
      <c r="AE72" s="3288"/>
      <c r="AF72" s="1057"/>
      <c r="AG72" s="1058"/>
      <c r="AI72"/>
      <c r="AJ72"/>
      <c r="AK72"/>
      <c r="AL72"/>
      <c r="AM72"/>
    </row>
    <row r="73" spans="1:39" ht="15.95" customHeight="1" outlineLevel="1">
      <c r="A73" s="975" t="str">
        <f t="shared" si="87"/>
        <v>T II +V a</v>
      </c>
      <c r="B73" s="1039">
        <f t="shared" si="88"/>
        <v>11</v>
      </c>
      <c r="C73" s="1040">
        <f t="shared" si="89"/>
        <v>726</v>
      </c>
      <c r="D73" s="1041">
        <f t="shared" si="90"/>
        <v>1.0067424242424243</v>
      </c>
      <c r="E73" s="1042">
        <f t="shared" si="91"/>
        <v>463.12165000000005</v>
      </c>
      <c r="F73" s="1043">
        <f t="shared" si="92"/>
        <v>7.0169946969696975</v>
      </c>
      <c r="G73" s="1044">
        <f t="shared" si="93"/>
        <v>7.0169946969696975</v>
      </c>
      <c r="H73" s="1045">
        <f t="shared" si="94"/>
        <v>7.0169946969696975</v>
      </c>
      <c r="I73" s="1046">
        <f t="shared" si="95"/>
        <v>61132.05780000001</v>
      </c>
      <c r="J73" s="1157"/>
      <c r="K73" s="1047">
        <f t="shared" si="96"/>
        <v>66</v>
      </c>
      <c r="L73" s="1048">
        <f t="shared" si="97"/>
        <v>66</v>
      </c>
      <c r="M73" s="1048">
        <f t="shared" si="98"/>
        <v>66</v>
      </c>
      <c r="N73" s="1049">
        <f t="shared" si="99"/>
        <v>61132.05780000001</v>
      </c>
      <c r="O73" s="1050">
        <f t="shared" si="100"/>
        <v>8712</v>
      </c>
      <c r="P73" s="1051">
        <f t="shared" si="101"/>
        <v>69844.05780000001</v>
      </c>
      <c r="Q73" s="1052">
        <f t="shared" si="102"/>
        <v>463.12165000000005</v>
      </c>
      <c r="R73" s="1043">
        <f t="shared" si="103"/>
        <v>7.0169946969696975</v>
      </c>
      <c r="S73" s="1043">
        <f t="shared" si="104"/>
        <v>7.0169946969696975</v>
      </c>
      <c r="T73" s="1053">
        <f t="shared" si="105"/>
        <v>7.0169946969696975</v>
      </c>
      <c r="U73" s="1032"/>
      <c r="V73" s="1054">
        <f t="shared" si="106"/>
        <v>463.12165000000005</v>
      </c>
      <c r="W73" s="1043">
        <f t="shared" si="107"/>
        <v>7.0169946969696975</v>
      </c>
      <c r="X73" s="1043">
        <f t="shared" si="108"/>
        <v>7.0169946969696975</v>
      </c>
      <c r="Y73" s="1053">
        <f t="shared" si="109"/>
        <v>7.0169946969696975</v>
      </c>
      <c r="Z73" s="1055">
        <f t="shared" si="110"/>
        <v>66</v>
      </c>
      <c r="AA73" s="1056">
        <f t="shared" si="111"/>
        <v>529.12165000000005</v>
      </c>
      <c r="AB73" s="3288"/>
      <c r="AC73" s="3288" t="e">
        <f>INDEX(Max!B5:D9,MATCH(A73,Max!A5:A9,0),1)</f>
        <v>#N/A</v>
      </c>
      <c r="AD73" s="3288"/>
      <c r="AE73" s="3288"/>
      <c r="AF73" s="1057"/>
      <c r="AG73" s="1058"/>
      <c r="AI73"/>
      <c r="AJ73"/>
      <c r="AK73"/>
      <c r="AL73"/>
      <c r="AM73"/>
    </row>
    <row r="74" spans="1:39" ht="15.95" customHeight="1" outlineLevel="1">
      <c r="A74" s="975" t="str">
        <f t="shared" si="87"/>
        <v>T III +V a</v>
      </c>
      <c r="B74" s="1039">
        <f t="shared" si="88"/>
        <v>10</v>
      </c>
      <c r="C74" s="1040">
        <f t="shared" si="89"/>
        <v>760</v>
      </c>
      <c r="D74" s="1041">
        <f t="shared" si="90"/>
        <v>0.96440789473684219</v>
      </c>
      <c r="E74" s="1042">
        <f t="shared" si="91"/>
        <v>510.86615</v>
      </c>
      <c r="F74" s="1043">
        <f t="shared" si="92"/>
        <v>6.7219230263157899</v>
      </c>
      <c r="G74" s="1044">
        <f t="shared" si="93"/>
        <v>6.7219230263157899</v>
      </c>
      <c r="H74" s="1045">
        <f t="shared" si="94"/>
        <v>6.7219230263157899</v>
      </c>
      <c r="I74" s="1046">
        <f t="shared" si="95"/>
        <v>61303.938000000002</v>
      </c>
      <c r="J74" s="1157"/>
      <c r="K74" s="1047">
        <f t="shared" si="96"/>
        <v>76</v>
      </c>
      <c r="L74" s="1048">
        <f t="shared" si="97"/>
        <v>76</v>
      </c>
      <c r="M74" s="1048">
        <f t="shared" si="98"/>
        <v>76</v>
      </c>
      <c r="N74" s="1049">
        <f t="shared" si="99"/>
        <v>61303.938000000002</v>
      </c>
      <c r="O74" s="1050">
        <f t="shared" si="100"/>
        <v>9120</v>
      </c>
      <c r="P74" s="1051">
        <f t="shared" si="101"/>
        <v>70423.937999999995</v>
      </c>
      <c r="Q74" s="1052">
        <f t="shared" si="102"/>
        <v>510.86615</v>
      </c>
      <c r="R74" s="1043">
        <f t="shared" si="103"/>
        <v>6.7219230263157899</v>
      </c>
      <c r="S74" s="1043">
        <f t="shared" si="104"/>
        <v>6.7219230263157899</v>
      </c>
      <c r="T74" s="1053">
        <f t="shared" si="105"/>
        <v>6.7219230263157899</v>
      </c>
      <c r="U74" s="1032"/>
      <c r="V74" s="1054">
        <f t="shared" si="106"/>
        <v>510.86615</v>
      </c>
      <c r="W74" s="1043">
        <f t="shared" si="107"/>
        <v>6.7219230263157899</v>
      </c>
      <c r="X74" s="1043">
        <f t="shared" si="108"/>
        <v>6.7219230263157899</v>
      </c>
      <c r="Y74" s="1053">
        <f t="shared" si="109"/>
        <v>6.7219230263157899</v>
      </c>
      <c r="Z74" s="1055">
        <f t="shared" si="110"/>
        <v>76</v>
      </c>
      <c r="AA74" s="1056">
        <f t="shared" si="111"/>
        <v>586.86615000000006</v>
      </c>
      <c r="AB74" s="3288"/>
      <c r="AC74" s="3288" t="e">
        <f>INDEX(Max!B6:D10,MATCH(A74,Max!A6:A10,0),1)</f>
        <v>#N/A</v>
      </c>
      <c r="AD74" s="3288"/>
      <c r="AE74" s="3288"/>
      <c r="AF74" s="1057"/>
      <c r="AG74" s="1058"/>
      <c r="AI74"/>
      <c r="AJ74"/>
      <c r="AK74"/>
      <c r="AL74"/>
      <c r="AM74"/>
    </row>
    <row r="75" spans="1:39" ht="15.95" customHeight="1" outlineLevel="1">
      <c r="A75" s="975" t="str">
        <f t="shared" si="87"/>
        <v>T IV + V a</v>
      </c>
      <c r="B75" s="1039">
        <f t="shared" si="88"/>
        <v>3</v>
      </c>
      <c r="C75" s="1040">
        <f t="shared" si="89"/>
        <v>258</v>
      </c>
      <c r="D75" s="1041">
        <f t="shared" si="90"/>
        <v>0.93191860465116294</v>
      </c>
      <c r="E75" s="1042">
        <f t="shared" si="91"/>
        <v>558.61065000000008</v>
      </c>
      <c r="F75" s="1043">
        <f t="shared" si="92"/>
        <v>6.4954726744186058</v>
      </c>
      <c r="G75" s="1044">
        <f t="shared" si="93"/>
        <v>6.4954726744186058</v>
      </c>
      <c r="H75" s="1045">
        <f t="shared" si="94"/>
        <v>6.4954726744186058</v>
      </c>
      <c r="I75" s="1046">
        <f t="shared" si="95"/>
        <v>20109.983400000005</v>
      </c>
      <c r="J75" s="1157"/>
      <c r="K75" s="1047">
        <f t="shared" si="96"/>
        <v>86</v>
      </c>
      <c r="L75" s="1048">
        <f t="shared" si="97"/>
        <v>86</v>
      </c>
      <c r="M75" s="1048">
        <f t="shared" si="98"/>
        <v>86</v>
      </c>
      <c r="N75" s="1049">
        <f t="shared" si="99"/>
        <v>20109.983400000005</v>
      </c>
      <c r="O75" s="1050">
        <f t="shared" si="100"/>
        <v>3096</v>
      </c>
      <c r="P75" s="1051">
        <f t="shared" si="101"/>
        <v>23205.983400000005</v>
      </c>
      <c r="Q75" s="1052">
        <f t="shared" si="102"/>
        <v>558.61065000000008</v>
      </c>
      <c r="R75" s="1043">
        <f t="shared" si="103"/>
        <v>6.4954726744186058</v>
      </c>
      <c r="S75" s="1043">
        <f t="shared" si="104"/>
        <v>6.4954726744186058</v>
      </c>
      <c r="T75" s="1053">
        <f t="shared" si="105"/>
        <v>6.4954726744186058</v>
      </c>
      <c r="U75" s="1032"/>
      <c r="V75" s="1054">
        <f t="shared" si="106"/>
        <v>558.61065000000008</v>
      </c>
      <c r="W75" s="1043">
        <f t="shared" si="107"/>
        <v>6.4954726744186058</v>
      </c>
      <c r="X75" s="1043">
        <f t="shared" si="108"/>
        <v>6.4954726744186058</v>
      </c>
      <c r="Y75" s="1053">
        <f t="shared" si="109"/>
        <v>6.4954726744186058</v>
      </c>
      <c r="Z75" s="1055">
        <f t="shared" si="110"/>
        <v>86</v>
      </c>
      <c r="AA75" s="1056">
        <f t="shared" si="111"/>
        <v>644.61065000000008</v>
      </c>
      <c r="AB75" s="3288"/>
      <c r="AC75" s="3288" t="e">
        <f>INDEX(Max!B7:D11,MATCH(A75,Max!A7:A11,0),1)</f>
        <v>#N/A</v>
      </c>
      <c r="AD75" s="3288"/>
      <c r="AE75" s="3288"/>
      <c r="AF75" s="1057"/>
      <c r="AG75" s="1058"/>
      <c r="AI75"/>
      <c r="AJ75"/>
      <c r="AK75"/>
      <c r="AL75"/>
      <c r="AM75"/>
    </row>
    <row r="76" spans="1:39" ht="15.95" customHeight="1" outlineLevel="1">
      <c r="A76" s="975" t="str">
        <f t="shared" si="87"/>
        <v>T V +V a</v>
      </c>
      <c r="B76" s="1039">
        <f t="shared" si="88"/>
        <v>0</v>
      </c>
      <c r="C76" s="1040">
        <f t="shared" si="89"/>
        <v>0</v>
      </c>
      <c r="D76" s="1041" t="e">
        <f t="shared" si="90"/>
        <v>#DIV/0!</v>
      </c>
      <c r="E76" s="1042" t="e">
        <f t="shared" si="91"/>
        <v>#DIV/0!</v>
      </c>
      <c r="F76" s="1043" t="e">
        <f t="shared" si="92"/>
        <v>#DIV/0!</v>
      </c>
      <c r="G76" s="1044" t="e">
        <f t="shared" si="93"/>
        <v>#DIV/0!</v>
      </c>
      <c r="H76" s="1045" t="e">
        <f t="shared" si="94"/>
        <v>#DIV/0!</v>
      </c>
      <c r="I76" s="1046" t="e">
        <f t="shared" si="95"/>
        <v>#DIV/0!</v>
      </c>
      <c r="J76" s="1157"/>
      <c r="K76" s="1047">
        <f t="shared" si="96"/>
        <v>0</v>
      </c>
      <c r="L76" s="1048">
        <f t="shared" si="97"/>
        <v>0</v>
      </c>
      <c r="M76" s="1048">
        <f t="shared" si="98"/>
        <v>0</v>
      </c>
      <c r="N76" s="1049" t="e">
        <f t="shared" si="99"/>
        <v>#DIV/0!</v>
      </c>
      <c r="O76" s="1050">
        <f t="shared" si="100"/>
        <v>0</v>
      </c>
      <c r="P76" s="1051" t="e">
        <f t="shared" si="101"/>
        <v>#DIV/0!</v>
      </c>
      <c r="Q76" s="1052" t="e">
        <f t="shared" si="102"/>
        <v>#DIV/0!</v>
      </c>
      <c r="R76" s="1043" t="e">
        <f t="shared" si="103"/>
        <v>#DIV/0!</v>
      </c>
      <c r="S76" s="1043" t="e">
        <f t="shared" si="104"/>
        <v>#DIV/0!</v>
      </c>
      <c r="T76" s="1053" t="e">
        <f t="shared" si="105"/>
        <v>#DIV/0!</v>
      </c>
      <c r="U76" s="1032"/>
      <c r="V76" s="1054" t="e">
        <f t="shared" si="106"/>
        <v>#DIV/0!</v>
      </c>
      <c r="W76" s="1043" t="e">
        <f t="shared" si="107"/>
        <v>#DIV/0!</v>
      </c>
      <c r="X76" s="1043" t="e">
        <f t="shared" si="108"/>
        <v>#DIV/0!</v>
      </c>
      <c r="Y76" s="1053" t="e">
        <f t="shared" si="109"/>
        <v>#DIV/0!</v>
      </c>
      <c r="Z76" s="1055">
        <f t="shared" si="110"/>
        <v>0</v>
      </c>
      <c r="AA76" s="1056" t="e">
        <f t="shared" si="111"/>
        <v>#DIV/0!</v>
      </c>
      <c r="AB76" s="3288"/>
      <c r="AC76" s="3288" t="e">
        <f>INDEX(Max!B8:D12,MATCH(A76,Max!A8:A12,0),1)</f>
        <v>#N/A</v>
      </c>
      <c r="AD76" s="3288"/>
      <c r="AE76" s="3288"/>
      <c r="AF76" s="1057"/>
      <c r="AG76" s="1058"/>
      <c r="AH76" s="3248"/>
      <c r="AI76" s="3248"/>
      <c r="AJ76" s="3248"/>
      <c r="AK76" s="3248"/>
      <c r="AL76" s="3248"/>
      <c r="AM76" s="3248"/>
    </row>
    <row r="77" spans="1:39" ht="15.95" customHeight="1" outlineLevel="1">
      <c r="A77" s="975" t="str">
        <f t="shared" si="87"/>
        <v>PARKINGS</v>
      </c>
      <c r="B77" s="1039">
        <f t="shared" si="88"/>
        <v>35</v>
      </c>
      <c r="C77" s="1040">
        <f t="shared" si="89"/>
        <v>437.5</v>
      </c>
      <c r="D77" s="1041">
        <f>0.685</f>
        <v>0.68500000000000005</v>
      </c>
      <c r="E77" s="1042">
        <f t="shared" si="91"/>
        <v>59.680624999999999</v>
      </c>
      <c r="F77" s="1043">
        <f t="shared" si="92"/>
        <v>4.7744499999999999</v>
      </c>
      <c r="G77" s="1044" t="e">
        <f t="shared" si="93"/>
        <v>#DIV/0!</v>
      </c>
      <c r="H77" s="1045" t="e">
        <f t="shared" si="94"/>
        <v>#DIV/0!</v>
      </c>
      <c r="I77" s="1046">
        <f t="shared" si="95"/>
        <v>25065.862500000003</v>
      </c>
      <c r="J77" s="1157"/>
      <c r="K77" s="1047">
        <f t="shared" si="96"/>
        <v>0</v>
      </c>
      <c r="L77" s="1048">
        <f t="shared" si="97"/>
        <v>0</v>
      </c>
      <c r="M77" s="1048">
        <f t="shared" si="98"/>
        <v>12.5</v>
      </c>
      <c r="N77" s="1049">
        <f t="shared" si="99"/>
        <v>25065.862500000003</v>
      </c>
      <c r="O77" s="1050">
        <f t="shared" si="100"/>
        <v>0</v>
      </c>
      <c r="P77" s="1051">
        <f t="shared" si="101"/>
        <v>25065.862500000003</v>
      </c>
      <c r="Q77" s="1052">
        <f t="shared" si="102"/>
        <v>59.680624999999999</v>
      </c>
      <c r="R77" s="1043">
        <f t="shared" si="103"/>
        <v>4.7744499999999999</v>
      </c>
      <c r="S77" s="1043" t="e">
        <f t="shared" si="104"/>
        <v>#DIV/0!</v>
      </c>
      <c r="T77" s="1053" t="e">
        <f t="shared" si="105"/>
        <v>#DIV/0!</v>
      </c>
      <c r="U77" s="1032"/>
      <c r="V77" s="1054">
        <f t="shared" si="106"/>
        <v>59.680624999999999</v>
      </c>
      <c r="W77" s="1043">
        <f t="shared" si="107"/>
        <v>4.7744499999999999</v>
      </c>
      <c r="X77" s="1043" t="e">
        <f t="shared" si="108"/>
        <v>#DIV/0!</v>
      </c>
      <c r="Y77" s="1053" t="e">
        <f t="shared" si="109"/>
        <v>#DIV/0!</v>
      </c>
      <c r="Z77" s="1055">
        <f t="shared" si="110"/>
        <v>0</v>
      </c>
      <c r="AA77" s="1056">
        <f t="shared" si="111"/>
        <v>59.680624999999999</v>
      </c>
      <c r="AB77" s="3288"/>
      <c r="AC77" s="3288" t="e">
        <f>INDEX(Max!B9:D13,MATCH(A77,Max!A9:A13,0),1)</f>
        <v>#N/A</v>
      </c>
      <c r="AD77" s="3288"/>
      <c r="AE77" s="3288"/>
      <c r="AF77" s="1057"/>
      <c r="AG77" s="1058"/>
      <c r="AI77"/>
      <c r="AJ77"/>
      <c r="AK77"/>
      <c r="AL77"/>
      <c r="AM77"/>
    </row>
    <row r="78" spans="1:39" ht="15.95" customHeight="1">
      <c r="A78" s="1059" t="s">
        <v>578</v>
      </c>
      <c r="B78" s="1060">
        <f>SUM(B71:B76)</f>
        <v>35</v>
      </c>
      <c r="C78" s="1061">
        <f>SUM(C71:C77)</f>
        <v>2623.5</v>
      </c>
      <c r="D78" s="1062">
        <f t="shared" si="68"/>
        <v>0.96829521631408433</v>
      </c>
      <c r="E78" s="1063">
        <f t="shared" si="69"/>
        <v>505.88708071428573</v>
      </c>
      <c r="F78" s="3224">
        <f t="shared" si="70"/>
        <v>6.7490176577091674</v>
      </c>
      <c r="G78" s="1065">
        <f t="shared" si="71"/>
        <v>8.099747403934126</v>
      </c>
      <c r="H78" s="1066">
        <f t="shared" si="72"/>
        <v>8.099747403934126</v>
      </c>
      <c r="I78" s="1067" t="e">
        <f>SUM(I71:I77)</f>
        <v>#DIV/0!</v>
      </c>
      <c r="J78" s="2221"/>
      <c r="K78" s="1068">
        <f>SH.LLS/$B$78</f>
        <v>62.457142857142856</v>
      </c>
      <c r="L78" s="1069">
        <f>SU.LLS/$B$78</f>
        <v>62.457142857142856</v>
      </c>
      <c r="M78" s="1070">
        <f>SF.LLS/$B$78</f>
        <v>74.957142857142856</v>
      </c>
      <c r="N78" s="1071" t="e">
        <f>SUM(N71:N77)</f>
        <v>#DIV/0!</v>
      </c>
      <c r="O78" s="1072">
        <f>SUM(O71:O77)</f>
        <v>26232</v>
      </c>
      <c r="P78" s="1073" t="e">
        <f>SUM(P71:P77)</f>
        <v>#DIV/0!</v>
      </c>
      <c r="Q78" s="1074">
        <f t="shared" si="77"/>
        <v>505.88708071428573</v>
      </c>
      <c r="R78" s="1064">
        <f t="shared" si="78"/>
        <v>6.7490176577091674</v>
      </c>
      <c r="S78" s="1065">
        <f t="shared" si="79"/>
        <v>8.099747403934126</v>
      </c>
      <c r="T78" s="1075">
        <f t="shared" si="80"/>
        <v>8.099747403934126</v>
      </c>
      <c r="U78" s="1032"/>
      <c r="V78" s="1076" t="e">
        <f>Y79/12/B78</f>
        <v>#DIV/0!</v>
      </c>
      <c r="W78" s="1064">
        <f t="shared" si="82"/>
        <v>6.7490176577091674</v>
      </c>
      <c r="X78" s="1065">
        <f t="shared" si="83"/>
        <v>8.099747403934126</v>
      </c>
      <c r="Y78" s="1066">
        <f t="shared" si="84"/>
        <v>8.099747403934126</v>
      </c>
      <c r="Z78" s="1077">
        <f t="shared" si="85"/>
        <v>62.457142857142856</v>
      </c>
      <c r="AA78" s="1078" t="e">
        <f>P78/12/B78</f>
        <v>#DIV/0!</v>
      </c>
      <c r="AB78" s="3289"/>
      <c r="AC78" s="3289"/>
      <c r="AD78" s="3289"/>
      <c r="AE78" s="3289"/>
      <c r="AF78" s="1079"/>
      <c r="AG78" s="1080"/>
      <c r="AI78"/>
      <c r="AJ78"/>
      <c r="AK78"/>
      <c r="AL78"/>
      <c r="AM78"/>
    </row>
    <row r="79" spans="1:39" ht="15.95" customHeight="1" thickBot="1">
      <c r="A79" s="1081"/>
      <c r="B79" s="779"/>
      <c r="C79" s="1082">
        <f>SF.LLS-C78</f>
        <v>0</v>
      </c>
      <c r="D79" s="1083"/>
      <c r="E79" s="1084"/>
      <c r="F79" s="1083"/>
      <c r="G79" s="1085"/>
      <c r="H79" s="1084" t="s">
        <v>571</v>
      </c>
      <c r="I79" s="1084">
        <f>(F78*SF.LLS*12)</f>
        <v>212472.57390000002</v>
      </c>
      <c r="J79" s="2222"/>
      <c r="K79" s="1086"/>
      <c r="L79" s="1086"/>
      <c r="M79" s="1086"/>
      <c r="N79" s="1087"/>
      <c r="O79" s="1087"/>
      <c r="P79" s="1087"/>
      <c r="Q79" s="1084"/>
      <c r="R79" s="1083"/>
      <c r="S79" s="1084" t="s">
        <v>571</v>
      </c>
      <c r="T79" s="1084" t="e">
        <f>I78/$F$67*$R$67</f>
        <v>#DIV/0!</v>
      </c>
      <c r="U79" s="1088"/>
      <c r="V79" s="1084"/>
      <c r="W79" s="1083"/>
      <c r="X79" s="1084" t="s">
        <v>571</v>
      </c>
      <c r="Y79" s="1084" t="e">
        <f>N78</f>
        <v>#DIV/0!</v>
      </c>
      <c r="Z79" s="1089"/>
      <c r="AA79" s="1088"/>
      <c r="AB79" s="1088"/>
      <c r="AC79" s="1088"/>
      <c r="AD79" s="1088"/>
      <c r="AE79" s="1088"/>
      <c r="AF79" s="1088"/>
      <c r="AG79" s="1090"/>
      <c r="AI79"/>
      <c r="AJ79"/>
      <c r="AK79"/>
      <c r="AL79"/>
      <c r="AM79"/>
    </row>
    <row r="80" spans="1:39" ht="15.95" customHeight="1">
      <c r="A80" s="1091" t="s">
        <v>3</v>
      </c>
      <c r="B80" s="989"/>
      <c r="C80" s="1092"/>
      <c r="D80" s="1093"/>
      <c r="E80" s="1094"/>
      <c r="F80" s="1022">
        <f>0.8*D44</f>
        <v>5.5760000000000005</v>
      </c>
      <c r="G80" s="1023"/>
      <c r="H80" s="1024"/>
      <c r="I80" s="1025"/>
      <c r="J80" s="2223"/>
      <c r="K80" s="1095"/>
      <c r="L80" s="1096"/>
      <c r="M80" s="1096"/>
      <c r="N80" s="1028"/>
      <c r="O80" s="1029"/>
      <c r="P80" s="1030"/>
      <c r="Q80" s="1097"/>
      <c r="R80" s="1022">
        <f>R70*0.8</f>
        <v>5.5760000000000005</v>
      </c>
      <c r="S80" s="1023"/>
      <c r="T80" s="1098"/>
      <c r="U80"/>
      <c r="V80" s="1099"/>
      <c r="W80" s="1034"/>
      <c r="X80" s="1023"/>
      <c r="Y80" s="683"/>
      <c r="Z80" s="1100">
        <v>1</v>
      </c>
      <c r="AA80" s="1101"/>
      <c r="AB80" s="3290"/>
      <c r="AC80" s="3290"/>
      <c r="AD80" s="3290"/>
      <c r="AE80" s="3290"/>
      <c r="AF80" s="1037"/>
      <c r="AG80" s="1038"/>
      <c r="AI80"/>
      <c r="AJ80"/>
      <c r="AK80"/>
      <c r="AL80"/>
      <c r="AM80"/>
    </row>
    <row r="81" spans="1:39" ht="15.95" customHeight="1" outlineLevel="1">
      <c r="A81" s="975" t="str">
        <f>$A18</f>
        <v>T I Bis a</v>
      </c>
      <c r="B81" s="1039">
        <f>$V18</f>
        <v>4</v>
      </c>
      <c r="C81" s="1102">
        <f>$AC18</f>
        <v>120</v>
      </c>
      <c r="D81" s="1103">
        <f>0.685*(31*B81+C81)/C81</f>
        <v>1.3928333333333334</v>
      </c>
      <c r="E81" s="1042">
        <f t="shared" ref="E81:E88" si="112">LMDomTS*D81*M81</f>
        <v>232.99316000000002</v>
      </c>
      <c r="F81" s="1043">
        <f t="shared" ref="F81:F88" si="113">LMDomTS*D81</f>
        <v>7.7664386666666676</v>
      </c>
      <c r="G81" s="1044">
        <f>$E81/L81</f>
        <v>7.7664386666666676</v>
      </c>
      <c r="H81" s="1045">
        <f>$E81/K81</f>
        <v>7.7664386666666676</v>
      </c>
      <c r="I81" s="1046">
        <f>E81*B81*12</f>
        <v>11183.671680000001</v>
      </c>
      <c r="J81" s="1157"/>
      <c r="K81" s="1104">
        <f>$J18</f>
        <v>30</v>
      </c>
      <c r="L81" s="1105">
        <f>$R18</f>
        <v>30</v>
      </c>
      <c r="M81" s="1105">
        <f>$U18</f>
        <v>30</v>
      </c>
      <c r="N81" s="1049">
        <f>V81*B81*12</f>
        <v>11183.671680000001</v>
      </c>
      <c r="O81" s="1050">
        <f>Z81*B81*12</f>
        <v>1440</v>
      </c>
      <c r="P81" s="1051">
        <f>N81+O81</f>
        <v>12623.671680000001</v>
      </c>
      <c r="Q81" s="1052">
        <f>E81/$F$67*$R$67</f>
        <v>232.99316000000002</v>
      </c>
      <c r="R81" s="1043">
        <f>$Q81/M81</f>
        <v>7.7664386666666676</v>
      </c>
      <c r="S81" s="1106">
        <f>$Q81/L81</f>
        <v>7.7664386666666676</v>
      </c>
      <c r="T81" s="1107">
        <f>$Q81/K81</f>
        <v>7.7664386666666676</v>
      </c>
      <c r="U81"/>
      <c r="V81" s="1054">
        <f>Q81</f>
        <v>232.99316000000002</v>
      </c>
      <c r="W81" s="1043">
        <f>$Q81/M81</f>
        <v>7.7664386666666676</v>
      </c>
      <c r="X81" s="1043">
        <f>$Q81/L81</f>
        <v>7.7664386666666676</v>
      </c>
      <c r="Y81" s="1053">
        <f>$Q81/K81</f>
        <v>7.7664386666666676</v>
      </c>
      <c r="Z81" s="1055">
        <f t="shared" ref="Z81:Z88" si="114">$Z$80*L81</f>
        <v>30</v>
      </c>
      <c r="AA81" s="1056">
        <f>V81+Z81</f>
        <v>262.99315999999999</v>
      </c>
      <c r="AB81" s="3288"/>
      <c r="AC81" s="3288"/>
      <c r="AD81" s="3288"/>
      <c r="AE81" s="3288"/>
      <c r="AF81" s="1057"/>
      <c r="AG81" s="1058"/>
      <c r="AI81"/>
      <c r="AJ81"/>
      <c r="AK81"/>
      <c r="AL81"/>
      <c r="AM81"/>
    </row>
    <row r="82" spans="1:39" ht="15.95" customHeight="1" outlineLevel="1">
      <c r="A82" s="975" t="str">
        <f t="shared" ref="A82:A87" si="115">$A19</f>
        <v>T I Bis a + V</v>
      </c>
      <c r="B82" s="1039">
        <f t="shared" ref="B82:B87" si="116">$V19</f>
        <v>7</v>
      </c>
      <c r="C82" s="1102">
        <f t="shared" ref="C82:C87" si="117">$AC19</f>
        <v>322</v>
      </c>
      <c r="D82" s="1103">
        <f t="shared" ref="D82:D87" si="118">0.685*(31*B82+C82)/C82</f>
        <v>1.1466304347826088</v>
      </c>
      <c r="E82" s="1042">
        <f t="shared" ref="E82:E87" si="119">LMDomTS*D82*M82</f>
        <v>294.10612000000009</v>
      </c>
      <c r="F82" s="1043">
        <f t="shared" ref="F82:F87" si="120">LMDomTS*D82</f>
        <v>6.3936113043478278</v>
      </c>
      <c r="G82" s="1044">
        <f t="shared" ref="G82:G87" si="121">$E82/L82</f>
        <v>6.3936113043478278</v>
      </c>
      <c r="H82" s="1045">
        <f t="shared" ref="H82:H87" si="122">$E82/K82</f>
        <v>6.3936113043478278</v>
      </c>
      <c r="I82" s="1046">
        <f t="shared" ref="I82:I87" si="123">E82*B82*12</f>
        <v>24704.91408000001</v>
      </c>
      <c r="J82" s="1157"/>
      <c r="K82" s="1104">
        <f t="shared" ref="K82:K87" si="124">$J19</f>
        <v>46</v>
      </c>
      <c r="L82" s="1105">
        <f t="shared" ref="L82:L87" si="125">$R19</f>
        <v>46</v>
      </c>
      <c r="M82" s="1105">
        <f t="shared" ref="M82:M87" si="126">$U19</f>
        <v>46</v>
      </c>
      <c r="N82" s="1049">
        <f t="shared" ref="N82:N87" si="127">V82*B82*12</f>
        <v>24704.91408000001</v>
      </c>
      <c r="O82" s="1050">
        <f t="shared" ref="O82:O87" si="128">Z82*B82*12</f>
        <v>3864</v>
      </c>
      <c r="P82" s="1051">
        <f t="shared" ref="P82:P87" si="129">N82+O82</f>
        <v>28568.91408000001</v>
      </c>
      <c r="Q82" s="1052">
        <f t="shared" ref="Q82:Q87" si="130">E82/$F$67*$R$67</f>
        <v>294.10612000000009</v>
      </c>
      <c r="R82" s="1043">
        <f t="shared" ref="R82:R87" si="131">$Q82/M82</f>
        <v>6.3936113043478278</v>
      </c>
      <c r="S82" s="1106">
        <f t="shared" ref="S82:S87" si="132">$Q82/L82</f>
        <v>6.3936113043478278</v>
      </c>
      <c r="T82" s="1107">
        <f t="shared" ref="T82:T87" si="133">$Q82/K82</f>
        <v>6.3936113043478278</v>
      </c>
      <c r="U82" s="3248"/>
      <c r="V82" s="1054">
        <f t="shared" ref="V82:V87" si="134">Q82</f>
        <v>294.10612000000009</v>
      </c>
      <c r="W82" s="1043">
        <f t="shared" ref="W82:W87" si="135">$Q82/M82</f>
        <v>6.3936113043478278</v>
      </c>
      <c r="X82" s="1043">
        <f t="shared" ref="X82:X87" si="136">$Q82/L82</f>
        <v>6.3936113043478278</v>
      </c>
      <c r="Y82" s="1053">
        <f t="shared" ref="Y82:Y87" si="137">$Q82/K82</f>
        <v>6.3936113043478278</v>
      </c>
      <c r="Z82" s="1055">
        <f t="shared" ref="Z82:Z87" si="138">$Z$80*L82</f>
        <v>46</v>
      </c>
      <c r="AA82" s="1056">
        <f t="shared" ref="AA82:AA87" si="139">V82+Z82</f>
        <v>340.10612000000009</v>
      </c>
      <c r="AB82" s="3288"/>
      <c r="AC82" s="3288"/>
      <c r="AD82" s="3288"/>
      <c r="AE82" s="3288"/>
      <c r="AF82" s="1057"/>
      <c r="AG82" s="1058"/>
      <c r="AI82"/>
      <c r="AJ82"/>
      <c r="AK82"/>
      <c r="AL82"/>
      <c r="AM82"/>
    </row>
    <row r="83" spans="1:39" ht="15.95" customHeight="1" outlineLevel="1">
      <c r="A83" s="975" t="str">
        <f t="shared" si="115"/>
        <v>T II +V a</v>
      </c>
      <c r="B83" s="1039">
        <f t="shared" si="116"/>
        <v>11</v>
      </c>
      <c r="C83" s="1102">
        <f t="shared" si="117"/>
        <v>726</v>
      </c>
      <c r="D83" s="1103">
        <f t="shared" si="118"/>
        <v>1.0067424242424243</v>
      </c>
      <c r="E83" s="1042">
        <f t="shared" si="119"/>
        <v>370.49732000000006</v>
      </c>
      <c r="F83" s="1043">
        <f t="shared" si="120"/>
        <v>5.6135957575757587</v>
      </c>
      <c r="G83" s="1044">
        <f t="shared" si="121"/>
        <v>5.6135957575757587</v>
      </c>
      <c r="H83" s="1045">
        <f t="shared" si="122"/>
        <v>5.6135957575757587</v>
      </c>
      <c r="I83" s="1046">
        <f t="shared" si="123"/>
        <v>48905.646240000009</v>
      </c>
      <c r="J83" s="1157"/>
      <c r="K83" s="1104">
        <f t="shared" si="124"/>
        <v>66</v>
      </c>
      <c r="L83" s="1105">
        <f t="shared" si="125"/>
        <v>66</v>
      </c>
      <c r="M83" s="1105">
        <f t="shared" si="126"/>
        <v>66</v>
      </c>
      <c r="N83" s="1049">
        <f t="shared" si="127"/>
        <v>48905.646240000009</v>
      </c>
      <c r="O83" s="1050">
        <f t="shared" si="128"/>
        <v>8712</v>
      </c>
      <c r="P83" s="1051">
        <f t="shared" si="129"/>
        <v>57617.646240000009</v>
      </c>
      <c r="Q83" s="1052">
        <f t="shared" si="130"/>
        <v>370.49732000000006</v>
      </c>
      <c r="R83" s="1043">
        <f t="shared" si="131"/>
        <v>5.6135957575757587</v>
      </c>
      <c r="S83" s="1106">
        <f t="shared" si="132"/>
        <v>5.6135957575757587</v>
      </c>
      <c r="T83" s="1107">
        <f t="shared" si="133"/>
        <v>5.6135957575757587</v>
      </c>
      <c r="U83" s="3248"/>
      <c r="V83" s="1054">
        <f t="shared" si="134"/>
        <v>370.49732000000006</v>
      </c>
      <c r="W83" s="1043">
        <f t="shared" si="135"/>
        <v>5.6135957575757587</v>
      </c>
      <c r="X83" s="1043">
        <f t="shared" si="136"/>
        <v>5.6135957575757587</v>
      </c>
      <c r="Y83" s="1053">
        <f t="shared" si="137"/>
        <v>5.6135957575757587</v>
      </c>
      <c r="Z83" s="1055">
        <f t="shared" si="138"/>
        <v>66</v>
      </c>
      <c r="AA83" s="1056">
        <f t="shared" si="139"/>
        <v>436.49732000000006</v>
      </c>
      <c r="AB83" s="3288"/>
      <c r="AC83" s="3288"/>
      <c r="AD83" s="3288"/>
      <c r="AE83" s="3288"/>
      <c r="AF83" s="1057"/>
      <c r="AG83" s="1058"/>
      <c r="AI83"/>
      <c r="AJ83"/>
      <c r="AK83"/>
      <c r="AL83"/>
      <c r="AM83"/>
    </row>
    <row r="84" spans="1:39" ht="15.95" customHeight="1" outlineLevel="1">
      <c r="A84" s="975" t="str">
        <f t="shared" si="115"/>
        <v>T III +V a</v>
      </c>
      <c r="B84" s="1039">
        <f t="shared" si="116"/>
        <v>10</v>
      </c>
      <c r="C84" s="1102">
        <f t="shared" si="117"/>
        <v>760</v>
      </c>
      <c r="D84" s="1103">
        <f t="shared" si="118"/>
        <v>0.96440789473684219</v>
      </c>
      <c r="E84" s="1042">
        <f t="shared" si="119"/>
        <v>408.69292000000007</v>
      </c>
      <c r="F84" s="1043">
        <f t="shared" si="120"/>
        <v>5.3775384210526322</v>
      </c>
      <c r="G84" s="1044">
        <f t="shared" si="121"/>
        <v>5.3775384210526322</v>
      </c>
      <c r="H84" s="1045">
        <f t="shared" si="122"/>
        <v>5.3775384210526322</v>
      </c>
      <c r="I84" s="1046">
        <f t="shared" si="123"/>
        <v>49043.150400000006</v>
      </c>
      <c r="J84" s="1157"/>
      <c r="K84" s="1104">
        <f t="shared" si="124"/>
        <v>76</v>
      </c>
      <c r="L84" s="1105">
        <f t="shared" si="125"/>
        <v>76</v>
      </c>
      <c r="M84" s="1105">
        <f t="shared" si="126"/>
        <v>76</v>
      </c>
      <c r="N84" s="1049">
        <f t="shared" si="127"/>
        <v>49043.150400000006</v>
      </c>
      <c r="O84" s="1050">
        <f t="shared" si="128"/>
        <v>9120</v>
      </c>
      <c r="P84" s="1051">
        <f t="shared" si="129"/>
        <v>58163.150400000006</v>
      </c>
      <c r="Q84" s="1052">
        <f t="shared" si="130"/>
        <v>408.69292000000007</v>
      </c>
      <c r="R84" s="1043">
        <f t="shared" si="131"/>
        <v>5.3775384210526322</v>
      </c>
      <c r="S84" s="1106">
        <f t="shared" si="132"/>
        <v>5.3775384210526322</v>
      </c>
      <c r="T84" s="1107">
        <f t="shared" si="133"/>
        <v>5.3775384210526322</v>
      </c>
      <c r="U84" s="3248"/>
      <c r="V84" s="1054">
        <f t="shared" si="134"/>
        <v>408.69292000000007</v>
      </c>
      <c r="W84" s="1043">
        <f t="shared" si="135"/>
        <v>5.3775384210526322</v>
      </c>
      <c r="X84" s="1043">
        <f t="shared" si="136"/>
        <v>5.3775384210526322</v>
      </c>
      <c r="Y84" s="1053">
        <f t="shared" si="137"/>
        <v>5.3775384210526322</v>
      </c>
      <c r="Z84" s="1055">
        <f t="shared" si="138"/>
        <v>76</v>
      </c>
      <c r="AA84" s="1056">
        <f t="shared" si="139"/>
        <v>484.69292000000007</v>
      </c>
      <c r="AB84" s="3288"/>
      <c r="AC84" s="3288"/>
      <c r="AD84" s="3288"/>
      <c r="AE84" s="3288"/>
      <c r="AF84" s="1057"/>
      <c r="AG84" s="1058"/>
      <c r="AI84"/>
      <c r="AJ84"/>
      <c r="AK84"/>
      <c r="AL84"/>
      <c r="AM84"/>
    </row>
    <row r="85" spans="1:39" ht="15.95" customHeight="1" outlineLevel="1">
      <c r="A85" s="975" t="str">
        <f t="shared" si="115"/>
        <v>T IV + V a</v>
      </c>
      <c r="B85" s="1039">
        <f t="shared" si="116"/>
        <v>3</v>
      </c>
      <c r="C85" s="1102">
        <f t="shared" si="117"/>
        <v>258</v>
      </c>
      <c r="D85" s="1103">
        <f t="shared" si="118"/>
        <v>0.93191860465116294</v>
      </c>
      <c r="E85" s="1042">
        <f t="shared" si="119"/>
        <v>446.88852000000014</v>
      </c>
      <c r="F85" s="1043">
        <f t="shared" si="120"/>
        <v>5.1963781395348851</v>
      </c>
      <c r="G85" s="1044">
        <f t="shared" si="121"/>
        <v>5.1963781395348851</v>
      </c>
      <c r="H85" s="1045">
        <f t="shared" si="122"/>
        <v>5.1963781395348851</v>
      </c>
      <c r="I85" s="1046">
        <f t="shared" si="123"/>
        <v>16087.986720000004</v>
      </c>
      <c r="J85" s="1157"/>
      <c r="K85" s="1104">
        <f t="shared" si="124"/>
        <v>86</v>
      </c>
      <c r="L85" s="1105">
        <f t="shared" si="125"/>
        <v>86</v>
      </c>
      <c r="M85" s="1105">
        <f t="shared" si="126"/>
        <v>86</v>
      </c>
      <c r="N85" s="1049">
        <f t="shared" si="127"/>
        <v>16087.986720000004</v>
      </c>
      <c r="O85" s="1050">
        <f t="shared" si="128"/>
        <v>3096</v>
      </c>
      <c r="P85" s="1051">
        <f t="shared" si="129"/>
        <v>19183.986720000004</v>
      </c>
      <c r="Q85" s="1052">
        <f t="shared" si="130"/>
        <v>446.88852000000014</v>
      </c>
      <c r="R85" s="1043">
        <f t="shared" si="131"/>
        <v>5.1963781395348851</v>
      </c>
      <c r="S85" s="1106">
        <f t="shared" si="132"/>
        <v>5.1963781395348851</v>
      </c>
      <c r="T85" s="1107">
        <f t="shared" si="133"/>
        <v>5.1963781395348851</v>
      </c>
      <c r="U85" s="3248"/>
      <c r="V85" s="1054">
        <f t="shared" si="134"/>
        <v>446.88852000000014</v>
      </c>
      <c r="W85" s="1043">
        <f t="shared" si="135"/>
        <v>5.1963781395348851</v>
      </c>
      <c r="X85" s="1043">
        <f t="shared" si="136"/>
        <v>5.1963781395348851</v>
      </c>
      <c r="Y85" s="1053">
        <f t="shared" si="137"/>
        <v>5.1963781395348851</v>
      </c>
      <c r="Z85" s="1055">
        <f t="shared" si="138"/>
        <v>86</v>
      </c>
      <c r="AA85" s="1056">
        <f t="shared" si="139"/>
        <v>532.8885200000002</v>
      </c>
      <c r="AB85" s="3288"/>
      <c r="AC85" s="3288"/>
      <c r="AD85" s="3288"/>
      <c r="AE85" s="3288"/>
      <c r="AF85" s="1057"/>
      <c r="AG85" s="1058"/>
      <c r="AI85"/>
      <c r="AJ85"/>
      <c r="AK85"/>
      <c r="AL85"/>
      <c r="AM85"/>
    </row>
    <row r="86" spans="1:39" ht="15.95" customHeight="1" outlineLevel="1">
      <c r="A86" s="975" t="str">
        <f t="shared" si="115"/>
        <v>T V +V a</v>
      </c>
      <c r="B86" s="1039">
        <f t="shared" si="116"/>
        <v>0</v>
      </c>
      <c r="C86" s="1102">
        <f t="shared" si="117"/>
        <v>0</v>
      </c>
      <c r="D86" s="1103" t="e">
        <f t="shared" si="118"/>
        <v>#DIV/0!</v>
      </c>
      <c r="E86" s="1042" t="e">
        <f t="shared" si="119"/>
        <v>#DIV/0!</v>
      </c>
      <c r="F86" s="1043" t="e">
        <f t="shared" si="120"/>
        <v>#DIV/0!</v>
      </c>
      <c r="G86" s="1044" t="e">
        <f t="shared" si="121"/>
        <v>#DIV/0!</v>
      </c>
      <c r="H86" s="1045" t="e">
        <f t="shared" si="122"/>
        <v>#DIV/0!</v>
      </c>
      <c r="I86" s="1046" t="e">
        <f t="shared" si="123"/>
        <v>#DIV/0!</v>
      </c>
      <c r="J86" s="1157"/>
      <c r="K86" s="1104">
        <f t="shared" si="124"/>
        <v>0</v>
      </c>
      <c r="L86" s="1105">
        <f t="shared" si="125"/>
        <v>0</v>
      </c>
      <c r="M86" s="1105">
        <f t="shared" si="126"/>
        <v>0</v>
      </c>
      <c r="N86" s="1049" t="e">
        <f t="shared" si="127"/>
        <v>#DIV/0!</v>
      </c>
      <c r="O86" s="1050">
        <f t="shared" si="128"/>
        <v>0</v>
      </c>
      <c r="P86" s="1051" t="e">
        <f t="shared" si="129"/>
        <v>#DIV/0!</v>
      </c>
      <c r="Q86" s="1052" t="e">
        <f t="shared" si="130"/>
        <v>#DIV/0!</v>
      </c>
      <c r="R86" s="1043" t="e">
        <f t="shared" si="131"/>
        <v>#DIV/0!</v>
      </c>
      <c r="S86" s="1106" t="e">
        <f t="shared" si="132"/>
        <v>#DIV/0!</v>
      </c>
      <c r="T86" s="1107" t="e">
        <f t="shared" si="133"/>
        <v>#DIV/0!</v>
      </c>
      <c r="U86" s="3248"/>
      <c r="V86" s="1054" t="e">
        <f t="shared" si="134"/>
        <v>#DIV/0!</v>
      </c>
      <c r="W86" s="1043" t="e">
        <f t="shared" si="135"/>
        <v>#DIV/0!</v>
      </c>
      <c r="X86" s="1043" t="e">
        <f t="shared" si="136"/>
        <v>#DIV/0!</v>
      </c>
      <c r="Y86" s="1053" t="e">
        <f t="shared" si="137"/>
        <v>#DIV/0!</v>
      </c>
      <c r="Z86" s="1055">
        <f t="shared" si="138"/>
        <v>0</v>
      </c>
      <c r="AA86" s="1056" t="e">
        <f t="shared" si="139"/>
        <v>#DIV/0!</v>
      </c>
      <c r="AB86" s="3288"/>
      <c r="AC86" s="3288"/>
      <c r="AD86" s="3288"/>
      <c r="AE86" s="3288"/>
      <c r="AF86" s="1057"/>
      <c r="AG86" s="1058"/>
      <c r="AH86" s="3248"/>
      <c r="AI86" s="3248"/>
      <c r="AJ86" s="3248"/>
      <c r="AK86" s="3248"/>
      <c r="AL86" s="3248"/>
      <c r="AM86" s="3248"/>
    </row>
    <row r="87" spans="1:39" ht="15.95" customHeight="1" outlineLevel="1">
      <c r="A87" s="975" t="str">
        <f t="shared" si="115"/>
        <v>PARKINGS</v>
      </c>
      <c r="B87" s="1039">
        <f t="shared" si="116"/>
        <v>35</v>
      </c>
      <c r="C87" s="1102">
        <f t="shared" si="117"/>
        <v>437.5</v>
      </c>
      <c r="D87" s="1103">
        <f t="shared" si="118"/>
        <v>2.3838000000000004</v>
      </c>
      <c r="E87" s="1042">
        <f t="shared" si="119"/>
        <v>166.15086000000002</v>
      </c>
      <c r="F87" s="1043">
        <f t="shared" si="120"/>
        <v>13.292068800000003</v>
      </c>
      <c r="G87" s="1044" t="e">
        <f t="shared" si="121"/>
        <v>#DIV/0!</v>
      </c>
      <c r="H87" s="1045" t="e">
        <f t="shared" si="122"/>
        <v>#DIV/0!</v>
      </c>
      <c r="I87" s="1046">
        <f t="shared" si="123"/>
        <v>69783.361200000014</v>
      </c>
      <c r="J87" s="1157"/>
      <c r="K87" s="1104">
        <f t="shared" si="124"/>
        <v>0</v>
      </c>
      <c r="L87" s="1105">
        <f t="shared" si="125"/>
        <v>0</v>
      </c>
      <c r="M87" s="1105">
        <f t="shared" si="126"/>
        <v>12.5</v>
      </c>
      <c r="N87" s="1049">
        <f t="shared" si="127"/>
        <v>69783.361200000014</v>
      </c>
      <c r="O87" s="1050">
        <f t="shared" si="128"/>
        <v>0</v>
      </c>
      <c r="P87" s="1051">
        <f t="shared" si="129"/>
        <v>69783.361200000014</v>
      </c>
      <c r="Q87" s="1052">
        <f t="shared" si="130"/>
        <v>166.15086000000002</v>
      </c>
      <c r="R87" s="1043">
        <f t="shared" si="131"/>
        <v>13.292068800000003</v>
      </c>
      <c r="S87" s="1106" t="e">
        <f t="shared" si="132"/>
        <v>#DIV/0!</v>
      </c>
      <c r="T87" s="1107" t="e">
        <f t="shared" si="133"/>
        <v>#DIV/0!</v>
      </c>
      <c r="U87" s="3248"/>
      <c r="V87" s="1054">
        <f t="shared" si="134"/>
        <v>166.15086000000002</v>
      </c>
      <c r="W87" s="1043">
        <f t="shared" si="135"/>
        <v>13.292068800000003</v>
      </c>
      <c r="X87" s="1043" t="e">
        <f t="shared" si="136"/>
        <v>#DIV/0!</v>
      </c>
      <c r="Y87" s="1053" t="e">
        <f t="shared" si="137"/>
        <v>#DIV/0!</v>
      </c>
      <c r="Z87" s="1055">
        <f t="shared" si="138"/>
        <v>0</v>
      </c>
      <c r="AA87" s="1056">
        <f t="shared" si="139"/>
        <v>166.15086000000002</v>
      </c>
      <c r="AB87" s="3288"/>
      <c r="AC87" s="3288"/>
      <c r="AD87" s="3288"/>
      <c r="AE87" s="3288"/>
      <c r="AF87" s="1057"/>
      <c r="AG87" s="1058"/>
      <c r="AI87"/>
      <c r="AJ87"/>
      <c r="AK87"/>
      <c r="AL87"/>
      <c r="AM87"/>
    </row>
    <row r="88" spans="1:39" ht="15.95" customHeight="1">
      <c r="A88" s="1059" t="s">
        <v>578</v>
      </c>
      <c r="B88" s="1060">
        <f>SUM(B81:B85)</f>
        <v>35</v>
      </c>
      <c r="C88" s="1109">
        <f>SUM(C81:C87)</f>
        <v>2623.5</v>
      </c>
      <c r="D88" s="1062">
        <f>0.685*(31*B88+C88)/C88</f>
        <v>0.96829521631408433</v>
      </c>
      <c r="E88" s="1063">
        <f t="shared" si="112"/>
        <v>404.70966457142868</v>
      </c>
      <c r="F88" s="3224">
        <f t="shared" si="113"/>
        <v>5.399214126167335</v>
      </c>
      <c r="G88" s="1065">
        <f>$E88/L88</f>
        <v>6.4797979231473031</v>
      </c>
      <c r="H88" s="1066">
        <f>$E88/K88</f>
        <v>6.4797979231473031</v>
      </c>
      <c r="I88" s="1067" t="e">
        <f>SUM(I81:I87)</f>
        <v>#DIV/0!</v>
      </c>
      <c r="J88" s="2221"/>
      <c r="K88" s="1110">
        <f>SH.LLTS/B88</f>
        <v>62.457142857142856</v>
      </c>
      <c r="L88" s="1111">
        <f>SU.LLTS/B88</f>
        <v>62.457142857142856</v>
      </c>
      <c r="M88" s="1112">
        <f>SF.LLTS/B88</f>
        <v>74.957142857142856</v>
      </c>
      <c r="N88" s="1071" t="e">
        <f>SUM(N81:N87)</f>
        <v>#DIV/0!</v>
      </c>
      <c r="O88" s="1072">
        <f>SUM(O81:O87)</f>
        <v>26232</v>
      </c>
      <c r="P88" s="1073" t="e">
        <f>SUM(P81:P87)</f>
        <v>#DIV/0!</v>
      </c>
      <c r="Q88" s="1074">
        <f>E88/$F$67*$R$67</f>
        <v>404.70966457142868</v>
      </c>
      <c r="R88" s="1064">
        <f>$Q88/M88</f>
        <v>5.399214126167335</v>
      </c>
      <c r="S88" s="1065">
        <f>$Q88/L88</f>
        <v>6.4797979231473031</v>
      </c>
      <c r="T88" s="1075">
        <f>$Q88/K88</f>
        <v>6.4797979231473031</v>
      </c>
      <c r="U88" s="1113"/>
      <c r="V88" s="1076" t="e">
        <f>Y89/12/B88</f>
        <v>#DIV/0!</v>
      </c>
      <c r="W88" s="1064">
        <f>$Q88/M88</f>
        <v>5.399214126167335</v>
      </c>
      <c r="X88" s="1065">
        <f>$Q88/L88</f>
        <v>6.4797979231473031</v>
      </c>
      <c r="Y88" s="1066">
        <f>$Q88/K88</f>
        <v>6.4797979231473031</v>
      </c>
      <c r="Z88" s="1077">
        <f t="shared" si="114"/>
        <v>62.457142857142856</v>
      </c>
      <c r="AA88" s="1078" t="e">
        <f>V88+Z88</f>
        <v>#DIV/0!</v>
      </c>
      <c r="AB88" s="3289"/>
      <c r="AC88" s="3289"/>
      <c r="AD88" s="3289"/>
      <c r="AE88" s="3289"/>
      <c r="AF88" s="1079"/>
      <c r="AG88" s="1080"/>
      <c r="AI88"/>
      <c r="AJ88"/>
      <c r="AK88"/>
      <c r="AL88"/>
      <c r="AM88"/>
    </row>
    <row r="89" spans="1:39" ht="15.95" customHeight="1" thickBot="1">
      <c r="A89" s="1081"/>
      <c r="B89" s="779"/>
      <c r="C89" s="1082">
        <f>SF.LLTS-C88</f>
        <v>0</v>
      </c>
      <c r="D89" s="779"/>
      <c r="E89" s="1114"/>
      <c r="F89" s="779"/>
      <c r="G89" s="779"/>
      <c r="H89" s="1084" t="s">
        <v>571</v>
      </c>
      <c r="I89" s="1114">
        <f>(F88*SF.LLTS*12)</f>
        <v>169978.05912000005</v>
      </c>
      <c r="J89" s="1114"/>
      <c r="K89" s="1115"/>
      <c r="L89" s="1115"/>
      <c r="M89" s="1086"/>
      <c r="N89" s="1087"/>
      <c r="O89" s="1087"/>
      <c r="P89" s="1087"/>
      <c r="Q89" s="1114"/>
      <c r="R89" s="779"/>
      <c r="S89" s="1084" t="s">
        <v>571</v>
      </c>
      <c r="T89" s="1114" t="e">
        <f>I88/$F$67*$R$67</f>
        <v>#DIV/0!</v>
      </c>
      <c r="U89" s="1088"/>
      <c r="V89" s="1114"/>
      <c r="W89" s="779"/>
      <c r="X89" s="1084" t="s">
        <v>571</v>
      </c>
      <c r="Y89" s="1114" t="e">
        <f>N88</f>
        <v>#DIV/0!</v>
      </c>
      <c r="Z89" s="1114"/>
      <c r="AA89" s="1114"/>
      <c r="AB89" s="1114"/>
      <c r="AC89" s="1114"/>
      <c r="AD89" s="1114"/>
      <c r="AE89" s="1114"/>
      <c r="AF89" s="1114"/>
      <c r="AG89" s="1116"/>
      <c r="AI89"/>
      <c r="AJ89"/>
      <c r="AK89"/>
      <c r="AL89"/>
      <c r="AM89"/>
    </row>
    <row r="90" spans="1:39" ht="15.95" customHeight="1">
      <c r="A90" s="1091" t="s">
        <v>475</v>
      </c>
      <c r="B90" s="989"/>
      <c r="C90" s="1092"/>
      <c r="D90" s="1093"/>
      <c r="E90" s="1094"/>
      <c r="F90" s="1022"/>
      <c r="G90" s="1023"/>
      <c r="H90" s="1024"/>
      <c r="I90" s="1025"/>
      <c r="J90" s="2223"/>
      <c r="K90" s="1095"/>
      <c r="L90" s="1096"/>
      <c r="M90" s="1096"/>
      <c r="N90" s="1028"/>
      <c r="O90" s="1029"/>
      <c r="P90" s="1030"/>
      <c r="Q90" s="1097"/>
      <c r="R90" s="1022"/>
      <c r="S90" s="1023"/>
      <c r="T90" s="1098"/>
      <c r="U90"/>
      <c r="V90" s="1099"/>
      <c r="W90" s="1034"/>
      <c r="X90" s="1023"/>
      <c r="Y90" s="683"/>
      <c r="Z90" s="1100"/>
      <c r="AA90" s="1101"/>
      <c r="AB90" s="3290"/>
      <c r="AC90" s="3290"/>
      <c r="AD90" s="3290"/>
      <c r="AE90" s="3290"/>
      <c r="AF90" s="1037"/>
      <c r="AG90" s="1038"/>
      <c r="AI90"/>
      <c r="AJ90"/>
      <c r="AK90"/>
      <c r="AL90"/>
      <c r="AM90"/>
    </row>
    <row r="91" spans="1:39" ht="15.95" customHeight="1" outlineLevel="1">
      <c r="A91" s="975" t="str">
        <f>+A28</f>
        <v>COMMERCE 1</v>
      </c>
      <c r="B91" s="1039">
        <f>+V28</f>
        <v>0</v>
      </c>
      <c r="C91" s="1102">
        <f>+AC28</f>
        <v>0</v>
      </c>
      <c r="D91" s="1041"/>
      <c r="E91" s="1042"/>
      <c r="F91" s="1043"/>
      <c r="G91" s="1044"/>
      <c r="H91" s="1045"/>
      <c r="I91" s="1046"/>
      <c r="J91" s="1157"/>
      <c r="K91" s="1047"/>
      <c r="L91" s="1048"/>
      <c r="M91" s="1048"/>
      <c r="N91" s="1049"/>
      <c r="O91" s="1050"/>
      <c r="P91" s="1051"/>
      <c r="Q91" s="1052"/>
      <c r="R91" s="1043"/>
      <c r="S91" s="1043"/>
      <c r="T91" s="1107"/>
      <c r="U91"/>
      <c r="V91" s="1054"/>
      <c r="W91" s="1043"/>
      <c r="X91" s="1043"/>
      <c r="Y91" s="1053"/>
      <c r="Z91" s="1055"/>
      <c r="AA91" s="1056"/>
      <c r="AB91" s="3288"/>
      <c r="AC91" s="3288"/>
      <c r="AD91" s="3288"/>
      <c r="AE91" s="3288"/>
      <c r="AF91" s="1057"/>
      <c r="AG91" s="1058"/>
      <c r="AI91"/>
      <c r="AJ91"/>
      <c r="AK91"/>
      <c r="AL91"/>
      <c r="AM91"/>
    </row>
    <row r="92" spans="1:39" ht="15.95" customHeight="1" outlineLevel="1">
      <c r="A92" s="975" t="str">
        <f>+A29</f>
        <v>COMMERCE 2</v>
      </c>
      <c r="B92" s="1039">
        <f>+V29</f>
        <v>0</v>
      </c>
      <c r="C92" s="1102">
        <f>+AC29</f>
        <v>0</v>
      </c>
      <c r="D92" s="1041"/>
      <c r="E92" s="1042"/>
      <c r="F92" s="1043"/>
      <c r="G92" s="1044"/>
      <c r="H92" s="1045"/>
      <c r="I92" s="1046"/>
      <c r="J92" s="1157"/>
      <c r="K92" s="1047"/>
      <c r="L92" s="1048"/>
      <c r="M92" s="1048"/>
      <c r="N92" s="1049"/>
      <c r="O92" s="1050"/>
      <c r="P92" s="1051"/>
      <c r="Q92" s="1052"/>
      <c r="R92" s="1043"/>
      <c r="S92" s="1043"/>
      <c r="T92" s="1107"/>
      <c r="U92"/>
      <c r="V92" s="1054"/>
      <c r="W92" s="1043"/>
      <c r="X92" s="1043"/>
      <c r="Y92" s="1053"/>
      <c r="Z92" s="1055"/>
      <c r="AA92" s="1056"/>
      <c r="AB92" s="3288"/>
      <c r="AC92" s="3288"/>
      <c r="AD92" s="3288"/>
      <c r="AE92" s="3288"/>
      <c r="AF92" s="1057"/>
      <c r="AG92" s="1058"/>
      <c r="AI92"/>
      <c r="AJ92"/>
      <c r="AK92"/>
      <c r="AL92"/>
      <c r="AM92"/>
    </row>
    <row r="93" spans="1:39" ht="15.95" customHeight="1" outlineLevel="1">
      <c r="A93" s="975" t="str">
        <f>+A30</f>
        <v>COMMERCE 3</v>
      </c>
      <c r="B93" s="1039">
        <f>+V30</f>
        <v>0</v>
      </c>
      <c r="C93" s="1102">
        <f>+AC30</f>
        <v>0</v>
      </c>
      <c r="D93" s="1041"/>
      <c r="E93" s="1042"/>
      <c r="F93" s="1043"/>
      <c r="G93" s="1044"/>
      <c r="H93" s="1045"/>
      <c r="I93" s="1046"/>
      <c r="J93" s="1157"/>
      <c r="K93" s="1047"/>
      <c r="L93" s="1048"/>
      <c r="M93" s="1048"/>
      <c r="N93" s="1049"/>
      <c r="O93" s="1050"/>
      <c r="P93" s="1051"/>
      <c r="Q93" s="1052"/>
      <c r="R93" s="1043"/>
      <c r="S93" s="1043"/>
      <c r="T93" s="1107"/>
      <c r="U93"/>
      <c r="V93" s="1054"/>
      <c r="W93" s="1043"/>
      <c r="X93" s="1043"/>
      <c r="Y93" s="1053"/>
      <c r="Z93" s="1055"/>
      <c r="AA93" s="1056"/>
      <c r="AB93" s="3288"/>
      <c r="AC93" s="3288"/>
      <c r="AD93" s="3288"/>
      <c r="AE93" s="3288"/>
      <c r="AF93" s="1057"/>
      <c r="AG93" s="1058"/>
      <c r="AI93"/>
      <c r="AJ93"/>
      <c r="AK93"/>
      <c r="AL93"/>
      <c r="AM93"/>
    </row>
    <row r="94" spans="1:39" ht="15.95" customHeight="1" outlineLevel="1">
      <c r="A94" s="975" t="str">
        <f>+A31</f>
        <v>COMMERCE 4</v>
      </c>
      <c r="B94" s="1039">
        <f>+V31</f>
        <v>0</v>
      </c>
      <c r="C94" s="1102">
        <f>+AC31</f>
        <v>0</v>
      </c>
      <c r="D94" s="1041"/>
      <c r="E94" s="1042"/>
      <c r="F94" s="1043"/>
      <c r="G94" s="1044"/>
      <c r="H94" s="1045"/>
      <c r="I94" s="1046"/>
      <c r="J94" s="1157"/>
      <c r="K94" s="1047"/>
      <c r="L94" s="1048"/>
      <c r="M94" s="1048"/>
      <c r="N94" s="1049"/>
      <c r="O94" s="1050"/>
      <c r="P94" s="1051"/>
      <c r="Q94" s="1052"/>
      <c r="R94" s="1043"/>
      <c r="S94" s="1043"/>
      <c r="T94" s="1117"/>
      <c r="U94"/>
      <c r="V94" s="1054"/>
      <c r="W94" s="1043"/>
      <c r="X94" s="1043"/>
      <c r="Y94" s="1053"/>
      <c r="Z94" s="1055"/>
      <c r="AA94" s="1056"/>
      <c r="AB94" s="3288"/>
      <c r="AC94" s="3288"/>
      <c r="AD94" s="3288"/>
      <c r="AE94" s="3288"/>
      <c r="AF94" s="1057"/>
      <c r="AG94" s="1058"/>
      <c r="AI94"/>
      <c r="AJ94"/>
      <c r="AK94"/>
      <c r="AL94"/>
      <c r="AM94"/>
    </row>
    <row r="95" spans="1:39" ht="15.95" customHeight="1">
      <c r="A95" s="1059"/>
      <c r="B95" s="1060">
        <f>SUM(B91:B94)</f>
        <v>0</v>
      </c>
      <c r="C95" s="1109">
        <f>SUM(C91:C94)</f>
        <v>0</v>
      </c>
      <c r="D95" s="1108"/>
      <c r="E95" s="1063"/>
      <c r="F95" s="1064"/>
      <c r="G95" s="1065"/>
      <c r="H95" s="1066"/>
      <c r="I95" s="1067"/>
      <c r="J95" s="2221"/>
      <c r="K95" s="1068"/>
      <c r="L95" s="1069"/>
      <c r="M95" s="1070"/>
      <c r="N95" s="1071"/>
      <c r="O95" s="1072"/>
      <c r="P95" s="1073"/>
      <c r="Q95" s="1074"/>
      <c r="R95" s="1064"/>
      <c r="S95" s="1065"/>
      <c r="T95" s="1075"/>
      <c r="U95" s="1113"/>
      <c r="V95" s="1076"/>
      <c r="W95" s="1064"/>
      <c r="X95" s="1065"/>
      <c r="Y95" s="1066"/>
      <c r="Z95" s="1077"/>
      <c r="AA95" s="1078"/>
      <c r="AB95" s="3289"/>
      <c r="AC95" s="3289"/>
      <c r="AD95" s="3289"/>
      <c r="AE95" s="3289"/>
      <c r="AF95" s="1079"/>
      <c r="AG95" s="1080"/>
      <c r="AI95"/>
      <c r="AJ95"/>
      <c r="AK95"/>
      <c r="AL95"/>
      <c r="AM95"/>
    </row>
    <row r="96" spans="1:39" ht="15.95" customHeight="1" thickBot="1">
      <c r="A96" s="1118"/>
      <c r="B96" s="1119"/>
      <c r="C96" s="1082"/>
      <c r="D96" s="1119"/>
      <c r="E96" s="1120"/>
      <c r="F96" s="1119"/>
      <c r="G96" s="1119"/>
      <c r="H96" s="1121"/>
      <c r="I96" s="1120"/>
      <c r="J96" s="2224"/>
      <c r="K96" s="981"/>
      <c r="L96" s="981"/>
      <c r="M96" s="1122"/>
      <c r="N96" s="1123"/>
      <c r="O96" s="1123"/>
      <c r="P96" s="1123"/>
      <c r="Q96" s="1120"/>
      <c r="R96" s="1119"/>
      <c r="S96" s="1121"/>
      <c r="T96" s="1120"/>
      <c r="U96" s="1088"/>
      <c r="V96" s="1120"/>
      <c r="W96" s="1119"/>
      <c r="X96" s="1121"/>
      <c r="Y96" s="1120"/>
      <c r="Z96" s="1120"/>
      <c r="AA96" s="1120"/>
      <c r="AB96" s="2224"/>
      <c r="AC96" s="2224"/>
      <c r="AD96" s="2224"/>
      <c r="AE96" s="2224"/>
      <c r="AF96" s="1120"/>
      <c r="AG96" s="1124"/>
      <c r="AI96"/>
      <c r="AJ96"/>
      <c r="AK96"/>
      <c r="AL96"/>
      <c r="AM96"/>
    </row>
    <row r="97" spans="1:39" ht="15.95" customHeight="1" thickBot="1">
      <c r="A97" s="1125" t="s">
        <v>427</v>
      </c>
      <c r="B97" s="1126">
        <f>B78+B88+B95</f>
        <v>70</v>
      </c>
      <c r="C97" s="1127">
        <f>C78+C88+C95</f>
        <v>5247</v>
      </c>
      <c r="D97" s="1128">
        <f>0.685*(31*B97+C97)/C97</f>
        <v>0.96829521631408433</v>
      </c>
      <c r="E97" s="1129" t="e">
        <f>I97/12/B97</f>
        <v>#DIV/0!</v>
      </c>
      <c r="F97" s="1130" t="e">
        <f>I97/12/SF.T</f>
        <v>#DIV/0!</v>
      </c>
      <c r="G97" s="1131" t="e">
        <f>E97/L97</f>
        <v>#DIV/0!</v>
      </c>
      <c r="H97" s="1132" t="e">
        <f>E97/K97</f>
        <v>#DIV/0!</v>
      </c>
      <c r="I97" s="1133" t="e">
        <f>I78+I88+I95</f>
        <v>#DIV/0!</v>
      </c>
      <c r="J97" s="2225"/>
      <c r="K97" s="1134">
        <f>SH.T/B97</f>
        <v>62.457142857142856</v>
      </c>
      <c r="L97" s="1135">
        <f>SU.T/B97</f>
        <v>62.457142857142856</v>
      </c>
      <c r="M97" s="1135">
        <f>SF.T/B97</f>
        <v>74.957142857142856</v>
      </c>
      <c r="N97" s="1136" t="e">
        <f>N78+N88+N95</f>
        <v>#DIV/0!</v>
      </c>
      <c r="O97" s="1137">
        <f>O78+O88+O95</f>
        <v>52464</v>
      </c>
      <c r="P97" s="1138" t="e">
        <f>P78+P88+P95</f>
        <v>#DIV/0!</v>
      </c>
      <c r="Q97" s="1139" t="e">
        <f>E97/$F$67*$R$67</f>
        <v>#DIV/0!</v>
      </c>
      <c r="R97" s="1130" t="e">
        <f>$Q97/M97</f>
        <v>#DIV/0!</v>
      </c>
      <c r="S97" s="1140" t="e">
        <f>$Q97/L97</f>
        <v>#DIV/0!</v>
      </c>
      <c r="T97" s="1141" t="e">
        <f>$Q97/K97</f>
        <v>#DIV/0!</v>
      </c>
      <c r="U97"/>
      <c r="V97" s="1142" t="e">
        <f>Y98/12/B97</f>
        <v>#DIV/0!</v>
      </c>
      <c r="W97" s="1143" t="e">
        <f>$Q97/M97</f>
        <v>#DIV/0!</v>
      </c>
      <c r="X97" s="1131" t="e">
        <f>$Q97/L97</f>
        <v>#DIV/0!</v>
      </c>
      <c r="Y97" s="1144" t="e">
        <f>$Q97/K97</f>
        <v>#DIV/0!</v>
      </c>
      <c r="Z97" s="1145">
        <f>O97/12/B97</f>
        <v>62.457142857142856</v>
      </c>
      <c r="AA97" s="1141" t="e">
        <f>P97/12/B97</f>
        <v>#DIV/0!</v>
      </c>
      <c r="AB97" s="1145"/>
      <c r="AC97" s="1145"/>
      <c r="AD97" s="1145"/>
      <c r="AE97" s="1145"/>
      <c r="AF97" s="1146"/>
      <c r="AG97" s="1147"/>
      <c r="AI97"/>
      <c r="AJ97"/>
      <c r="AK97"/>
      <c r="AL97"/>
      <c r="AM97"/>
    </row>
    <row r="98" spans="1:39" ht="15.95" customHeight="1">
      <c r="A98" s="1148" t="s">
        <v>572</v>
      </c>
      <c r="B98" s="1149">
        <f>Nbre-B97</f>
        <v>0</v>
      </c>
      <c r="C98" s="1150">
        <f>SF.T-C97</f>
        <v>0</v>
      </c>
      <c r="D98" s="1149"/>
      <c r="E98" s="1151"/>
      <c r="G98" s="1152"/>
      <c r="H98" s="1153" t="s">
        <v>571</v>
      </c>
      <c r="I98" s="1154" t="e">
        <f>F97*SF.T*12</f>
        <v>#DIV/0!</v>
      </c>
      <c r="J98" s="1154"/>
      <c r="K98" s="1155"/>
      <c r="L98" s="1155"/>
      <c r="M98" s="1155"/>
      <c r="N98" s="877"/>
      <c r="O98" s="877"/>
      <c r="P98" s="877"/>
      <c r="Q98" s="1156"/>
      <c r="R98" s="1157"/>
      <c r="S98" s="1153" t="s">
        <v>571</v>
      </c>
      <c r="T98" s="1154" t="e">
        <f>T79+T89</f>
        <v>#DIV/0!</v>
      </c>
      <c r="U98" s="963"/>
      <c r="V98" s="1156"/>
      <c r="W98" s="1157"/>
      <c r="X98" s="1153" t="s">
        <v>571</v>
      </c>
      <c r="Y98" s="1154" t="e">
        <f>Y79+Y89+Y95</f>
        <v>#DIV/0!</v>
      </c>
      <c r="AA98"/>
      <c r="AB98" s="3248"/>
      <c r="AC98" s="3248"/>
      <c r="AD98" s="3248"/>
      <c r="AE98" s="3248"/>
      <c r="AG98" s="872"/>
      <c r="AI98"/>
      <c r="AJ98"/>
      <c r="AK98"/>
      <c r="AL98"/>
      <c r="AM98"/>
    </row>
    <row r="99" spans="1:39" ht="15.95" customHeight="1">
      <c r="A99" s="802"/>
      <c r="B99" s="805"/>
      <c r="C99" s="806"/>
      <c r="D99" s="806"/>
      <c r="E99" s="807"/>
      <c r="F99" s="1158"/>
      <c r="G99" s="1158"/>
      <c r="H99" s="1159"/>
      <c r="I99" s="1158"/>
      <c r="J99" s="1158"/>
      <c r="K99" s="1155"/>
      <c r="L99" s="1155"/>
      <c r="M99" s="1155"/>
      <c r="N99" s="925"/>
      <c r="O99" s="925"/>
      <c r="P99" s="925"/>
      <c r="Q99" s="1160"/>
      <c r="R99" s="1158"/>
      <c r="S99" s="1161"/>
      <c r="T99" s="1162" t="e">
        <f>(I98/$F$67*$R$67)-T98</f>
        <v>#DIV/0!</v>
      </c>
      <c r="U99" s="1163"/>
      <c r="V99" s="1164"/>
      <c r="W99" s="1165"/>
      <c r="X99" s="1165"/>
      <c r="Y99" s="1163"/>
      <c r="Z99" s="1165"/>
      <c r="AA99" s="1163"/>
      <c r="AB99" s="1163"/>
      <c r="AC99" s="1163"/>
      <c r="AD99" s="1163"/>
      <c r="AE99" s="1163"/>
      <c r="AF99" s="1165"/>
      <c r="AG99" s="1166"/>
      <c r="AI99"/>
      <c r="AJ99"/>
      <c r="AK99"/>
      <c r="AL99"/>
      <c r="AM99"/>
    </row>
    <row r="100" spans="1:39" ht="15.95" customHeight="1" thickBot="1">
      <c r="A100" s="1167"/>
      <c r="B100" s="1168"/>
      <c r="C100" s="1169"/>
      <c r="D100" s="1169"/>
      <c r="E100" s="1170"/>
      <c r="F100" s="1170"/>
      <c r="G100" s="1170"/>
      <c r="H100" s="1170"/>
      <c r="I100" s="1169"/>
      <c r="J100" s="2226"/>
      <c r="K100" s="1169"/>
      <c r="L100" s="1169"/>
      <c r="M100" s="1169"/>
      <c r="N100" s="1169"/>
      <c r="O100" s="1169"/>
      <c r="P100" s="1169"/>
      <c r="Q100" s="1169"/>
      <c r="R100" s="1169"/>
      <c r="S100" s="1169"/>
      <c r="T100" s="1169"/>
      <c r="U100" s="1170"/>
      <c r="V100" s="1170"/>
      <c r="W100" s="1170"/>
      <c r="X100" s="1170"/>
      <c r="Y100" s="1170"/>
      <c r="Z100" s="1170"/>
      <c r="AA100" s="1170"/>
      <c r="AB100" s="3291"/>
      <c r="AC100" s="3291"/>
      <c r="AD100" s="3291"/>
      <c r="AE100" s="3291"/>
      <c r="AF100" s="1170"/>
      <c r="AG100" s="1171"/>
      <c r="AI100"/>
      <c r="AJ100"/>
      <c r="AK100"/>
      <c r="AL100"/>
      <c r="AM100"/>
    </row>
    <row r="101" spans="1:39">
      <c r="A101" s="810"/>
      <c r="B101" s="830"/>
      <c r="D101" s="810"/>
      <c r="G101" s="810"/>
      <c r="H101" s="810"/>
      <c r="I101" s="810"/>
      <c r="P101" s="810"/>
      <c r="U101" s="810"/>
      <c r="V101" s="810"/>
      <c r="W101" s="810"/>
      <c r="X101" s="810"/>
      <c r="AC101" s="810"/>
      <c r="AD101" s="810"/>
      <c r="AE101" s="810"/>
      <c r="AF101" s="810"/>
      <c r="AI101"/>
      <c r="AJ101"/>
      <c r="AK101"/>
      <c r="AL101"/>
    </row>
    <row r="102" spans="1:39" ht="11.25" customHeight="1">
      <c r="A102" s="810"/>
      <c r="B102" s="830"/>
      <c r="D102" s="810" t="s">
        <v>221</v>
      </c>
      <c r="E102" s="810" t="s">
        <v>221</v>
      </c>
      <c r="G102" s="810"/>
      <c r="H102" s="810" t="s">
        <v>221</v>
      </c>
      <c r="I102" s="810"/>
      <c r="P102" s="810"/>
      <c r="U102" s="810"/>
      <c r="V102" s="810"/>
      <c r="W102" s="810"/>
      <c r="X102" s="810"/>
      <c r="AC102" s="810"/>
      <c r="AD102" s="810"/>
      <c r="AE102" s="810"/>
      <c r="AF102" s="810"/>
      <c r="AI102"/>
      <c r="AJ102"/>
      <c r="AK102"/>
      <c r="AL102"/>
    </row>
    <row r="103" spans="1:39">
      <c r="A103" s="810"/>
      <c r="B103" s="830"/>
      <c r="D103" s="810"/>
      <c r="G103" s="810"/>
      <c r="H103" s="810"/>
      <c r="I103" s="810"/>
      <c r="P103" s="810"/>
      <c r="U103" s="810"/>
      <c r="V103" s="810"/>
      <c r="W103" s="810"/>
      <c r="X103" s="810"/>
    </row>
    <row r="104" spans="1:39">
      <c r="A104" s="810"/>
      <c r="B104" s="830"/>
      <c r="D104" s="810"/>
      <c r="G104" s="810"/>
      <c r="H104" s="810"/>
      <c r="I104" s="810"/>
      <c r="P104" s="810"/>
      <c r="U104" s="810"/>
      <c r="V104" s="810"/>
      <c r="W104" s="810"/>
      <c r="X104" s="810"/>
    </row>
    <row r="105" spans="1:39">
      <c r="A105" s="810"/>
      <c r="B105" s="830"/>
      <c r="D105" s="810"/>
      <c r="G105" s="810"/>
      <c r="H105" s="810"/>
      <c r="I105" s="810"/>
      <c r="P105" s="810"/>
      <c r="U105" s="810"/>
      <c r="V105" s="810"/>
      <c r="W105" s="810"/>
      <c r="X105" s="810"/>
    </row>
    <row r="106" spans="1:39">
      <c r="A106" s="810"/>
      <c r="B106" s="830"/>
      <c r="D106" s="810"/>
      <c r="G106" s="810"/>
      <c r="H106" s="810"/>
      <c r="I106" s="810"/>
      <c r="P106" s="810"/>
      <c r="U106" s="810"/>
      <c r="V106" s="810"/>
      <c r="W106" s="810"/>
      <c r="X106" s="810"/>
    </row>
    <row r="107" spans="1:39">
      <c r="A107" s="810"/>
      <c r="B107" s="830"/>
      <c r="C107" s="1867" t="s">
        <v>898</v>
      </c>
      <c r="D107" s="1868" t="s">
        <v>899</v>
      </c>
      <c r="E107" s="1869">
        <v>10</v>
      </c>
      <c r="F107" s="1870" t="s">
        <v>669</v>
      </c>
      <c r="G107" s="810"/>
      <c r="H107" s="810"/>
      <c r="I107" s="810"/>
      <c r="P107" s="810"/>
      <c r="U107" s="810"/>
      <c r="V107" s="810"/>
      <c r="W107" s="810"/>
      <c r="X107" s="810"/>
    </row>
    <row r="108" spans="1:39">
      <c r="A108" s="810"/>
      <c r="B108" s="830"/>
      <c r="C108" s="1867" t="s">
        <v>900</v>
      </c>
      <c r="D108" s="1868" t="s">
        <v>901</v>
      </c>
      <c r="E108" s="1869">
        <v>12</v>
      </c>
      <c r="F108" s="1870" t="s">
        <v>902</v>
      </c>
      <c r="G108" s="810"/>
      <c r="H108" s="810"/>
      <c r="I108" s="810"/>
      <c r="P108" s="810"/>
      <c r="U108" s="810"/>
      <c r="V108" s="810"/>
      <c r="W108" s="810"/>
      <c r="X108" s="810"/>
    </row>
    <row r="109" spans="1:39">
      <c r="A109" s="810"/>
      <c r="B109" s="830"/>
      <c r="C109" s="1867" t="s">
        <v>903</v>
      </c>
      <c r="D109" s="1868" t="s">
        <v>901</v>
      </c>
      <c r="E109" s="1869">
        <v>12</v>
      </c>
      <c r="F109" s="1870" t="s">
        <v>902</v>
      </c>
      <c r="G109" s="810"/>
      <c r="H109" s="810"/>
      <c r="I109" s="810"/>
      <c r="P109" s="810"/>
      <c r="U109" s="810"/>
      <c r="V109" s="810"/>
      <c r="W109" s="810"/>
      <c r="X109" s="810"/>
    </row>
    <row r="110" spans="1:39">
      <c r="A110" s="810"/>
      <c r="B110" s="830"/>
      <c r="C110" s="1867" t="s">
        <v>904</v>
      </c>
      <c r="D110" s="1868" t="s">
        <v>905</v>
      </c>
      <c r="E110" s="1869">
        <v>20</v>
      </c>
      <c r="F110" s="1870" t="s">
        <v>463</v>
      </c>
      <c r="G110" s="810"/>
      <c r="H110" s="810"/>
      <c r="I110" s="810"/>
      <c r="P110" s="810"/>
      <c r="U110" s="810"/>
      <c r="V110" s="810"/>
      <c r="W110" s="810"/>
      <c r="X110" s="810"/>
    </row>
    <row r="111" spans="1:39">
      <c r="A111" s="810"/>
      <c r="B111" s="830"/>
      <c r="C111" s="1867" t="s">
        <v>464</v>
      </c>
      <c r="D111" s="1868" t="s">
        <v>465</v>
      </c>
      <c r="E111" s="1869">
        <v>25</v>
      </c>
      <c r="F111" s="1870" t="s">
        <v>466</v>
      </c>
      <c r="G111" s="810"/>
      <c r="H111" s="810"/>
      <c r="I111" s="810"/>
      <c r="P111" s="810"/>
      <c r="U111" s="810"/>
      <c r="V111" s="810"/>
      <c r="W111" s="810"/>
      <c r="X111" s="810"/>
    </row>
    <row r="112" spans="1:39">
      <c r="A112" s="810"/>
      <c r="B112" s="830"/>
      <c r="C112" s="1867" t="s">
        <v>906</v>
      </c>
      <c r="D112" s="1868" t="s">
        <v>465</v>
      </c>
      <c r="E112" s="1869">
        <v>30</v>
      </c>
      <c r="F112" s="1870" t="s">
        <v>466</v>
      </c>
      <c r="G112" s="810"/>
      <c r="H112" s="810"/>
      <c r="I112" s="810"/>
      <c r="P112" s="810"/>
      <c r="U112" s="810"/>
      <c r="V112" s="810"/>
      <c r="W112" s="810"/>
      <c r="X112" s="810"/>
    </row>
    <row r="113" spans="1:24">
      <c r="A113" s="810"/>
      <c r="B113" s="830"/>
      <c r="C113" s="1867" t="s">
        <v>467</v>
      </c>
      <c r="D113" s="1868" t="s">
        <v>468</v>
      </c>
      <c r="E113" s="1869">
        <v>35</v>
      </c>
      <c r="F113" s="1870" t="s">
        <v>469</v>
      </c>
      <c r="G113" s="810"/>
      <c r="H113" s="810"/>
      <c r="I113" s="810"/>
      <c r="P113" s="810"/>
      <c r="U113" s="810"/>
      <c r="V113" s="810"/>
      <c r="W113" s="810"/>
      <c r="X113" s="810"/>
    </row>
    <row r="114" spans="1:24">
      <c r="A114" s="810"/>
      <c r="B114" s="830"/>
      <c r="C114" s="1867" t="s">
        <v>907</v>
      </c>
      <c r="D114" s="1868" t="s">
        <v>468</v>
      </c>
      <c r="E114" s="1869">
        <v>40</v>
      </c>
      <c r="F114" s="1870" t="s">
        <v>469</v>
      </c>
      <c r="G114" s="810"/>
      <c r="H114" s="810"/>
      <c r="I114" s="810"/>
      <c r="P114" s="810"/>
      <c r="U114" s="810"/>
      <c r="V114" s="810"/>
      <c r="W114" s="810"/>
      <c r="X114" s="810"/>
    </row>
    <row r="115" spans="1:24">
      <c r="A115" s="810"/>
      <c r="B115" s="830"/>
      <c r="C115" s="1867" t="s">
        <v>470</v>
      </c>
      <c r="D115" s="1868" t="s">
        <v>471</v>
      </c>
      <c r="E115" s="1869">
        <v>45</v>
      </c>
      <c r="F115" s="1870" t="s">
        <v>472</v>
      </c>
      <c r="G115" s="810"/>
      <c r="H115" s="810"/>
      <c r="I115" s="810"/>
      <c r="P115" s="810"/>
      <c r="U115" s="810"/>
      <c r="V115" s="810"/>
      <c r="W115" s="810"/>
      <c r="X115" s="810"/>
    </row>
    <row r="116" spans="1:24">
      <c r="A116" s="810"/>
      <c r="B116" s="830"/>
      <c r="C116" s="1867" t="s">
        <v>908</v>
      </c>
      <c r="D116" s="1868" t="s">
        <v>471</v>
      </c>
      <c r="E116" s="1869">
        <v>50</v>
      </c>
      <c r="F116" s="1870" t="s">
        <v>472</v>
      </c>
      <c r="G116" s="810"/>
      <c r="H116" s="810"/>
      <c r="I116" s="810"/>
      <c r="P116" s="810"/>
      <c r="U116" s="810"/>
      <c r="V116" s="810"/>
      <c r="W116" s="810"/>
      <c r="X116" s="810"/>
    </row>
    <row r="117" spans="1:24">
      <c r="C117" s="1867" t="s">
        <v>909</v>
      </c>
      <c r="D117" s="1868" t="s">
        <v>473</v>
      </c>
      <c r="E117" s="1869">
        <v>55</v>
      </c>
      <c r="F117" s="1870" t="s">
        <v>474</v>
      </c>
    </row>
    <row r="118" spans="1:24">
      <c r="C118" s="1867" t="s">
        <v>910</v>
      </c>
      <c r="D118" s="1868" t="s">
        <v>473</v>
      </c>
      <c r="E118" s="1869">
        <v>60</v>
      </c>
      <c r="F118" s="1870" t="s">
        <v>474</v>
      </c>
    </row>
    <row r="119" spans="1:24">
      <c r="C119" s="1867" t="s">
        <v>911</v>
      </c>
      <c r="D119" s="1868" t="s">
        <v>912</v>
      </c>
      <c r="E119" s="1869">
        <v>65</v>
      </c>
      <c r="F119" s="1870" t="s">
        <v>670</v>
      </c>
    </row>
  </sheetData>
  <mergeCells count="29">
    <mergeCell ref="A49:B49"/>
    <mergeCell ref="A32:B32"/>
    <mergeCell ref="V68:Y68"/>
    <mergeCell ref="V66:AA66"/>
    <mergeCell ref="D68:D69"/>
    <mergeCell ref="C68:C69"/>
    <mergeCell ref="C49:D49"/>
    <mergeCell ref="V61:W61"/>
    <mergeCell ref="E38:E40"/>
    <mergeCell ref="H38:H40"/>
    <mergeCell ref="Q38:Q41"/>
    <mergeCell ref="X5:AC5"/>
    <mergeCell ref="U35:U36"/>
    <mergeCell ref="A15:B15"/>
    <mergeCell ref="A25:B25"/>
    <mergeCell ref="A34:B34"/>
    <mergeCell ref="AF66:AG66"/>
    <mergeCell ref="Q68:T68"/>
    <mergeCell ref="N67:P67"/>
    <mergeCell ref="E68:H68"/>
    <mergeCell ref="E66:I66"/>
    <mergeCell ref="K68:M68"/>
    <mergeCell ref="F2:I2"/>
    <mergeCell ref="D1:F1"/>
    <mergeCell ref="K5:M5"/>
    <mergeCell ref="V43:W43"/>
    <mergeCell ref="V44:W44"/>
    <mergeCell ref="T38:T40"/>
    <mergeCell ref="T43:T44"/>
  </mergeCells>
  <phoneticPr fontId="0" type="noConversion"/>
  <printOptions horizontalCentered="1" verticalCentered="1" gridLines="1" gridLinesSet="0"/>
  <pageMargins left="0.39370078740157483" right="0.39370078740157483" top="0.59055118110236227" bottom="0.51181102362204722" header="0.27559055118110237" footer="0.27559055118110237"/>
  <pageSetup paperSize="8" scale="49" orientation="landscape" r:id="rId1"/>
  <headerFooter alignWithMargins="0">
    <oddHeader xml:space="preserve">&amp;L&amp;"Lucida Sans Unicode,Gras"&amp;18SODEGIS&amp;C&amp;"Arial,Gras"&amp;18FICHE PROGRAMME&amp;R&amp;"Arial,Gras"&amp;16PRG 2018&amp;"Arial,Normal"&amp;10
</oddHeader>
    <oddFooter>&amp;L&amp;14&amp;D&amp;C&amp;"Arial Narrow,Normal"&amp;14Page&amp;P/&amp;N</oddFooter>
  </headerFooter>
  <rowBreaks count="1" manualBreakCount="1">
    <brk id="65" max="37" man="1"/>
  </rowBreaks>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7"/>
  <sheetViews>
    <sheetView workbookViewId="0">
      <selection activeCell="B8" sqref="B8"/>
    </sheetView>
  </sheetViews>
  <sheetFormatPr baseColWidth="10" defaultRowHeight="12.75"/>
  <sheetData>
    <row r="1" spans="1:4">
      <c r="A1" s="3510" t="s">
        <v>1107</v>
      </c>
      <c r="B1" s="3510"/>
      <c r="C1" s="3510"/>
      <c r="D1" s="3510"/>
    </row>
    <row r="2" spans="1:4">
      <c r="A2" s="851"/>
      <c r="B2" s="828" t="s">
        <v>2</v>
      </c>
      <c r="C2" s="828" t="s">
        <v>3</v>
      </c>
      <c r="D2" s="828" t="s">
        <v>648</v>
      </c>
    </row>
    <row r="3" spans="1:4">
      <c r="A3" s="851" t="s">
        <v>903</v>
      </c>
      <c r="B3" s="830">
        <v>318</v>
      </c>
      <c r="C3" s="830">
        <v>290</v>
      </c>
      <c r="D3" s="3284"/>
    </row>
    <row r="4" spans="1:4">
      <c r="A4" s="851" t="s">
        <v>464</v>
      </c>
      <c r="B4" s="830">
        <v>370</v>
      </c>
      <c r="C4" s="830">
        <v>370</v>
      </c>
      <c r="D4" s="3284"/>
    </row>
    <row r="5" spans="1:4">
      <c r="A5" s="851" t="s">
        <v>467</v>
      </c>
      <c r="B5" s="830">
        <v>510</v>
      </c>
      <c r="C5" s="830">
        <v>470</v>
      </c>
      <c r="D5" s="830">
        <v>720</v>
      </c>
    </row>
    <row r="6" spans="1:4">
      <c r="A6" s="851" t="s">
        <v>470</v>
      </c>
      <c r="B6" s="830">
        <v>600</v>
      </c>
      <c r="C6" s="830">
        <v>520</v>
      </c>
      <c r="D6" s="830">
        <v>810</v>
      </c>
    </row>
    <row r="7" spans="1:4">
      <c r="A7" s="851" t="s">
        <v>909</v>
      </c>
      <c r="B7" s="830">
        <v>700</v>
      </c>
      <c r="C7" s="830">
        <v>600</v>
      </c>
      <c r="D7" s="830">
        <v>920</v>
      </c>
    </row>
  </sheetData>
  <mergeCells count="1">
    <mergeCell ref="A1:D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15</vt:i4>
      </vt:variant>
      <vt:variant>
        <vt:lpstr>Plages nommées</vt:lpstr>
      </vt:variant>
      <vt:variant>
        <vt:i4>82</vt:i4>
      </vt:variant>
    </vt:vector>
  </HeadingPairs>
  <TitlesOfParts>
    <vt:vector size="97" baseType="lpstr">
      <vt:lpstr>Donnée d'entrée</vt:lpstr>
      <vt:lpstr>première page</vt:lpstr>
      <vt:lpstr>1</vt:lpstr>
      <vt:lpstr>2</vt:lpstr>
      <vt:lpstr>3</vt:lpstr>
      <vt:lpstr>5</vt:lpstr>
      <vt:lpstr>6</vt:lpstr>
      <vt:lpstr>7</vt:lpstr>
      <vt:lpstr>8</vt:lpstr>
      <vt:lpstr>9</vt:lpstr>
      <vt:lpstr>PRZA </vt:lpstr>
      <vt:lpstr>FRAFU AVS + LESG</vt:lpstr>
      <vt:lpstr>Bdgt</vt:lpstr>
      <vt:lpstr>Prgr. 2018</vt:lpstr>
      <vt:lpstr>Max</vt:lpstr>
      <vt:lpstr>adresse_LLS</vt:lpstr>
      <vt:lpstr>adresse_LLTS</vt:lpstr>
      <vt:lpstr>adresse_siege</vt:lpstr>
      <vt:lpstr>CAF_Tot</vt:lpstr>
      <vt:lpstr>CDC_LLS</vt:lpstr>
      <vt:lpstr>CDC_LLTS</vt:lpstr>
      <vt:lpstr>code</vt:lpstr>
      <vt:lpstr>Commune_LLS</vt:lpstr>
      <vt:lpstr>Commune_LLTS</vt:lpstr>
      <vt:lpstr>Créd_Imp</vt:lpstr>
      <vt:lpstr>Day</vt:lpstr>
      <vt:lpstr>directeur_g</vt:lpstr>
      <vt:lpstr>Bdgt!euro</vt:lpstr>
      <vt:lpstr>FP_LLS</vt:lpstr>
      <vt:lpstr>FP_LLTS</vt:lpstr>
      <vt:lpstr>'PRZA '!franc</vt:lpstr>
      <vt:lpstr>Bdgt!Impression_des_titres</vt:lpstr>
      <vt:lpstr>'PRZA '!Impression_des_titres</vt:lpstr>
      <vt:lpstr>LBU_FRAFU</vt:lpstr>
      <vt:lpstr>LBU_SF</vt:lpstr>
      <vt:lpstr>LBU_Tot</vt:lpstr>
      <vt:lpstr>'Prgr. 2018'!LMDom</vt:lpstr>
      <vt:lpstr>'Prgr. 2018'!LMDomTS</vt:lpstr>
      <vt:lpstr>LP_LLS</vt:lpstr>
      <vt:lpstr>LP_LLTS</vt:lpstr>
      <vt:lpstr>montant_eligible_LLS</vt:lpstr>
      <vt:lpstr>montant_eligible_LLTS</vt:lpstr>
      <vt:lpstr>'Prgr. 2018'!Nbre</vt:lpstr>
      <vt:lpstr>'Prgr. 2018'!NbreCOMM</vt:lpstr>
      <vt:lpstr>'Prgr. 2018'!NbreLLS</vt:lpstr>
      <vt:lpstr>'Prgr. 2018'!NbreLLTS</vt:lpstr>
      <vt:lpstr>nom</vt:lpstr>
      <vt:lpstr>nombreLLS</vt:lpstr>
      <vt:lpstr>nombreLLTS</vt:lpstr>
      <vt:lpstr>Bdgt!OPERATION</vt:lpstr>
      <vt:lpstr>'PRZA '!OPERATION</vt:lpstr>
      <vt:lpstr>parking_a_LLS</vt:lpstr>
      <vt:lpstr>parking_a_LLTS</vt:lpstr>
      <vt:lpstr>parking_c_LLS</vt:lpstr>
      <vt:lpstr>parking_c_LLTS</vt:lpstr>
      <vt:lpstr>parking_s_LLS</vt:lpstr>
      <vt:lpstr>parking_s_LLTS</vt:lpstr>
      <vt:lpstr>PRP_TTC_LLS</vt:lpstr>
      <vt:lpstr>PRP_TTC_LLTS</vt:lpstr>
      <vt:lpstr>'Prgr. 2018'!S.LCR</vt:lpstr>
      <vt:lpstr>S_terrain</vt:lpstr>
      <vt:lpstr>'Prgr. 2018'!SF.COMM</vt:lpstr>
      <vt:lpstr>'Prgr. 2018'!SF.LLS</vt:lpstr>
      <vt:lpstr>'Prgr. 2018'!SF.LLTS</vt:lpstr>
      <vt:lpstr>'Prgr. 2018'!SF.T</vt:lpstr>
      <vt:lpstr>SF_LLS</vt:lpstr>
      <vt:lpstr>SF_LLTS</vt:lpstr>
      <vt:lpstr>'Prgr. 2018'!SH.COMM</vt:lpstr>
      <vt:lpstr>'Prgr. 2018'!SH.LLS</vt:lpstr>
      <vt:lpstr>'Prgr. 2018'!SH.LLTS</vt:lpstr>
      <vt:lpstr>'Prgr. 2018'!SH.T</vt:lpstr>
      <vt:lpstr>'Prgr. 2018'!SHOB</vt:lpstr>
      <vt:lpstr>'Prgr. 2018'!SP</vt:lpstr>
      <vt:lpstr>'Prgr. 2018'!SU.COMM</vt:lpstr>
      <vt:lpstr>'Prgr. 2018'!SU.LLS</vt:lpstr>
      <vt:lpstr>'Prgr. 2018'!SU.LLTS</vt:lpstr>
      <vt:lpstr>'Prgr. 2018'!SU.T</vt:lpstr>
      <vt:lpstr>Sub_LLS</vt:lpstr>
      <vt:lpstr>Sub_LLTS</vt:lpstr>
      <vt:lpstr>Bdgt!TVA0</vt:lpstr>
      <vt:lpstr>'PRZA '!TVA0</vt:lpstr>
      <vt:lpstr>Bdgt!TVAN</vt:lpstr>
      <vt:lpstr>'PRZA '!TVAN</vt:lpstr>
      <vt:lpstr>Bdgt!TVAN1</vt:lpstr>
      <vt:lpstr>Bdgt!TVAS</vt:lpstr>
      <vt:lpstr>'PRZA '!TVAS</vt:lpstr>
      <vt:lpstr>type_lg_LLS</vt:lpstr>
      <vt:lpstr>type_lg_LLTS</vt:lpstr>
      <vt:lpstr>'1'!Zone_d_impression</vt:lpstr>
      <vt:lpstr>'2'!Zone_d_impression</vt:lpstr>
      <vt:lpstr>'6'!Zone_d_impression</vt:lpstr>
      <vt:lpstr>'7'!Zone_d_impression</vt:lpstr>
      <vt:lpstr>'8'!Zone_d_impression</vt:lpstr>
      <vt:lpstr>'9'!Zone_d_impression</vt:lpstr>
      <vt:lpstr>Bdgt!Zone_d_impression</vt:lpstr>
      <vt:lpstr>'Prgr. 2018'!Zone_d_impression</vt:lpstr>
      <vt:lpstr>'PRZA '!Zone_d_impression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Nathalie BLANDINO</dc:creator>
  <cp:lastModifiedBy>Nathalie BLANDINO</cp:lastModifiedBy>
  <cp:lastPrinted>2017-02-17T05:00:12Z</cp:lastPrinted>
  <dcterms:created xsi:type="dcterms:W3CDTF">2001-04-03T04:51:45Z</dcterms:created>
  <dcterms:modified xsi:type="dcterms:W3CDTF">2018-10-30T12:21:32Z</dcterms:modified>
</cp:coreProperties>
</file>