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4 - DOP\40 -  DOP Général\suivi d'activité\PCA\CDC\"/>
    </mc:Choice>
  </mc:AlternateContent>
  <bookViews>
    <workbookView xWindow="0" yWindow="0" windowWidth="20490" windowHeight="7050" activeTab="1"/>
  </bookViews>
  <sheets>
    <sheet name="Feuil2" sheetId="9" r:id="rId1"/>
    <sheet name="Données" sheetId="7" r:id="rId2"/>
    <sheet name="Statistiques" sheetId="8" r:id="rId3"/>
    <sheet name="Renouvellement de composants" sheetId="4" r:id="rId4"/>
  </sheets>
  <definedNames>
    <definedName name="_xlnm._FilterDatabase" localSheetId="1" hidden="1">Données!$A$1:$K$36</definedName>
    <definedName name="Dde">Données!$G$2:$G$36</definedName>
    <definedName name="Garant">Données!$B$2:$B$36</definedName>
    <definedName name="Moyenne">Données!$J$2:$J$36</definedName>
    <definedName name="_xlnm.Print_Area" localSheetId="3">'Renouvellement de composants'!$A$1:$F$92</definedName>
  </definedNames>
  <calcPr calcId="162913"/>
  <pivotCaches>
    <pivotCache cacheId="9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3" i="7" l="1"/>
  <c r="N18" i="7"/>
  <c r="B12" i="8"/>
  <c r="B5" i="8"/>
  <c r="B6" i="8"/>
  <c r="B7" i="8"/>
  <c r="B8" i="8"/>
  <c r="B9" i="8"/>
  <c r="B10" i="8"/>
  <c r="B11" i="8"/>
  <c r="B4" i="8"/>
  <c r="D36" i="7"/>
  <c r="D35" i="7"/>
  <c r="D21" i="7"/>
  <c r="D18" i="7"/>
  <c r="D17" i="7"/>
  <c r="N21" i="7"/>
  <c r="O9" i="7" l="1"/>
  <c r="N5" i="7" l="1"/>
  <c r="N6" i="7"/>
  <c r="N7" i="7"/>
  <c r="N8" i="7"/>
  <c r="N9" i="7"/>
  <c r="N10" i="7"/>
  <c r="N11" i="7"/>
  <c r="N4" i="7"/>
  <c r="N3" i="7"/>
  <c r="J21" i="7"/>
  <c r="O6" i="7"/>
  <c r="J16" i="7"/>
  <c r="J30" i="7"/>
  <c r="J22" i="7"/>
  <c r="J8" i="7"/>
  <c r="J3" i="7"/>
  <c r="J34" i="7"/>
  <c r="J36" i="7"/>
  <c r="J2" i="7"/>
  <c r="J7" i="7"/>
  <c r="J9" i="7"/>
  <c r="J20" i="7"/>
  <c r="J29" i="7"/>
  <c r="J12" i="7"/>
  <c r="J17" i="7"/>
  <c r="J28" i="7"/>
  <c r="J35" i="7"/>
  <c r="J6" i="7"/>
  <c r="J4" i="7"/>
  <c r="J10" i="7"/>
  <c r="J26" i="7"/>
  <c r="J31" i="7"/>
  <c r="J33" i="7"/>
  <c r="J15" i="7"/>
  <c r="J27" i="7"/>
  <c r="J23" i="7"/>
  <c r="O7" i="7" s="1"/>
  <c r="J24" i="7"/>
  <c r="J32" i="7"/>
  <c r="J25" i="7"/>
  <c r="J11" i="7"/>
  <c r="J5" i="7"/>
  <c r="O4" i="7" l="1"/>
  <c r="O11" i="7"/>
  <c r="N15" i="7"/>
  <c r="O8" i="7"/>
  <c r="N14" i="7"/>
  <c r="J18" i="7"/>
  <c r="O10" i="7"/>
  <c r="J19" i="7"/>
  <c r="J14" i="7"/>
  <c r="O5" i="7"/>
  <c r="J13" i="7"/>
  <c r="N16" i="7" l="1"/>
  <c r="D79" i="4" l="1"/>
  <c r="D78" i="4"/>
  <c r="D77" i="4"/>
  <c r="B77" i="4"/>
  <c r="B76" i="4" s="1"/>
  <c r="D76" i="4"/>
  <c r="D75" i="4"/>
  <c r="D74" i="4"/>
  <c r="B74" i="4"/>
  <c r="D73" i="4"/>
  <c r="D72" i="4"/>
  <c r="D71" i="4"/>
  <c r="B71" i="4"/>
  <c r="D70" i="4"/>
  <c r="D69" i="4"/>
  <c r="D68" i="4"/>
  <c r="D67" i="4"/>
  <c r="D66" i="4"/>
  <c r="B66" i="4"/>
  <c r="D65" i="4"/>
  <c r="D64" i="4"/>
  <c r="D63" i="4"/>
  <c r="D62" i="4"/>
  <c r="D61" i="4"/>
  <c r="D60" i="4"/>
  <c r="D59" i="4"/>
  <c r="D58" i="4"/>
  <c r="D57" i="4"/>
  <c r="B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B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B12" i="4"/>
  <c r="D11" i="4"/>
  <c r="D10" i="4"/>
  <c r="D9" i="4"/>
  <c r="D8" i="4"/>
  <c r="D7" i="4"/>
  <c r="D6" i="4"/>
  <c r="D5" i="4"/>
  <c r="D4" i="4"/>
  <c r="B4" i="4"/>
  <c r="D3" i="4"/>
  <c r="B3" i="4" l="1"/>
  <c r="B56" i="4"/>
  <c r="B79" i="4" l="1"/>
</calcChain>
</file>

<file path=xl/sharedStrings.xml><?xml version="1.0" encoding="utf-8"?>
<sst xmlns="http://schemas.openxmlformats.org/spreadsheetml/2006/main" count="228" uniqueCount="140">
  <si>
    <t>OPERATION</t>
  </si>
  <si>
    <t>Hubert Delisle</t>
  </si>
  <si>
    <t>Citronnelles</t>
  </si>
  <si>
    <t>Caramboles</t>
  </si>
  <si>
    <t>Tampon</t>
  </si>
  <si>
    <t>St Joseph</t>
  </si>
  <si>
    <t>CIVIS</t>
  </si>
  <si>
    <t>Entre-Deux</t>
  </si>
  <si>
    <t>Bellevue A-B-C</t>
  </si>
  <si>
    <t>Canal Lilis</t>
  </si>
  <si>
    <t>Poinsétias</t>
  </si>
  <si>
    <t>La Cure 1</t>
  </si>
  <si>
    <t>Opale (ILOT 9)</t>
  </si>
  <si>
    <t>Etang-Salé</t>
  </si>
  <si>
    <t>La Possession</t>
  </si>
  <si>
    <t>TCO</t>
  </si>
  <si>
    <t>Prévisionnel Remplacement de Composants par Commune</t>
  </si>
  <si>
    <t>Opérations</t>
  </si>
  <si>
    <t>Nb Lgts</t>
  </si>
  <si>
    <t xml:space="preserve"> € HT</t>
  </si>
  <si>
    <t>€ TTC</t>
  </si>
  <si>
    <t>CASUD</t>
  </si>
  <si>
    <t>Entre Deux</t>
  </si>
  <si>
    <t>Baies Roses</t>
  </si>
  <si>
    <t>Benjoins 1</t>
  </si>
  <si>
    <t>Casabianca</t>
  </si>
  <si>
    <t>Foyer casabianca</t>
  </si>
  <si>
    <t>La Serre</t>
  </si>
  <si>
    <t>Saint Joseph</t>
  </si>
  <si>
    <t>Bougainvilliées</t>
  </si>
  <si>
    <t>BP Vincendo</t>
  </si>
  <si>
    <t>Cazala</t>
  </si>
  <si>
    <t>Cent Marches</t>
  </si>
  <si>
    <t>Chemin Galet 1</t>
  </si>
  <si>
    <t>Chemin Galet 2</t>
  </si>
  <si>
    <t>Choka Bleu</t>
  </si>
  <si>
    <t>Cœur de Village 40</t>
  </si>
  <si>
    <t>Cœur de Village 45</t>
  </si>
  <si>
    <t>La Cressonière</t>
  </si>
  <si>
    <t>La Cure 2</t>
  </si>
  <si>
    <t>Lacaussade 1</t>
  </si>
  <si>
    <t>Lacaussade 2</t>
  </si>
  <si>
    <t>Les Ombrieres</t>
  </si>
  <si>
    <t>Les Quais</t>
  </si>
  <si>
    <t>Les Remparts</t>
  </si>
  <si>
    <t>Lianes Ecoles</t>
  </si>
  <si>
    <t>Sentier de la Vierge</t>
  </si>
  <si>
    <t>Usine Vétyver 1</t>
  </si>
  <si>
    <t>Usine Vétyver 2</t>
  </si>
  <si>
    <t>Abdoul hay patel</t>
  </si>
  <si>
    <t>Bellevue A</t>
  </si>
  <si>
    <t>Bellevue BC</t>
  </si>
  <si>
    <t>Berive</t>
  </si>
  <si>
    <t>Camphrier</t>
  </si>
  <si>
    <t>Concession</t>
  </si>
  <si>
    <t>Donjuan 1</t>
  </si>
  <si>
    <t>Donjuan 2</t>
  </si>
  <si>
    <t>La Chapelle</t>
  </si>
  <si>
    <t>Moliere</t>
  </si>
  <si>
    <t>Nid Joli</t>
  </si>
  <si>
    <t>Orchidees 1</t>
  </si>
  <si>
    <t>Orchidees 2</t>
  </si>
  <si>
    <t>Rosiers</t>
  </si>
  <si>
    <t>Sanassama</t>
  </si>
  <si>
    <t>Santolines</t>
  </si>
  <si>
    <t>Sodalite</t>
  </si>
  <si>
    <t>Troubadours</t>
  </si>
  <si>
    <t>Avirons</t>
  </si>
  <si>
    <t>Kerbel</t>
  </si>
  <si>
    <t>La Foret</t>
  </si>
  <si>
    <t>Le Ruisseau</t>
  </si>
  <si>
    <t>Lotrobor 1</t>
  </si>
  <si>
    <t>Rempart Cheval</t>
  </si>
  <si>
    <t>Sentier Belda</t>
  </si>
  <si>
    <t>Source Marcel 1</t>
  </si>
  <si>
    <t>Terrasses Pont Banane</t>
  </si>
  <si>
    <t>Etang Salé</t>
  </si>
  <si>
    <t>Combavas</t>
  </si>
  <si>
    <t>Flamboyants</t>
  </si>
  <si>
    <t>Tamarins</t>
  </si>
  <si>
    <t>Tourterelles</t>
  </si>
  <si>
    <t>Saint Louis</t>
  </si>
  <si>
    <t>Centre Ville Saint Louis</t>
  </si>
  <si>
    <t>Yoshito</t>
  </si>
  <si>
    <t>Saint Pierre</t>
  </si>
  <si>
    <t>3 Cheminées</t>
  </si>
  <si>
    <t>Saint Leu</t>
  </si>
  <si>
    <t>Fabrique d'alumettes 1</t>
  </si>
  <si>
    <t>Total général</t>
  </si>
  <si>
    <t>Date demande de prêt</t>
  </si>
  <si>
    <t>Envoi DAF</t>
  </si>
  <si>
    <t>Dde G Mairie</t>
  </si>
  <si>
    <t>Délib Mairie</t>
  </si>
  <si>
    <t>Dde G EPCI</t>
  </si>
  <si>
    <t>Délib EPCI</t>
  </si>
  <si>
    <t>x</t>
  </si>
  <si>
    <t>La Cure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</si>
  <si>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</si>
  <si>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</si>
  <si>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</si>
  <si>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CASUD 17/12/19</t>
  </si>
  <si>
    <t>Montant prêt</t>
  </si>
  <si>
    <t>Opale (ILOT 9) PHB 2.0</t>
  </si>
  <si>
    <t>Caramboles - Prêt complémentaire</t>
  </si>
  <si>
    <t>Bras des Etangs - Prêt complémentaire</t>
  </si>
  <si>
    <t>100 marches - Prêt complémentaire</t>
  </si>
  <si>
    <t>Bougainvillées - Prêt complémentaire</t>
  </si>
  <si>
    <t>La Cure 1 - Prêt complémentaire</t>
  </si>
  <si>
    <t>Renouvellement de composants LES AVIRONS</t>
  </si>
  <si>
    <t>Renouvellement de composants ENTRE DEUX</t>
  </si>
  <si>
    <t>Renouvellement de composants ETANG SALE</t>
  </si>
  <si>
    <t>Renouvellement de composants ST JOSEPH</t>
  </si>
  <si>
    <t>Renouvellement de composants ST LEU</t>
  </si>
  <si>
    <t>Renouvellement de composants ST LOUIS</t>
  </si>
  <si>
    <t>Renouvellement de composants ST PIERRE</t>
  </si>
  <si>
    <t>Renouvellement de composants TAMPON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</si>
  <si>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ACACIAS</t>
    </r>
  </si>
  <si>
    <t>GARANTS</t>
  </si>
  <si>
    <t>DEMANDE</t>
  </si>
  <si>
    <t>DELIBERATION</t>
  </si>
  <si>
    <t>DELAI</t>
  </si>
  <si>
    <t>Demandes de garantie 2019</t>
  </si>
  <si>
    <t>Délai obtention garanties obtenues en 2019</t>
  </si>
  <si>
    <t>DOSSIERS ABOUTIS PAR ANNEE</t>
  </si>
  <si>
    <t>NON ABOUTIS</t>
  </si>
  <si>
    <t>Transmission G à CDC</t>
  </si>
  <si>
    <t>N° CONTRAT</t>
  </si>
  <si>
    <t>RECEPTION</t>
  </si>
  <si>
    <t>Transmission G à DAF</t>
  </si>
  <si>
    <t>Prêt mobilisable</t>
  </si>
  <si>
    <t>NOMBRE DE DEMANDES DE GARANTIE PAR AN</t>
  </si>
  <si>
    <t>Étiquettes de colonnes</t>
  </si>
  <si>
    <t>Étiquettes de lignes</t>
  </si>
  <si>
    <t>janv</t>
  </si>
  <si>
    <t>févr</t>
  </si>
  <si>
    <t>mai</t>
  </si>
  <si>
    <t>oct</t>
  </si>
  <si>
    <t>nov</t>
  </si>
  <si>
    <t>déc</t>
  </si>
  <si>
    <t>Nombre de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</si>
</sst>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6" borderId="0" applyNumberFormat="0" applyBorder="0" applyAlignment="0" applyProtection="0"/>
    <xf numFmtId="0" fontId="5" fillId="7" borderId="0" applyNumberFormat="0" applyBorder="0" applyAlignment="0" applyProtection="0"/>
  </cellStyleXfs>
  <cellXfs count="64">
    <xf numFmtId="0" fontId="0" fillId="0" borderId="0" xfId="0"/>
    <xf numFmtId="0" fontId="0" fillId="3" borderId="0" xfId="0" applyFill="1"/>
    <xf numFmtId="0" fontId="2" fillId="0" borderId="0" xfId="0" applyFont="1" applyAlignment="1">
      <alignment horizontal="center" vertical="center"/>
    </xf>
    <xf numFmtId="44" fontId="0" fillId="3" borderId="0" xfId="1" applyFont="1" applyFill="1"/>
    <xf numFmtId="0" fontId="0" fillId="5" borderId="0" xfId="0" applyFill="1"/>
    <xf numFmtId="44" fontId="0" fillId="5" borderId="0" xfId="1" applyFont="1" applyFill="1"/>
    <xf numFmtId="0" fontId="2" fillId="4" borderId="0" xfId="0" applyFont="1" applyFill="1"/>
    <xf numFmtId="44" fontId="2" fillId="4" borderId="0" xfId="1" applyFont="1" applyFill="1"/>
    <xf numFmtId="0" fontId="2" fillId="0" borderId="0" xfId="0" applyFont="1"/>
    <xf numFmtId="44" fontId="2" fillId="0" borderId="0" xfId="1" applyFont="1"/>
    <xf numFmtId="14" fontId="2" fillId="4" borderId="0" xfId="1" applyNumberFormat="1" applyFont="1" applyFill="1"/>
    <xf numFmtId="0" fontId="2" fillId="0" borderId="0" xfId="0" applyFont="1" applyAlignment="1">
      <alignment horizontal="center"/>
    </xf>
    <xf numFmtId="0" fontId="0" fillId="0" borderId="0" xfId="0" applyFill="1"/>
    <xf numFmtId="14" fontId="0" fillId="0" borderId="0" xfId="0" applyNumberFormat="1" applyFill="1"/>
    <xf numFmtId="14" fontId="3" fillId="0" borderId="0" xfId="0" applyNumberFormat="1" applyFont="1" applyFill="1"/>
    <xf numFmtId="14" fontId="0" fillId="3" borderId="0" xfId="0" applyNumberFormat="1" applyFill="1"/>
    <xf numFmtId="14" fontId="3" fillId="3" borderId="0" xfId="0" applyNumberFormat="1" applyFont="1" applyFill="1"/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4" fillId="9" borderId="1" xfId="2" applyNumberFormat="1" applyFont="1" applyFill="1" applyBorder="1" applyAlignment="1">
      <alignment horizontal="center" vertical="center"/>
    </xf>
    <xf numFmtId="164" fontId="4" fillId="9" borderId="1" xfId="3" applyNumberFormat="1" applyFont="1" applyFill="1" applyBorder="1" applyAlignment="1">
      <alignment horizontal="center" vertical="center"/>
    </xf>
    <xf numFmtId="164" fontId="4" fillId="9" borderId="1" xfId="2" applyNumberFormat="1" applyFont="1" applyFill="1" applyBorder="1" applyAlignment="1">
      <alignment horizontal="center" vertical="center" wrapText="1"/>
    </xf>
    <xf numFmtId="164" fontId="4" fillId="9" borderId="1" xfId="3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44" fontId="1" fillId="4" borderId="0" xfId="1" applyFont="1" applyFill="1"/>
    <xf numFmtId="2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9" xfId="0" applyBorder="1"/>
    <xf numFmtId="0" fontId="2" fillId="0" borderId="3" xfId="0" applyFont="1" applyBorder="1"/>
    <xf numFmtId="0" fontId="0" fillId="0" borderId="10" xfId="0" applyBorder="1"/>
    <xf numFmtId="0" fontId="0" fillId="0" borderId="5" xfId="0" applyBorder="1"/>
    <xf numFmtId="2" fontId="0" fillId="0" borderId="10" xfId="0" applyNumberFormat="1" applyBorder="1"/>
    <xf numFmtId="2" fontId="0" fillId="0" borderId="5" xfId="0" applyNumberFormat="1" applyBorder="1"/>
    <xf numFmtId="2" fontId="0" fillId="0" borderId="9" xfId="0" applyNumberFormat="1" applyBorder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4" fontId="0" fillId="2" borderId="1" xfId="0" applyNumberFormat="1" applyFont="1" applyFill="1" applyBorder="1" applyAlignment="1">
      <alignment horizontal="center" vertical="center"/>
    </xf>
    <xf numFmtId="164" fontId="3" fillId="9" borderId="1" xfId="2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0" fillId="2" borderId="2" xfId="0" applyNumberFormat="1" applyFont="1" applyFill="1" applyBorder="1" applyAlignment="1">
      <alignment horizontal="center" vertical="center"/>
    </xf>
    <xf numFmtId="0" fontId="8" fillId="10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4">
    <cellStyle name="40 % - Accent2" xfId="2" builtinId="35"/>
    <cellStyle name="60 % - Accent2" xfId="3" builtinId="36"/>
    <cellStyle name="Monétaire" xfId="1" builtinId="4"/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thalie BLANDINO" refreshedDate="43901.703728587963" createdVersion="6" refreshedVersion="6" minRefreshableVersion="3" recordCount="35">
  <cacheSource type="worksheet">
    <worksheetSource ref="A1:J36" sheet="Données"/>
  </cacheSource>
  <cacheFields count="11">
    <cacheField name="OPERATION" numFmtId="0">
      <sharedItems/>
    </cacheField>
    <cacheField name="GARANTS" numFmtId="0">
      <sharedItems count="8">
        <s v="CASUD"/>
        <s v="St Joseph"/>
        <s v="Tampon"/>
        <s v="CIVIS"/>
        <s v="Entre-Deux"/>
        <s v="TCO"/>
        <s v="Etang-Salé"/>
        <s v="La Possession"/>
      </sharedItems>
    </cacheField>
    <cacheField name="N° CONTRAT" numFmtId="0">
      <sharedItems containsString="0" containsBlank="1" containsNumber="1" containsInteger="1" minValue="103389" maxValue="106176"/>
    </cacheField>
    <cacheField name="Montant prêt" numFmtId="0">
      <sharedItems containsString="0" containsBlank="1" containsNumber="1" containsInteger="1" minValue="32636" maxValue="7745103"/>
    </cacheField>
    <cacheField name="Transmission G à CDC" numFmtId="0">
      <sharedItems containsDate="1" containsBlank="1" containsMixedTypes="1" minDate="2019-12-17T00:00:00" maxDate="2020-03-04T00:00:00"/>
    </cacheField>
    <cacheField name="Transmission G à DAF" numFmtId="0">
      <sharedItems containsNonDate="0" containsDate="1" containsString="0" containsBlank="1" minDate="2020-01-14T00:00:00" maxDate="2020-02-25T00:00:00"/>
    </cacheField>
    <cacheField name="DEMANDE" numFmtId="164">
      <sharedItems containsSemiMixedTypes="0" containsNonDate="0" containsDate="1" containsString="0" minDate="2019-01-29T00:00:00" maxDate="2019-12-31T00:00:00" count="11">
        <d v="2019-10-28T00:00:00"/>
        <d v="2019-11-21T00:00:00"/>
        <d v="2019-05-27T00:00:00"/>
        <d v="2019-12-30T00:00:00"/>
        <d v="2019-11-26T00:00:00"/>
        <d v="2019-01-29T00:00:00"/>
        <d v="2019-12-18T00:00:00"/>
        <d v="2019-02-06T00:00:00"/>
        <d v="2019-10-08T00:00:00"/>
        <d v="2019-11-13T00:00:00"/>
        <d v="2019-11-12T00:00:00"/>
      </sharedItems>
      <fieldGroup par="10" base="6">
        <rangePr groupBy="days" startDate="2019-01-29T00:00:00" endDate="2019-12-31T00:00:00"/>
        <groupItems count="368">
          <s v="&lt;29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12/2019"/>
        </groupItems>
      </fieldGroup>
    </cacheField>
    <cacheField name="DELIBERATION" numFmtId="164">
      <sharedItems containsNonDate="0" containsDate="1" containsString="0" containsBlank="1" minDate="2019-03-21T00:00:00" maxDate="2020-02-20T00:00:00"/>
    </cacheField>
    <cacheField name="RECEPTION" numFmtId="164">
      <sharedItems containsNonDate="0" containsDate="1" containsString="0" containsBlank="1" minDate="2019-12-17T00:00:00" maxDate="2020-02-21T00:00:00"/>
    </cacheField>
    <cacheField name="DELAI" numFmtId="2">
      <sharedItems containsMixedTypes="1" containsNumber="1" minValue="0.3" maxValue="5.0666666666666664"/>
    </cacheField>
    <cacheField name="Mois" numFmtId="0" databaseField="0">
      <fieldGroup base="6">
        <rangePr groupBy="months" startDate="2019-01-29T00:00:00" endDate="2019-12-31T00:00:00"/>
        <groupItems count="14">
          <s v="&lt;29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s v="100 marches - Prêt complémentaire"/>
    <x v="0"/>
    <n v="103400"/>
    <n v="150000"/>
    <d v="2019-12-17T00:00:00"/>
    <m/>
    <x v="0"/>
    <d v="2019-11-29T00:00:00"/>
    <d v="2019-12-17T00:00:00"/>
    <n v="1.0666666666666667"/>
  </r>
  <r>
    <s v="100 marches - Prêt complémentaire"/>
    <x v="1"/>
    <n v="103400"/>
    <n v="150000"/>
    <m/>
    <m/>
    <x v="1"/>
    <m/>
    <m/>
    <e v="#NUM!"/>
  </r>
  <r>
    <s v="Bellevue A-B-C"/>
    <x v="0"/>
    <m/>
    <m/>
    <m/>
    <m/>
    <x v="2"/>
    <d v="2019-07-05T00:00:00"/>
    <m/>
    <n v="1.3"/>
  </r>
  <r>
    <s v="Bellevue A-B-C"/>
    <x v="2"/>
    <m/>
    <m/>
    <m/>
    <m/>
    <x v="2"/>
    <d v="2019-10-26T00:00:00"/>
    <m/>
    <n v="5.0666666666666664"/>
  </r>
  <r>
    <s v="VEFA ACACIAS"/>
    <x v="0"/>
    <n v="106174"/>
    <n v="846657"/>
    <m/>
    <m/>
    <x v="3"/>
    <d v="2020-01-24T00:00:00"/>
    <d v="2020-02-20T00:00:00"/>
    <n v="0.83333333333333337"/>
  </r>
  <r>
    <s v="Bougainvillées - Prêt complémentaire"/>
    <x v="0"/>
    <n v="103404"/>
    <n v="150000"/>
    <d v="2019-12-17T00:00:00"/>
    <m/>
    <x v="0"/>
    <d v="2019-11-29T00:00:00"/>
    <d v="2019-12-17T00:00:00"/>
    <n v="1.0666666666666667"/>
  </r>
  <r>
    <s v="Bougainvillées - Prêt complémentaire"/>
    <x v="1"/>
    <n v="103404"/>
    <n v="150000"/>
    <m/>
    <m/>
    <x v="1"/>
    <m/>
    <m/>
    <e v="#NUM!"/>
  </r>
  <r>
    <s v="Bras des Etangs - Prêt complémentaire"/>
    <x v="3"/>
    <n v="103398"/>
    <n v="347443"/>
    <d v="2020-01-15T00:00:00"/>
    <m/>
    <x v="4"/>
    <d v="2019-12-19T00:00:00"/>
    <d v="2020-01-07T00:00:00"/>
    <n v="0.76666666666666672"/>
  </r>
  <r>
    <s v="Canal Lilis"/>
    <x v="0"/>
    <m/>
    <m/>
    <m/>
    <m/>
    <x v="5"/>
    <d v="2019-03-22T00:00:00"/>
    <m/>
    <n v="1.7333333333333334"/>
  </r>
  <r>
    <s v="VEFA ACACIAS"/>
    <x v="2"/>
    <n v="106176"/>
    <n v="2288349"/>
    <d v="2020-02-20T00:00:00"/>
    <d v="2020-02-24T00:00:00"/>
    <x v="3"/>
    <d v="2020-02-01T00:00:00"/>
    <d v="2020-02-19T00:00:00"/>
    <n v="1.1000000000000001"/>
  </r>
  <r>
    <s v="Renouvellement de composants ENTRE DEUX"/>
    <x v="0"/>
    <n v="104296"/>
    <n v="32636"/>
    <d v="2020-03-03T00:00:00"/>
    <m/>
    <x v="6"/>
    <d v="2020-01-24T00:00:00"/>
    <d v="2020-02-20T00:00:00"/>
    <n v="1.2333333333333334"/>
  </r>
  <r>
    <s v="Renouvellement de composants ENTRE DEUX"/>
    <x v="4"/>
    <n v="104296"/>
    <n v="32636"/>
    <m/>
    <m/>
    <x v="6"/>
    <m/>
    <m/>
    <e v="#NUM!"/>
  </r>
  <r>
    <s v="Renouvellement de composants ETANG SALE"/>
    <x v="3"/>
    <n v="104228"/>
    <n v="83041"/>
    <m/>
    <m/>
    <x v="6"/>
    <m/>
    <m/>
    <e v="#NUM!"/>
  </r>
  <r>
    <s v="Canal Lilis"/>
    <x v="1"/>
    <m/>
    <m/>
    <s v="CASUD 17/12/19"/>
    <m/>
    <x v="5"/>
    <d v="2019-03-29T00:00:00"/>
    <m/>
    <n v="1.9666666666666666"/>
  </r>
  <r>
    <s v="Renouvellement de composants LES AVIRONS"/>
    <x v="3"/>
    <n v="104230"/>
    <n v="335345"/>
    <m/>
    <m/>
    <x v="6"/>
    <m/>
    <m/>
    <e v="#NUM!"/>
  </r>
  <r>
    <s v="Renouvellement de composants ST JOSEPH"/>
    <x v="0"/>
    <n v="104300"/>
    <n v="1043421"/>
    <d v="2020-03-03T00:00:00"/>
    <m/>
    <x v="6"/>
    <d v="2020-01-24T00:00:00"/>
    <d v="2020-02-20T00:00:00"/>
    <n v="1.2333333333333334"/>
  </r>
  <r>
    <s v="Renouvellement de composants ST JOSEPH"/>
    <x v="1"/>
    <n v="104300"/>
    <n v="1043421"/>
    <m/>
    <m/>
    <x v="6"/>
    <m/>
    <m/>
    <e v="#NUM!"/>
  </r>
  <r>
    <s v="Renouvellement de composants ST LEU"/>
    <x v="5"/>
    <n v="104215"/>
    <n v="83976"/>
    <m/>
    <m/>
    <x v="6"/>
    <m/>
    <m/>
    <e v="#NUM!"/>
  </r>
  <r>
    <s v="Caramboles - Prêt complémentaire"/>
    <x v="0"/>
    <n v="103401"/>
    <n v="100000"/>
    <d v="2019-12-17T00:00:00"/>
    <m/>
    <x v="0"/>
    <d v="2019-11-29T00:00:00"/>
    <d v="2019-12-17T00:00:00"/>
    <n v="1.0666666666666667"/>
  </r>
  <r>
    <s v="Renouvellement de composants ST LOUIS"/>
    <x v="3"/>
    <n v="104220"/>
    <n v="91366"/>
    <m/>
    <m/>
    <x v="6"/>
    <m/>
    <m/>
    <e v="#NUM!"/>
  </r>
  <r>
    <s v="Caramboles - Prêt complémentaire"/>
    <x v="4"/>
    <n v="103401"/>
    <n v="100000"/>
    <m/>
    <m/>
    <x v="1"/>
    <m/>
    <m/>
    <e v="#NUM!"/>
  </r>
  <r>
    <s v="Opale (ILOT 9)"/>
    <x v="6"/>
    <m/>
    <m/>
    <m/>
    <m/>
    <x v="7"/>
    <d v="2019-03-21T00:00:00"/>
    <m/>
    <n v="1.4333333333333333"/>
  </r>
  <r>
    <s v="Opale (ILOT 9) PHB 2.0"/>
    <x v="6"/>
    <m/>
    <m/>
    <m/>
    <m/>
    <x v="8"/>
    <d v="2019-10-17T00:00:00"/>
    <m/>
    <n v="0.3"/>
  </r>
  <r>
    <s v="VEFA BERGAMOTE TROIS MARES LLS"/>
    <x v="2"/>
    <n v="103389"/>
    <n v="7745103"/>
    <d v="2019-12-26T00:00:00"/>
    <d v="2020-01-14T00:00:00"/>
    <x v="9"/>
    <d v="2019-12-14T00:00:00"/>
    <d v="2019-12-24T00:00:00"/>
    <n v="1.0333333333333334"/>
  </r>
  <r>
    <s v="La Cure"/>
    <x v="0"/>
    <m/>
    <m/>
    <m/>
    <m/>
    <x v="5"/>
    <d v="2019-03-22T00:00:00"/>
    <m/>
    <n v="1.7333333333333334"/>
  </r>
  <r>
    <s v="La Cure"/>
    <x v="1"/>
    <m/>
    <m/>
    <s v="CASUD 17/12/19"/>
    <m/>
    <x v="5"/>
    <d v="2019-03-29T00:00:00"/>
    <m/>
    <n v="1.9666666666666666"/>
  </r>
  <r>
    <s v="Renouvellement de composants ST PIERRE"/>
    <x v="3"/>
    <n v="104217"/>
    <n v="56272"/>
    <m/>
    <m/>
    <x v="6"/>
    <m/>
    <m/>
    <e v="#NUM!"/>
  </r>
  <r>
    <s v="La Cure 1 - Prêt complémentaire"/>
    <x v="0"/>
    <n v="103402"/>
    <n v="180000"/>
    <d v="2019-12-17T00:00:00"/>
    <m/>
    <x v="0"/>
    <d v="2019-11-29T00:00:00"/>
    <d v="2019-12-17T00:00:00"/>
    <n v="1.0666666666666667"/>
  </r>
  <r>
    <s v="La Cure 1 - Prêt complémentaire"/>
    <x v="1"/>
    <n v="103402"/>
    <n v="180000"/>
    <m/>
    <m/>
    <x v="1"/>
    <m/>
    <m/>
    <e v="#NUM!"/>
  </r>
  <r>
    <s v="Poinsétias"/>
    <x v="0"/>
    <m/>
    <m/>
    <m/>
    <m/>
    <x v="5"/>
    <d v="2019-03-22T00:00:00"/>
    <m/>
    <n v="1.7333333333333334"/>
  </r>
  <r>
    <s v="Poinsétias"/>
    <x v="4"/>
    <m/>
    <m/>
    <m/>
    <m/>
    <x v="5"/>
    <d v="2019-04-11T00:00:00"/>
    <m/>
    <n v="2.4"/>
  </r>
  <r>
    <s v="VEFA BERGAMOTE TROIS MARES LLTS"/>
    <x v="0"/>
    <n v="103393"/>
    <n v="1629076"/>
    <d v="2019-12-17T00:00:00"/>
    <m/>
    <x v="0"/>
    <d v="2019-11-29T00:00:00"/>
    <d v="2019-12-17T00:00:00"/>
    <n v="1.0666666666666667"/>
  </r>
  <r>
    <s v="VEFA Miami"/>
    <x v="7"/>
    <n v="104296"/>
    <m/>
    <d v="2019-12-17T00:00:00"/>
    <m/>
    <x v="10"/>
    <d v="2020-02-19T00:00:00"/>
    <m/>
    <n v="3.3"/>
  </r>
  <r>
    <s v="Renouvellement de composants TAMPON"/>
    <x v="0"/>
    <n v="104299"/>
    <n v="378264"/>
    <d v="2020-03-03T00:00:00"/>
    <m/>
    <x v="6"/>
    <d v="2020-01-24T00:00:00"/>
    <d v="2020-02-20T00:00:00"/>
    <n v="1.2333333333333334"/>
  </r>
  <r>
    <s v="Renouvellement de composants TAMPON"/>
    <x v="2"/>
    <n v="104299"/>
    <n v="378264"/>
    <d v="2020-02-19T00:00:00"/>
    <m/>
    <x v="6"/>
    <d v="2020-02-01T00:00:00"/>
    <d v="2020-02-19T00:00:00"/>
    <n v="1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H14" firstHeaderRow="1" firstDataRow="3" firstDataCol="1"/>
  <pivotFields count="11">
    <pivotField showAll="0"/>
    <pivotField axis="axisRow" showAll="0">
      <items count="9">
        <item x="0"/>
        <item x="3"/>
        <item x="4"/>
        <item x="6"/>
        <item x="7"/>
        <item x="1"/>
        <item x="2"/>
        <item x="5"/>
        <item t="default"/>
      </items>
    </pivotField>
    <pivotField showAll="0"/>
    <pivotField showAll="0"/>
    <pivotField showAll="0"/>
    <pivotField showAll="0"/>
    <pivotField axis="axisCol" dataField="1"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axis="axisCol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10"/>
    <field x="6"/>
  </colFields>
  <colItems count="7">
    <i>
      <x v="1"/>
    </i>
    <i>
      <x v="2"/>
    </i>
    <i>
      <x v="5"/>
    </i>
    <i>
      <x v="10"/>
    </i>
    <i>
      <x v="11"/>
    </i>
    <i>
      <x v="12"/>
    </i>
    <i t="grand">
      <x/>
    </i>
  </colItems>
  <dataFields count="1">
    <dataField name="Nombre de DEMANDE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4"/>
  <sheetViews>
    <sheetView workbookViewId="0">
      <selection activeCell="F15" sqref="F15"/>
    </sheetView>
  </sheetViews>
  <sheetFormatPr baseColWidth="10" defaultRowHeight="15" x14ac:dyDescent="0.25"/>
  <cols>
    <col min="1" max="1" width="21" customWidth="1"/>
    <col min="2" max="2" width="23.85546875" customWidth="1"/>
    <col min="3" max="3" width="6.42578125" customWidth="1"/>
    <col min="4" max="4" width="6.140625" customWidth="1"/>
    <col min="5" max="5" width="5.5703125" customWidth="1"/>
    <col min="6" max="6" width="6.140625" customWidth="1"/>
    <col min="7" max="7" width="6" customWidth="1"/>
    <col min="8" max="8" width="12.5703125" customWidth="1"/>
    <col min="9" max="10" width="7" customWidth="1"/>
    <col min="11" max="12" width="6.85546875" customWidth="1"/>
    <col min="13" max="13" width="12.5703125" bestFit="1" customWidth="1"/>
  </cols>
  <sheetData>
    <row r="3" spans="1:8" x14ac:dyDescent="0.25">
      <c r="A3" s="61" t="s">
        <v>139</v>
      </c>
      <c r="B3" s="61" t="s">
        <v>131</v>
      </c>
    </row>
    <row r="4" spans="1:8" x14ac:dyDescent="0.25">
      <c r="B4" t="s">
        <v>133</v>
      </c>
      <c r="C4" t="s">
        <v>134</v>
      </c>
      <c r="D4" t="s">
        <v>135</v>
      </c>
      <c r="E4" t="s">
        <v>136</v>
      </c>
      <c r="F4" t="s">
        <v>137</v>
      </c>
      <c r="G4" t="s">
        <v>138</v>
      </c>
      <c r="H4" t="s">
        <v>88</v>
      </c>
    </row>
    <row r="5" spans="1:8" x14ac:dyDescent="0.25">
      <c r="A5" s="61" t="s">
        <v>132</v>
      </c>
    </row>
    <row r="6" spans="1:8" x14ac:dyDescent="0.25">
      <c r="A6" s="62" t="s">
        <v>21</v>
      </c>
      <c r="B6" s="63">
        <v>3</v>
      </c>
      <c r="C6" s="63"/>
      <c r="D6" s="63">
        <v>1</v>
      </c>
      <c r="E6" s="63">
        <v>5</v>
      </c>
      <c r="F6" s="63"/>
      <c r="G6" s="63">
        <v>4</v>
      </c>
      <c r="H6" s="63">
        <v>13</v>
      </c>
    </row>
    <row r="7" spans="1:8" x14ac:dyDescent="0.25">
      <c r="A7" s="62" t="s">
        <v>6</v>
      </c>
      <c r="B7" s="63"/>
      <c r="C7" s="63"/>
      <c r="D7" s="63"/>
      <c r="E7" s="63"/>
      <c r="F7" s="63">
        <v>1</v>
      </c>
      <c r="G7" s="63">
        <v>4</v>
      </c>
      <c r="H7" s="63">
        <v>5</v>
      </c>
    </row>
    <row r="8" spans="1:8" x14ac:dyDescent="0.25">
      <c r="A8" s="62" t="s">
        <v>7</v>
      </c>
      <c r="B8" s="63">
        <v>1</v>
      </c>
      <c r="C8" s="63"/>
      <c r="D8" s="63"/>
      <c r="E8" s="63"/>
      <c r="F8" s="63">
        <v>1</v>
      </c>
      <c r="G8" s="63">
        <v>1</v>
      </c>
      <c r="H8" s="63">
        <v>3</v>
      </c>
    </row>
    <row r="9" spans="1:8" x14ac:dyDescent="0.25">
      <c r="A9" s="62" t="s">
        <v>13</v>
      </c>
      <c r="B9" s="63"/>
      <c r="C9" s="63">
        <v>1</v>
      </c>
      <c r="D9" s="63"/>
      <c r="E9" s="63">
        <v>1</v>
      </c>
      <c r="F9" s="63"/>
      <c r="G9" s="63"/>
      <c r="H9" s="63">
        <v>2</v>
      </c>
    </row>
    <row r="10" spans="1:8" x14ac:dyDescent="0.25">
      <c r="A10" s="62" t="s">
        <v>14</v>
      </c>
      <c r="B10" s="63"/>
      <c r="C10" s="63"/>
      <c r="D10" s="63"/>
      <c r="E10" s="63"/>
      <c r="F10" s="63">
        <v>1</v>
      </c>
      <c r="G10" s="63"/>
      <c r="H10" s="63">
        <v>1</v>
      </c>
    </row>
    <row r="11" spans="1:8" x14ac:dyDescent="0.25">
      <c r="A11" s="62" t="s">
        <v>5</v>
      </c>
      <c r="B11" s="63">
        <v>2</v>
      </c>
      <c r="C11" s="63"/>
      <c r="D11" s="63"/>
      <c r="E11" s="63"/>
      <c r="F11" s="63">
        <v>3</v>
      </c>
      <c r="G11" s="63">
        <v>1</v>
      </c>
      <c r="H11" s="63">
        <v>6</v>
      </c>
    </row>
    <row r="12" spans="1:8" x14ac:dyDescent="0.25">
      <c r="A12" s="62" t="s">
        <v>4</v>
      </c>
      <c r="B12" s="63"/>
      <c r="C12" s="63"/>
      <c r="D12" s="63">
        <v>1</v>
      </c>
      <c r="E12" s="63"/>
      <c r="F12" s="63">
        <v>1</v>
      </c>
      <c r="G12" s="63">
        <v>2</v>
      </c>
      <c r="H12" s="63">
        <v>4</v>
      </c>
    </row>
    <row r="13" spans="1:8" x14ac:dyDescent="0.25">
      <c r="A13" s="62" t="s">
        <v>15</v>
      </c>
      <c r="B13" s="63"/>
      <c r="C13" s="63"/>
      <c r="D13" s="63"/>
      <c r="E13" s="63"/>
      <c r="F13" s="63"/>
      <c r="G13" s="63">
        <v>1</v>
      </c>
      <c r="H13" s="63">
        <v>1</v>
      </c>
    </row>
    <row r="14" spans="1:8" x14ac:dyDescent="0.25">
      <c r="A14" s="62" t="s">
        <v>88</v>
      </c>
      <c r="B14" s="63">
        <v>6</v>
      </c>
      <c r="C14" s="63">
        <v>1</v>
      </c>
      <c r="D14" s="63">
        <v>2</v>
      </c>
      <c r="E14" s="63">
        <v>6</v>
      </c>
      <c r="F14" s="63">
        <v>7</v>
      </c>
      <c r="G14" s="63">
        <v>13</v>
      </c>
      <c r="H14" s="63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workbookViewId="0">
      <selection activeCell="N21" sqref="N21"/>
    </sheetView>
  </sheetViews>
  <sheetFormatPr baseColWidth="10" defaultRowHeight="15" x14ac:dyDescent="0.25"/>
  <cols>
    <col min="1" max="1" width="35.42578125" bestFit="1" customWidth="1"/>
    <col min="5" max="5" width="24.5703125" bestFit="1" customWidth="1"/>
    <col min="6" max="6" width="24.5703125" customWidth="1"/>
    <col min="7" max="7" width="16.85546875" customWidth="1"/>
    <col min="8" max="8" width="13.7109375" bestFit="1" customWidth="1"/>
    <col min="9" max="9" width="13.7109375" customWidth="1"/>
    <col min="10" max="10" width="11.42578125" style="28"/>
    <col min="11" max="11" width="15.5703125" bestFit="1" customWidth="1"/>
    <col min="13" max="13" width="25.5703125" bestFit="1" customWidth="1"/>
    <col min="15" max="15" width="40.140625" bestFit="1" customWidth="1"/>
  </cols>
  <sheetData>
    <row r="1" spans="1:15" s="8" customFormat="1" x14ac:dyDescent="0.25">
      <c r="A1" s="34" t="s">
        <v>0</v>
      </c>
      <c r="B1" s="34" t="s">
        <v>117</v>
      </c>
      <c r="C1" s="34" t="s">
        <v>126</v>
      </c>
      <c r="D1" s="34" t="s">
        <v>101</v>
      </c>
      <c r="E1" s="34" t="s">
        <v>125</v>
      </c>
      <c r="F1" s="34" t="s">
        <v>128</v>
      </c>
      <c r="G1" s="34" t="s">
        <v>118</v>
      </c>
      <c r="H1" s="34" t="s">
        <v>119</v>
      </c>
      <c r="I1" s="34" t="s">
        <v>127</v>
      </c>
      <c r="J1" s="29" t="s">
        <v>120</v>
      </c>
      <c r="K1" s="8" t="s">
        <v>129</v>
      </c>
    </row>
    <row r="2" spans="1:15" s="35" customFormat="1" ht="27.75" customHeight="1" thickBot="1" x14ac:dyDescent="0.3">
      <c r="A2" s="21" t="s">
        <v>105</v>
      </c>
      <c r="B2" s="19" t="s">
        <v>21</v>
      </c>
      <c r="C2" s="30">
        <v>103400</v>
      </c>
      <c r="D2" s="56">
        <v>150000</v>
      </c>
      <c r="E2" s="55">
        <v>43816</v>
      </c>
      <c r="F2" s="19"/>
      <c r="G2" s="25">
        <v>43766</v>
      </c>
      <c r="H2" s="24">
        <v>43798</v>
      </c>
      <c r="I2" s="24">
        <v>43816</v>
      </c>
      <c r="J2" s="33">
        <f>(DATEDIF(G2,H2,"d"))/30</f>
        <v>1.0666666666666667</v>
      </c>
      <c r="O2" s="36"/>
    </row>
    <row r="3" spans="1:15" ht="15.75" thickBot="1" x14ac:dyDescent="0.3">
      <c r="A3" s="21" t="s">
        <v>105</v>
      </c>
      <c r="B3" s="17" t="s">
        <v>5</v>
      </c>
      <c r="C3" s="30">
        <v>103400</v>
      </c>
      <c r="D3" s="56">
        <v>150000</v>
      </c>
      <c r="E3" s="17"/>
      <c r="F3" s="17"/>
      <c r="G3" s="25">
        <v>43790</v>
      </c>
      <c r="H3" s="25"/>
      <c r="I3" s="25"/>
      <c r="J3" s="33" t="e">
        <f>(DATEDIF(G3,H3,"d"))/30</f>
        <v>#NUM!</v>
      </c>
      <c r="M3" s="44" t="s">
        <v>121</v>
      </c>
      <c r="N3" s="44">
        <f>COUNTA(B2:B36)</f>
        <v>35</v>
      </c>
      <c r="O3" s="44" t="s">
        <v>122</v>
      </c>
    </row>
    <row r="4" spans="1:15" x14ac:dyDescent="0.25">
      <c r="A4" s="21" t="s">
        <v>8</v>
      </c>
      <c r="B4" s="17" t="s">
        <v>21</v>
      </c>
      <c r="C4" s="17"/>
      <c r="D4" s="57"/>
      <c r="E4" s="17"/>
      <c r="F4" s="17"/>
      <c r="G4" s="25">
        <v>43612</v>
      </c>
      <c r="H4" s="24">
        <v>43651</v>
      </c>
      <c r="I4" s="24"/>
      <c r="J4" s="33">
        <f>(DATEDIF(G4,H4,"d"))/30</f>
        <v>1.3</v>
      </c>
      <c r="M4" s="45" t="s">
        <v>21</v>
      </c>
      <c r="N4" s="45">
        <f t="shared" ref="N4:N11" si="0">COUNTIF(Garant,M4)</f>
        <v>13</v>
      </c>
      <c r="O4" s="47">
        <f>AVERAGEIFS(Moyenne,Garant,M4,$H$2:$H$36,"&gt;=01/01/2019",$H$2:$H$36,"&lt;01/01/2020")</f>
        <v>1.3148148148148147</v>
      </c>
    </row>
    <row r="5" spans="1:15" x14ac:dyDescent="0.25">
      <c r="A5" s="21" t="s">
        <v>8</v>
      </c>
      <c r="B5" s="17" t="s">
        <v>4</v>
      </c>
      <c r="C5" s="17"/>
      <c r="D5" s="57"/>
      <c r="E5" s="17"/>
      <c r="F5" s="17"/>
      <c r="G5" s="25">
        <v>43612</v>
      </c>
      <c r="H5" s="25">
        <v>43764</v>
      </c>
      <c r="I5" s="25"/>
      <c r="J5" s="33">
        <f>(DATEDIF(G5,H5,"d"))/30</f>
        <v>5.0666666666666664</v>
      </c>
      <c r="M5" s="46" t="s">
        <v>6</v>
      </c>
      <c r="N5" s="46">
        <f t="shared" si="0"/>
        <v>5</v>
      </c>
      <c r="O5" s="48">
        <f t="shared" ref="O5:O11" si="1">AVERAGEIFS(Moyenne,Garant,M5,$H$2:$H$36,"&gt;=01/01/2019",$H$2:$H$36,"&lt;01/01/2020")</f>
        <v>0.76666666666666672</v>
      </c>
    </row>
    <row r="6" spans="1:15" x14ac:dyDescent="0.25">
      <c r="A6" s="18" t="s">
        <v>116</v>
      </c>
      <c r="B6" s="19" t="s">
        <v>21</v>
      </c>
      <c r="C6" s="19">
        <v>106174</v>
      </c>
      <c r="D6" s="56">
        <v>846657</v>
      </c>
      <c r="E6" s="19"/>
      <c r="F6" s="19"/>
      <c r="G6" s="27">
        <v>43829</v>
      </c>
      <c r="H6" s="24">
        <v>43854</v>
      </c>
      <c r="I6" s="54">
        <v>43881</v>
      </c>
      <c r="J6" s="33">
        <f>(DATEDIF(G6,H6,"d"))/30</f>
        <v>0.83333333333333337</v>
      </c>
      <c r="M6" s="46" t="s">
        <v>15</v>
      </c>
      <c r="N6" s="46">
        <f t="shared" si="0"/>
        <v>1</v>
      </c>
      <c r="O6" s="48" t="e">
        <f>AVERAGEIFS(Moyenne,Garant,M6,$H$2:$H$36,"&gt;=01/01/2019",$H$2:$H$36,"&lt;01/01/2020")</f>
        <v>#DIV/0!</v>
      </c>
    </row>
    <row r="7" spans="1:15" x14ac:dyDescent="0.25">
      <c r="A7" s="21" t="s">
        <v>106</v>
      </c>
      <c r="B7" s="19" t="s">
        <v>21</v>
      </c>
      <c r="C7" s="30">
        <v>103404</v>
      </c>
      <c r="D7" s="56">
        <v>150000</v>
      </c>
      <c r="E7" s="55">
        <v>43816</v>
      </c>
      <c r="F7" s="19"/>
      <c r="G7" s="25">
        <v>43766</v>
      </c>
      <c r="H7" s="24">
        <v>43798</v>
      </c>
      <c r="I7" s="24">
        <v>43816</v>
      </c>
      <c r="J7" s="33">
        <f>(DATEDIF(G7,H7,"d"))/30</f>
        <v>1.0666666666666667</v>
      </c>
      <c r="M7" s="46" t="s">
        <v>13</v>
      </c>
      <c r="N7" s="46">
        <f t="shared" si="0"/>
        <v>2</v>
      </c>
      <c r="O7" s="48">
        <f t="shared" si="1"/>
        <v>0.8666666666666667</v>
      </c>
    </row>
    <row r="8" spans="1:15" x14ac:dyDescent="0.25">
      <c r="A8" s="21" t="s">
        <v>106</v>
      </c>
      <c r="B8" s="17" t="s">
        <v>5</v>
      </c>
      <c r="C8" s="30">
        <v>103404</v>
      </c>
      <c r="D8" s="56">
        <v>150000</v>
      </c>
      <c r="E8" s="55"/>
      <c r="F8" s="17"/>
      <c r="G8" s="25">
        <v>43790</v>
      </c>
      <c r="H8" s="25"/>
      <c r="I8" s="25"/>
      <c r="J8" s="33" t="e">
        <f>(DATEDIF(G8,H8,"d"))/30</f>
        <v>#NUM!</v>
      </c>
      <c r="M8" s="46" t="s">
        <v>7</v>
      </c>
      <c r="N8" s="46">
        <f t="shared" si="0"/>
        <v>3</v>
      </c>
      <c r="O8" s="48">
        <f t="shared" si="1"/>
        <v>2.4</v>
      </c>
    </row>
    <row r="9" spans="1:15" x14ac:dyDescent="0.25">
      <c r="A9" s="21" t="s">
        <v>104</v>
      </c>
      <c r="B9" s="19" t="s">
        <v>6</v>
      </c>
      <c r="C9" s="30">
        <v>103398</v>
      </c>
      <c r="D9" s="31">
        <v>347443</v>
      </c>
      <c r="E9" s="55">
        <v>43845</v>
      </c>
      <c r="F9" s="19"/>
      <c r="G9" s="25">
        <v>43795</v>
      </c>
      <c r="H9" s="25">
        <v>43818</v>
      </c>
      <c r="I9" s="25">
        <v>43837</v>
      </c>
      <c r="J9" s="33">
        <f>(DATEDIF(G9,H9,"d"))/30</f>
        <v>0.76666666666666672</v>
      </c>
      <c r="M9" s="46" t="s">
        <v>14</v>
      </c>
      <c r="N9" s="46">
        <f t="shared" si="0"/>
        <v>1</v>
      </c>
      <c r="O9" s="48" t="e">
        <f t="shared" si="1"/>
        <v>#DIV/0!</v>
      </c>
    </row>
    <row r="10" spans="1:15" x14ac:dyDescent="0.25">
      <c r="A10" s="21" t="s">
        <v>9</v>
      </c>
      <c r="B10" s="17" t="s">
        <v>21</v>
      </c>
      <c r="C10" s="17"/>
      <c r="D10" s="57"/>
      <c r="E10" s="17"/>
      <c r="F10" s="17"/>
      <c r="G10" s="25">
        <v>43494</v>
      </c>
      <c r="H10" s="24">
        <v>43546</v>
      </c>
      <c r="I10" s="24"/>
      <c r="J10" s="33">
        <f>(DATEDIF(G10,H10,"d"))/30</f>
        <v>1.7333333333333334</v>
      </c>
      <c r="M10" s="46" t="s">
        <v>5</v>
      </c>
      <c r="N10" s="46">
        <f t="shared" si="0"/>
        <v>6</v>
      </c>
      <c r="O10" s="48">
        <f t="shared" si="1"/>
        <v>1.9666666666666666</v>
      </c>
    </row>
    <row r="11" spans="1:15" ht="15.75" thickBot="1" x14ac:dyDescent="0.3">
      <c r="A11" s="18" t="s">
        <v>116</v>
      </c>
      <c r="B11" s="19" t="s">
        <v>4</v>
      </c>
      <c r="C11" s="19">
        <v>106176</v>
      </c>
      <c r="D11" s="56">
        <v>2288349</v>
      </c>
      <c r="E11" s="53">
        <v>43881</v>
      </c>
      <c r="F11" s="53">
        <v>43885</v>
      </c>
      <c r="G11" s="27">
        <v>43829</v>
      </c>
      <c r="H11" s="27">
        <v>43862</v>
      </c>
      <c r="I11" s="27">
        <v>43880</v>
      </c>
      <c r="J11" s="33">
        <f>(DATEDIF(G11,H11,"d"))/30</f>
        <v>1.1000000000000001</v>
      </c>
      <c r="M11" s="43" t="s">
        <v>4</v>
      </c>
      <c r="N11" s="43">
        <f t="shared" si="0"/>
        <v>4</v>
      </c>
      <c r="O11" s="49">
        <f t="shared" si="1"/>
        <v>3.05</v>
      </c>
    </row>
    <row r="12" spans="1:15" ht="30.75" thickBot="1" x14ac:dyDescent="0.3">
      <c r="A12" s="18" t="s">
        <v>109</v>
      </c>
      <c r="B12" s="19" t="s">
        <v>21</v>
      </c>
      <c r="C12" s="19">
        <v>104296</v>
      </c>
      <c r="D12" s="58">
        <v>32636</v>
      </c>
      <c r="E12" s="55">
        <v>43893</v>
      </c>
      <c r="F12" s="19"/>
      <c r="G12" s="27">
        <v>43817</v>
      </c>
      <c r="H12" s="24">
        <v>43854</v>
      </c>
      <c r="I12" s="24">
        <v>43881</v>
      </c>
      <c r="J12" s="33">
        <f>(DATEDIF(G12,H12,"d"))/30</f>
        <v>1.2333333333333334</v>
      </c>
    </row>
    <row r="13" spans="1:15" ht="30.75" thickBot="1" x14ac:dyDescent="0.3">
      <c r="A13" s="18" t="s">
        <v>109</v>
      </c>
      <c r="B13" s="19" t="s">
        <v>7</v>
      </c>
      <c r="C13" s="19">
        <v>104296</v>
      </c>
      <c r="D13" s="58">
        <v>32636</v>
      </c>
      <c r="E13" s="19"/>
      <c r="F13" s="19"/>
      <c r="G13" s="27">
        <v>43817</v>
      </c>
      <c r="H13" s="25"/>
      <c r="I13" s="25"/>
      <c r="J13" s="33" t="e">
        <f>(DATEDIF(G13,H13,"d"))/30</f>
        <v>#NUM!</v>
      </c>
      <c r="M13" s="50" t="s">
        <v>123</v>
      </c>
      <c r="N13" s="51"/>
    </row>
    <row r="14" spans="1:15" ht="30" x14ac:dyDescent="0.25">
      <c r="A14" s="18" t="s">
        <v>110</v>
      </c>
      <c r="B14" s="19" t="s">
        <v>6</v>
      </c>
      <c r="C14" s="19">
        <v>104228</v>
      </c>
      <c r="D14" s="58">
        <v>83041</v>
      </c>
      <c r="E14" s="19"/>
      <c r="F14" s="19"/>
      <c r="G14" s="27">
        <v>43817</v>
      </c>
      <c r="H14" s="25"/>
      <c r="I14" s="25"/>
      <c r="J14" s="33" t="e">
        <f>(DATEDIF(G14,H14,"d"))/30</f>
        <v>#NUM!</v>
      </c>
      <c r="M14" s="41">
        <v>2019</v>
      </c>
      <c r="N14" s="42">
        <f>COUNTIFS($H$2:$H$36,"&gt;=01/01/2019",$H$2:$H$36,"&lt;01/01/2020")</f>
        <v>17</v>
      </c>
    </row>
    <row r="15" spans="1:15" x14ac:dyDescent="0.25">
      <c r="A15" s="21" t="s">
        <v>9</v>
      </c>
      <c r="B15" s="17" t="s">
        <v>5</v>
      </c>
      <c r="C15" s="17"/>
      <c r="D15" s="57"/>
      <c r="E15" s="17" t="s">
        <v>100</v>
      </c>
      <c r="F15" s="17"/>
      <c r="G15" s="25">
        <v>43494</v>
      </c>
      <c r="H15" s="25">
        <v>43553</v>
      </c>
      <c r="I15" s="25"/>
      <c r="J15" s="33">
        <f>(DATEDIF(G15,H15,"d"))/30</f>
        <v>1.9666666666666666</v>
      </c>
      <c r="M15" s="39">
        <v>2020</v>
      </c>
      <c r="N15" s="37">
        <f>COUNTIFS($H$2:$H$36,"&gt;=01/01/2020",$H$2:$H$36,"&lt;01/01/2021")</f>
        <v>7</v>
      </c>
    </row>
    <row r="16" spans="1:15" ht="30.75" thickBot="1" x14ac:dyDescent="0.3">
      <c r="A16" s="18" t="s">
        <v>108</v>
      </c>
      <c r="B16" s="19" t="s">
        <v>6</v>
      </c>
      <c r="C16" s="19">
        <v>104230</v>
      </c>
      <c r="D16" s="58">
        <v>335345</v>
      </c>
      <c r="E16" s="19"/>
      <c r="F16" s="19"/>
      <c r="G16" s="27">
        <v>43817</v>
      </c>
      <c r="H16" s="25"/>
      <c r="I16" s="25"/>
      <c r="J16" s="33" t="e">
        <f>(DATEDIF(G16,H16,"d"))/30</f>
        <v>#NUM!</v>
      </c>
      <c r="M16" s="40" t="s">
        <v>124</v>
      </c>
      <c r="N16" s="38">
        <f>N3-N14-N15</f>
        <v>11</v>
      </c>
    </row>
    <row r="17" spans="1:14" ht="30" x14ac:dyDescent="0.25">
      <c r="A17" s="18" t="s">
        <v>111</v>
      </c>
      <c r="B17" s="19" t="s">
        <v>21</v>
      </c>
      <c r="C17" s="30">
        <v>104300</v>
      </c>
      <c r="D17" s="31">
        <f>1034345+9076</f>
        <v>1043421</v>
      </c>
      <c r="E17" s="55">
        <v>43893</v>
      </c>
      <c r="F17" s="19"/>
      <c r="G17" s="27">
        <v>43817</v>
      </c>
      <c r="H17" s="24">
        <v>43854</v>
      </c>
      <c r="I17" s="24">
        <v>43881</v>
      </c>
      <c r="J17" s="33">
        <f>(DATEDIF(G17,H17,"d"))/30</f>
        <v>1.2333333333333334</v>
      </c>
    </row>
    <row r="18" spans="1:14" ht="30" x14ac:dyDescent="0.25">
      <c r="A18" s="18" t="s">
        <v>111</v>
      </c>
      <c r="B18" s="19" t="s">
        <v>5</v>
      </c>
      <c r="C18" s="30">
        <v>104300</v>
      </c>
      <c r="D18" s="31">
        <f>1034345+9076</f>
        <v>1043421</v>
      </c>
      <c r="E18" s="19"/>
      <c r="F18" s="19"/>
      <c r="G18" s="27">
        <v>43817</v>
      </c>
      <c r="H18" s="25"/>
      <c r="I18" s="25"/>
      <c r="J18" s="33" t="e">
        <f>(DATEDIF(G18,H18,"d"))/30</f>
        <v>#NUM!</v>
      </c>
      <c r="N18">
        <f>COUNTIFS(Garant,M4,Dde,2019)</f>
        <v>0</v>
      </c>
    </row>
    <row r="19" spans="1:14" ht="30" x14ac:dyDescent="0.25">
      <c r="A19" s="18" t="s">
        <v>112</v>
      </c>
      <c r="B19" s="19" t="s">
        <v>15</v>
      </c>
      <c r="C19" s="30">
        <v>104215</v>
      </c>
      <c r="D19" s="31">
        <v>83976</v>
      </c>
      <c r="E19" s="19"/>
      <c r="F19" s="19"/>
      <c r="G19" s="27">
        <v>43817</v>
      </c>
      <c r="H19" s="25"/>
      <c r="I19" s="25"/>
      <c r="J19" s="33" t="e">
        <f>(DATEDIF(G19,H19,"d"))/30</f>
        <v>#NUM!</v>
      </c>
    </row>
    <row r="20" spans="1:14" x14ac:dyDescent="0.25">
      <c r="A20" s="21" t="s">
        <v>103</v>
      </c>
      <c r="B20" s="19" t="s">
        <v>21</v>
      </c>
      <c r="C20" s="19">
        <v>103401</v>
      </c>
      <c r="D20" s="56">
        <v>100000</v>
      </c>
      <c r="E20" s="55">
        <v>43816</v>
      </c>
      <c r="F20" s="19"/>
      <c r="G20" s="24">
        <v>43766</v>
      </c>
      <c r="H20" s="24">
        <v>43798</v>
      </c>
      <c r="I20" s="24">
        <v>43816</v>
      </c>
      <c r="J20" s="33">
        <f>(DATEDIF(G20,H20,"d"))/30</f>
        <v>1.0666666666666667</v>
      </c>
    </row>
    <row r="21" spans="1:14" ht="30" x14ac:dyDescent="0.25">
      <c r="A21" s="18" t="s">
        <v>113</v>
      </c>
      <c r="B21" s="19" t="s">
        <v>6</v>
      </c>
      <c r="C21" s="30">
        <v>104220</v>
      </c>
      <c r="D21" s="31">
        <f>86828+4538</f>
        <v>91366</v>
      </c>
      <c r="E21" s="19"/>
      <c r="F21" s="19"/>
      <c r="G21" s="27">
        <v>43817</v>
      </c>
      <c r="H21" s="25"/>
      <c r="I21" s="25"/>
      <c r="J21" s="33" t="e">
        <f>(DATEDIF(G21,H21,"d"))/30</f>
        <v>#NUM!</v>
      </c>
      <c r="M21">
        <v>2019</v>
      </c>
      <c r="N21" t="e">
        <f ca="1">somme.prod((Garant=M4)*(YEAR(Dde)=M21))</f>
        <v>#NAME?</v>
      </c>
    </row>
    <row r="22" spans="1:14" x14ac:dyDescent="0.25">
      <c r="A22" s="21" t="s">
        <v>103</v>
      </c>
      <c r="B22" s="17" t="s">
        <v>7</v>
      </c>
      <c r="C22" s="19">
        <v>103401</v>
      </c>
      <c r="D22" s="59">
        <v>100000</v>
      </c>
      <c r="E22" s="55"/>
      <c r="F22" s="17"/>
      <c r="G22" s="25">
        <v>43790</v>
      </c>
      <c r="H22" s="25"/>
      <c r="I22" s="25"/>
      <c r="J22" s="33" t="e">
        <f>(DATEDIF(G22,H22,"d"))/30</f>
        <v>#NUM!</v>
      </c>
    </row>
    <row r="23" spans="1:14" x14ac:dyDescent="0.25">
      <c r="A23" s="20" t="s">
        <v>12</v>
      </c>
      <c r="B23" s="17" t="s">
        <v>13</v>
      </c>
      <c r="C23" s="19"/>
      <c r="D23" s="57"/>
      <c r="E23" s="17"/>
      <c r="F23" s="17"/>
      <c r="G23" s="24">
        <v>43502</v>
      </c>
      <c r="H23" s="26">
        <v>43545</v>
      </c>
      <c r="I23" s="26"/>
      <c r="J23" s="33">
        <f>(DATEDIF(G23,H23,"d"))/30</f>
        <v>1.4333333333333333</v>
      </c>
      <c r="M23">
        <f>COUNTIF(Dde,2019)</f>
        <v>0</v>
      </c>
    </row>
    <row r="24" spans="1:14" x14ac:dyDescent="0.25">
      <c r="A24" s="20" t="s">
        <v>102</v>
      </c>
      <c r="B24" s="17" t="s">
        <v>13</v>
      </c>
      <c r="C24" s="19"/>
      <c r="D24" s="57"/>
      <c r="E24" s="17"/>
      <c r="F24" s="17"/>
      <c r="G24" s="24">
        <v>43746</v>
      </c>
      <c r="H24" s="26">
        <v>43755</v>
      </c>
      <c r="I24" s="26"/>
      <c r="J24" s="33">
        <f>(DATEDIF(G24,H24,"d"))/30</f>
        <v>0.3</v>
      </c>
    </row>
    <row r="25" spans="1:14" x14ac:dyDescent="0.25">
      <c r="A25" s="23" t="s">
        <v>97</v>
      </c>
      <c r="B25" s="17" t="s">
        <v>4</v>
      </c>
      <c r="C25" s="19">
        <v>103389</v>
      </c>
      <c r="D25" s="59">
        <v>7745103</v>
      </c>
      <c r="E25" s="53">
        <v>43825</v>
      </c>
      <c r="F25" s="53">
        <v>43844</v>
      </c>
      <c r="G25" s="25">
        <v>43782</v>
      </c>
      <c r="H25" s="25">
        <v>43813</v>
      </c>
      <c r="I25" s="25">
        <v>43823</v>
      </c>
      <c r="J25" s="33">
        <f>(DATEDIF(G25,H25,"d"))/30</f>
        <v>1.0333333333333334</v>
      </c>
    </row>
    <row r="26" spans="1:14" x14ac:dyDescent="0.25">
      <c r="A26" s="21" t="s">
        <v>96</v>
      </c>
      <c r="B26" s="17" t="s">
        <v>21</v>
      </c>
      <c r="C26" s="19"/>
      <c r="D26" s="57"/>
      <c r="E26" s="17"/>
      <c r="F26" s="17"/>
      <c r="G26" s="25">
        <v>43494</v>
      </c>
      <c r="H26" s="24">
        <v>43546</v>
      </c>
      <c r="I26" s="24"/>
      <c r="J26" s="33">
        <f>(DATEDIF(G26,H26,"d"))/30</f>
        <v>1.7333333333333334</v>
      </c>
    </row>
    <row r="27" spans="1:14" x14ac:dyDescent="0.25">
      <c r="A27" s="21" t="s">
        <v>96</v>
      </c>
      <c r="B27" s="17" t="s">
        <v>5</v>
      </c>
      <c r="C27" s="19"/>
      <c r="D27" s="57"/>
      <c r="E27" s="17" t="s">
        <v>100</v>
      </c>
      <c r="F27" s="17"/>
      <c r="G27" s="25">
        <v>43494</v>
      </c>
      <c r="H27" s="25">
        <v>43553</v>
      </c>
      <c r="I27" s="25"/>
      <c r="J27" s="33">
        <f>(DATEDIF(G27,H27,"d"))/30</f>
        <v>1.9666666666666666</v>
      </c>
    </row>
    <row r="28" spans="1:14" ht="30" x14ac:dyDescent="0.25">
      <c r="A28" s="18" t="s">
        <v>114</v>
      </c>
      <c r="B28" s="19" t="s">
        <v>6</v>
      </c>
      <c r="C28" s="30">
        <v>104217</v>
      </c>
      <c r="D28" s="31">
        <v>56272</v>
      </c>
      <c r="E28" s="19"/>
      <c r="F28" s="19"/>
      <c r="G28" s="27">
        <v>43817</v>
      </c>
      <c r="H28" s="25"/>
      <c r="I28" s="25"/>
      <c r="J28" s="33" t="e">
        <f>(DATEDIF(G28,H28,"d"))/30</f>
        <v>#NUM!</v>
      </c>
    </row>
    <row r="29" spans="1:14" x14ac:dyDescent="0.25">
      <c r="A29" s="21" t="s">
        <v>107</v>
      </c>
      <c r="B29" s="19" t="s">
        <v>21</v>
      </c>
      <c r="C29" s="19">
        <v>103402</v>
      </c>
      <c r="D29" s="56">
        <v>180000</v>
      </c>
      <c r="E29" s="55">
        <v>43816</v>
      </c>
      <c r="F29" s="19"/>
      <c r="G29" s="25">
        <v>43766</v>
      </c>
      <c r="H29" s="24">
        <v>43798</v>
      </c>
      <c r="I29" s="24">
        <v>43816</v>
      </c>
      <c r="J29" s="33">
        <f>(DATEDIF(G29,H29,"d"))/30</f>
        <v>1.0666666666666667</v>
      </c>
    </row>
    <row r="30" spans="1:14" x14ac:dyDescent="0.25">
      <c r="A30" s="21" t="s">
        <v>107</v>
      </c>
      <c r="B30" s="17" t="s">
        <v>5</v>
      </c>
      <c r="C30" s="19">
        <v>103402</v>
      </c>
      <c r="D30" s="56">
        <v>180000</v>
      </c>
      <c r="E30" s="55"/>
      <c r="F30" s="17"/>
      <c r="G30" s="25">
        <v>43790</v>
      </c>
      <c r="H30" s="25"/>
      <c r="I30" s="25"/>
      <c r="J30" s="33" t="e">
        <f>(DATEDIF(G30,H30,"d"))/30</f>
        <v>#NUM!</v>
      </c>
    </row>
    <row r="31" spans="1:14" x14ac:dyDescent="0.25">
      <c r="A31" s="21" t="s">
        <v>10</v>
      </c>
      <c r="B31" s="17" t="s">
        <v>21</v>
      </c>
      <c r="C31" s="19"/>
      <c r="D31" s="57"/>
      <c r="E31" s="17"/>
      <c r="F31" s="17"/>
      <c r="G31" s="25">
        <v>43494</v>
      </c>
      <c r="H31" s="24">
        <v>43546</v>
      </c>
      <c r="I31" s="24"/>
      <c r="J31" s="33">
        <f>(DATEDIF(G31,H31,"d"))/30</f>
        <v>1.7333333333333334</v>
      </c>
    </row>
    <row r="32" spans="1:14" x14ac:dyDescent="0.25">
      <c r="A32" s="21" t="s">
        <v>10</v>
      </c>
      <c r="B32" s="17" t="s">
        <v>7</v>
      </c>
      <c r="C32" s="19"/>
      <c r="D32" s="57"/>
      <c r="E32" s="17"/>
      <c r="F32" s="17"/>
      <c r="G32" s="25">
        <v>43494</v>
      </c>
      <c r="H32" s="25">
        <v>43566</v>
      </c>
      <c r="I32" s="25"/>
      <c r="J32" s="33">
        <f>(DATEDIF(G32,H32,"d"))/30</f>
        <v>2.4</v>
      </c>
    </row>
    <row r="33" spans="1:10" x14ac:dyDescent="0.25">
      <c r="A33" s="23" t="s">
        <v>98</v>
      </c>
      <c r="B33" s="17" t="s">
        <v>21</v>
      </c>
      <c r="C33" s="19">
        <v>103393</v>
      </c>
      <c r="D33" s="59">
        <v>1629076</v>
      </c>
      <c r="E33" s="53">
        <v>43816</v>
      </c>
      <c r="F33" s="53"/>
      <c r="G33" s="24">
        <v>43766</v>
      </c>
      <c r="H33" s="24">
        <v>43798</v>
      </c>
      <c r="I33" s="24">
        <v>43816</v>
      </c>
      <c r="J33" s="33">
        <f>(DATEDIF(G33,H33,"d"))/30</f>
        <v>1.0666666666666667</v>
      </c>
    </row>
    <row r="34" spans="1:10" x14ac:dyDescent="0.25">
      <c r="A34" s="22" t="s">
        <v>99</v>
      </c>
      <c r="B34" s="17" t="s">
        <v>14</v>
      </c>
      <c r="C34" s="19">
        <v>104296</v>
      </c>
      <c r="D34" s="59"/>
      <c r="E34" s="53">
        <v>43816</v>
      </c>
      <c r="F34" s="53"/>
      <c r="G34" s="25">
        <v>43781</v>
      </c>
      <c r="H34" s="25">
        <v>43880</v>
      </c>
      <c r="I34" s="25"/>
      <c r="J34" s="33">
        <f>(DATEDIF(G34,H34,"d"))/30</f>
        <v>3.3</v>
      </c>
    </row>
    <row r="35" spans="1:10" ht="30" x14ac:dyDescent="0.25">
      <c r="A35" s="18" t="s">
        <v>115</v>
      </c>
      <c r="B35" s="19" t="s">
        <v>21</v>
      </c>
      <c r="C35" s="30">
        <v>104299</v>
      </c>
      <c r="D35" s="31">
        <f>328348+49916</f>
        <v>378264</v>
      </c>
      <c r="E35" s="55">
        <v>43893</v>
      </c>
      <c r="F35" s="19"/>
      <c r="G35" s="27">
        <v>43817</v>
      </c>
      <c r="H35" s="24">
        <v>43854</v>
      </c>
      <c r="I35" s="24">
        <v>43881</v>
      </c>
      <c r="J35" s="33">
        <f>(DATEDIF(G35,H35,"d"))/30</f>
        <v>1.2333333333333334</v>
      </c>
    </row>
    <row r="36" spans="1:10" ht="30" x14ac:dyDescent="0.25">
      <c r="A36" s="18" t="s">
        <v>115</v>
      </c>
      <c r="B36" s="19" t="s">
        <v>4</v>
      </c>
      <c r="C36" s="30">
        <v>104299</v>
      </c>
      <c r="D36" s="31">
        <f>328348+49916</f>
        <v>378264</v>
      </c>
      <c r="E36" s="55">
        <v>43880</v>
      </c>
      <c r="F36" s="19"/>
      <c r="G36" s="27">
        <v>43817</v>
      </c>
      <c r="H36" s="27">
        <v>43862</v>
      </c>
      <c r="I36" s="27">
        <v>43880</v>
      </c>
      <c r="J36" s="33">
        <f>(DATEDIF(G36,H36,"d"))/30</f>
        <v>1.5</v>
      </c>
    </row>
  </sheetData>
  <autoFilter ref="A1:K36"/>
  <mergeCells count="1">
    <mergeCell ref="M13:N13"/>
  </mergeCells>
  <conditionalFormatting sqref="H2:I36">
    <cfRule type="timePeriod" dxfId="0" priority="1" timePeriod="today">
      <formula>FLOOR(H2,1)=TODAY()</formula>
    </cfRule>
  </conditionalFormatting>
  <dataValidations count="1">
    <dataValidation type="list" allowBlank="1" showInputMessage="1" showErrorMessage="1" sqref="B15:B22 C15:D15 F15:F22 E21 E15:E16 E18:E19">
      <formula1>"Avirons,Cilaos,Entre-Deux,Etang-Salé,La Possession,Petite-Ile,St Joseph,St Leu,St Louis,St Paul,St Philippe,St Pierre,Tampon,Trois Bassins"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C11" sqref="C4:C11"/>
    </sheetView>
  </sheetViews>
  <sheetFormatPr baseColWidth="10" defaultRowHeight="15" x14ac:dyDescent="0.25"/>
  <cols>
    <col min="1" max="1" width="23.28515625" customWidth="1"/>
  </cols>
  <sheetData>
    <row r="1" spans="1:13" ht="18.75" x14ac:dyDescent="0.3">
      <c r="A1" s="60" t="s">
        <v>130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3" spans="1:13" s="8" customFormat="1" x14ac:dyDescent="0.25">
      <c r="B3" s="8">
        <v>2019</v>
      </c>
      <c r="C3" s="8">
        <v>2020</v>
      </c>
    </row>
    <row r="4" spans="1:13" x14ac:dyDescent="0.25">
      <c r="A4" s="8" t="s">
        <v>21</v>
      </c>
      <c r="B4">
        <f>COUNTIF(Garant,A4)</f>
        <v>13</v>
      </c>
    </row>
    <row r="5" spans="1:13" x14ac:dyDescent="0.25">
      <c r="A5" s="8" t="s">
        <v>6</v>
      </c>
      <c r="B5">
        <f>COUNTIF(Garant,A5)</f>
        <v>5</v>
      </c>
    </row>
    <row r="6" spans="1:13" x14ac:dyDescent="0.25">
      <c r="A6" s="8" t="s">
        <v>15</v>
      </c>
      <c r="B6">
        <f>COUNTIF(Garant,A6)</f>
        <v>1</v>
      </c>
    </row>
    <row r="7" spans="1:13" x14ac:dyDescent="0.25">
      <c r="A7" s="8" t="s">
        <v>13</v>
      </c>
      <c r="B7">
        <f>COUNTIF(Garant,A7)</f>
        <v>2</v>
      </c>
    </row>
    <row r="8" spans="1:13" x14ac:dyDescent="0.25">
      <c r="A8" s="8" t="s">
        <v>7</v>
      </c>
      <c r="B8">
        <f>COUNTIF(Garant,A8)</f>
        <v>3</v>
      </c>
    </row>
    <row r="9" spans="1:13" x14ac:dyDescent="0.25">
      <c r="A9" s="8" t="s">
        <v>14</v>
      </c>
      <c r="B9">
        <f>COUNTIF(Garant,A9)</f>
        <v>1</v>
      </c>
    </row>
    <row r="10" spans="1:13" x14ac:dyDescent="0.25">
      <c r="A10" s="8" t="s">
        <v>5</v>
      </c>
      <c r="B10">
        <f>COUNTIF(Garant,A10)</f>
        <v>6</v>
      </c>
    </row>
    <row r="11" spans="1:13" x14ac:dyDescent="0.25">
      <c r="A11" s="8" t="s">
        <v>4</v>
      </c>
      <c r="B11">
        <f>COUNTIF(Garant,A11)</f>
        <v>4</v>
      </c>
    </row>
    <row r="12" spans="1:13" s="8" customFormat="1" x14ac:dyDescent="0.25">
      <c r="B12" s="8">
        <f>SUM(B4:B11)</f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view="pageBreakPreview" zoomScale="115" zoomScaleNormal="100" zoomScaleSheetLayoutView="115" workbookViewId="0">
      <selection activeCell="B71" sqref="B71"/>
    </sheetView>
  </sheetViews>
  <sheetFormatPr baseColWidth="10" defaultRowHeight="15" outlineLevelRow="1" x14ac:dyDescent="0.25"/>
  <cols>
    <col min="1" max="1" width="21.7109375" bestFit="1" customWidth="1"/>
    <col min="2" max="2" width="11.85546875" bestFit="1" customWidth="1"/>
    <col min="3" max="3" width="19.42578125" customWidth="1"/>
    <col min="4" max="5" width="26.5703125" customWidth="1"/>
  </cols>
  <sheetData>
    <row r="1" spans="1:5" x14ac:dyDescent="0.25">
      <c r="A1" s="52" t="s">
        <v>16</v>
      </c>
      <c r="B1" s="52"/>
      <c r="C1" s="52"/>
      <c r="D1" s="52"/>
    </row>
    <row r="2" spans="1:5" x14ac:dyDescent="0.25">
      <c r="A2" s="2" t="s">
        <v>17</v>
      </c>
      <c r="B2" s="2" t="s">
        <v>18</v>
      </c>
      <c r="C2" s="2" t="s">
        <v>19</v>
      </c>
      <c r="D2" s="2" t="s">
        <v>20</v>
      </c>
      <c r="E2" s="2" t="s">
        <v>89</v>
      </c>
    </row>
    <row r="3" spans="1:5" x14ac:dyDescent="0.25">
      <c r="A3" s="1" t="s">
        <v>21</v>
      </c>
      <c r="B3" s="1">
        <f>+B4+B12+B35</f>
        <v>1788</v>
      </c>
      <c r="C3" s="3">
        <v>1424408.2299999995</v>
      </c>
      <c r="D3" s="3">
        <f>+C3*1.021</f>
        <v>1454320.8028299995</v>
      </c>
      <c r="E3" s="3"/>
    </row>
    <row r="4" spans="1:5" s="8" customFormat="1" x14ac:dyDescent="0.25">
      <c r="A4" s="6" t="s">
        <v>22</v>
      </c>
      <c r="B4" s="6">
        <f>+SUM(B5:B11)</f>
        <v>128</v>
      </c>
      <c r="C4" s="7">
        <v>31964.44</v>
      </c>
      <c r="D4" s="32">
        <f t="shared" ref="D4:D67" si="0">+C4*1.021</f>
        <v>32635.693239999997</v>
      </c>
      <c r="E4" s="10">
        <v>43668</v>
      </c>
    </row>
    <row r="5" spans="1:5" s="8" customFormat="1" hidden="1" outlineLevel="1" x14ac:dyDescent="0.25">
      <c r="A5" s="8" t="s">
        <v>23</v>
      </c>
      <c r="B5" s="8">
        <v>19</v>
      </c>
      <c r="C5" s="9">
        <v>2168</v>
      </c>
      <c r="D5" s="9">
        <f t="shared" si="0"/>
        <v>2213.5279999999998</v>
      </c>
      <c r="E5" s="9"/>
    </row>
    <row r="6" spans="1:5" s="8" customFormat="1" hidden="1" outlineLevel="1" x14ac:dyDescent="0.25">
      <c r="A6" s="8" t="s">
        <v>24</v>
      </c>
      <c r="B6" s="8">
        <v>24</v>
      </c>
      <c r="C6" s="9">
        <v>9000</v>
      </c>
      <c r="D6" s="9">
        <f t="shared" si="0"/>
        <v>9189</v>
      </c>
      <c r="E6" s="9"/>
    </row>
    <row r="7" spans="1:5" s="8" customFormat="1" hidden="1" outlineLevel="1" x14ac:dyDescent="0.25">
      <c r="A7" s="8" t="s">
        <v>3</v>
      </c>
      <c r="B7" s="8">
        <v>6</v>
      </c>
      <c r="C7" s="9">
        <v>848</v>
      </c>
      <c r="D7" s="9">
        <f t="shared" si="0"/>
        <v>865.80799999999988</v>
      </c>
      <c r="E7" s="9"/>
    </row>
    <row r="8" spans="1:5" s="8" customFormat="1" hidden="1" outlineLevel="1" x14ac:dyDescent="0.25">
      <c r="A8" s="8" t="s">
        <v>25</v>
      </c>
      <c r="B8" s="8">
        <v>16</v>
      </c>
      <c r="C8" s="9">
        <v>882</v>
      </c>
      <c r="D8" s="9">
        <f t="shared" si="0"/>
        <v>900.52199999999993</v>
      </c>
      <c r="E8" s="9"/>
    </row>
    <row r="9" spans="1:5" s="8" customFormat="1" hidden="1" outlineLevel="1" x14ac:dyDescent="0.25">
      <c r="A9" s="8" t="s">
        <v>26</v>
      </c>
      <c r="B9" s="8">
        <v>17</v>
      </c>
      <c r="C9" s="9">
        <v>4444.4399999999996</v>
      </c>
      <c r="D9" s="9">
        <f t="shared" si="0"/>
        <v>4537.7732399999995</v>
      </c>
      <c r="E9" s="9"/>
    </row>
    <row r="10" spans="1:5" s="8" customFormat="1" hidden="1" outlineLevel="1" x14ac:dyDescent="0.25">
      <c r="A10" s="8" t="s">
        <v>27</v>
      </c>
      <c r="B10" s="8">
        <v>12</v>
      </c>
      <c r="C10" s="9">
        <v>3336</v>
      </c>
      <c r="D10" s="9">
        <f t="shared" si="0"/>
        <v>3406.0559999999996</v>
      </c>
      <c r="E10" s="9"/>
    </row>
    <row r="11" spans="1:5" s="8" customFormat="1" hidden="1" outlineLevel="1" x14ac:dyDescent="0.25">
      <c r="A11" s="8" t="s">
        <v>10</v>
      </c>
      <c r="B11" s="8">
        <v>34</v>
      </c>
      <c r="C11" s="9">
        <v>11286</v>
      </c>
      <c r="D11" s="9">
        <f t="shared" si="0"/>
        <v>11523.005999999999</v>
      </c>
      <c r="E11" s="9"/>
    </row>
    <row r="12" spans="1:5" s="8" customFormat="1" collapsed="1" x14ac:dyDescent="0.25">
      <c r="A12" s="6" t="s">
        <v>28</v>
      </c>
      <c r="B12" s="6">
        <f>+SUM(B13:B34)</f>
        <v>678</v>
      </c>
      <c r="C12" s="7">
        <v>1021959.89</v>
      </c>
      <c r="D12" s="32">
        <f t="shared" si="0"/>
        <v>1043421.0476899999</v>
      </c>
      <c r="E12" s="10">
        <v>43668</v>
      </c>
    </row>
    <row r="13" spans="1:5" s="8" customFormat="1" outlineLevel="1" x14ac:dyDescent="0.25">
      <c r="A13" s="8" t="s">
        <v>29</v>
      </c>
      <c r="B13" s="8">
        <v>26</v>
      </c>
      <c r="C13" s="9">
        <v>3936</v>
      </c>
      <c r="D13" s="9">
        <f t="shared" si="0"/>
        <v>4018.6559999999995</v>
      </c>
      <c r="E13" s="9"/>
    </row>
    <row r="14" spans="1:5" s="8" customFormat="1" outlineLevel="1" x14ac:dyDescent="0.25">
      <c r="A14" s="8" t="s">
        <v>30</v>
      </c>
      <c r="B14" s="8">
        <v>32</v>
      </c>
      <c r="C14" s="9">
        <v>83976</v>
      </c>
      <c r="D14" s="9">
        <f t="shared" si="0"/>
        <v>85739.495999999999</v>
      </c>
      <c r="E14" s="9"/>
    </row>
    <row r="15" spans="1:5" s="8" customFormat="1" outlineLevel="1" x14ac:dyDescent="0.25">
      <c r="A15" s="8" t="s">
        <v>9</v>
      </c>
      <c r="B15" s="8">
        <v>23</v>
      </c>
      <c r="C15" s="9">
        <v>2978</v>
      </c>
      <c r="D15" s="9">
        <f t="shared" si="0"/>
        <v>3040.5379999999996</v>
      </c>
      <c r="E15" s="9"/>
    </row>
    <row r="16" spans="1:5" s="8" customFormat="1" outlineLevel="1" x14ac:dyDescent="0.25">
      <c r="A16" s="8" t="s">
        <v>31</v>
      </c>
      <c r="B16" s="8">
        <v>57</v>
      </c>
      <c r="C16" s="9">
        <v>282712.44</v>
      </c>
      <c r="D16" s="9">
        <f t="shared" si="0"/>
        <v>288649.40123999998</v>
      </c>
      <c r="E16" s="9"/>
    </row>
    <row r="17" spans="1:5" s="8" customFormat="1" outlineLevel="1" x14ac:dyDescent="0.25">
      <c r="A17" s="8" t="s">
        <v>32</v>
      </c>
      <c r="B17" s="8">
        <v>10</v>
      </c>
      <c r="C17" s="9">
        <v>1080</v>
      </c>
      <c r="D17" s="9">
        <f t="shared" si="0"/>
        <v>1102.6799999999998</v>
      </c>
      <c r="E17" s="9"/>
    </row>
    <row r="18" spans="1:5" s="8" customFormat="1" outlineLevel="1" x14ac:dyDescent="0.25">
      <c r="A18" s="8" t="s">
        <v>33</v>
      </c>
      <c r="B18" s="8">
        <v>30</v>
      </c>
      <c r="C18" s="9">
        <v>2772</v>
      </c>
      <c r="D18" s="9">
        <f t="shared" si="0"/>
        <v>2830.2119999999995</v>
      </c>
      <c r="E18" s="9"/>
    </row>
    <row r="19" spans="1:5" s="8" customFormat="1" outlineLevel="1" x14ac:dyDescent="0.25">
      <c r="A19" s="8" t="s">
        <v>34</v>
      </c>
      <c r="B19" s="8">
        <v>32</v>
      </c>
      <c r="C19" s="9">
        <v>3456</v>
      </c>
      <c r="D19" s="9">
        <f t="shared" si="0"/>
        <v>3528.5759999999996</v>
      </c>
      <c r="E19" s="9"/>
    </row>
    <row r="20" spans="1:5" s="8" customFormat="1" outlineLevel="1" x14ac:dyDescent="0.25">
      <c r="A20" s="8" t="s">
        <v>35</v>
      </c>
      <c r="B20" s="8">
        <v>26</v>
      </c>
      <c r="C20" s="9">
        <v>4296</v>
      </c>
      <c r="D20" s="9">
        <f t="shared" si="0"/>
        <v>4386.2159999999994</v>
      </c>
      <c r="E20" s="9"/>
    </row>
    <row r="21" spans="1:5" s="8" customFormat="1" outlineLevel="1" x14ac:dyDescent="0.25">
      <c r="A21" s="8" t="s">
        <v>36</v>
      </c>
      <c r="B21" s="8">
        <v>40</v>
      </c>
      <c r="C21" s="9">
        <v>145905.45000000001</v>
      </c>
      <c r="D21" s="9">
        <f t="shared" si="0"/>
        <v>148969.46445</v>
      </c>
      <c r="E21" s="9"/>
    </row>
    <row r="22" spans="1:5" s="8" customFormat="1" outlineLevel="1" x14ac:dyDescent="0.25">
      <c r="A22" s="8" t="s">
        <v>37</v>
      </c>
      <c r="B22" s="8">
        <v>45</v>
      </c>
      <c r="C22" s="9">
        <v>144956</v>
      </c>
      <c r="D22" s="9">
        <f t="shared" si="0"/>
        <v>148000.076</v>
      </c>
      <c r="E22" s="9"/>
    </row>
    <row r="23" spans="1:5" s="8" customFormat="1" outlineLevel="1" x14ac:dyDescent="0.25">
      <c r="A23" s="8" t="s">
        <v>38</v>
      </c>
      <c r="B23" s="8">
        <v>45</v>
      </c>
      <c r="C23" s="9">
        <v>7125</v>
      </c>
      <c r="D23" s="9">
        <f t="shared" si="0"/>
        <v>7274.6249999999991</v>
      </c>
      <c r="E23" s="9"/>
    </row>
    <row r="24" spans="1:5" s="8" customFormat="1" outlineLevel="1" x14ac:dyDescent="0.25">
      <c r="A24" s="8" t="s">
        <v>11</v>
      </c>
      <c r="B24" s="8">
        <v>30</v>
      </c>
      <c r="C24" s="9">
        <v>4926</v>
      </c>
      <c r="D24" s="9">
        <f t="shared" si="0"/>
        <v>5029.4459999999999</v>
      </c>
      <c r="E24" s="9"/>
    </row>
    <row r="25" spans="1:5" s="8" customFormat="1" outlineLevel="1" x14ac:dyDescent="0.25">
      <c r="A25" s="8" t="s">
        <v>39</v>
      </c>
      <c r="B25" s="8">
        <v>18</v>
      </c>
      <c r="C25" s="9">
        <v>53515</v>
      </c>
      <c r="D25" s="9">
        <f t="shared" si="0"/>
        <v>54638.814999999995</v>
      </c>
      <c r="E25" s="9"/>
    </row>
    <row r="26" spans="1:5" s="8" customFormat="1" outlineLevel="1" x14ac:dyDescent="0.25">
      <c r="A26" s="8" t="s">
        <v>40</v>
      </c>
      <c r="B26" s="8">
        <v>36</v>
      </c>
      <c r="C26" s="9">
        <v>50853.5</v>
      </c>
      <c r="D26" s="9">
        <f t="shared" si="0"/>
        <v>51921.423499999997</v>
      </c>
      <c r="E26" s="9"/>
    </row>
    <row r="27" spans="1:5" s="8" customFormat="1" outlineLevel="1" x14ac:dyDescent="0.25">
      <c r="A27" s="8" t="s">
        <v>41</v>
      </c>
      <c r="B27" s="8">
        <v>12</v>
      </c>
      <c r="C27" s="9">
        <v>2494</v>
      </c>
      <c r="D27" s="9">
        <f t="shared" si="0"/>
        <v>2546.3739999999998</v>
      </c>
      <c r="E27" s="9"/>
    </row>
    <row r="28" spans="1:5" s="8" customFormat="1" outlineLevel="1" x14ac:dyDescent="0.25">
      <c r="A28" s="8" t="s">
        <v>42</v>
      </c>
      <c r="B28" s="8">
        <v>54</v>
      </c>
      <c r="C28" s="9">
        <v>85042.5</v>
      </c>
      <c r="D28" s="9">
        <f t="shared" si="0"/>
        <v>86828.392499999987</v>
      </c>
      <c r="E28" s="9"/>
    </row>
    <row r="29" spans="1:5" s="8" customFormat="1" outlineLevel="1" x14ac:dyDescent="0.25">
      <c r="A29" s="8" t="s">
        <v>43</v>
      </c>
      <c r="B29" s="8">
        <v>29</v>
      </c>
      <c r="C29" s="9">
        <v>67875</v>
      </c>
      <c r="D29" s="9">
        <f t="shared" si="0"/>
        <v>69300.375</v>
      </c>
      <c r="E29" s="9"/>
    </row>
    <row r="30" spans="1:5" s="8" customFormat="1" outlineLevel="1" x14ac:dyDescent="0.25">
      <c r="A30" s="8" t="s">
        <v>44</v>
      </c>
      <c r="B30" s="8">
        <v>22</v>
      </c>
      <c r="C30" s="9">
        <v>3828</v>
      </c>
      <c r="D30" s="9">
        <f t="shared" si="0"/>
        <v>3908.3879999999995</v>
      </c>
      <c r="E30" s="9"/>
    </row>
    <row r="31" spans="1:5" s="8" customFormat="1" outlineLevel="1" x14ac:dyDescent="0.25">
      <c r="A31" s="8" t="s">
        <v>45</v>
      </c>
      <c r="B31" s="8">
        <v>16</v>
      </c>
      <c r="C31" s="9">
        <v>8152</v>
      </c>
      <c r="D31" s="9">
        <f t="shared" si="0"/>
        <v>8323.1919999999991</v>
      </c>
      <c r="E31" s="9"/>
    </row>
    <row r="32" spans="1:5" s="8" customFormat="1" outlineLevel="1" x14ac:dyDescent="0.25">
      <c r="A32" s="8" t="s">
        <v>46</v>
      </c>
      <c r="B32" s="8">
        <v>23</v>
      </c>
      <c r="C32" s="9">
        <v>37437</v>
      </c>
      <c r="D32" s="9">
        <f t="shared" si="0"/>
        <v>38223.176999999996</v>
      </c>
      <c r="E32" s="9"/>
    </row>
    <row r="33" spans="1:5" s="8" customFormat="1" outlineLevel="1" x14ac:dyDescent="0.25">
      <c r="A33" s="8" t="s">
        <v>47</v>
      </c>
      <c r="B33" s="8">
        <v>44</v>
      </c>
      <c r="C33" s="9">
        <v>6620</v>
      </c>
      <c r="D33" s="9">
        <f t="shared" si="0"/>
        <v>6759.0199999999995</v>
      </c>
      <c r="E33" s="9"/>
    </row>
    <row r="34" spans="1:5" s="8" customFormat="1" outlineLevel="1" x14ac:dyDescent="0.25">
      <c r="A34" s="8" t="s">
        <v>48</v>
      </c>
      <c r="B34" s="8">
        <v>28</v>
      </c>
      <c r="C34" s="9">
        <v>18024</v>
      </c>
      <c r="D34" s="9">
        <f t="shared" si="0"/>
        <v>18402.503999999997</v>
      </c>
      <c r="E34" s="9"/>
    </row>
    <row r="35" spans="1:5" s="8" customFormat="1" x14ac:dyDescent="0.25">
      <c r="A35" s="6" t="s">
        <v>4</v>
      </c>
      <c r="B35" s="6">
        <f>+SUM(B36:B55)</f>
        <v>982</v>
      </c>
      <c r="C35" s="7">
        <v>370483.89999999997</v>
      </c>
      <c r="D35" s="7">
        <f t="shared" si="0"/>
        <v>378264.06189999991</v>
      </c>
      <c r="E35" s="10">
        <v>43668</v>
      </c>
    </row>
    <row r="36" spans="1:5" s="8" customFormat="1" hidden="1" outlineLevel="1" x14ac:dyDescent="0.25">
      <c r="A36" s="8" t="s">
        <v>49</v>
      </c>
      <c r="B36" s="8">
        <v>69</v>
      </c>
      <c r="C36" s="9">
        <v>10892.9</v>
      </c>
      <c r="D36" s="9">
        <f t="shared" si="0"/>
        <v>11121.650899999999</v>
      </c>
      <c r="E36" s="9"/>
    </row>
    <row r="37" spans="1:5" s="8" customFormat="1" hidden="1" outlineLevel="1" x14ac:dyDescent="0.25">
      <c r="A37" s="8" t="s">
        <v>50</v>
      </c>
      <c r="B37" s="8">
        <v>50</v>
      </c>
      <c r="C37" s="9">
        <v>15425.439999999999</v>
      </c>
      <c r="D37" s="9">
        <f t="shared" si="0"/>
        <v>15749.374239999997</v>
      </c>
      <c r="E37" s="9"/>
    </row>
    <row r="38" spans="1:5" s="8" customFormat="1" hidden="1" outlineLevel="1" x14ac:dyDescent="0.25">
      <c r="A38" s="8" t="s">
        <v>51</v>
      </c>
      <c r="B38" s="8">
        <v>78</v>
      </c>
      <c r="C38" s="9">
        <v>5670</v>
      </c>
      <c r="D38" s="9">
        <f t="shared" si="0"/>
        <v>5789.07</v>
      </c>
      <c r="E38" s="9"/>
    </row>
    <row r="39" spans="1:5" s="8" customFormat="1" hidden="1" outlineLevel="1" x14ac:dyDescent="0.25">
      <c r="A39" s="8" t="s">
        <v>52</v>
      </c>
      <c r="B39" s="8">
        <v>40</v>
      </c>
      <c r="C39" s="9">
        <v>62935.45</v>
      </c>
      <c r="D39" s="9">
        <f t="shared" si="0"/>
        <v>64257.09444999999</v>
      </c>
      <c r="E39" s="9"/>
    </row>
    <row r="40" spans="1:5" s="8" customFormat="1" hidden="1" outlineLevel="1" x14ac:dyDescent="0.25">
      <c r="A40" s="8" t="s">
        <v>53</v>
      </c>
      <c r="B40" s="8">
        <v>77</v>
      </c>
      <c r="C40" s="9">
        <v>4444.4399999999996</v>
      </c>
      <c r="D40" s="9">
        <f t="shared" si="0"/>
        <v>4537.7732399999995</v>
      </c>
      <c r="E40" s="9"/>
    </row>
    <row r="41" spans="1:5" s="8" customFormat="1" hidden="1" outlineLevel="1" x14ac:dyDescent="0.25">
      <c r="A41" s="8" t="s">
        <v>2</v>
      </c>
      <c r="B41" s="8">
        <v>45</v>
      </c>
      <c r="C41" s="9">
        <v>7761</v>
      </c>
      <c r="D41" s="9">
        <f t="shared" si="0"/>
        <v>7923.9809999999989</v>
      </c>
      <c r="E41" s="9"/>
    </row>
    <row r="42" spans="1:5" s="8" customFormat="1" hidden="1" outlineLevel="1" x14ac:dyDescent="0.25">
      <c r="A42" s="8" t="s">
        <v>54</v>
      </c>
      <c r="B42" s="8">
        <v>24</v>
      </c>
      <c r="C42" s="9">
        <v>2020</v>
      </c>
      <c r="D42" s="9">
        <f t="shared" si="0"/>
        <v>2062.4199999999996</v>
      </c>
      <c r="E42" s="9"/>
    </row>
    <row r="43" spans="1:5" s="8" customFormat="1" hidden="1" outlineLevel="1" x14ac:dyDescent="0.25">
      <c r="A43" s="8" t="s">
        <v>55</v>
      </c>
      <c r="B43" s="8">
        <v>8</v>
      </c>
      <c r="C43" s="9">
        <v>1164</v>
      </c>
      <c r="D43" s="9">
        <f t="shared" si="0"/>
        <v>1188.444</v>
      </c>
      <c r="E43" s="9"/>
    </row>
    <row r="44" spans="1:5" s="8" customFormat="1" hidden="1" outlineLevel="1" x14ac:dyDescent="0.25">
      <c r="A44" s="8" t="s">
        <v>56</v>
      </c>
      <c r="B44" s="8">
        <v>20</v>
      </c>
      <c r="C44" s="9">
        <v>1296</v>
      </c>
      <c r="D44" s="9">
        <f t="shared" si="0"/>
        <v>1323.2159999999999</v>
      </c>
      <c r="E44" s="9"/>
    </row>
    <row r="45" spans="1:5" s="8" customFormat="1" hidden="1" outlineLevel="1" x14ac:dyDescent="0.25">
      <c r="A45" s="8" t="s">
        <v>1</v>
      </c>
      <c r="B45" s="8">
        <v>74</v>
      </c>
      <c r="C45" s="9">
        <v>19900</v>
      </c>
      <c r="D45" s="9">
        <f t="shared" si="0"/>
        <v>20317.899999999998</v>
      </c>
      <c r="E45" s="9"/>
    </row>
    <row r="46" spans="1:5" s="8" customFormat="1" hidden="1" outlineLevel="1" x14ac:dyDescent="0.25">
      <c r="A46" s="8" t="s">
        <v>57</v>
      </c>
      <c r="B46" s="8">
        <v>38</v>
      </c>
      <c r="C46" s="9">
        <v>6733</v>
      </c>
      <c r="D46" s="9">
        <f t="shared" si="0"/>
        <v>6874.3929999999991</v>
      </c>
      <c r="E46" s="9"/>
    </row>
    <row r="47" spans="1:5" s="8" customFormat="1" hidden="1" outlineLevel="1" x14ac:dyDescent="0.25">
      <c r="A47" s="8" t="s">
        <v>58</v>
      </c>
      <c r="B47" s="8">
        <v>93</v>
      </c>
      <c r="C47" s="9">
        <v>97322.44</v>
      </c>
      <c r="D47" s="9">
        <f t="shared" si="0"/>
        <v>99366.21123999999</v>
      </c>
      <c r="E47" s="9"/>
    </row>
    <row r="48" spans="1:5" s="8" customFormat="1" hidden="1" outlineLevel="1" x14ac:dyDescent="0.25">
      <c r="A48" s="8" t="s">
        <v>59</v>
      </c>
      <c r="B48" s="8">
        <v>22</v>
      </c>
      <c r="C48" s="9">
        <v>2647</v>
      </c>
      <c r="D48" s="9">
        <f t="shared" si="0"/>
        <v>2702.5869999999995</v>
      </c>
      <c r="E48" s="9"/>
    </row>
    <row r="49" spans="1:5" s="8" customFormat="1" hidden="1" outlineLevel="1" x14ac:dyDescent="0.25">
      <c r="A49" s="8" t="s">
        <v>60</v>
      </c>
      <c r="B49" s="8">
        <v>83</v>
      </c>
      <c r="C49" s="9">
        <v>23570.9</v>
      </c>
      <c r="D49" s="9">
        <f t="shared" si="0"/>
        <v>24065.888899999998</v>
      </c>
      <c r="E49" s="9"/>
    </row>
    <row r="50" spans="1:5" s="8" customFormat="1" hidden="1" outlineLevel="1" x14ac:dyDescent="0.25">
      <c r="A50" s="8" t="s">
        <v>61</v>
      </c>
      <c r="B50" s="8">
        <v>86</v>
      </c>
      <c r="C50" s="9">
        <v>15676.45</v>
      </c>
      <c r="D50" s="9">
        <f t="shared" si="0"/>
        <v>16005.65545</v>
      </c>
      <c r="E50" s="9"/>
    </row>
    <row r="51" spans="1:5" s="8" customFormat="1" hidden="1" outlineLevel="1" x14ac:dyDescent="0.25">
      <c r="A51" s="8" t="s">
        <v>62</v>
      </c>
      <c r="B51" s="8">
        <v>57</v>
      </c>
      <c r="C51" s="9">
        <v>4444.4399999999996</v>
      </c>
      <c r="D51" s="9">
        <f t="shared" si="0"/>
        <v>4537.7732399999995</v>
      </c>
      <c r="E51" s="9"/>
    </row>
    <row r="52" spans="1:5" s="8" customFormat="1" hidden="1" outlineLevel="1" x14ac:dyDescent="0.25">
      <c r="A52" s="8" t="s">
        <v>63</v>
      </c>
      <c r="B52" s="8">
        <v>18</v>
      </c>
      <c r="C52" s="9">
        <v>1944</v>
      </c>
      <c r="D52" s="9">
        <f t="shared" si="0"/>
        <v>1984.8239999999998</v>
      </c>
      <c r="E52" s="9"/>
    </row>
    <row r="53" spans="1:5" s="8" customFormat="1" hidden="1" outlineLevel="1" x14ac:dyDescent="0.25">
      <c r="A53" s="8" t="s">
        <v>64</v>
      </c>
      <c r="B53" s="8">
        <v>29</v>
      </c>
      <c r="C53" s="9">
        <v>56960</v>
      </c>
      <c r="D53" s="9">
        <f t="shared" si="0"/>
        <v>58156.159999999996</v>
      </c>
      <c r="E53" s="9"/>
    </row>
    <row r="54" spans="1:5" s="8" customFormat="1" hidden="1" outlineLevel="1" x14ac:dyDescent="0.25">
      <c r="A54" s="8" t="s">
        <v>65</v>
      </c>
      <c r="B54" s="8">
        <v>16</v>
      </c>
      <c r="C54" s="9">
        <v>20496</v>
      </c>
      <c r="D54" s="9">
        <f t="shared" si="0"/>
        <v>20926.415999999997</v>
      </c>
      <c r="E54" s="9"/>
    </row>
    <row r="55" spans="1:5" s="8" customFormat="1" hidden="1" outlineLevel="1" x14ac:dyDescent="0.25">
      <c r="A55" s="8" t="s">
        <v>66</v>
      </c>
      <c r="B55" s="8">
        <v>55</v>
      </c>
      <c r="C55" s="9">
        <v>9180.4399999999987</v>
      </c>
      <c r="D55" s="9">
        <f t="shared" si="0"/>
        <v>9373.2292399999969</v>
      </c>
      <c r="E55" s="9"/>
    </row>
    <row r="56" spans="1:5" collapsed="1" x14ac:dyDescent="0.25">
      <c r="A56" s="1" t="s">
        <v>6</v>
      </c>
      <c r="B56" s="1">
        <f>+B57+B66+B71+B74</f>
        <v>492</v>
      </c>
      <c r="C56" s="3">
        <v>554381.99</v>
      </c>
      <c r="D56" s="3">
        <f t="shared" si="0"/>
        <v>566024.0117899999</v>
      </c>
      <c r="E56" s="3"/>
    </row>
    <row r="57" spans="1:5" s="8" customFormat="1" x14ac:dyDescent="0.25">
      <c r="A57" s="6" t="s">
        <v>67</v>
      </c>
      <c r="B57" s="6">
        <f>+SUM(B58:B65)</f>
        <v>250</v>
      </c>
      <c r="C57" s="7">
        <v>328447.15999999997</v>
      </c>
      <c r="D57" s="32">
        <f t="shared" si="0"/>
        <v>335344.55035999994</v>
      </c>
      <c r="E57" s="10">
        <v>43668</v>
      </c>
    </row>
    <row r="58" spans="1:5" s="8" customFormat="1" hidden="1" outlineLevel="1" x14ac:dyDescent="0.25">
      <c r="A58" s="8" t="s">
        <v>68</v>
      </c>
      <c r="B58" s="8">
        <v>36</v>
      </c>
      <c r="C58" s="9">
        <v>64251.96</v>
      </c>
      <c r="D58" s="9">
        <f t="shared" si="0"/>
        <v>65601.25116</v>
      </c>
      <c r="E58" s="9"/>
    </row>
    <row r="59" spans="1:5" s="8" customFormat="1" hidden="1" outlineLevel="1" x14ac:dyDescent="0.25">
      <c r="A59" s="8" t="s">
        <v>69</v>
      </c>
      <c r="B59" s="8">
        <v>10</v>
      </c>
      <c r="C59" s="9">
        <v>60750</v>
      </c>
      <c r="D59" s="9">
        <f t="shared" si="0"/>
        <v>62025.749999999993</v>
      </c>
      <c r="E59" s="9"/>
    </row>
    <row r="60" spans="1:5" s="8" customFormat="1" hidden="1" outlineLevel="1" x14ac:dyDescent="0.25">
      <c r="A60" s="8" t="s">
        <v>70</v>
      </c>
      <c r="B60" s="8">
        <v>29</v>
      </c>
      <c r="C60" s="9">
        <v>92380.2</v>
      </c>
      <c r="D60" s="9">
        <f t="shared" si="0"/>
        <v>94320.184199999989</v>
      </c>
      <c r="E60" s="9"/>
    </row>
    <row r="61" spans="1:5" s="8" customFormat="1" hidden="1" outlineLevel="1" x14ac:dyDescent="0.25">
      <c r="A61" s="8" t="s">
        <v>71</v>
      </c>
      <c r="B61" s="8">
        <v>48</v>
      </c>
      <c r="C61" s="9">
        <v>3332</v>
      </c>
      <c r="D61" s="9">
        <f t="shared" si="0"/>
        <v>3401.9719999999998</v>
      </c>
      <c r="E61" s="9"/>
    </row>
    <row r="62" spans="1:5" s="8" customFormat="1" hidden="1" outlineLevel="1" x14ac:dyDescent="0.25">
      <c r="A62" s="8" t="s">
        <v>72</v>
      </c>
      <c r="B62" s="8">
        <v>30</v>
      </c>
      <c r="C62" s="9">
        <v>50300</v>
      </c>
      <c r="D62" s="9">
        <f t="shared" si="0"/>
        <v>51356.299999999996</v>
      </c>
      <c r="E62" s="9"/>
    </row>
    <row r="63" spans="1:5" s="8" customFormat="1" hidden="1" outlineLevel="1" x14ac:dyDescent="0.25">
      <c r="A63" s="8" t="s">
        <v>73</v>
      </c>
      <c r="B63" s="8">
        <v>29</v>
      </c>
      <c r="C63" s="9">
        <v>51291</v>
      </c>
      <c r="D63" s="9">
        <f t="shared" si="0"/>
        <v>52368.110999999997</v>
      </c>
      <c r="E63" s="9"/>
    </row>
    <row r="64" spans="1:5" s="8" customFormat="1" hidden="1" outlineLevel="1" x14ac:dyDescent="0.25">
      <c r="A64" s="8" t="s">
        <v>74</v>
      </c>
      <c r="B64" s="8">
        <v>38</v>
      </c>
      <c r="C64" s="9">
        <v>1022</v>
      </c>
      <c r="D64" s="9">
        <f t="shared" si="0"/>
        <v>1043.462</v>
      </c>
      <c r="E64" s="9"/>
    </row>
    <row r="65" spans="1:5" s="8" customFormat="1" hidden="1" outlineLevel="1" x14ac:dyDescent="0.25">
      <c r="A65" s="8" t="s">
        <v>75</v>
      </c>
      <c r="B65" s="8">
        <v>30</v>
      </c>
      <c r="C65" s="9">
        <v>5120</v>
      </c>
      <c r="D65" s="9">
        <f t="shared" si="0"/>
        <v>5227.5199999999995</v>
      </c>
      <c r="E65" s="9"/>
    </row>
    <row r="66" spans="1:5" s="8" customFormat="1" collapsed="1" x14ac:dyDescent="0.25">
      <c r="A66" s="6" t="s">
        <v>76</v>
      </c>
      <c r="B66" s="6">
        <f>+SUM(B67:B70)</f>
        <v>101</v>
      </c>
      <c r="C66" s="7">
        <v>81332.89</v>
      </c>
      <c r="D66" s="32">
        <f t="shared" si="0"/>
        <v>83040.880689999991</v>
      </c>
      <c r="E66" s="10">
        <v>43668</v>
      </c>
    </row>
    <row r="67" spans="1:5" s="8" customFormat="1" hidden="1" outlineLevel="1" x14ac:dyDescent="0.25">
      <c r="A67" s="8" t="s">
        <v>77</v>
      </c>
      <c r="B67" s="8">
        <v>19</v>
      </c>
      <c r="C67" s="9">
        <v>4444.45</v>
      </c>
      <c r="D67" s="9">
        <f t="shared" si="0"/>
        <v>4537.783449999999</v>
      </c>
      <c r="E67" s="9"/>
    </row>
    <row r="68" spans="1:5" s="8" customFormat="1" hidden="1" outlineLevel="1" x14ac:dyDescent="0.25">
      <c r="A68" s="8" t="s">
        <v>78</v>
      </c>
      <c r="B68" s="8">
        <v>14</v>
      </c>
      <c r="C68" s="9">
        <v>4444.4399999999996</v>
      </c>
      <c r="D68" s="9">
        <f t="shared" ref="D68:D79" si="1">+C68*1.021</f>
        <v>4537.7732399999995</v>
      </c>
      <c r="E68" s="9"/>
    </row>
    <row r="69" spans="1:5" s="8" customFormat="1" hidden="1" outlineLevel="1" x14ac:dyDescent="0.25">
      <c r="A69" s="8" t="s">
        <v>79</v>
      </c>
      <c r="B69" s="8">
        <v>24</v>
      </c>
      <c r="C69" s="9">
        <v>4032</v>
      </c>
      <c r="D69" s="9">
        <f t="shared" si="1"/>
        <v>4116.6719999999996</v>
      </c>
      <c r="E69" s="9"/>
    </row>
    <row r="70" spans="1:5" s="8" customFormat="1" hidden="1" outlineLevel="1" x14ac:dyDescent="0.25">
      <c r="A70" s="8" t="s">
        <v>80</v>
      </c>
      <c r="B70" s="8">
        <v>44</v>
      </c>
      <c r="C70" s="9">
        <v>68412</v>
      </c>
      <c r="D70" s="9">
        <f t="shared" si="1"/>
        <v>69848.651999999987</v>
      </c>
      <c r="E70" s="9"/>
    </row>
    <row r="71" spans="1:5" s="8" customFormat="1" collapsed="1" x14ac:dyDescent="0.25">
      <c r="A71" s="6" t="s">
        <v>81</v>
      </c>
      <c r="B71" s="6">
        <f>+SUM(B72:B73)</f>
        <v>93</v>
      </c>
      <c r="C71" s="7">
        <v>89486.94</v>
      </c>
      <c r="D71" s="32">
        <f t="shared" si="1"/>
        <v>91366.165739999997</v>
      </c>
      <c r="E71" s="10">
        <v>43668</v>
      </c>
    </row>
    <row r="72" spans="1:5" s="8" customFormat="1" hidden="1" outlineLevel="1" x14ac:dyDescent="0.25">
      <c r="A72" s="8" t="s">
        <v>82</v>
      </c>
      <c r="B72" s="8">
        <v>54</v>
      </c>
      <c r="C72" s="9">
        <v>85042.5</v>
      </c>
      <c r="D72" s="9">
        <f t="shared" si="1"/>
        <v>86828.392499999987</v>
      </c>
      <c r="E72" s="9"/>
    </row>
    <row r="73" spans="1:5" s="8" customFormat="1" hidden="1" outlineLevel="1" x14ac:dyDescent="0.25">
      <c r="A73" s="8" t="s">
        <v>83</v>
      </c>
      <c r="B73" s="8">
        <v>39</v>
      </c>
      <c r="C73" s="9">
        <v>4444.4399999999996</v>
      </c>
      <c r="D73" s="9">
        <f t="shared" si="1"/>
        <v>4537.7732399999995</v>
      </c>
      <c r="E73" s="9"/>
    </row>
    <row r="74" spans="1:5" s="8" customFormat="1" collapsed="1" x14ac:dyDescent="0.25">
      <c r="A74" s="6" t="s">
        <v>84</v>
      </c>
      <c r="B74" s="6">
        <f>+B75</f>
        <v>48</v>
      </c>
      <c r="C74" s="7">
        <v>55115</v>
      </c>
      <c r="D74" s="7">
        <f t="shared" si="1"/>
        <v>56272.414999999994</v>
      </c>
      <c r="E74" s="10">
        <v>43668</v>
      </c>
    </row>
    <row r="75" spans="1:5" s="8" customFormat="1" hidden="1" outlineLevel="1" x14ac:dyDescent="0.25">
      <c r="A75" s="8" t="s">
        <v>85</v>
      </c>
      <c r="B75" s="8">
        <v>48</v>
      </c>
      <c r="C75" s="9">
        <v>55115</v>
      </c>
      <c r="D75" s="9">
        <f t="shared" si="1"/>
        <v>56272.414999999994</v>
      </c>
      <c r="E75" s="9"/>
    </row>
    <row r="76" spans="1:5" collapsed="1" x14ac:dyDescent="0.25">
      <c r="A76" s="1" t="s">
        <v>15</v>
      </c>
      <c r="B76" s="1">
        <f>+B77</f>
        <v>46</v>
      </c>
      <c r="C76" s="3">
        <v>82249</v>
      </c>
      <c r="D76" s="3">
        <f t="shared" si="1"/>
        <v>83976.228999999992</v>
      </c>
      <c r="E76" s="3"/>
    </row>
    <row r="77" spans="1:5" s="8" customFormat="1" x14ac:dyDescent="0.25">
      <c r="A77" s="6" t="s">
        <v>86</v>
      </c>
      <c r="B77" s="6">
        <f>+B78</f>
        <v>46</v>
      </c>
      <c r="C77" s="7">
        <v>82249</v>
      </c>
      <c r="D77" s="32">
        <f t="shared" si="1"/>
        <v>83976.228999999992</v>
      </c>
      <c r="E77" s="10">
        <v>43668</v>
      </c>
    </row>
    <row r="78" spans="1:5" s="8" customFormat="1" hidden="1" outlineLevel="1" x14ac:dyDescent="0.25">
      <c r="A78" s="8" t="s">
        <v>87</v>
      </c>
      <c r="B78" s="8">
        <v>46</v>
      </c>
      <c r="C78" s="9">
        <v>82249</v>
      </c>
      <c r="D78" s="9">
        <f t="shared" si="1"/>
        <v>83976.228999999992</v>
      </c>
      <c r="E78" s="9"/>
    </row>
    <row r="79" spans="1:5" collapsed="1" x14ac:dyDescent="0.25">
      <c r="A79" s="4" t="s">
        <v>88</v>
      </c>
      <c r="B79" s="4">
        <f>+B76+B56+B3</f>
        <v>2326</v>
      </c>
      <c r="C79" s="5">
        <v>2061039.2199999993</v>
      </c>
      <c r="D79" s="5">
        <f t="shared" si="1"/>
        <v>2104321.0436199992</v>
      </c>
      <c r="E79" s="5"/>
    </row>
    <row r="81" spans="1:6" x14ac:dyDescent="0.25">
      <c r="B81" s="11" t="s">
        <v>93</v>
      </c>
      <c r="C81" s="11" t="s">
        <v>94</v>
      </c>
      <c r="D81" s="11" t="s">
        <v>91</v>
      </c>
      <c r="E81" s="11" t="s">
        <v>92</v>
      </c>
      <c r="F81" s="11" t="s">
        <v>90</v>
      </c>
    </row>
    <row r="82" spans="1:6" x14ac:dyDescent="0.25">
      <c r="A82" s="1" t="s">
        <v>21</v>
      </c>
      <c r="B82" s="1"/>
      <c r="C82" s="1"/>
      <c r="D82" s="1"/>
      <c r="E82" s="1"/>
      <c r="F82" s="1"/>
    </row>
    <row r="83" spans="1:6" x14ac:dyDescent="0.25">
      <c r="A83" s="6" t="s">
        <v>22</v>
      </c>
      <c r="B83" s="12"/>
      <c r="C83" s="12"/>
      <c r="D83" s="12"/>
      <c r="E83" s="12"/>
      <c r="F83" s="12" t="s">
        <v>95</v>
      </c>
    </row>
    <row r="84" spans="1:6" x14ac:dyDescent="0.25">
      <c r="A84" s="6" t="s">
        <v>28</v>
      </c>
      <c r="B84" s="13"/>
      <c r="C84" s="14"/>
      <c r="D84" s="13"/>
      <c r="E84" s="12"/>
      <c r="F84" s="12" t="s">
        <v>95</v>
      </c>
    </row>
    <row r="85" spans="1:6" x14ac:dyDescent="0.25">
      <c r="A85" s="6" t="s">
        <v>4</v>
      </c>
      <c r="B85" s="12"/>
      <c r="C85" s="12"/>
      <c r="D85" s="12"/>
      <c r="E85" s="12"/>
      <c r="F85" s="12"/>
    </row>
    <row r="86" spans="1:6" x14ac:dyDescent="0.25">
      <c r="A86" s="1" t="s">
        <v>6</v>
      </c>
      <c r="B86" s="15"/>
      <c r="C86" s="16"/>
      <c r="D86" s="15"/>
      <c r="E86" s="1"/>
      <c r="F86" s="1"/>
    </row>
    <row r="87" spans="1:6" x14ac:dyDescent="0.25">
      <c r="A87" s="6" t="s">
        <v>67</v>
      </c>
      <c r="B87" s="13"/>
      <c r="C87" s="14"/>
      <c r="D87" s="12"/>
      <c r="E87" s="12"/>
      <c r="F87" s="12" t="s">
        <v>95</v>
      </c>
    </row>
    <row r="88" spans="1:6" x14ac:dyDescent="0.25">
      <c r="A88" s="6" t="s">
        <v>76</v>
      </c>
      <c r="B88" s="13"/>
      <c r="C88" s="14"/>
      <c r="D88" s="13"/>
      <c r="E88" s="12"/>
      <c r="F88" s="12" t="s">
        <v>95</v>
      </c>
    </row>
    <row r="89" spans="1:6" x14ac:dyDescent="0.25">
      <c r="A89" s="6" t="s">
        <v>81</v>
      </c>
      <c r="B89" s="12"/>
      <c r="C89" s="12"/>
      <c r="D89" s="12"/>
      <c r="E89" s="12"/>
      <c r="F89" s="12" t="s">
        <v>95</v>
      </c>
    </row>
    <row r="90" spans="1:6" x14ac:dyDescent="0.25">
      <c r="A90" s="6" t="s">
        <v>84</v>
      </c>
      <c r="B90" s="12"/>
      <c r="C90" s="12"/>
      <c r="D90" s="12"/>
      <c r="E90" s="12"/>
      <c r="F90" s="12"/>
    </row>
    <row r="91" spans="1:6" x14ac:dyDescent="0.25">
      <c r="A91" s="1" t="s">
        <v>15</v>
      </c>
      <c r="B91" s="15"/>
      <c r="C91" s="16"/>
      <c r="D91" s="15"/>
      <c r="E91" s="1"/>
      <c r="F91" s="1"/>
    </row>
    <row r="92" spans="1:6" x14ac:dyDescent="0.25">
      <c r="A92" s="6" t="s">
        <v>86</v>
      </c>
      <c r="B92" s="12"/>
      <c r="C92" s="12"/>
      <c r="D92" s="12"/>
      <c r="E92" s="12"/>
      <c r="F92" s="12" t="s">
        <v>95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82" orientation="portrait" r:id="rId1"/>
  <headerFooter>
    <oddHeader>&amp;CPREVISIONNEL CDC PAM Renouvellement de composants 2019
SODEGIS</oddHeader>
    <oddFooter>Préparé par Nathalie BLANDINO &amp;D&amp;RPage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Feuil2</vt:lpstr>
      <vt:lpstr>Données</vt:lpstr>
      <vt:lpstr>Statistiques</vt:lpstr>
      <vt:lpstr>Renouvellement de composants</vt:lpstr>
      <vt:lpstr>Dde</vt:lpstr>
      <vt:lpstr>Garant</vt:lpstr>
      <vt:lpstr>Moyenne</vt:lpstr>
      <vt:lpstr>'Renouvellement de composants'!Zone_d_impression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cp:lastPrinted>2019-07-23T11:44:32Z</cp:lastPrinted>
  <dcterms:created xsi:type="dcterms:W3CDTF">2019-06-19T04:44:16Z</dcterms:created>
  <dcterms:modified xsi:type="dcterms:W3CDTF">2020-03-11T12:57:18Z</dcterms:modified>
</cp:coreProperties>
</file>