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2 - Pôle Construction Immobilière\1. PRLC\Prog 2023\0240-VEFA SILOE\5. Financements\DEAL\Demande\Dossier de travail\Elements à corriger - fiche de pré-instruction\"/>
    </mc:Choice>
  </mc:AlternateContent>
  <xr:revisionPtr revIDLastSave="0" documentId="13_ncr:1_{97AF7D3D-A572-498C-B841-397507A89B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PR GLOBAL_clé répartition" sheetId="5" r:id="rId1"/>
    <sheet name="DPR LLTS" sheetId="7" r:id="rId2"/>
    <sheet name="DPR PLS" sheetId="9" r:id="rId3"/>
    <sheet name="DPR COM" sheetId="8" r:id="rId4"/>
    <sheet name="Estim MOE" sheetId="2" r:id="rId5"/>
    <sheet name="Planning appels de fonds" sheetId="6" r:id="rId6"/>
    <sheet name="Loi sur l'eau" sheetId="4" r:id="rId7"/>
    <sheet name="DPR LLS" sheetId="10" r:id="rId8"/>
  </sheets>
  <externalReferences>
    <externalReference r:id="rId9"/>
    <externalReference r:id="rId10"/>
    <externalReference r:id="rId11"/>
    <externalReference r:id="rId12"/>
  </externalReferences>
  <definedNames>
    <definedName name="_Parse_Out" localSheetId="0" hidden="1">#REF!</definedName>
    <definedName name="_Parse_Out" localSheetId="5" hidden="1">#REF!</definedName>
    <definedName name="_Parse_Out" hidden="1">#REF!</definedName>
    <definedName name="adresse" localSheetId="0">'[1]NOTE DE PRESENTATION'!$B$23</definedName>
    <definedName name="adresse" localSheetId="5">'[2]NOTE DE PRESENTATION'!$B$23</definedName>
    <definedName name="adresse">'[3]NOTE DE PRESENTATION'!$B$23</definedName>
    <definedName name="adresse_siege" localSheetId="0">'[1]Données d''entrée'!$E$20</definedName>
    <definedName name="adresse_siege" localSheetId="5">'[2]Données d''entrée'!$E$20</definedName>
    <definedName name="adresse_siege">'[3]Données d''entrée'!$E$20</definedName>
    <definedName name="anscount" hidden="1">1</definedName>
    <definedName name="BASELOYERMAX" localSheetId="0">'[1]Paramètres Loyers'!$A$3:$D$8</definedName>
    <definedName name="BASELOYERMAX" localSheetId="5">'[2]Paramètres Loyers'!$A$3:$D$8</definedName>
    <definedName name="BASELOYERMAX">'[3]Paramètres Loyers'!$A$3:$D$8</definedName>
    <definedName name="CAF_Tot" localSheetId="0">'[1]Prgr. 2021'!#REF!</definedName>
    <definedName name="CAF_Tot" localSheetId="6">'[3]Prgr. 2021'!#REF!</definedName>
    <definedName name="CAF_Tot" localSheetId="5">'[2]Prgr. 2021'!#REF!</definedName>
    <definedName name="CAF_Tot">'[3]Prgr. 2021'!#REF!</definedName>
    <definedName name="CDC_LLS" localSheetId="0">'[1]Prgr. 2021'!$Y$67</definedName>
    <definedName name="CDC_LLS" localSheetId="5">'[2]Prgr. 2021'!$Y$65</definedName>
    <definedName name="CDC_LLS">'[3]Prgr. 2021'!$Y$65</definedName>
    <definedName name="CDC_LLS_construction" localSheetId="0">'[1]Prgr. 2021'!$Y$68</definedName>
    <definedName name="CDC_LLS_construction" localSheetId="5">'[2]Prgr. 2021'!$Y$66</definedName>
    <definedName name="CDC_LLS_construction">'[3]Prgr. 2021'!$Y$66</definedName>
    <definedName name="CDC_LLS_foncier" localSheetId="0">[1]Bdgt!$R$160</definedName>
    <definedName name="CDC_LLS_foncier" localSheetId="5">[2]Bdgt!$R$160</definedName>
    <definedName name="CDC_LLS_foncier">[3]Bdgt!$R$160</definedName>
    <definedName name="CDC_LLTS" localSheetId="0">'[1]Prgr. 2021'!$Z$67</definedName>
    <definedName name="CDC_LLTS" localSheetId="5">'[2]Prgr. 2021'!$Z$65</definedName>
    <definedName name="CDC_LLTS">'[3]Prgr. 2021'!$Z$65</definedName>
    <definedName name="CDC_LLTS_construction" localSheetId="0">'[1]Prgr. 2021'!$Z$68</definedName>
    <definedName name="CDC_LLTS_construction" localSheetId="5">'[2]Prgr. 2021'!$Z$66</definedName>
    <definedName name="CDC_LLTS_construction">'[3]Prgr. 2021'!$Z$66</definedName>
    <definedName name="CDC_LLTS_foncier" localSheetId="0">[1]Bdgt!$V$160</definedName>
    <definedName name="CDC_LLTS_foncier" localSheetId="5">[2]Bdgt!$V$160</definedName>
    <definedName name="CDC_LLTS_foncier">[3]Bdgt!$V$160</definedName>
    <definedName name="CDC_PLS" localSheetId="0">'[1]Prgr. 2021'!$AA$67</definedName>
    <definedName name="CDC_PLS" localSheetId="5">'[2]Prgr. 2021'!$AA$65</definedName>
    <definedName name="CDC_PLS">'[3]Prgr. 2021'!$AA$65</definedName>
    <definedName name="CDC_PLS_construction" localSheetId="0">'[1]Prgr. 2021'!$AA$68</definedName>
    <definedName name="CDC_PLS_construction" localSheetId="5">'[2]Prgr. 2021'!$AA$66</definedName>
    <definedName name="CDC_PLS_construction">'[3]Prgr. 2021'!$AA$66</definedName>
    <definedName name="CDC_PLS_foncier" localSheetId="0">[1]Bdgt!$Z$160</definedName>
    <definedName name="CDC_PLS_foncier" localSheetId="5">[2]Bdgt!$Z$160</definedName>
    <definedName name="CDC_PLS_foncier">[3]Bdgt!$Z$160</definedName>
    <definedName name="code" localSheetId="0">[1]Bdgt!$G$1</definedName>
    <definedName name="code" localSheetId="5">[2]Bdgt!$G$1</definedName>
    <definedName name="code">[3]Bdgt!$G$1</definedName>
    <definedName name="commune" localSheetId="0">'[1]NOTE DE PRESENTATION'!$A$5</definedName>
    <definedName name="commune" localSheetId="5">'[2]NOTE DE PRESENTATION'!$A$5</definedName>
    <definedName name="commune">'[3]NOTE DE PRESENTATION'!$A$5</definedName>
    <definedName name="Crédit_Impot" localSheetId="0">'[1]SF previsio LLS-LLTS'!$N$14</definedName>
    <definedName name="Crédit_Impot" localSheetId="5">'[2]SF previsio LLS-LLTS'!$N$14</definedName>
    <definedName name="Crédit_Impot">'[3]SF previsio LLS-LLTS'!$N$14</definedName>
    <definedName name="Credit_Impot_LLS" localSheetId="0">'[1]Prgr. 2021'!$Y$74</definedName>
    <definedName name="Credit_Impot_LLS" localSheetId="5">'[2]Prgr. 2021'!$Y$72</definedName>
    <definedName name="Credit_Impot_LLS">'[3]Prgr. 2021'!$Y$72</definedName>
    <definedName name="Credit_Impot_LLTS" localSheetId="0">'[1]Prgr. 2021'!$Z$74</definedName>
    <definedName name="Credit_Impot_LLTS" localSheetId="5">'[2]Prgr. 2021'!$Z$72</definedName>
    <definedName name="Credit_Impot_LLTS">'[3]Prgr. 2021'!$Z$72</definedName>
    <definedName name="Credit_Impot_PLS" localSheetId="0">'[1]Prgr. 2021'!$AA$74</definedName>
    <definedName name="Credit_Impot_PLS" localSheetId="5">'[2]Prgr. 2021'!$AA$72</definedName>
    <definedName name="Credit_Impot_PLS">'[3]Prgr. 2021'!$AA$72</definedName>
    <definedName name="Defisc_Tot" localSheetId="0">'[1]Prgr. 2021'!$AC$74</definedName>
    <definedName name="Defisc_Tot" localSheetId="5">'[2]Prgr. 2021'!$AC$72</definedName>
    <definedName name="Defisc_Tot">'[3]Prgr. 2021'!$AC$72</definedName>
    <definedName name="dhdh" localSheetId="0" hidden="1">{#N/A,#N/A,FALSE,"Gain Fiscal";#N/A,#N/A,FALSE,"CR";#N/A,#N/A,FALSE,"Bilan";#N/A,#N/A,FALSE,"Trésorerie";#N/A,#N/A,FALSE,"Prêt-Emprunt";#N/A,#N/A,FALSE,"Swap"}</definedName>
    <definedName name="dhdh" localSheetId="4" hidden="1">{#N/A,#N/A,FALSE,"Gain Fiscal";#N/A,#N/A,FALSE,"CR";#N/A,#N/A,FALSE,"Bilan";#N/A,#N/A,FALSE,"Trésorerie";#N/A,#N/A,FALSE,"Prêt-Emprunt";#N/A,#N/A,FALSE,"Swap"}</definedName>
    <definedName name="dhdh" localSheetId="6" hidden="1">{#N/A,#N/A,FALSE,"Gain Fiscal";#N/A,#N/A,FALSE,"CR";#N/A,#N/A,FALSE,"Bilan";#N/A,#N/A,FALSE,"Trésorerie";#N/A,#N/A,FALSE,"Prêt-Emprunt";#N/A,#N/A,FALSE,"Swap"}</definedName>
    <definedName name="dhdh" localSheetId="5" hidden="1">{#N/A,#N/A,FALSE,"Gain Fiscal";#N/A,#N/A,FALSE,"CR";#N/A,#N/A,FALSE,"Bilan";#N/A,#N/A,FALSE,"Trésorerie";#N/A,#N/A,FALSE,"Prêt-Emprunt";#N/A,#N/A,FALSE,"Swap"}</definedName>
    <definedName name="dhdh" hidden="1">{#N/A,#N/A,FALSE,"Gain Fiscal";#N/A,#N/A,FALSE,"CR";#N/A,#N/A,FALSE,"Bilan";#N/A,#N/A,FALSE,"Trésorerie";#N/A,#N/A,FALSE,"Prêt-Emprunt";#N/A,#N/A,FALSE,"Swap"}</definedName>
    <definedName name="directeur_g" localSheetId="0">'[1]Données d''entrée'!$D$22</definedName>
    <definedName name="directeur_g" localSheetId="5">'[2]Données d''entrée'!$D$22</definedName>
    <definedName name="directeur_g">'[3]Données d''entrée'!$D$22</definedName>
    <definedName name="Euro" localSheetId="0">#REF!</definedName>
    <definedName name="Euro" localSheetId="6">#REF!</definedName>
    <definedName name="Euro" localSheetId="5">#REF!</definedName>
    <definedName name="Euro">#REF!</definedName>
    <definedName name="fezfzef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4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localSheetId="0" hidden="1">{#N/A,#N/A,FALSE,"Gain Fiscal";#N/A,#N/A,FALSE,"CR";#N/A,#N/A,FALSE,"Bilan";#N/A,#N/A,FALSE,"Trésorerie";#N/A,#N/A,FALSE,"Prêt-Emprunt";#N/A,#N/A,FALSE,"Swap"}</definedName>
    <definedName name="ff" localSheetId="4" hidden="1">{#N/A,#N/A,FALSE,"Gain Fiscal";#N/A,#N/A,FALSE,"CR";#N/A,#N/A,FALSE,"Bilan";#N/A,#N/A,FALSE,"Trésorerie";#N/A,#N/A,FALSE,"Prêt-Emprunt";#N/A,#N/A,FALSE,"Swap"}</definedName>
    <definedName name="ff" localSheetId="6" hidden="1">{#N/A,#N/A,FALSE,"Gain Fiscal";#N/A,#N/A,FALSE,"CR";#N/A,#N/A,FALSE,"Bilan";#N/A,#N/A,FALSE,"Trésorerie";#N/A,#N/A,FALSE,"Prêt-Emprunt";#N/A,#N/A,FALSE,"Swap"}</definedName>
    <definedName name="ff" localSheetId="5" hidden="1">{#N/A,#N/A,FALSE,"Gain Fiscal";#N/A,#N/A,FALSE,"CR";#N/A,#N/A,FALSE,"Bilan";#N/A,#N/A,FALSE,"Trésorerie";#N/A,#N/A,FALSE,"Prêt-Emprunt";#N/A,#N/A,FALSE,"Swap"}</definedName>
    <definedName name="ff" hidden="1">{#N/A,#N/A,FALSE,"Gain Fiscal";#N/A,#N/A,FALSE,"CR";#N/A,#N/A,FALSE,"Bilan";#N/A,#N/A,FALSE,"Trésorerie";#N/A,#N/A,FALSE,"Prêt-Emprunt";#N/A,#N/A,FALSE,"Swap"}</definedName>
    <definedName name="fff" localSheetId="0" hidden="1">{#N/A,#N/A,FALSE,"Gain Fiscal";#N/A,#N/A,FALSE,"CR";#N/A,#N/A,FALSE,"Bilan";#N/A,#N/A,FALSE,"Trésorerie";#N/A,#N/A,FALSE,"Prêt-Emprunt";#N/A,#N/A,FALSE,"Swap"}</definedName>
    <definedName name="fff" localSheetId="4" hidden="1">{#N/A,#N/A,FALSE,"Gain Fiscal";#N/A,#N/A,FALSE,"CR";#N/A,#N/A,FALSE,"Bilan";#N/A,#N/A,FALSE,"Trésorerie";#N/A,#N/A,FALSE,"Prêt-Emprunt";#N/A,#N/A,FALSE,"Swap"}</definedName>
    <definedName name="fff" localSheetId="6" hidden="1">{#N/A,#N/A,FALSE,"Gain Fiscal";#N/A,#N/A,FALSE,"CR";#N/A,#N/A,FALSE,"Bilan";#N/A,#N/A,FALSE,"Trésorerie";#N/A,#N/A,FALSE,"Prêt-Emprunt";#N/A,#N/A,FALSE,"Swap"}</definedName>
    <definedName name="fff" localSheetId="5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P_LLS" localSheetId="0">'[1]Prgr. 2021'!$Y$73</definedName>
    <definedName name="FP_LLS" localSheetId="5">'[2]Prgr. 2021'!$Y$71</definedName>
    <definedName name="FP_LLS">'[3]Prgr. 2021'!$Y$71</definedName>
    <definedName name="FP_LLTS" localSheetId="0">'[1]Prgr. 2021'!$Z$73</definedName>
    <definedName name="FP_LLTS" localSheetId="5">'[2]Prgr. 2021'!$Z$71</definedName>
    <definedName name="FP_LLTS">'[3]Prgr. 2021'!$Z$71</definedName>
    <definedName name="FP_PLS" localSheetId="0">'[1]Prgr. 2021'!$AA$73</definedName>
    <definedName name="FP_PLS" localSheetId="5">'[2]Prgr. 2021'!$AA$71</definedName>
    <definedName name="FP_PLS">'[3]Prgr. 2021'!$AA$71</definedName>
    <definedName name="LBU_SF" localSheetId="0">'[1]Prgr. 2021'!$AC$63</definedName>
    <definedName name="LBU_SF" localSheetId="5">'[2]Prgr. 2021'!$AC$61</definedName>
    <definedName name="LBU_SF">'[3]Prgr. 2021'!$AC$61</definedName>
    <definedName name="LBU_Tot" localSheetId="0">'[1]Prgr. 2021'!$AC$62</definedName>
    <definedName name="LBU_Tot" localSheetId="5">'[2]Prgr. 2021'!$AC$60</definedName>
    <definedName name="LBU_Tot">'[3]Prgr. 2021'!$AC$60</definedName>
    <definedName name="limcount" hidden="1">1</definedName>
    <definedName name="LMDOMPLS" localSheetId="0">'[1]Prgr. 2021'!$F$98</definedName>
    <definedName name="LMDOMPLS" localSheetId="5">'[2]Prgr. 2021'!$F$100</definedName>
    <definedName name="LMDOMPLS">'[3]Prgr. 2021'!$F$100</definedName>
    <definedName name="Loyer_Pratiqué_LLS" localSheetId="0">'[1]Prgr. 2021'!$F$89</definedName>
    <definedName name="Loyer_Pratiqué_LLS" localSheetId="5">'[2]Prgr. 2021'!$F$91</definedName>
    <definedName name="Loyer_Pratiqué_LLS">'[3]Prgr. 2021'!$F$91</definedName>
    <definedName name="Loyer_Pratiqué_LLTS" localSheetId="0">'[1]Prgr. 2021'!$F$97</definedName>
    <definedName name="Loyer_Pratiqué_LLTS" localSheetId="5">'[2]Prgr. 2021'!$F$99</definedName>
    <definedName name="Loyer_Pratiqué_LLTS">'[3]Prgr. 2021'!$F$99</definedName>
    <definedName name="Loyer_Pratiqué_PLS" localSheetId="0">'[1]Prgr. 2021'!$F$109</definedName>
    <definedName name="Loyer_Pratiqué_PLS" localSheetId="5">'[2]Prgr. 2021'!$F$105</definedName>
    <definedName name="Loyer_Pratiqué_PLS">'[3]Prgr. 2021'!$F$105</definedName>
    <definedName name="Loyer_retenu_CC" localSheetId="0">'[1]Prgr. 2021'!$AF$91:$AF$95</definedName>
    <definedName name="Loyer_retenu_CC" localSheetId="5">'[2]Prgr. 2021'!$AF$93:$AF$97</definedName>
    <definedName name="Loyer_retenu_CC">'[3]Prgr. 2021'!$AF$93:$AF$97</definedName>
    <definedName name="LP_LLS" localSheetId="0">'[1]Prgr. 2021'!$F$88</definedName>
    <definedName name="LP_LLS" localSheetId="5">'[2]Prgr. 2021'!$F$90</definedName>
    <definedName name="LP_LLS">'[3]Prgr. 2021'!$F$90</definedName>
    <definedName name="LP_LLTS" localSheetId="0">'[1]Prgr. 2021'!$F$96</definedName>
    <definedName name="LP_LLTS" localSheetId="5">'[2]Prgr. 2021'!$F$98</definedName>
    <definedName name="LP_LLTS">'[3]Prgr. 2021'!$F$98</definedName>
    <definedName name="LP_PLS" localSheetId="0">'[1]Prgr. 2021'!$F$108</definedName>
    <definedName name="LP_PLS" localSheetId="5">'[2]Prgr. 2021'!$F$104</definedName>
    <definedName name="LP_PLS">'[3]Prgr. 2021'!$F$104</definedName>
    <definedName name="Nbre" localSheetId="0">'[1]SF previsio PLS'!$E$20</definedName>
    <definedName name="Nbre" localSheetId="5">'[2]SF previsio PLS'!$E$20</definedName>
    <definedName name="Nbre">'[3]SF previsio PLS'!$E$20</definedName>
    <definedName name="Nbre_LLS_LLTS" localSheetId="0">'[1]SF previsio LLS-LLTS'!$E$20</definedName>
    <definedName name="Nbre_LLS_LLTS" localSheetId="5">'[2]SF previsio LLS-LLTS'!$E$20</definedName>
    <definedName name="Nbre_LLS_LLTS">'[3]SF previsio LLS-LLTS'!$E$20</definedName>
    <definedName name="NbreLLS" localSheetId="0">'[1]Prgr. 2021'!$V$16</definedName>
    <definedName name="NbreLLS" localSheetId="5">'[2]Prgr. 2021'!$V$20</definedName>
    <definedName name="NbreLLS">'[3]Prgr. 2021'!$V$20</definedName>
    <definedName name="NbreLLTS" localSheetId="0">'[1]Prgr. 2021'!$V$24</definedName>
    <definedName name="NbreLLTS" localSheetId="5">'[2]Prgr. 2021'!$V$28</definedName>
    <definedName name="NbreLLTS">'[3]Prgr. 2021'!$V$28</definedName>
    <definedName name="NbrePLS" localSheetId="0">'[1]Prgr. 2021'!$V$36</definedName>
    <definedName name="NbrePLS" localSheetId="5">'[2]Prgr. 2021'!$V$34</definedName>
    <definedName name="NbrePLS">'[3]Prgr. 2021'!$V$34</definedName>
    <definedName name="nom" localSheetId="0">'[1]NOTE DE PRESENTATION'!$A$4</definedName>
    <definedName name="nom" localSheetId="5">'[2]NOTE DE PRESENTATION'!$A$4</definedName>
    <definedName name="nom">'[3]NOTE DE PRESENTATION'!$A$4</definedName>
    <definedName name="Nombre_lgt" localSheetId="0">'[1]1'!$D$65</definedName>
    <definedName name="Nombre_lgt" localSheetId="5">'[2]1'!$D$65</definedName>
    <definedName name="Nombre_lgt">'[3]1'!$D$65</definedName>
    <definedName name="nombreLLS" localSheetId="0">'[1]Données d''entrée'!$D$8</definedName>
    <definedName name="nombreLLS" localSheetId="5">'[2]Données d''entrée'!$D$8</definedName>
    <definedName name="nombreLLS">'[3]Données d''entrée'!$D$8</definedName>
    <definedName name="nombreLLTS" localSheetId="0">'[1]Données d''entrée'!$E$8</definedName>
    <definedName name="nombreLLTS" localSheetId="5">'[2]Données d''entrée'!$E$8</definedName>
    <definedName name="nombreLLTS">'[3]Données d''entrée'!$E$8</definedName>
    <definedName name="OPERATION">'[4]LLS-LLTS  BDG'!$A:$IV</definedName>
    <definedName name="OS_Tvx" localSheetId="0">'[1]Prgr. 2021'!$D$68</definedName>
    <definedName name="OS_Tvx" localSheetId="5">'[2]Prgr. 2021'!$D$66</definedName>
    <definedName name="OS_Tvx">'[3]Prgr. 2021'!$D$66</definedName>
    <definedName name="PA_SAS_HT_LLS" localSheetId="3">'DPR COM'!#REF!</definedName>
    <definedName name="PA_SAS_HT_LLS" localSheetId="0">'[1]DPR LLS'!$E$69</definedName>
    <definedName name="PA_SAS_HT_LLS" localSheetId="7">'DPR LLS'!#REF!</definedName>
    <definedName name="PA_SAS_HT_LLS" localSheetId="1">'DPR LLTS'!#REF!</definedName>
    <definedName name="PA_SAS_HT_LLS" localSheetId="2">'DPR PLS'!#REF!</definedName>
    <definedName name="PA_SAS_HT_LLS" localSheetId="6">'[3]DPR LLS'!$E$69</definedName>
    <definedName name="PA_SAS_HT_LLS" localSheetId="5">'[2]DPR LLS'!$E$69</definedName>
    <definedName name="PA_SAS_HT_LLS">#REF!</definedName>
    <definedName name="PA_SAS_HT_LLTS" localSheetId="0">'[1]DPR LLTS'!$E$69</definedName>
    <definedName name="PA_SAS_HT_LLTS" localSheetId="5">'[2]DPR LLTS'!$E$69</definedName>
    <definedName name="PA_SAS_HT_LLTS">'[3]DPR LLTS'!$E$69</definedName>
    <definedName name="PA_SAS_HT_PLS" localSheetId="0">'DPR GLOBAL_clé répartition'!#REF!</definedName>
    <definedName name="PA_SAS_HT_PLS" localSheetId="5">'[2]DPR PLS'!$E$69</definedName>
    <definedName name="PA_SAS_HT_PLS">'[3]DPR PLS'!$E$69</definedName>
    <definedName name="PRP_TTC" localSheetId="0">'[1]SF previsio LLS-LLTS'!$N$13</definedName>
    <definedName name="PRP_TTC" localSheetId="5">'[2]SF previsio LLS-LLTS'!$N$13</definedName>
    <definedName name="PRP_TTC">'[3]SF previsio LLS-LLTS'!$N$13</definedName>
    <definedName name="PRP_TTC_LLS" localSheetId="0">'[1]Données d''entrée'!$D$26</definedName>
    <definedName name="PRP_TTC_LLS" localSheetId="5">'[2]Données d''entrée'!$D$26</definedName>
    <definedName name="PRP_TTC_LLS">'[3]Données d''entrée'!$D$26</definedName>
    <definedName name="PRP_TTC_LLTS" localSheetId="0">'[1]Données d''entrée'!$E$26</definedName>
    <definedName name="PRP_TTC_LLTS" localSheetId="5">'[2]Données d''entrée'!$E$26</definedName>
    <definedName name="PRP_TTC_LLTS">'[3]Données d''entrée'!$E$26</definedName>
    <definedName name="PRP_TTC_PLS" localSheetId="0">'[1]Données d''entrée'!$F$26</definedName>
    <definedName name="PRP_TTC_PLS" localSheetId="5">'[2]Données d''entrée'!$F$26</definedName>
    <definedName name="PRP_TTC_PLS">'[3]Données d''entrée'!$F$26</definedName>
    <definedName name="Px_Terrain" localSheetId="0">'[1]SF previsio LLS-LLTS'!$N$12</definedName>
    <definedName name="Px_Terrain" localSheetId="5">'[2]SF previsio LLS-LLTS'!$N$12</definedName>
    <definedName name="Px_Terrain">'[3]SF previsio LLS-LLTS'!$N$12</definedName>
    <definedName name="Px_Terrain_PLS" localSheetId="0">'[1]SF previsio PLS'!$N$12</definedName>
    <definedName name="Px_Terrain_PLS" localSheetId="5">'[2]SF previsio PLS'!$N$12</definedName>
    <definedName name="Px_Terrain_PLS">'[3]SF previsio PLS'!$N$12</definedName>
    <definedName name="Repartition_LLTS" localSheetId="0">'[1]Prgr. 2021'!$B$91:$B$95</definedName>
    <definedName name="Repartition_LLTS" localSheetId="5">'[2]Prgr. 2021'!$B$93:$B$97</definedName>
    <definedName name="Repartition_LLTS">'[3]Prgr. 2021'!$B$93:$B$97</definedName>
    <definedName name="S_terrain" localSheetId="0">'[1]Prgr. 2021'!$B$67</definedName>
    <definedName name="S_terrain" localSheetId="5">'[2]Prgr. 2021'!$B$65</definedName>
    <definedName name="S_terrain">'[3]Prgr. 2021'!$B$65</definedName>
    <definedName name="sencount" hidden="1">1</definedName>
    <definedName name="SF.LLS" localSheetId="0">'[1]Prgr. 2021'!$AC$16</definedName>
    <definedName name="SF.LLS" localSheetId="5">'[2]Prgr. 2021'!$AC$20</definedName>
    <definedName name="SF.LLS">'[3]Prgr. 2021'!$AC$20</definedName>
    <definedName name="SF.LLTS" localSheetId="0">'[1]Prgr. 2021'!$AC$24</definedName>
    <definedName name="SF.LLTS" localSheetId="5">'[2]Prgr. 2021'!$AC$28</definedName>
    <definedName name="SF.LLTS">'[3]Prgr. 2021'!$AC$28</definedName>
    <definedName name="SF.PLS" localSheetId="0">'[1]Prgr. 2021'!$AC$36</definedName>
    <definedName name="SF.PLS" localSheetId="5">'[2]Prgr. 2021'!$AC$34</definedName>
    <definedName name="SF.PLS">'[3]Prgr. 2021'!$AC$34</definedName>
    <definedName name="SF_LLS" localSheetId="0">'[1]Données d''entrée'!$D$28</definedName>
    <definedName name="SF_LLS" localSheetId="5">'[2]Données d''entrée'!$D$28</definedName>
    <definedName name="SF_LLS">'[3]Données d''entrée'!$D$28</definedName>
    <definedName name="SF_LLTS" localSheetId="0">'[1]Données d''entrée'!$E$28</definedName>
    <definedName name="SF_LLTS" localSheetId="5">'[2]Données d''entrée'!$E$28</definedName>
    <definedName name="SF_LLTS">'[3]Données d''entrée'!$E$28</definedName>
    <definedName name="SF_PLS" localSheetId="0">'[1]Données d''entrée'!$F$28</definedName>
    <definedName name="SF_PLS" localSheetId="5">'[2]Données d''entrée'!$F$28</definedName>
    <definedName name="SF_PLS">'[3]Données d''entrée'!$F$28</definedName>
    <definedName name="SH.LLS" localSheetId="0">'[1]Prgr. 2021'!$X$16</definedName>
    <definedName name="SH.LLS" localSheetId="5">'[2]Prgr. 2021'!$X$20</definedName>
    <definedName name="SH.LLS">'[3]Prgr. 2021'!$X$20</definedName>
    <definedName name="SH.LLTS" localSheetId="0">'[1]Prgr. 2021'!$X$24</definedName>
    <definedName name="SH.LLTS" localSheetId="5">'[2]Prgr. 2021'!$X$28</definedName>
    <definedName name="SH.LLTS">'[3]Prgr. 2021'!$X$28</definedName>
    <definedName name="SH.PLS" localSheetId="0">'[1]Prgr. 2021'!$X$36</definedName>
    <definedName name="SH.PLS" localSheetId="5">'[2]Prgr. 2021'!$X$34</definedName>
    <definedName name="SH.PLS">'[3]Prgr. 2021'!$X$34</definedName>
    <definedName name="SU.PLS" localSheetId="0">'[1]Prgr. 2021'!$Z$36</definedName>
    <definedName name="SU.PLS" localSheetId="5">'[2]Prgr. 2021'!$Z$34</definedName>
    <definedName name="SU.PLS">'[3]Prgr. 2021'!$Z$34</definedName>
    <definedName name="Sub_LLS" localSheetId="0">'[1]Prgr. 2021'!$Y$62</definedName>
    <definedName name="Sub_LLS" localSheetId="5">'[2]Prgr. 2021'!$Y$60</definedName>
    <definedName name="Sub_LLS">'[3]Prgr. 2021'!$Y$60</definedName>
    <definedName name="Sub_LLTS" localSheetId="0">'[1]Prgr. 2021'!$Z$62</definedName>
    <definedName name="Sub_LLTS" localSheetId="5">'[2]Prgr. 2021'!$Z$60</definedName>
    <definedName name="Sub_LLTS">'[3]Prgr. 2021'!$Z$60</definedName>
    <definedName name="Sub_PLS" localSheetId="0">'[1]Prgr. 2021'!$AA$62</definedName>
    <definedName name="Sub_PLS" localSheetId="5">'[2]Prgr. 2021'!$AA$60</definedName>
    <definedName name="Sub_PLS">'[3]Prgr. 2021'!$AA$60</definedName>
    <definedName name="Sub_Totale_LLS" localSheetId="0">'[1]Prgr. 2021'!$Y$61</definedName>
    <definedName name="Sub_Totale_LLS" localSheetId="5">'[2]Prgr. 2021'!$Y$59</definedName>
    <definedName name="Sub_Totale_LLS">'[3]Prgr. 2021'!$Y$59</definedName>
    <definedName name="Sub_Totale_LLTS" localSheetId="0">'[1]Prgr. 2021'!$Z$61</definedName>
    <definedName name="Sub_Totale_LLTS" localSheetId="5">'[2]Prgr. 2021'!$Z$59</definedName>
    <definedName name="Sub_Totale_LLTS">'[3]Prgr. 2021'!$Z$59</definedName>
    <definedName name="Sub_Totale_PLS" localSheetId="0">'[1]Prgr. 2021'!$AA$61</definedName>
    <definedName name="Sub_Totale_PLS" localSheetId="5">'[2]Prgr. 2021'!$AA$59</definedName>
    <definedName name="Sub_Totale_PLS">'[3]Prgr. 2021'!$AA$59</definedName>
    <definedName name="Subventions" localSheetId="0">'[1]SF previsio LLS-LLTS'!$P$14</definedName>
    <definedName name="Subventions" localSheetId="5">'[2]SF previsio LLS-LLTS'!$P$14</definedName>
    <definedName name="Subventions">'[3]SF previsio LLS-LLTS'!$P$14</definedName>
    <definedName name="T" localSheetId="0">#REF!</definedName>
    <definedName name="T" localSheetId="6">#REF!</definedName>
    <definedName name="T" localSheetId="5">#REF!</definedName>
    <definedName name="T">#REF!</definedName>
    <definedName name="T_2009" localSheetId="0">#REF!</definedName>
    <definedName name="T_2009" localSheetId="6">#REF!</definedName>
    <definedName name="T_2009" localSheetId="5">#REF!</definedName>
    <definedName name="T_2009">#REF!</definedName>
    <definedName name="T_2010" localSheetId="0">#REF!</definedName>
    <definedName name="T_2010" localSheetId="6">#REF!</definedName>
    <definedName name="T_2010" localSheetId="5">#REF!</definedName>
    <definedName name="T_2010">#REF!</definedName>
    <definedName name="T_2011" localSheetId="5">#REF!</definedName>
    <definedName name="T_2011">#REF!</definedName>
    <definedName name="T_2012" localSheetId="5">#REF!</definedName>
    <definedName name="T_2012">#REF!</definedName>
    <definedName name="T1_LLS" localSheetId="0">'[1]Prgr. 2021'!$AJ$2</definedName>
    <definedName name="T1_LLS" localSheetId="5">'[2]Prgr. 2021'!$AJ$2</definedName>
    <definedName name="T1_LLS">'[3]Prgr. 2021'!$AJ$2</definedName>
    <definedName name="T1_LLTS" localSheetId="0">'[1]Prgr. 2021'!$AL$2</definedName>
    <definedName name="T1_LLTS" localSheetId="5">'[2]Prgr. 2021'!$AL$2</definedName>
    <definedName name="T1_LLTS">'[3]Prgr. 2021'!$AL$2</definedName>
    <definedName name="T1_PLS" localSheetId="0">'[1]Prgr. 2021'!$AN$2</definedName>
    <definedName name="T1_PLS" localSheetId="5">'[2]Prgr. 2021'!$AN$2</definedName>
    <definedName name="T1_PLS">'[3]Prgr. 2021'!$AN$2</definedName>
    <definedName name="T2_LLS" localSheetId="0">'[1]Prgr. 2021'!$AJ$3</definedName>
    <definedName name="T2_LLS" localSheetId="5">'[2]Prgr. 2021'!$AJ$3</definedName>
    <definedName name="T2_LLS">'[3]Prgr. 2021'!$AJ$3</definedName>
    <definedName name="T2_LLTS" localSheetId="0">'[1]Prgr. 2021'!$AL$3</definedName>
    <definedName name="T2_LLTS" localSheetId="5">'[2]Prgr. 2021'!$AL$3</definedName>
    <definedName name="T2_LLTS">'[3]Prgr. 2021'!$AL$3</definedName>
    <definedName name="T2_PLS" localSheetId="0">'[1]Prgr. 2021'!$AN$3</definedName>
    <definedName name="T2_PLS" localSheetId="5">'[2]Prgr. 2021'!$AN$3</definedName>
    <definedName name="T2_PLS">'[3]Prgr. 2021'!$AN$3</definedName>
    <definedName name="T3_LLS" localSheetId="0">'[1]Prgr. 2021'!$AJ$4</definedName>
    <definedName name="T3_LLS" localSheetId="5">'[2]Prgr. 2021'!$AJ$4</definedName>
    <definedName name="T3_LLS">'[3]Prgr. 2021'!$AJ$4</definedName>
    <definedName name="T3_LLTS" localSheetId="0">'[1]Prgr. 2021'!$AL$4</definedName>
    <definedName name="T3_LLTS" localSheetId="5">'[2]Prgr. 2021'!$AL$4</definedName>
    <definedName name="T3_LLTS">'[3]Prgr. 2021'!$AL$4</definedName>
    <definedName name="T3_PLS" localSheetId="0">'[1]Prgr. 2021'!$AN$4</definedName>
    <definedName name="T3_PLS" localSheetId="5">'[2]Prgr. 2021'!$AN$4</definedName>
    <definedName name="T3_PLS">'[3]Prgr. 2021'!$AN$4</definedName>
    <definedName name="T4_LLS" localSheetId="0">'[1]Prgr. 2021'!$AJ$5</definedName>
    <definedName name="T4_LLS" localSheetId="5">'[2]Prgr. 2021'!$AJ$5</definedName>
    <definedName name="T4_LLS">'[3]Prgr. 2021'!$AJ$5</definedName>
    <definedName name="T4_LLTS" localSheetId="0">'[1]Prgr. 2021'!$AL$5</definedName>
    <definedName name="T4_LLTS" localSheetId="5">'[2]Prgr. 2021'!$AL$5</definedName>
    <definedName name="T4_LLTS">'[3]Prgr. 2021'!$AL$5</definedName>
    <definedName name="T4_PLS" localSheetId="0">'[1]Prgr. 2021'!$AN$5</definedName>
    <definedName name="T4_PLS" localSheetId="5">'[2]Prgr. 2021'!$AN$5</definedName>
    <definedName name="T4_PLS">'[3]Prgr. 2021'!$AN$5</definedName>
    <definedName name="T5_LLS" localSheetId="0">'[1]Prgr. 2021'!$AJ$6</definedName>
    <definedName name="T5_LLS" localSheetId="5">'[2]Prgr. 2021'!$AJ$6</definedName>
    <definedName name="T5_LLS">'[3]Prgr. 2021'!$AJ$6</definedName>
    <definedName name="T5_LLTS" localSheetId="0">'[1]Prgr. 2021'!$AL$6</definedName>
    <definedName name="T5_LLTS" localSheetId="5">'[2]Prgr. 2021'!$AL$6</definedName>
    <definedName name="T5_LLTS">'[3]Prgr. 2021'!$AL$6</definedName>
    <definedName name="T5_PLS" localSheetId="0">'[1]Prgr. 2021'!$AN$6</definedName>
    <definedName name="T5_PLS" localSheetId="5">'[2]Prgr. 2021'!$AN$6</definedName>
    <definedName name="T5_PLS">'[3]Prgr. 2021'!$AN$6</definedName>
    <definedName name="Tauxconversion" localSheetId="0">#REF!</definedName>
    <definedName name="Tauxconversion" localSheetId="6">#REF!</definedName>
    <definedName name="Tauxconversion" localSheetId="5">#REF!</definedName>
    <definedName name="Tauxconversion">#REF!</definedName>
    <definedName name="TVAN">'[4]76 Budget'!$H$4</definedName>
    <definedName name="TVAN1" localSheetId="0">#REF!</definedName>
    <definedName name="TVAN1" localSheetId="6">#REF!</definedName>
    <definedName name="TVAN1" localSheetId="5">#REF!</definedName>
    <definedName name="TVAN1">#REF!</definedName>
    <definedName name="TVAS">'[4]76 Budget'!$H$3</definedName>
    <definedName name="TYPE1" localSheetId="0">'[1]Prgr. 2021'!$A$82</definedName>
    <definedName name="TYPE1" localSheetId="5">'[2]Prgr. 2021'!$A$80</definedName>
    <definedName name="TYPE1">'[3]Prgr. 2021'!$A$80</definedName>
    <definedName name="TYPE2" localSheetId="0">'[1]Prgr. 2021'!$A$90</definedName>
    <definedName name="TYPE2" localSheetId="5">'[2]Prgr. 2021'!$A$92</definedName>
    <definedName name="TYPE2">'[3]Prgr. 2021'!$A$92</definedName>
    <definedName name="TYPE3" localSheetId="0">'[1]Prgr. 2021'!$A$98</definedName>
    <definedName name="TYPE3" localSheetId="5">'[2]Prgr. 2021'!$A$100</definedName>
    <definedName name="TYPE3">'[3]Prgr. 2021'!$A$100</definedName>
    <definedName name="wrn.Comité." localSheetId="0" hidden="1">{"Option 4",#N/A,FALSE,"GIE-GNi-2002+ 0 an";"Option 4 + 1",#N/A,FALSE,"GIE-GNi-2002+ 0 an";"Option 4 + 2",#N/A,FALSE,"GIE-GNi-2002+ 0 an"}</definedName>
    <definedName name="wrn.Comité." localSheetId="4" hidden="1">{"Option 4",#N/A,FALSE,"GIE-GNi-2002+ 0 an";"Option 4 + 1",#N/A,FALSE,"GIE-GNi-2002+ 0 an";"Option 4 + 2",#N/A,FALSE,"GIE-GNi-2002+ 0 an"}</definedName>
    <definedName name="wrn.Comité." localSheetId="6" hidden="1">{"Option 4",#N/A,FALSE,"GIE-GNi-2002+ 0 an";"Option 4 + 1",#N/A,FALSE,"GIE-GNi-2002+ 0 an";"Option 4 + 2",#N/A,FALSE,"GIE-GNi-2002+ 0 an"}</definedName>
    <definedName name="wrn.Comité." localSheetId="5" hidden="1">{"Option 4",#N/A,FALSE,"GIE-GNi-2002+ 0 an";"Option 4 + 1",#N/A,FALSE,"GIE-GNi-2002+ 0 an";"Option 4 + 2",#N/A,FALSE,"GIE-GNi-2002+ 0 an"}</definedName>
    <definedName name="wrn.Comité." hidden="1">{"Option 4",#N/A,FALSE,"GIE-GNi-2002+ 0 an";"Option 4 + 1",#N/A,FALSE,"GIE-GNi-2002+ 0 an";"Option 4 + 2",#N/A,FALSE,"GIE-GNi-2002+ 0 an"}</definedName>
    <definedName name="wrn.Imprime." localSheetId="0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4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6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localSheetId="5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localSheetId="0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4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6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localSheetId="5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localSheetId="0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4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6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localSheetId="5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_xlnm.Print_Area" localSheetId="3">'DPR COM'!$B$6:$E$73</definedName>
    <definedName name="_xlnm.Print_Area" localSheetId="0">'DPR GLOBAL_clé répartition'!$B$6:$T$74</definedName>
    <definedName name="_xlnm.Print_Area" localSheetId="7">'DPR LLS'!$B$6:$E$73</definedName>
    <definedName name="_xlnm.Print_Area" localSheetId="1">'DPR LLTS'!$B$6:$E$73</definedName>
    <definedName name="_xlnm.Print_Area" localSheetId="2">'DPR PLS'!$B$6:$H$73</definedName>
    <definedName name="_xlnm.Print_Area" localSheetId="4">'Estim MOE'!$A$1:$F$33</definedName>
    <definedName name="_xlnm.Print_Area" localSheetId="6">'Loi sur l''eau'!$A$1:$G$47</definedName>
    <definedName name="_xlnm.Print_Area" localSheetId="5">'Planning appels de fonds'!$A$1:$D$17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5" l="1"/>
  <c r="M43" i="5"/>
  <c r="I43" i="5"/>
  <c r="G43" i="5"/>
  <c r="M56" i="5"/>
  <c r="I56" i="5"/>
  <c r="G56" i="5"/>
  <c r="M55" i="5"/>
  <c r="I55" i="5"/>
  <c r="G55" i="5"/>
  <c r="I14" i="5"/>
  <c r="G14" i="5"/>
  <c r="M14" i="5"/>
  <c r="M17" i="5"/>
  <c r="I17" i="5"/>
  <c r="G17" i="5"/>
  <c r="I27" i="5"/>
  <c r="G27" i="5"/>
  <c r="I28" i="5"/>
  <c r="G28" i="5"/>
  <c r="M50" i="5"/>
  <c r="I50" i="5"/>
  <c r="G50" i="5"/>
  <c r="M49" i="5"/>
  <c r="I49" i="5"/>
  <c r="G49" i="5"/>
  <c r="M48" i="5"/>
  <c r="I48" i="5"/>
  <c r="G48" i="5"/>
  <c r="M47" i="5"/>
  <c r="I47" i="5"/>
  <c r="G47" i="5"/>
  <c r="G46" i="5"/>
  <c r="M46" i="5"/>
  <c r="I46" i="5"/>
  <c r="M45" i="5"/>
  <c r="I45" i="5"/>
  <c r="G45" i="5"/>
  <c r="M51" i="5"/>
  <c r="I51" i="5"/>
  <c r="G51" i="5"/>
  <c r="M52" i="5"/>
  <c r="I52" i="5"/>
  <c r="G52" i="5"/>
  <c r="M59" i="5"/>
  <c r="I59" i="5"/>
  <c r="G59" i="5"/>
  <c r="M58" i="5"/>
  <c r="I58" i="5"/>
  <c r="G58" i="5"/>
  <c r="I41" i="5"/>
  <c r="G41" i="5"/>
  <c r="M41" i="5"/>
  <c r="M22" i="5"/>
  <c r="I22" i="5"/>
  <c r="G22" i="5"/>
  <c r="M21" i="5"/>
  <c r="I21" i="5"/>
  <c r="G21" i="5"/>
  <c r="M20" i="5"/>
  <c r="I20" i="5"/>
  <c r="G20" i="5"/>
  <c r="G19" i="5"/>
  <c r="I19" i="5"/>
  <c r="M19" i="5"/>
  <c r="G31" i="5"/>
  <c r="I31" i="5"/>
  <c r="M31" i="5"/>
  <c r="M30" i="5"/>
  <c r="I30" i="5"/>
  <c r="G30" i="5"/>
  <c r="M25" i="5"/>
  <c r="I25" i="5"/>
  <c r="G25" i="5"/>
  <c r="M24" i="5"/>
  <c r="I24" i="5"/>
  <c r="G24" i="5"/>
  <c r="G26" i="5"/>
  <c r="I26" i="5"/>
  <c r="G35" i="5"/>
  <c r="I35" i="5"/>
  <c r="I40" i="5"/>
  <c r="G40" i="5"/>
  <c r="G38" i="5"/>
  <c r="I38" i="5"/>
  <c r="K38" i="5"/>
  <c r="M38" i="5"/>
  <c r="M37" i="5"/>
  <c r="I37" i="5"/>
  <c r="G37" i="5"/>
  <c r="H33" i="5"/>
  <c r="I34" i="5"/>
  <c r="G34" i="5"/>
  <c r="I32" i="5"/>
  <c r="G32" i="5"/>
  <c r="N29" i="5"/>
  <c r="I29" i="5"/>
  <c r="G29" i="5"/>
  <c r="L10" i="5"/>
  <c r="L9" i="5"/>
  <c r="J10" i="5"/>
  <c r="H10" i="5"/>
  <c r="R10" i="5" s="1"/>
  <c r="P10" i="5"/>
  <c r="K10" i="5"/>
  <c r="K9" i="5"/>
  <c r="I10" i="5"/>
  <c r="G10" i="5"/>
  <c r="I9" i="5"/>
  <c r="K31" i="5" l="1"/>
  <c r="G23" i="5"/>
  <c r="K32" i="5"/>
  <c r="M33" i="5" l="1"/>
  <c r="I33" i="5"/>
  <c r="G33" i="5"/>
  <c r="M60" i="5" l="1"/>
  <c r="M53" i="5"/>
  <c r="M44" i="5"/>
  <c r="M36" i="5"/>
  <c r="M15" i="5"/>
  <c r="I60" i="5"/>
  <c r="I53" i="5"/>
  <c r="I44" i="5"/>
  <c r="I15" i="5"/>
  <c r="G60" i="5"/>
  <c r="G53" i="5"/>
  <c r="G44" i="5"/>
  <c r="G15" i="5"/>
  <c r="M42" i="5" l="1"/>
  <c r="K27" i="5" l="1"/>
  <c r="K28" i="5"/>
  <c r="E62" i="8" l="1"/>
  <c r="E59" i="8"/>
  <c r="E60" i="8"/>
  <c r="E58" i="8"/>
  <c r="E56" i="8"/>
  <c r="E55" i="8"/>
  <c r="E44" i="8"/>
  <c r="E45" i="8"/>
  <c r="E46" i="8"/>
  <c r="E47" i="8"/>
  <c r="E48" i="8"/>
  <c r="E49" i="8"/>
  <c r="E50" i="8"/>
  <c r="E51" i="8"/>
  <c r="E52" i="8"/>
  <c r="E53" i="8"/>
  <c r="E43" i="8"/>
  <c r="E41" i="8"/>
  <c r="E40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24" i="8"/>
  <c r="E20" i="8"/>
  <c r="E21" i="8"/>
  <c r="E22" i="8"/>
  <c r="E19" i="8"/>
  <c r="E17" i="8"/>
  <c r="E15" i="8"/>
  <c r="E8" i="8"/>
  <c r="E9" i="8"/>
  <c r="E10" i="8"/>
  <c r="E7" i="8"/>
  <c r="E62" i="9"/>
  <c r="E59" i="9"/>
  <c r="E60" i="9"/>
  <c r="E58" i="9"/>
  <c r="E56" i="9"/>
  <c r="E55" i="9"/>
  <c r="E44" i="9"/>
  <c r="E45" i="9"/>
  <c r="E46" i="9"/>
  <c r="E47" i="9"/>
  <c r="E48" i="9"/>
  <c r="E49" i="9"/>
  <c r="E50" i="9"/>
  <c r="E51" i="9"/>
  <c r="E52" i="9"/>
  <c r="E53" i="9"/>
  <c r="E43" i="9"/>
  <c r="E41" i="9"/>
  <c r="E40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24" i="9"/>
  <c r="E20" i="9"/>
  <c r="E21" i="9"/>
  <c r="E22" i="9"/>
  <c r="E19" i="9"/>
  <c r="E17" i="9"/>
  <c r="E15" i="9"/>
  <c r="E8" i="9"/>
  <c r="E9" i="9"/>
  <c r="E10" i="9"/>
  <c r="E7" i="9"/>
  <c r="E62" i="7"/>
  <c r="E59" i="7"/>
  <c r="E60" i="7"/>
  <c r="E58" i="7"/>
  <c r="E56" i="7"/>
  <c r="E55" i="7"/>
  <c r="E44" i="7"/>
  <c r="E45" i="7"/>
  <c r="E46" i="7"/>
  <c r="E47" i="7"/>
  <c r="E48" i="7"/>
  <c r="E49" i="7"/>
  <c r="E50" i="7"/>
  <c r="E51" i="7"/>
  <c r="E52" i="7"/>
  <c r="E53" i="7"/>
  <c r="E43" i="7"/>
  <c r="E40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24" i="7"/>
  <c r="E20" i="7"/>
  <c r="E21" i="7"/>
  <c r="E22" i="7"/>
  <c r="E19" i="7"/>
  <c r="E17" i="7"/>
  <c r="E15" i="7"/>
  <c r="E8" i="7"/>
  <c r="E9" i="7"/>
  <c r="E10" i="7"/>
  <c r="E7" i="7"/>
  <c r="E62" i="10"/>
  <c r="E59" i="10"/>
  <c r="E60" i="10"/>
  <c r="E58" i="10"/>
  <c r="E56" i="10"/>
  <c r="E55" i="10"/>
  <c r="E44" i="10"/>
  <c r="E45" i="10"/>
  <c r="E46" i="10"/>
  <c r="E47" i="10"/>
  <c r="E48" i="10"/>
  <c r="E49" i="10"/>
  <c r="E50" i="10"/>
  <c r="E51" i="10"/>
  <c r="E52" i="10"/>
  <c r="E53" i="10"/>
  <c r="E43" i="10"/>
  <c r="E40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24" i="10"/>
  <c r="E20" i="10"/>
  <c r="E21" i="10"/>
  <c r="E22" i="10"/>
  <c r="E19" i="10"/>
  <c r="E17" i="10"/>
  <c r="E15" i="10"/>
  <c r="E14" i="10"/>
  <c r="E8" i="10"/>
  <c r="E9" i="10"/>
  <c r="E10" i="10"/>
  <c r="E7" i="10"/>
  <c r="E39" i="8" l="1"/>
  <c r="E16" i="7"/>
  <c r="K35" i="5" l="1"/>
  <c r="E6" i="10"/>
  <c r="E57" i="10"/>
  <c r="E54" i="10"/>
  <c r="E42" i="10"/>
  <c r="E39" i="10"/>
  <c r="E23" i="10" s="1"/>
  <c r="E18" i="10"/>
  <c r="E16" i="10"/>
  <c r="E13" i="10"/>
  <c r="C6" i="10"/>
  <c r="P35" i="5" l="1"/>
  <c r="F35" i="5" s="1"/>
  <c r="B1" i="2"/>
  <c r="L35" i="5" l="1"/>
  <c r="H35" i="5"/>
  <c r="C21" i="2"/>
  <c r="N35" i="5"/>
  <c r="J35" i="5"/>
  <c r="C4" i="4"/>
  <c r="A1" i="6"/>
  <c r="C6" i="8" l="1"/>
  <c r="C6" i="9"/>
  <c r="C6" i="7"/>
  <c r="E6" i="8"/>
  <c r="E6" i="9"/>
  <c r="E6" i="7"/>
  <c r="X24" i="5" l="1"/>
  <c r="V24" i="5"/>
  <c r="X23" i="5"/>
  <c r="V23" i="5"/>
  <c r="X22" i="5"/>
  <c r="W22" i="5"/>
  <c r="V22" i="5"/>
  <c r="V15" i="5"/>
  <c r="C16" i="6" l="1"/>
  <c r="P69" i="5"/>
  <c r="G42" i="4" l="1"/>
  <c r="E39" i="7" l="1"/>
  <c r="E42" i="7" l="1"/>
  <c r="E57" i="7"/>
  <c r="E23" i="7"/>
  <c r="E54" i="7"/>
  <c r="E18" i="7" l="1"/>
  <c r="G16" i="5" l="1"/>
  <c r="G18" i="5"/>
  <c r="G39" i="5"/>
  <c r="G42" i="5" l="1"/>
  <c r="G54" i="5"/>
  <c r="G57" i="5"/>
  <c r="K11" i="5" l="1"/>
  <c r="W24" i="5"/>
  <c r="Y24" i="5" s="1"/>
  <c r="K8" i="5"/>
  <c r="W23" i="5"/>
  <c r="Y23" i="5" s="1"/>
  <c r="K7" i="5"/>
  <c r="P11" i="5" l="1"/>
  <c r="H11" i="5" s="1"/>
  <c r="F11" i="5"/>
  <c r="P9" i="5"/>
  <c r="F9" i="5"/>
  <c r="F8" i="5"/>
  <c r="B1" i="6"/>
  <c r="F7" i="5"/>
  <c r="N11" i="5" l="1"/>
  <c r="J11" i="5"/>
  <c r="R11" i="5" s="1"/>
  <c r="N9" i="5"/>
  <c r="H9" i="5"/>
  <c r="R9" i="5" s="1"/>
  <c r="J9" i="5"/>
  <c r="L11" i="5"/>
  <c r="E39" i="5" l="1"/>
  <c r="E13" i="5"/>
  <c r="E42" i="5"/>
  <c r="E16" i="5"/>
  <c r="E54" i="5"/>
  <c r="E57" i="5"/>
  <c r="E18" i="5"/>
  <c r="E23" i="5" l="1"/>
  <c r="V25" i="5" l="1"/>
  <c r="V26" i="5"/>
  <c r="K15" i="5" l="1"/>
  <c r="E18" i="9"/>
  <c r="E39" i="9"/>
  <c r="E23" i="9" s="1"/>
  <c r="K20" i="5" l="1"/>
  <c r="K36" i="5"/>
  <c r="I39" i="5"/>
  <c r="K40" i="5"/>
  <c r="K37" i="5"/>
  <c r="K34" i="5"/>
  <c r="K33" i="5"/>
  <c r="K30" i="5"/>
  <c r="K29" i="5"/>
  <c r="K26" i="5"/>
  <c r="K25" i="5"/>
  <c r="K24" i="5"/>
  <c r="K22" i="5"/>
  <c r="K21" i="5"/>
  <c r="K19" i="5"/>
  <c r="I18" i="5"/>
  <c r="E42" i="9"/>
  <c r="E54" i="9"/>
  <c r="K56" i="5" l="1"/>
  <c r="K45" i="5"/>
  <c r="I23" i="5"/>
  <c r="K44" i="5"/>
  <c r="K53" i="5"/>
  <c r="K55" i="5"/>
  <c r="K51" i="5"/>
  <c r="K52" i="5"/>
  <c r="K49" i="5"/>
  <c r="K48" i="5"/>
  <c r="K47" i="5"/>
  <c r="K46" i="5"/>
  <c r="K39" i="5"/>
  <c r="K18" i="5"/>
  <c r="K50" i="5"/>
  <c r="K43" i="5"/>
  <c r="I54" i="5"/>
  <c r="I42" i="5"/>
  <c r="E57" i="9"/>
  <c r="K62" i="5" l="1"/>
  <c r="K23" i="5"/>
  <c r="K60" i="5"/>
  <c r="K59" i="5"/>
  <c r="K58" i="5"/>
  <c r="K54" i="5"/>
  <c r="K42" i="5"/>
  <c r="I57" i="5"/>
  <c r="K57" i="5" l="1"/>
  <c r="E16" i="9" l="1"/>
  <c r="K17" i="5" l="1"/>
  <c r="I16" i="5"/>
  <c r="K16" i="5" l="1"/>
  <c r="E16" i="8" l="1"/>
  <c r="E18" i="8"/>
  <c r="E23" i="8"/>
  <c r="E42" i="8"/>
  <c r="E54" i="8"/>
  <c r="E57" i="8"/>
  <c r="P46" i="5" l="1"/>
  <c r="F46" i="5" s="1"/>
  <c r="P37" i="5"/>
  <c r="P31" i="5"/>
  <c r="P20" i="5"/>
  <c r="P62" i="5"/>
  <c r="F62" i="5" s="1"/>
  <c r="P44" i="5"/>
  <c r="P38" i="5"/>
  <c r="P32" i="5"/>
  <c r="P22" i="5"/>
  <c r="F22" i="5" s="1"/>
  <c r="P43" i="5"/>
  <c r="F43" i="5" s="1"/>
  <c r="P26" i="5"/>
  <c r="F26" i="5" s="1"/>
  <c r="P49" i="5"/>
  <c r="F49" i="5" s="1"/>
  <c r="P25" i="5"/>
  <c r="F25" i="5" s="1"/>
  <c r="P47" i="5"/>
  <c r="F47" i="5" s="1"/>
  <c r="P48" i="5"/>
  <c r="F48" i="5" s="1"/>
  <c r="P33" i="5"/>
  <c r="F33" i="5" s="1"/>
  <c r="P36" i="5"/>
  <c r="F36" i="5" s="1"/>
  <c r="P21" i="5"/>
  <c r="F21" i="5" s="1"/>
  <c r="P45" i="5"/>
  <c r="F45" i="5" s="1"/>
  <c r="P30" i="5"/>
  <c r="P60" i="5"/>
  <c r="F60" i="5" s="1"/>
  <c r="P51" i="5"/>
  <c r="F51" i="5" s="1"/>
  <c r="P28" i="5"/>
  <c r="P27" i="5"/>
  <c r="H27" i="5" s="1"/>
  <c r="P15" i="5"/>
  <c r="F15" i="5" s="1"/>
  <c r="P58" i="5"/>
  <c r="F58" i="5" s="1"/>
  <c r="P24" i="5"/>
  <c r="P52" i="5"/>
  <c r="F52" i="5" s="1"/>
  <c r="P29" i="5"/>
  <c r="P56" i="5"/>
  <c r="F56" i="5" s="1"/>
  <c r="P53" i="5"/>
  <c r="F53" i="5" s="1"/>
  <c r="P59" i="5"/>
  <c r="P50" i="5"/>
  <c r="P34" i="5"/>
  <c r="M39" i="5"/>
  <c r="M23" i="5" s="1"/>
  <c r="P40" i="5"/>
  <c r="F40" i="5" s="1"/>
  <c r="M54" i="5"/>
  <c r="P55" i="5"/>
  <c r="M18" i="5"/>
  <c r="P19" i="5"/>
  <c r="F19" i="5" s="1"/>
  <c r="M16" i="5"/>
  <c r="P17" i="5"/>
  <c r="M57" i="5"/>
  <c r="F24" i="5" l="1"/>
  <c r="H24" i="5"/>
  <c r="F29" i="5"/>
  <c r="H29" i="5"/>
  <c r="F28" i="5"/>
  <c r="H28" i="5"/>
  <c r="H59" i="5"/>
  <c r="F59" i="5"/>
  <c r="H55" i="5"/>
  <c r="F55" i="5"/>
  <c r="H50" i="5"/>
  <c r="F50" i="5"/>
  <c r="H44" i="5"/>
  <c r="F44" i="5"/>
  <c r="H38" i="5"/>
  <c r="F38" i="5"/>
  <c r="H30" i="5"/>
  <c r="F30" i="5"/>
  <c r="H31" i="5"/>
  <c r="F31" i="5"/>
  <c r="F27" i="5"/>
  <c r="H37" i="5"/>
  <c r="F37" i="5"/>
  <c r="H32" i="5"/>
  <c r="F32" i="5"/>
  <c r="H34" i="5"/>
  <c r="F34" i="5"/>
  <c r="H20" i="5"/>
  <c r="F20" i="5"/>
  <c r="H17" i="5"/>
  <c r="F17" i="5"/>
  <c r="N38" i="5"/>
  <c r="N37" i="5"/>
  <c r="N44" i="5"/>
  <c r="N32" i="5"/>
  <c r="N15" i="5"/>
  <c r="H15" i="5"/>
  <c r="N27" i="5"/>
  <c r="N36" i="5"/>
  <c r="H36" i="5"/>
  <c r="N22" i="5"/>
  <c r="H22" i="5"/>
  <c r="N20" i="5"/>
  <c r="N33" i="5"/>
  <c r="N62" i="5"/>
  <c r="H62" i="5"/>
  <c r="N19" i="5"/>
  <c r="H19" i="5"/>
  <c r="N50" i="5"/>
  <c r="N28" i="5"/>
  <c r="N48" i="5"/>
  <c r="H48" i="5"/>
  <c r="N31" i="5"/>
  <c r="N51" i="5"/>
  <c r="H51" i="5"/>
  <c r="N47" i="5"/>
  <c r="H47" i="5"/>
  <c r="N43" i="5"/>
  <c r="H43" i="5"/>
  <c r="N52" i="5"/>
  <c r="H52" i="5"/>
  <c r="N60" i="5"/>
  <c r="H60" i="5"/>
  <c r="N25" i="5"/>
  <c r="H25" i="5"/>
  <c r="N21" i="5"/>
  <c r="H21" i="5"/>
  <c r="N53" i="5"/>
  <c r="H53" i="5"/>
  <c r="N24" i="5"/>
  <c r="N49" i="5"/>
  <c r="H49" i="5"/>
  <c r="N40" i="5"/>
  <c r="H40" i="5"/>
  <c r="N56" i="5"/>
  <c r="H56" i="5"/>
  <c r="N58" i="5"/>
  <c r="H58" i="5"/>
  <c r="N45" i="5"/>
  <c r="H45" i="5"/>
  <c r="N26" i="5"/>
  <c r="H26" i="5"/>
  <c r="N46" i="5"/>
  <c r="H46" i="5"/>
  <c r="P16" i="5"/>
  <c r="J17" i="5"/>
  <c r="L17" i="5"/>
  <c r="J48" i="5"/>
  <c r="L48" i="5"/>
  <c r="P54" i="5"/>
  <c r="F54" i="5" s="1"/>
  <c r="J55" i="5"/>
  <c r="L55" i="5"/>
  <c r="C14" i="2"/>
  <c r="J34" i="5"/>
  <c r="L34" i="5"/>
  <c r="J59" i="5"/>
  <c r="L59" i="5"/>
  <c r="C19" i="2"/>
  <c r="J30" i="5"/>
  <c r="L30" i="5"/>
  <c r="C8" i="2"/>
  <c r="J24" i="5"/>
  <c r="L24" i="5"/>
  <c r="C15" i="2"/>
  <c r="J28" i="5"/>
  <c r="L28" i="5"/>
  <c r="J33" i="5"/>
  <c r="L33" i="5"/>
  <c r="J49" i="5"/>
  <c r="L49" i="5"/>
  <c r="C20" i="2"/>
  <c r="F20" i="2" s="1"/>
  <c r="F28" i="2" s="1"/>
  <c r="F29" i="2" s="1"/>
  <c r="F30" i="2" s="1"/>
  <c r="J32" i="5"/>
  <c r="L32" i="5"/>
  <c r="C24" i="2"/>
  <c r="J20" i="5"/>
  <c r="L20" i="5"/>
  <c r="J58" i="5"/>
  <c r="L58" i="5"/>
  <c r="C16" i="2"/>
  <c r="J26" i="5"/>
  <c r="L26" i="5"/>
  <c r="J19" i="5"/>
  <c r="L19" i="5"/>
  <c r="J50" i="5"/>
  <c r="L50" i="5"/>
  <c r="J56" i="5"/>
  <c r="L56" i="5"/>
  <c r="J51" i="5"/>
  <c r="L51" i="5"/>
  <c r="C25" i="2"/>
  <c r="J21" i="5"/>
  <c r="L21" i="5"/>
  <c r="P39" i="5"/>
  <c r="J40" i="5"/>
  <c r="L40" i="5"/>
  <c r="J45" i="5"/>
  <c r="L45" i="5"/>
  <c r="C18" i="2"/>
  <c r="J31" i="5"/>
  <c r="L31" i="5"/>
  <c r="N55" i="5"/>
  <c r="C11" i="2"/>
  <c r="J29" i="5"/>
  <c r="L29" i="5"/>
  <c r="J15" i="5"/>
  <c r="L15" i="5"/>
  <c r="J47" i="5"/>
  <c r="L47" i="5"/>
  <c r="J43" i="5"/>
  <c r="L43" i="5"/>
  <c r="J44" i="5"/>
  <c r="L44" i="5"/>
  <c r="D8" i="2"/>
  <c r="D28" i="2" s="1"/>
  <c r="D29" i="2" s="1"/>
  <c r="D30" i="2" s="1"/>
  <c r="J37" i="5"/>
  <c r="L37" i="5"/>
  <c r="J53" i="5"/>
  <c r="L53" i="5"/>
  <c r="N17" i="5"/>
  <c r="J60" i="5"/>
  <c r="L60" i="5"/>
  <c r="E8" i="2"/>
  <c r="E28" i="2" s="1"/>
  <c r="E29" i="2" s="1"/>
  <c r="E30" i="2" s="1"/>
  <c r="J38" i="5"/>
  <c r="L38" i="5"/>
  <c r="P57" i="5"/>
  <c r="F57" i="5" s="1"/>
  <c r="P42" i="5"/>
  <c r="N34" i="5"/>
  <c r="N59" i="5"/>
  <c r="J52" i="5"/>
  <c r="L52" i="5"/>
  <c r="C17" i="2"/>
  <c r="J27" i="5"/>
  <c r="L27" i="5"/>
  <c r="N30" i="5"/>
  <c r="J36" i="5"/>
  <c r="L36" i="5"/>
  <c r="C9" i="2"/>
  <c r="J25" i="5"/>
  <c r="L25" i="5"/>
  <c r="C26" i="2"/>
  <c r="J22" i="5"/>
  <c r="L22" i="5"/>
  <c r="J62" i="5"/>
  <c r="L62" i="5"/>
  <c r="J46" i="5"/>
  <c r="L46" i="5"/>
  <c r="P18" i="5"/>
  <c r="F18" i="5" s="1"/>
  <c r="C7" i="2"/>
  <c r="P7" i="5"/>
  <c r="H7" i="5" s="1"/>
  <c r="P8" i="5"/>
  <c r="L7" i="5" l="1"/>
  <c r="J7" i="5"/>
  <c r="R7" i="5" s="1"/>
  <c r="L8" i="5"/>
  <c r="H8" i="5"/>
  <c r="R8" i="5" s="1"/>
  <c r="J8" i="5"/>
  <c r="F42" i="5"/>
  <c r="F39" i="5"/>
  <c r="F16" i="5"/>
  <c r="N16" i="5"/>
  <c r="P23" i="5"/>
  <c r="F23" i="5" s="1"/>
  <c r="R16" i="5"/>
  <c r="L16" i="5"/>
  <c r="R18" i="5"/>
  <c r="V14" i="5"/>
  <c r="N7" i="5"/>
  <c r="N8" i="5"/>
  <c r="R23" i="5" l="1"/>
  <c r="E61" i="5" l="1"/>
  <c r="E63" i="5" s="1"/>
  <c r="E41" i="10"/>
  <c r="E61" i="10" s="1"/>
  <c r="E63" i="10" s="1"/>
  <c r="E64" i="10" l="1"/>
  <c r="E65" i="10" s="1"/>
  <c r="V27" i="5"/>
  <c r="E64" i="5"/>
  <c r="E65" i="5" s="1"/>
  <c r="V29" i="5" l="1"/>
  <c r="V28" i="5"/>
  <c r="E41" i="7"/>
  <c r="K41" i="5"/>
  <c r="P41" i="5" l="1"/>
  <c r="N41" i="5" l="1"/>
  <c r="F41" i="5"/>
  <c r="J41" i="5"/>
  <c r="C22" i="2"/>
  <c r="C28" i="2" s="1"/>
  <c r="H41" i="5"/>
  <c r="L41" i="5"/>
  <c r="C29" i="2" l="1"/>
  <c r="C30" i="2" s="1"/>
  <c r="E14" i="8" l="1"/>
  <c r="E13" i="8" s="1"/>
  <c r="E61" i="8" s="1"/>
  <c r="E63" i="8" s="1"/>
  <c r="M13" i="5"/>
  <c r="E64" i="8" l="1"/>
  <c r="E65" i="8" s="1"/>
  <c r="M61" i="5"/>
  <c r="M63" i="5" l="1"/>
  <c r="M64" i="5" l="1"/>
  <c r="M65" i="5" s="1"/>
  <c r="V18" i="5"/>
  <c r="V17" i="5" l="1"/>
  <c r="V19" i="5"/>
  <c r="V16" i="5"/>
  <c r="G13" i="5"/>
  <c r="G61" i="5" s="1"/>
  <c r="G63" i="5" s="1"/>
  <c r="E14" i="7"/>
  <c r="E13" i="7"/>
  <c r="E61" i="7" s="1"/>
  <c r="E63" i="7" s="1"/>
  <c r="E64" i="7" l="1"/>
  <c r="E65" i="7" s="1"/>
  <c r="G64" i="5"/>
  <c r="G65" i="5" s="1"/>
  <c r="W27" i="5"/>
  <c r="W25" i="5" l="1"/>
  <c r="W28" i="5"/>
  <c r="W29" i="5"/>
  <c r="W26" i="5"/>
  <c r="E14" i="9"/>
  <c r="E13" i="9" s="1"/>
  <c r="E61" i="9" s="1"/>
  <c r="E63" i="9" s="1"/>
  <c r="I13" i="5"/>
  <c r="I61" i="5" s="1"/>
  <c r="I63" i="5" s="1"/>
  <c r="N14" i="5"/>
  <c r="F14" i="5"/>
  <c r="K13" i="5"/>
  <c r="K61" i="5" s="1"/>
  <c r="K63" i="5" s="1"/>
  <c r="P61" i="5"/>
  <c r="P63" i="5" s="1"/>
  <c r="K14" i="5"/>
  <c r="L14" i="5" s="1"/>
  <c r="P14" i="5"/>
  <c r="P13" i="5"/>
  <c r="F13" i="5"/>
  <c r="I64" i="5" l="1"/>
  <c r="I65" i="5" s="1"/>
  <c r="X27" i="5"/>
  <c r="Y27" i="5" s="1"/>
  <c r="E64" i="9"/>
  <c r="E65" i="9" s="1"/>
  <c r="F63" i="5"/>
  <c r="K64" i="5"/>
  <c r="P64" i="5" s="1"/>
  <c r="F64" i="5" s="1"/>
  <c r="J14" i="5"/>
  <c r="F61" i="5"/>
  <c r="R13" i="5"/>
  <c r="X25" i="5" l="1"/>
  <c r="Y25" i="5" s="1"/>
  <c r="X26" i="5"/>
  <c r="Y26" i="5" s="1"/>
  <c r="X29" i="5"/>
  <c r="Y29" i="5" s="1"/>
  <c r="X28" i="5"/>
  <c r="Y28" i="5" s="1"/>
  <c r="P65" i="5"/>
  <c r="F65" i="5" s="1"/>
  <c r="K65" i="5"/>
  <c r="B2" i="6" s="1"/>
  <c r="D12" i="6" l="1"/>
  <c r="D14" i="6"/>
  <c r="D10" i="6"/>
  <c r="D15" i="6"/>
  <c r="D9" i="6"/>
  <c r="D13" i="6"/>
  <c r="D7" i="6"/>
  <c r="D8" i="6"/>
  <c r="D4" i="6"/>
  <c r="D5" i="6"/>
  <c r="D11" i="6"/>
  <c r="D6" i="6"/>
  <c r="D16" i="6" l="1"/>
</calcChain>
</file>

<file path=xl/sharedStrings.xml><?xml version="1.0" encoding="utf-8"?>
<sst xmlns="http://schemas.openxmlformats.org/spreadsheetml/2006/main" count="497" uniqueCount="175">
  <si>
    <t>Prix d'acquisition VEFA TTC (hors frais d'acquisition VEFA)</t>
  </si>
  <si>
    <t>TVA à 2,1%</t>
  </si>
  <si>
    <t>Prix d'acquisition VEFA HT (hors frais d'acquisition VEFA)</t>
  </si>
  <si>
    <t>Marge Promoteur :</t>
  </si>
  <si>
    <t>Prix de Revient Promoteur</t>
  </si>
  <si>
    <t>Autres taxes :</t>
  </si>
  <si>
    <t>Taxe raccordement Eaux Usées :</t>
  </si>
  <si>
    <t>TLE,  TDENS, TDCAUE :</t>
  </si>
  <si>
    <t>10. Taxes</t>
  </si>
  <si>
    <t>Autres frais divers (comptabilité, huissier, SCCV …) :</t>
  </si>
  <si>
    <t>Frais financiers promoteur / alés :</t>
  </si>
  <si>
    <t>Autres frais</t>
  </si>
  <si>
    <t>Frais de plans :</t>
  </si>
  <si>
    <t>Assurance (DO, RCPro, TRC) :</t>
  </si>
  <si>
    <t>GFA :</t>
  </si>
  <si>
    <t>Honoraires MOD :</t>
  </si>
  <si>
    <t>Autres honoraires techniques</t>
  </si>
  <si>
    <t>Contrôle Technique :</t>
  </si>
  <si>
    <t>CSPS :</t>
  </si>
  <si>
    <t>OPC :</t>
  </si>
  <si>
    <t>Géomètre :</t>
  </si>
  <si>
    <t>CERQUAL</t>
  </si>
  <si>
    <t>Architecte :</t>
  </si>
  <si>
    <t>9. Honoraires techniques &amp; Assurances</t>
  </si>
  <si>
    <t>9° Honoraires</t>
  </si>
  <si>
    <t>8. Plantations, espaces verts (hors ENR)</t>
  </si>
  <si>
    <t>8° Plantations</t>
  </si>
  <si>
    <t>Dépenses ENR (ECS,isolation thermique, brise soleil...) :</t>
  </si>
  <si>
    <t>7. ENR</t>
  </si>
  <si>
    <t>7° dépenses dév durable</t>
  </si>
  <si>
    <t>Travaux d'accessibilité aux PMR :</t>
  </si>
  <si>
    <t>6° travaux d'accessibilité (PMR)</t>
  </si>
  <si>
    <t>Parking et stationnements :</t>
  </si>
  <si>
    <t>5° emplacements de station.</t>
  </si>
  <si>
    <t>Ascenseur</t>
  </si>
  <si>
    <t>Carrelage</t>
  </si>
  <si>
    <t>ECS</t>
  </si>
  <si>
    <t>Plomberie</t>
  </si>
  <si>
    <t>Electricité / Téléphone / Télévision</t>
  </si>
  <si>
    <t>Menuiseries extérieures</t>
  </si>
  <si>
    <t xml:space="preserve">Terrassement, fondations, gros œuvre  </t>
  </si>
  <si>
    <t>4° fond°, terrassements, circulation et accès aux immeubles, construction … hors dépenses dév durable</t>
  </si>
  <si>
    <t>4. Bâtiment (y/c ascenseurs, fondations et surcoût lié au site) :</t>
  </si>
  <si>
    <t>Raccordement Eau Potable :</t>
  </si>
  <si>
    <t>Raccordement France Telecom :</t>
  </si>
  <si>
    <t>Raccordement EDF :</t>
  </si>
  <si>
    <t>Travaux VRD :</t>
  </si>
  <si>
    <t>3. VRD</t>
  </si>
  <si>
    <t>3° VRD et concessionnaires</t>
  </si>
  <si>
    <t>Etudes de sol :</t>
  </si>
  <si>
    <t>2. Etude de sol et sondages</t>
  </si>
  <si>
    <t>2° études de sol</t>
  </si>
  <si>
    <t>Frais de notaire acquisition / hypothèque / Com SEDRE :</t>
  </si>
  <si>
    <t>Charge foncière</t>
  </si>
  <si>
    <t>1. Terrain</t>
  </si>
  <si>
    <t xml:space="preserve">1° prix d'acquisition du terrain par la SEM </t>
  </si>
  <si>
    <t>Montant HT du coût de revient de l'opération</t>
  </si>
  <si>
    <t>Postes prévus par le décret du 15 janvier 2010</t>
  </si>
  <si>
    <t>logements</t>
  </si>
  <si>
    <t xml:space="preserve">Le </t>
  </si>
  <si>
    <t xml:space="preserve">Devis accepté par la SCCV 
Le   </t>
  </si>
  <si>
    <t>Devis dressé par la maîtrise d'œuvre</t>
  </si>
  <si>
    <t>ESTIMATION TOTAL TTC</t>
  </si>
  <si>
    <t>TVA 8,5%</t>
  </si>
  <si>
    <t>ESTIMATION TOTAL H.T.</t>
  </si>
  <si>
    <t>Espace vert</t>
  </si>
  <si>
    <t>Raccordement AEP</t>
  </si>
  <si>
    <t>Raccordement France télécom</t>
  </si>
  <si>
    <t>Raccordement EDF</t>
  </si>
  <si>
    <t>Electricité / TV / Télephone</t>
  </si>
  <si>
    <t>Menuiseries métalliques et serrurerie</t>
  </si>
  <si>
    <t>Menuiseries extérieures Aluminium</t>
  </si>
  <si>
    <t>Menuiseries bois / bardage</t>
  </si>
  <si>
    <t xml:space="preserve">Charpente / Couverture </t>
  </si>
  <si>
    <t>Gros-œuvre</t>
  </si>
  <si>
    <t>Développement durable</t>
  </si>
  <si>
    <t>Accessibilité PMR</t>
  </si>
  <si>
    <t>Stationnement et voirie</t>
  </si>
  <si>
    <t>Montant (€ HT)</t>
  </si>
  <si>
    <t xml:space="preserve">Désignation </t>
  </si>
  <si>
    <t>Recapitulatif des travaux selon coût prévisionnel</t>
  </si>
  <si>
    <t>COMMERCES</t>
  </si>
  <si>
    <t>Commerces</t>
  </si>
  <si>
    <t>Nombre commerce</t>
  </si>
  <si>
    <t>Frais de notaire acquisition / hypothèque / Commercialisation :</t>
  </si>
  <si>
    <t>SHAB</t>
  </si>
  <si>
    <t>Prix de vente € TTC/SHAB</t>
  </si>
  <si>
    <t>Prix de vente € TTC</t>
  </si>
  <si>
    <t>Prix de vente € HT</t>
  </si>
  <si>
    <t>TOTAL hors commerces</t>
  </si>
  <si>
    <t>Nombre lgts</t>
  </si>
  <si>
    <t>SHAB+V</t>
  </si>
  <si>
    <t>Peinture / étanchéité</t>
  </si>
  <si>
    <t xml:space="preserve">Fait à </t>
  </si>
  <si>
    <t>Le</t>
  </si>
  <si>
    <t>Cachet et signature</t>
  </si>
  <si>
    <t>ATTESTATION SUR LA SITUATION DU PROJET AU REGARD DES OBLIGATIONS LIEES A LA LOI SUR L’EAU</t>
  </si>
  <si>
    <t xml:space="preserve">Objet : Opération </t>
  </si>
  <si>
    <t>est soumis à déclaration en application des articles L. 214-1 à L. 214-3 du code de l'environnement</t>
  </si>
  <si>
    <t xml:space="preserve">Certifie par la présente que, suivant les dispositions du décret 93-743 du 29 mars 1993 relatif à la nomenclature des opérations soumises à autorisation ou à déclaration en application de l’article 10 de la loi n°92-3 du 3 janvier 1992 sur l’eau, modifié par le Décret n°2006-881 du 17 juillet 2006 et codifiées aux articles R214-1 du Code de l’Environnement, le présent projet :
</t>
  </si>
  <si>
    <t xml:space="preserve">n’est pas soumis à autorisation ou déclaration en application des articles L. 214-1 à L. 214-3 du code de l'environnement </t>
  </si>
  <si>
    <t xml:space="preserve">est soumis à autorisation en application des articles L. 214-1 à L. 214-3 du code de l'environnement </t>
  </si>
  <si>
    <t>Dans le cas où le projet est soumis à autorisation ou déclaration, je certifie que le stade d’avancement de la procédure est le suivant :</t>
  </si>
  <si>
    <t>dossier de déclaration déposé</t>
  </si>
  <si>
    <t>dossier d’autorisation déposé</t>
  </si>
  <si>
    <t>retour du récépissé de déclaration</t>
  </si>
  <si>
    <t>accord du Préfet</t>
  </si>
  <si>
    <t>le</t>
  </si>
  <si>
    <t>Je soussigné,</t>
  </si>
  <si>
    <t>Agissant en qualité de................................................................. au capital de ................... €, dont le siège social est situé au ............................................................................................, immatriculée au  ............................................................  sous le numéro .............................,  rappelle que la SCCV......................... initie un programme immobilier totalisant .....  logments dans le secteur social</t>
  </si>
  <si>
    <t>Basse tension</t>
  </si>
  <si>
    <t>Prix VEFA</t>
  </si>
  <si>
    <t>€ TTC</t>
  </si>
  <si>
    <t>Date prév.</t>
  </si>
  <si>
    <t>%</t>
  </si>
  <si>
    <t>Achèvement des terrassements sous bât</t>
  </si>
  <si>
    <t>Dalle basse Rdc coulée</t>
  </si>
  <si>
    <t>Dalle haute Rdc coulée</t>
  </si>
  <si>
    <t>Durée des travaux</t>
  </si>
  <si>
    <t>18 mois</t>
  </si>
  <si>
    <t>Nbre :</t>
  </si>
  <si>
    <t>Surface finançable :</t>
  </si>
  <si>
    <t>Menuiseries bois</t>
  </si>
  <si>
    <t>Bardage</t>
  </si>
  <si>
    <t>Cloisons / Faux-plafonds</t>
  </si>
  <si>
    <t>Etanchéité</t>
  </si>
  <si>
    <t>Peinture</t>
  </si>
  <si>
    <t>Plomberies / VMC</t>
  </si>
  <si>
    <t>Ascenseurs / monte-charge</t>
  </si>
  <si>
    <t>Achèvement des fondations (35% max)</t>
  </si>
  <si>
    <t>Au …..........</t>
  </si>
  <si>
    <t>Surface shab :</t>
  </si>
  <si>
    <t>LLS</t>
  </si>
  <si>
    <t>LLTS</t>
  </si>
  <si>
    <t>PLS</t>
  </si>
  <si>
    <t>Produit</t>
  </si>
  <si>
    <t>Produit :</t>
  </si>
  <si>
    <t>Nombre</t>
  </si>
  <si>
    <t>Prix de vente € TTC/SF</t>
  </si>
  <si>
    <t>Logements</t>
  </si>
  <si>
    <t>Prix de vente € TTC/SHAB+V</t>
  </si>
  <si>
    <t>Prix de vente € TTC/SF+V</t>
  </si>
  <si>
    <t>Signature acte de vente</t>
  </si>
  <si>
    <t>Mise hors d'eau (70% max)</t>
  </si>
  <si>
    <t>Mise hors d'air</t>
  </si>
  <si>
    <t>Réalisation des plâtres, cloisonnements</t>
  </si>
  <si>
    <t>Achèvement TCE (DAT) (95% max)</t>
  </si>
  <si>
    <t>Livraison et remise des clés</t>
  </si>
  <si>
    <t>Levée des réserves</t>
  </si>
  <si>
    <t>L'obtention de l’attestation de non-contestation de conformité</t>
  </si>
  <si>
    <t>Demol-Desamiantage-Relevage-VRD</t>
  </si>
  <si>
    <t>VEFA "OPERATION SILOE"</t>
  </si>
  <si>
    <t>TVA à 8,5%</t>
  </si>
  <si>
    <t>TVA à 2,1% (logement) ou 8,5 % (commerce)</t>
  </si>
  <si>
    <t>Charpente, couverture, étanchéité toiture</t>
  </si>
  <si>
    <t>Metallerie / Serrurerie</t>
  </si>
  <si>
    <t>Cloisons / Faux-Pafonds</t>
  </si>
  <si>
    <t>Travaux  Demolition,Desamiantage,VRD,BT  :</t>
  </si>
  <si>
    <t>Prix € TTC/logement</t>
  </si>
  <si>
    <t>Surface plancher :</t>
  </si>
  <si>
    <t>Etanchéité façade</t>
  </si>
  <si>
    <t>Carrelage/sol souple</t>
  </si>
  <si>
    <t>Revêtements durs et sol souple</t>
  </si>
  <si>
    <t xml:space="preserve"> </t>
  </si>
  <si>
    <t>dont</t>
  </si>
  <si>
    <t>TOTAL LOGTS</t>
  </si>
  <si>
    <t>TOTAL GLOBAL</t>
  </si>
  <si>
    <t>Clé de réparition:</t>
  </si>
  <si>
    <t>Ratio</t>
  </si>
  <si>
    <t>SF</t>
  </si>
  <si>
    <t>Ctrl</t>
  </si>
  <si>
    <t>SP</t>
  </si>
  <si>
    <t>SHAB logements</t>
  </si>
  <si>
    <t>5. Emplacements de stationnement</t>
  </si>
  <si>
    <t>6. Travaux d'accessibilité PMR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</si>
</sst>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#,##0.00;[Red]#,##0.00"/>
    <numFmt numFmtId="166" formatCode="0.0%"/>
    <numFmt numFmtId="167" formatCode="#,##0,"/>
    <numFmt numFmtId="168" formatCode="#,##0\ &quot;€&quot;\ &quot;TTC&quot;"/>
    <numFmt numFmtId="169" formatCode="mmmm\ yyyy"/>
    <numFmt numFmtId="170" formatCode="#,##0.00\ _€"/>
    <numFmt numFmtId="171" formatCode="#,##0\ &quot;mois&quot;"/>
    <numFmt numFmtId="172" formatCode="#,##0.00000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Tahoma"/>
      <family val="2"/>
    </font>
    <font>
      <b/>
      <sz val="12"/>
      <color indexed="17"/>
      <name val="Tahoma"/>
      <family val="2"/>
    </font>
    <font>
      <sz val="10"/>
      <name val="Times New Roman"/>
      <family val="1"/>
    </font>
    <font>
      <b/>
      <sz val="12"/>
      <name val="Tahoma"/>
      <family val="2"/>
    </font>
    <font>
      <sz val="10"/>
      <name val="Arial"/>
      <family val="2"/>
    </font>
    <font>
      <sz val="10"/>
      <name val="Tahoma"/>
      <family val="2"/>
    </font>
    <font>
      <b/>
      <sz val="12"/>
      <color indexed="62"/>
      <name val="Tahoma"/>
      <family val="2"/>
    </font>
    <font>
      <b/>
      <i/>
      <sz val="12"/>
      <name val="Tahoma"/>
      <family val="2"/>
    </font>
    <font>
      <sz val="12"/>
      <color rgb="FFFF0000"/>
      <name val="Tahoma"/>
      <family val="2"/>
    </font>
    <font>
      <b/>
      <sz val="12"/>
      <color rgb="FFFF0000"/>
      <name val="Tahoma"/>
      <family val="2"/>
    </font>
    <font>
      <i/>
      <sz val="12"/>
      <name val="Tahoma"/>
      <family val="2"/>
    </font>
    <font>
      <sz val="12"/>
      <color indexed="62"/>
      <name val="Tahoma"/>
      <family val="2"/>
    </font>
    <font>
      <b/>
      <sz val="10"/>
      <name val="Tahoma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indexed="17"/>
      <name val="Tahoma"/>
      <family val="2"/>
    </font>
    <font>
      <b/>
      <sz val="10"/>
      <color indexed="10"/>
      <name val="Tahoma"/>
      <family val="2"/>
    </font>
    <font>
      <sz val="12"/>
      <color indexed="10"/>
      <name val="Tahoma"/>
      <family val="2"/>
    </font>
    <font>
      <b/>
      <i/>
      <sz val="12"/>
      <color indexed="30"/>
      <name val="Tahoma"/>
      <family val="2"/>
    </font>
    <font>
      <b/>
      <sz val="10"/>
      <name val="Arial"/>
      <family val="2"/>
    </font>
    <font>
      <b/>
      <i/>
      <sz val="14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sz val="9"/>
      <name val="Tahoma"/>
      <family val="2"/>
    </font>
    <font>
      <sz val="9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333399"/>
      <name val="Arial"/>
      <family val="2"/>
    </font>
    <font>
      <b/>
      <sz val="12"/>
      <color rgb="FFFF00FF"/>
      <name val="Tahoma"/>
      <family val="2"/>
    </font>
    <font>
      <b/>
      <sz val="10"/>
      <color rgb="FFFF00FF"/>
      <name val="Tahoma"/>
      <family val="2"/>
    </font>
    <font>
      <b/>
      <sz val="10"/>
      <color rgb="FFFF00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darkGray">
        <fgColor indexed="9"/>
        <bgColor indexed="41"/>
      </patternFill>
    </fill>
    <fill>
      <patternFill patternType="darkGray">
        <fgColor indexed="9"/>
        <bgColor indexed="9"/>
      </patternFill>
    </fill>
    <fill>
      <patternFill patternType="solid">
        <fgColor rgb="FFCCFFCC"/>
        <bgColor indexed="64"/>
      </patternFill>
    </fill>
    <fill>
      <patternFill patternType="solid">
        <fgColor rgb="FFECF1E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darkGray">
        <fgColor indexed="9"/>
        <bgColor rgb="FFFFCCFF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54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1">
    <xf numFmtId="0" fontId="0" fillId="0" borderId="0"/>
    <xf numFmtId="0" fontId="4" fillId="0" borderId="0">
      <alignment vertical="center"/>
    </xf>
    <xf numFmtId="164" fontId="6" fillId="0" borderId="0" applyFont="0" applyFill="0" applyBorder="0" applyAlignment="0" applyProtection="0"/>
    <xf numFmtId="0" fontId="7" fillId="0" borderId="0"/>
    <xf numFmtId="0" fontId="6" fillId="0" borderId="0"/>
    <xf numFmtId="0" fontId="4" fillId="0" borderId="0">
      <alignment vertical="center"/>
    </xf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4" fillId="0" borderId="0"/>
    <xf numFmtId="0" fontId="6" fillId="0" borderId="0"/>
    <xf numFmtId="0" fontId="7" fillId="0" borderId="0"/>
    <xf numFmtId="0" fontId="1" fillId="0" borderId="0"/>
    <xf numFmtId="0" fontId="1" fillId="0" borderId="0"/>
    <xf numFmtId="9" fontId="17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3" fillId="0" borderId="0" applyFont="0" applyFill="0" applyBorder="0" applyAlignment="0" applyProtection="0"/>
    <xf numFmtId="44" fontId="33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405">
    <xf numFmtId="0" fontId="0" fillId="0" borderId="0" xfId="0"/>
    <xf numFmtId="0" fontId="2" fillId="0" borderId="0" xfId="0" applyFont="1"/>
    <xf numFmtId="0" fontId="2" fillId="2" borderId="0" xfId="0" applyFont="1" applyFill="1"/>
    <xf numFmtId="4" fontId="2" fillId="0" borderId="0" xfId="0" applyNumberFormat="1" applyFont="1"/>
    <xf numFmtId="0" fontId="2" fillId="2" borderId="0" xfId="0" applyFont="1" applyFill="1" applyAlignment="1">
      <alignment vertical="center" wrapText="1"/>
    </xf>
    <xf numFmtId="4" fontId="2" fillId="2" borderId="0" xfId="0" applyNumberFormat="1" applyFont="1" applyFill="1"/>
    <xf numFmtId="0" fontId="8" fillId="4" borderId="8" xfId="3" applyFont="1" applyFill="1" applyBorder="1"/>
    <xf numFmtId="4" fontId="8" fillId="4" borderId="16" xfId="3" applyNumberFormat="1" applyFont="1" applyFill="1" applyBorder="1"/>
    <xf numFmtId="0" fontId="8" fillId="4" borderId="6" xfId="3" applyFont="1" applyFill="1" applyBorder="1"/>
    <xf numFmtId="0" fontId="10" fillId="0" borderId="0" xfId="0" applyFont="1"/>
    <xf numFmtId="4" fontId="11" fillId="4" borderId="16" xfId="3" applyNumberFormat="1" applyFont="1" applyFill="1" applyBorder="1"/>
    <xf numFmtId="0" fontId="11" fillId="4" borderId="6" xfId="3" applyFont="1" applyFill="1" applyBorder="1"/>
    <xf numFmtId="0" fontId="11" fillId="4" borderId="8" xfId="3" applyFont="1" applyFill="1" applyBorder="1"/>
    <xf numFmtId="0" fontId="10" fillId="2" borderId="0" xfId="0" applyFont="1" applyFill="1" applyAlignment="1">
      <alignment vertical="center" wrapText="1"/>
    </xf>
    <xf numFmtId="4" fontId="12" fillId="5" borderId="16" xfId="3" applyNumberFormat="1" applyFont="1" applyFill="1" applyBorder="1"/>
    <xf numFmtId="0" fontId="9" fillId="2" borderId="7" xfId="1" applyFont="1" applyFill="1" applyBorder="1" applyAlignment="1">
      <alignment horizontal="right"/>
    </xf>
    <xf numFmtId="0" fontId="9" fillId="0" borderId="8" xfId="1" applyFont="1" applyBorder="1" applyAlignment="1">
      <alignment horizontal="right"/>
    </xf>
    <xf numFmtId="4" fontId="8" fillId="4" borderId="16" xfId="3" applyNumberFormat="1" applyFont="1" applyFill="1" applyBorder="1" applyAlignment="1">
      <alignment vertical="center"/>
    </xf>
    <xf numFmtId="0" fontId="8" fillId="4" borderId="6" xfId="3" applyFont="1" applyFill="1" applyBorder="1" applyAlignment="1">
      <alignment vertical="center"/>
    </xf>
    <xf numFmtId="0" fontId="8" fillId="4" borderId="8" xfId="3" applyFont="1" applyFill="1" applyBorder="1" applyAlignment="1">
      <alignment vertical="center"/>
    </xf>
    <xf numFmtId="0" fontId="8" fillId="4" borderId="1" xfId="3" applyFont="1" applyFill="1" applyBorder="1"/>
    <xf numFmtId="0" fontId="8" fillId="4" borderId="2" xfId="3" applyFont="1" applyFill="1" applyBorder="1"/>
    <xf numFmtId="0" fontId="2" fillId="0" borderId="1" xfId="1" applyFont="1" applyBorder="1" applyAlignment="1">
      <alignment horizontal="right"/>
    </xf>
    <xf numFmtId="0" fontId="5" fillId="0" borderId="10" xfId="1" applyFont="1" applyBorder="1" applyAlignment="1">
      <alignment horizontal="right"/>
    </xf>
    <xf numFmtId="0" fontId="2" fillId="0" borderId="20" xfId="1" applyFont="1" applyBorder="1" applyAlignment="1">
      <alignment horizontal="right"/>
    </xf>
    <xf numFmtId="0" fontId="5" fillId="0" borderId="13" xfId="1" applyFont="1" applyBorder="1" applyAlignment="1">
      <alignment horizontal="right"/>
    </xf>
    <xf numFmtId="0" fontId="5" fillId="0" borderId="23" xfId="1" applyFont="1" applyBorder="1" applyAlignment="1">
      <alignment horizontal="right"/>
    </xf>
    <xf numFmtId="4" fontId="8" fillId="5" borderId="16" xfId="3" applyNumberFormat="1" applyFont="1" applyFill="1" applyBorder="1"/>
    <xf numFmtId="0" fontId="2" fillId="2" borderId="1" xfId="1" applyFont="1" applyFill="1" applyBorder="1" applyAlignment="1">
      <alignment horizontal="right"/>
    </xf>
    <xf numFmtId="0" fontId="2" fillId="2" borderId="21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2" fillId="0" borderId="14" xfId="1" applyFont="1" applyBorder="1" applyAlignment="1">
      <alignment horizontal="right"/>
    </xf>
    <xf numFmtId="0" fontId="5" fillId="0" borderId="25" xfId="1" applyFont="1" applyBorder="1" applyAlignment="1">
      <alignment horizontal="right"/>
    </xf>
    <xf numFmtId="0" fontId="2" fillId="0" borderId="11" xfId="1" applyFont="1" applyBorder="1" applyAlignment="1">
      <alignment horizontal="right"/>
    </xf>
    <xf numFmtId="0" fontId="2" fillId="2" borderId="20" xfId="1" applyFont="1" applyFill="1" applyBorder="1" applyAlignment="1">
      <alignment horizontal="right"/>
    </xf>
    <xf numFmtId="0" fontId="5" fillId="2" borderId="23" xfId="1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top" wrapText="1"/>
    </xf>
    <xf numFmtId="0" fontId="13" fillId="0" borderId="15" xfId="1" applyFont="1" applyBorder="1" applyAlignment="1">
      <alignment horizontal="left"/>
    </xf>
    <xf numFmtId="0" fontId="2" fillId="2" borderId="14" xfId="5" applyFont="1" applyFill="1" applyBorder="1" applyAlignment="1">
      <alignment horizontal="right" vertical="center"/>
    </xf>
    <xf numFmtId="0" fontId="8" fillId="0" borderId="8" xfId="3" applyFont="1" applyBorder="1" applyAlignment="1">
      <alignment horizontal="left"/>
    </xf>
    <xf numFmtId="0" fontId="2" fillId="0" borderId="6" xfId="1" applyFont="1" applyBorder="1" applyAlignment="1">
      <alignment horizontal="right" vertical="center"/>
    </xf>
    <xf numFmtId="0" fontId="5" fillId="0" borderId="15" xfId="1" applyFont="1" applyBorder="1" applyAlignment="1">
      <alignment horizontal="right"/>
    </xf>
    <xf numFmtId="0" fontId="8" fillId="0" borderId="23" xfId="3" applyFont="1" applyBorder="1" applyAlignment="1">
      <alignment horizontal="left"/>
    </xf>
    <xf numFmtId="0" fontId="2" fillId="2" borderId="21" xfId="0" applyFont="1" applyFill="1" applyBorder="1" applyAlignment="1">
      <alignment wrapText="1"/>
    </xf>
    <xf numFmtId="0" fontId="8" fillId="0" borderId="15" xfId="1" applyFont="1" applyBorder="1" applyAlignment="1">
      <alignment horizontal="left"/>
    </xf>
    <xf numFmtId="4" fontId="8" fillId="4" borderId="26" xfId="3" applyNumberFormat="1" applyFont="1" applyFill="1" applyBorder="1"/>
    <xf numFmtId="0" fontId="8" fillId="4" borderId="20" xfId="3" applyFont="1" applyFill="1" applyBorder="1"/>
    <xf numFmtId="0" fontId="8" fillId="4" borderId="23" xfId="3" applyFont="1" applyFill="1" applyBorder="1"/>
    <xf numFmtId="4" fontId="2" fillId="2" borderId="6" xfId="0" applyNumberFormat="1" applyFont="1" applyFill="1" applyBorder="1"/>
    <xf numFmtId="0" fontId="14" fillId="2" borderId="7" xfId="4" applyFont="1" applyFill="1" applyBorder="1" applyAlignment="1">
      <alignment vertical="center" wrapText="1"/>
    </xf>
    <xf numFmtId="0" fontId="5" fillId="2" borderId="8" xfId="4" applyFont="1" applyFill="1" applyBorder="1" applyAlignment="1">
      <alignment vertical="center"/>
    </xf>
    <xf numFmtId="0" fontId="5" fillId="2" borderId="16" xfId="4" applyFont="1" applyFill="1" applyBorder="1" applyAlignment="1">
      <alignment horizontal="center" vertical="center" wrapText="1"/>
    </xf>
    <xf numFmtId="0" fontId="6" fillId="0" borderId="0" xfId="6"/>
    <xf numFmtId="0" fontId="15" fillId="0" borderId="0" xfId="6" applyFont="1"/>
    <xf numFmtId="44" fontId="6" fillId="0" borderId="0" xfId="6" applyNumberFormat="1"/>
    <xf numFmtId="44" fontId="15" fillId="0" borderId="0" xfId="6" applyNumberFormat="1" applyFont="1"/>
    <xf numFmtId="4" fontId="6" fillId="0" borderId="0" xfId="6" applyNumberFormat="1"/>
    <xf numFmtId="44" fontId="15" fillId="0" borderId="27" xfId="6" applyNumberFormat="1" applyFont="1" applyBorder="1"/>
    <xf numFmtId="0" fontId="15" fillId="0" borderId="27" xfId="6" applyFont="1" applyBorder="1" applyAlignment="1">
      <alignment horizontal="right"/>
    </xf>
    <xf numFmtId="0" fontId="15" fillId="0" borderId="27" xfId="6" applyFont="1" applyBorder="1"/>
    <xf numFmtId="0" fontId="16" fillId="0" borderId="27" xfId="6" applyFont="1" applyBorder="1" applyAlignment="1">
      <alignment horizontal="center"/>
    </xf>
    <xf numFmtId="44" fontId="16" fillId="0" borderId="27" xfId="6" applyNumberFormat="1" applyFont="1" applyBorder="1"/>
    <xf numFmtId="0" fontId="15" fillId="0" borderId="27" xfId="6" applyFont="1" applyBorder="1" applyAlignment="1">
      <alignment horizontal="center" wrapText="1"/>
    </xf>
    <xf numFmtId="0" fontId="15" fillId="0" borderId="27" xfId="6" applyFont="1" applyBorder="1" applyAlignment="1">
      <alignment horizontal="center"/>
    </xf>
    <xf numFmtId="0" fontId="2" fillId="0" borderId="0" xfId="6" applyFont="1"/>
    <xf numFmtId="0" fontId="10" fillId="0" borderId="0" xfId="6" applyFont="1"/>
    <xf numFmtId="0" fontId="9" fillId="0" borderId="0" xfId="6" applyFont="1"/>
    <xf numFmtId="0" fontId="1" fillId="0" borderId="0" xfId="12"/>
    <xf numFmtId="0" fontId="1" fillId="0" borderId="0" xfId="12" applyAlignment="1">
      <alignment horizontal="center"/>
    </xf>
    <xf numFmtId="167" fontId="6" fillId="0" borderId="0" xfId="6" applyNumberFormat="1"/>
    <xf numFmtId="168" fontId="6" fillId="0" borderId="5" xfId="6" applyNumberFormat="1" applyBorder="1"/>
    <xf numFmtId="0" fontId="27" fillId="0" borderId="27" xfId="6" applyFont="1" applyBorder="1" applyAlignment="1">
      <alignment horizontal="center"/>
    </xf>
    <xf numFmtId="0" fontId="27" fillId="0" borderId="4" xfId="6" applyFont="1" applyBorder="1" applyAlignment="1">
      <alignment horizontal="center"/>
    </xf>
    <xf numFmtId="0" fontId="27" fillId="0" borderId="38" xfId="6" applyFont="1" applyBorder="1" applyAlignment="1">
      <alignment horizontal="center"/>
    </xf>
    <xf numFmtId="0" fontId="2" fillId="2" borderId="0" xfId="0" applyFont="1" applyFill="1" applyAlignment="1">
      <alignment horizontal="right"/>
    </xf>
    <xf numFmtId="0" fontId="2" fillId="2" borderId="43" xfId="0" applyFont="1" applyFill="1" applyBorder="1" applyAlignment="1">
      <alignment horizontal="right"/>
    </xf>
    <xf numFmtId="0" fontId="2" fillId="2" borderId="44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21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right" vertical="center"/>
    </xf>
    <xf numFmtId="0" fontId="2" fillId="2" borderId="17" xfId="4" applyFont="1" applyFill="1" applyBorder="1" applyAlignment="1">
      <alignment horizontal="center" vertical="center" wrapText="1"/>
    </xf>
    <xf numFmtId="0" fontId="32" fillId="8" borderId="0" xfId="6" applyFont="1" applyFill="1" applyProtection="1">
      <protection locked="0"/>
    </xf>
    <xf numFmtId="169" fontId="6" fillId="8" borderId="33" xfId="6" applyNumberFormat="1" applyFill="1" applyBorder="1" applyAlignment="1" applyProtection="1">
      <alignment horizontal="center"/>
      <protection locked="0"/>
    </xf>
    <xf numFmtId="166" fontId="6" fillId="8" borderId="41" xfId="7" applyNumberFormat="1" applyFont="1" applyFill="1" applyBorder="1" applyAlignment="1" applyProtection="1">
      <alignment horizontal="right"/>
      <protection locked="0"/>
    </xf>
    <xf numFmtId="170" fontId="6" fillId="0" borderId="0" xfId="7" applyNumberFormat="1" applyFont="1" applyFill="1" applyBorder="1" applyAlignment="1" applyProtection="1">
      <alignment horizontal="right"/>
      <protection locked="0"/>
    </xf>
    <xf numFmtId="166" fontId="6" fillId="8" borderId="42" xfId="7" applyNumberFormat="1" applyFont="1" applyFill="1" applyBorder="1" applyAlignment="1" applyProtection="1">
      <alignment horizontal="right"/>
      <protection locked="0"/>
    </xf>
    <xf numFmtId="169" fontId="6" fillId="8" borderId="5" xfId="6" applyNumberFormat="1" applyFill="1" applyBorder="1" applyAlignment="1" applyProtection="1">
      <alignment horizontal="center"/>
      <protection locked="0"/>
    </xf>
    <xf numFmtId="169" fontId="6" fillId="8" borderId="27" xfId="6" applyNumberFormat="1" applyFill="1" applyBorder="1" applyAlignment="1" applyProtection="1">
      <alignment horizontal="center"/>
      <protection locked="0"/>
    </xf>
    <xf numFmtId="0" fontId="27" fillId="0" borderId="5" xfId="6" applyFont="1" applyBorder="1" applyProtection="1">
      <protection locked="0"/>
    </xf>
    <xf numFmtId="171" fontId="27" fillId="8" borderId="12" xfId="6" applyNumberFormat="1" applyFont="1" applyFill="1" applyBorder="1" applyAlignment="1" applyProtection="1">
      <alignment horizontal="center"/>
      <protection locked="0"/>
    </xf>
    <xf numFmtId="166" fontId="27" fillId="0" borderId="27" xfId="6" applyNumberFormat="1" applyFont="1" applyBorder="1" applyAlignment="1" applyProtection="1">
      <alignment horizontal="right"/>
      <protection locked="0"/>
    </xf>
    <xf numFmtId="170" fontId="27" fillId="0" borderId="12" xfId="6" applyNumberFormat="1" applyFont="1" applyBorder="1" applyAlignment="1" applyProtection="1">
      <alignment horizontal="right"/>
      <protection locked="0"/>
    </xf>
    <xf numFmtId="167" fontId="27" fillId="0" borderId="33" xfId="6" applyNumberFormat="1" applyFont="1" applyBorder="1" applyAlignment="1">
      <alignment horizontal="left"/>
    </xf>
    <xf numFmtId="3" fontId="6" fillId="0" borderId="34" xfId="6" applyNumberFormat="1" applyBorder="1" applyAlignment="1">
      <alignment horizontal="center"/>
    </xf>
    <xf numFmtId="167" fontId="6" fillId="0" borderId="34" xfId="6" applyNumberFormat="1" applyBorder="1"/>
    <xf numFmtId="167" fontId="27" fillId="0" borderId="0" xfId="6" applyNumberFormat="1" applyFont="1" applyAlignment="1">
      <alignment horizontal="center"/>
    </xf>
    <xf numFmtId="0" fontId="6" fillId="0" borderId="38" xfId="6" applyBorder="1"/>
    <xf numFmtId="167" fontId="6" fillId="0" borderId="39" xfId="6" applyNumberFormat="1" applyBorder="1"/>
    <xf numFmtId="0" fontId="1" fillId="0" borderId="0" xfId="12" applyAlignment="1" applyProtection="1">
      <alignment horizontal="center"/>
      <protection locked="0"/>
    </xf>
    <xf numFmtId="0" fontId="1" fillId="0" borderId="0" xfId="12" applyProtection="1">
      <protection locked="0"/>
    </xf>
    <xf numFmtId="0" fontId="1" fillId="0" borderId="0" xfId="12" applyAlignment="1" applyProtection="1">
      <alignment horizontal="left"/>
      <protection locked="0"/>
    </xf>
    <xf numFmtId="0" fontId="22" fillId="0" borderId="27" xfId="12" applyFont="1" applyBorder="1" applyAlignment="1" applyProtection="1">
      <alignment horizontal="center"/>
      <protection locked="0"/>
    </xf>
    <xf numFmtId="0" fontId="22" fillId="0" borderId="0" xfId="12" applyFont="1" applyAlignment="1" applyProtection="1">
      <alignment horizontal="center"/>
      <protection locked="0"/>
    </xf>
    <xf numFmtId="0" fontId="18" fillId="0" borderId="0" xfId="12" applyFont="1" applyAlignment="1" applyProtection="1">
      <alignment horizontal="center" wrapText="1"/>
      <protection locked="0"/>
    </xf>
    <xf numFmtId="0" fontId="18" fillId="0" borderId="0" xfId="12" applyFont="1" applyAlignment="1" applyProtection="1">
      <alignment wrapText="1"/>
      <protection locked="0"/>
    </xf>
    <xf numFmtId="0" fontId="22" fillId="0" borderId="0" xfId="12" applyFont="1" applyProtection="1">
      <protection locked="0"/>
    </xf>
    <xf numFmtId="14" fontId="22" fillId="0" borderId="0" xfId="12" applyNumberFormat="1" applyFont="1" applyAlignment="1" applyProtection="1">
      <alignment horizontal="right"/>
      <protection locked="0"/>
    </xf>
    <xf numFmtId="14" fontId="22" fillId="0" borderId="0" xfId="12" applyNumberFormat="1" applyFont="1" applyAlignment="1" applyProtection="1">
      <alignment horizontal="left"/>
      <protection locked="0"/>
    </xf>
    <xf numFmtId="0" fontId="6" fillId="0" borderId="0" xfId="6" applyProtection="1">
      <protection locked="0"/>
    </xf>
    <xf numFmtId="0" fontId="19" fillId="0" borderId="0" xfId="12" applyFont="1"/>
    <xf numFmtId="0" fontId="2" fillId="2" borderId="0" xfId="6" applyFont="1" applyFill="1" applyAlignment="1" applyProtection="1">
      <alignment vertical="center" wrapText="1"/>
      <protection locked="0"/>
    </xf>
    <xf numFmtId="4" fontId="2" fillId="3" borderId="16" xfId="3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6" applyFont="1" applyProtection="1">
      <protection locked="0"/>
    </xf>
    <xf numFmtId="4" fontId="2" fillId="0" borderId="0" xfId="6" applyNumberFormat="1" applyFont="1" applyProtection="1">
      <protection locked="0"/>
    </xf>
    <xf numFmtId="3" fontId="2" fillId="0" borderId="0" xfId="6" applyNumberFormat="1" applyFont="1" applyProtection="1">
      <protection locked="0"/>
    </xf>
    <xf numFmtId="0" fontId="10" fillId="0" borderId="0" xfId="6" applyFont="1" applyProtection="1">
      <protection locked="0"/>
    </xf>
    <xf numFmtId="0" fontId="9" fillId="0" borderId="0" xfId="6" applyFont="1" applyProtection="1">
      <protection locked="0"/>
    </xf>
    <xf numFmtId="0" fontId="2" fillId="2" borderId="0" xfId="6" applyFont="1" applyFill="1" applyProtection="1">
      <protection locked="0"/>
    </xf>
    <xf numFmtId="4" fontId="2" fillId="2" borderId="0" xfId="6" applyNumberFormat="1" applyFont="1" applyFill="1" applyProtection="1">
      <protection locked="0"/>
    </xf>
    <xf numFmtId="0" fontId="7" fillId="2" borderId="0" xfId="6" applyFont="1" applyFill="1" applyAlignment="1" applyProtection="1">
      <alignment horizontal="center"/>
      <protection locked="0"/>
    </xf>
    <xf numFmtId="0" fontId="5" fillId="2" borderId="0" xfId="6" applyFont="1" applyFill="1" applyAlignment="1" applyProtection="1">
      <alignment horizontal="right" wrapText="1"/>
      <protection locked="0"/>
    </xf>
    <xf numFmtId="0" fontId="7" fillId="2" borderId="0" xfId="6" applyFont="1" applyFill="1" applyAlignment="1" applyProtection="1">
      <alignment horizontal="center" vertical="center" wrapText="1"/>
      <protection locked="0"/>
    </xf>
    <xf numFmtId="165" fontId="5" fillId="2" borderId="0" xfId="6" applyNumberFormat="1" applyFont="1" applyFill="1" applyProtection="1">
      <protection locked="0"/>
    </xf>
    <xf numFmtId="165" fontId="7" fillId="2" borderId="0" xfId="6" applyNumberFormat="1" applyFont="1" applyFill="1" applyAlignment="1" applyProtection="1">
      <alignment horizontal="center"/>
      <protection locked="0"/>
    </xf>
    <xf numFmtId="3" fontId="2" fillId="2" borderId="0" xfId="6" applyNumberFormat="1" applyFont="1" applyFill="1" applyProtection="1">
      <protection locked="0"/>
    </xf>
    <xf numFmtId="4" fontId="23" fillId="2" borderId="0" xfId="6" applyNumberFormat="1" applyFont="1" applyFill="1" applyAlignment="1" applyProtection="1">
      <alignment vertical="center"/>
      <protection locked="0"/>
    </xf>
    <xf numFmtId="0" fontId="24" fillId="2" borderId="0" xfId="15" applyFont="1" applyFill="1" applyProtection="1">
      <protection locked="0"/>
    </xf>
    <xf numFmtId="0" fontId="24" fillId="2" borderId="0" xfId="15" applyFont="1" applyFill="1" applyAlignment="1" applyProtection="1">
      <alignment horizontal="left" vertical="center" wrapText="1"/>
      <protection locked="0"/>
    </xf>
    <xf numFmtId="0" fontId="25" fillId="2" borderId="0" xfId="6" applyFont="1" applyFill="1" applyProtection="1">
      <protection locked="0"/>
    </xf>
    <xf numFmtId="9" fontId="2" fillId="2" borderId="0" xfId="6" applyNumberFormat="1" applyFont="1" applyFill="1" applyProtection="1">
      <protection locked="0"/>
    </xf>
    <xf numFmtId="3" fontId="2" fillId="2" borderId="0" xfId="16" applyNumberFormat="1" applyFont="1" applyFill="1" applyProtection="1">
      <protection locked="0"/>
    </xf>
    <xf numFmtId="10" fontId="2" fillId="2" borderId="0" xfId="16" applyNumberFormat="1" applyFont="1" applyFill="1" applyProtection="1">
      <protection locked="0"/>
    </xf>
    <xf numFmtId="4" fontId="5" fillId="2" borderId="0" xfId="6" applyNumberFormat="1" applyFont="1" applyFill="1" applyProtection="1">
      <protection locked="0"/>
    </xf>
    <xf numFmtId="4" fontId="11" fillId="2" borderId="0" xfId="6" applyNumberFormat="1" applyFont="1" applyFill="1" applyProtection="1">
      <protection locked="0"/>
    </xf>
    <xf numFmtId="10" fontId="26" fillId="2" borderId="0" xfId="6" applyNumberFormat="1" applyFont="1" applyFill="1" applyAlignment="1" applyProtection="1">
      <alignment vertical="center" wrapText="1"/>
      <protection locked="0"/>
    </xf>
    <xf numFmtId="0" fontId="27" fillId="0" borderId="0" xfId="6" applyFont="1" applyAlignment="1" applyProtection="1">
      <alignment vertical="center"/>
      <protection locked="0"/>
    </xf>
    <xf numFmtId="0" fontId="28" fillId="0" borderId="33" xfId="9" applyFont="1" applyBorder="1" applyAlignment="1" applyProtection="1">
      <alignment horizontal="left"/>
      <protection locked="0"/>
    </xf>
    <xf numFmtId="0" fontId="28" fillId="0" borderId="34" xfId="9" applyFont="1" applyBorder="1" applyAlignment="1" applyProtection="1">
      <alignment horizontal="left"/>
      <protection locked="0"/>
    </xf>
    <xf numFmtId="0" fontId="29" fillId="0" borderId="35" xfId="10" applyFont="1" applyBorder="1" applyProtection="1">
      <protection locked="0"/>
    </xf>
    <xf numFmtId="14" fontId="28" fillId="0" borderId="36" xfId="6" applyNumberFormat="1" applyFont="1" applyBorder="1" applyAlignment="1" applyProtection="1">
      <alignment horizontal="right"/>
      <protection locked="0"/>
    </xf>
    <xf numFmtId="14" fontId="28" fillId="0" borderId="0" xfId="6" applyNumberFormat="1" applyFont="1" applyAlignment="1" applyProtection="1">
      <alignment horizontal="right"/>
      <protection locked="0"/>
    </xf>
    <xf numFmtId="0" fontId="2" fillId="0" borderId="28" xfId="6" applyFont="1" applyBorder="1"/>
    <xf numFmtId="9" fontId="7" fillId="0" borderId="39" xfId="20" applyFont="1" applyFill="1" applyBorder="1" applyProtection="1"/>
    <xf numFmtId="9" fontId="7" fillId="0" borderId="12" xfId="20" applyFont="1" applyFill="1" applyBorder="1" applyProtection="1"/>
    <xf numFmtId="4" fontId="2" fillId="3" borderId="16" xfId="3" applyNumberFormat="1" applyFont="1" applyFill="1" applyBorder="1" applyAlignment="1">
      <alignment horizontal="center" vertical="center" wrapText="1"/>
    </xf>
    <xf numFmtId="3" fontId="2" fillId="0" borderId="26" xfId="6" applyNumberFormat="1" applyFont="1" applyBorder="1"/>
    <xf numFmtId="4" fontId="2" fillId="0" borderId="19" xfId="6" applyNumberFormat="1" applyFont="1" applyBorder="1"/>
    <xf numFmtId="0" fontId="5" fillId="2" borderId="16" xfId="15" applyFont="1" applyFill="1" applyBorder="1" applyAlignment="1">
      <alignment horizontal="center" vertical="center" wrapText="1"/>
    </xf>
    <xf numFmtId="0" fontId="5" fillId="2" borderId="8" xfId="15" applyFont="1" applyFill="1" applyBorder="1" applyAlignment="1">
      <alignment vertical="center"/>
    </xf>
    <xf numFmtId="0" fontId="14" fillId="2" borderId="44" xfId="15" applyFont="1" applyFill="1" applyBorder="1" applyAlignment="1">
      <alignment vertical="center" wrapText="1"/>
    </xf>
    <xf numFmtId="43" fontId="2" fillId="0" borderId="20" xfId="18" applyFont="1" applyBorder="1" applyAlignment="1" applyProtection="1">
      <alignment horizontal="right"/>
    </xf>
    <xf numFmtId="43" fontId="2" fillId="0" borderId="22" xfId="18" applyFont="1" applyBorder="1" applyAlignment="1" applyProtection="1">
      <alignment horizontal="right"/>
    </xf>
    <xf numFmtId="0" fontId="2" fillId="2" borderId="21" xfId="6" applyFont="1" applyFill="1" applyBorder="1" applyAlignment="1">
      <alignment wrapText="1"/>
    </xf>
    <xf numFmtId="0" fontId="2" fillId="0" borderId="20" xfId="5" applyFont="1" applyBorder="1" applyAlignment="1">
      <alignment horizontal="right" vertical="center"/>
    </xf>
    <xf numFmtId="0" fontId="2" fillId="0" borderId="14" xfId="5" applyFont="1" applyBorder="1" applyAlignment="1">
      <alignment horizontal="right" vertical="center"/>
    </xf>
    <xf numFmtId="0" fontId="2" fillId="2" borderId="21" xfId="15" applyFont="1" applyFill="1" applyBorder="1" applyAlignment="1">
      <alignment horizontal="center" vertical="center" wrapText="1"/>
    </xf>
    <xf numFmtId="4" fontId="2" fillId="0" borderId="19" xfId="1" applyNumberFormat="1" applyFont="1" applyBorder="1" applyAlignment="1">
      <alignment horizontal="right" vertic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vertical="center" wrapText="1"/>
    </xf>
    <xf numFmtId="0" fontId="2" fillId="2" borderId="24" xfId="6" applyFont="1" applyFill="1" applyBorder="1" applyAlignment="1">
      <alignment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2" borderId="0" xfId="6" applyFont="1" applyFill="1" applyAlignment="1">
      <alignment vertical="center" wrapText="1"/>
    </xf>
    <xf numFmtId="4" fontId="2" fillId="2" borderId="21" xfId="1" applyNumberFormat="1" applyFont="1" applyFill="1" applyBorder="1" applyAlignment="1">
      <alignment horizontal="right" vertical="center"/>
    </xf>
    <xf numFmtId="0" fontId="10" fillId="2" borderId="0" xfId="6" applyFont="1" applyFill="1" applyAlignment="1">
      <alignment vertical="center" wrapText="1"/>
    </xf>
    <xf numFmtId="4" fontId="10" fillId="4" borderId="16" xfId="3" applyNumberFormat="1" applyFont="1" applyFill="1" applyBorder="1"/>
    <xf numFmtId="0" fontId="21" fillId="0" borderId="0" xfId="6" applyFont="1" applyAlignment="1">
      <alignment horizontal="center"/>
    </xf>
    <xf numFmtId="0" fontId="2" fillId="6" borderId="28" xfId="6" applyFont="1" applyFill="1" applyBorder="1" applyAlignment="1">
      <alignment horizontal="left"/>
    </xf>
    <xf numFmtId="0" fontId="20" fillId="6" borderId="48" xfId="6" applyFont="1" applyFill="1" applyBorder="1" applyAlignment="1">
      <alignment horizontal="center"/>
    </xf>
    <xf numFmtId="0" fontId="22" fillId="0" borderId="0" xfId="6" applyFont="1" applyAlignment="1">
      <alignment horizontal="center"/>
    </xf>
    <xf numFmtId="0" fontId="2" fillId="6" borderId="13" xfId="6" applyFont="1" applyFill="1" applyBorder="1" applyAlignment="1">
      <alignment horizontal="left" vertical="center"/>
    </xf>
    <xf numFmtId="3" fontId="2" fillId="0" borderId="29" xfId="6" applyNumberFormat="1" applyFont="1" applyBorder="1" applyAlignment="1">
      <alignment horizontal="right" vertical="center"/>
    </xf>
    <xf numFmtId="0" fontId="21" fillId="0" borderId="0" xfId="6" applyFont="1" applyAlignment="1">
      <alignment horizontal="center" vertical="center"/>
    </xf>
    <xf numFmtId="0" fontId="6" fillId="0" borderId="0" xfId="6" applyAlignment="1">
      <alignment horizontal="right" vertical="center"/>
    </xf>
    <xf numFmtId="4" fontId="2" fillId="6" borderId="13" xfId="6" applyNumberFormat="1" applyFont="1" applyFill="1" applyBorder="1" applyAlignment="1">
      <alignment horizontal="left" vertical="center"/>
    </xf>
    <xf numFmtId="4" fontId="2" fillId="0" borderId="29" xfId="6" applyNumberFormat="1" applyFont="1" applyBorder="1" applyAlignment="1">
      <alignment horizontal="right" vertical="center"/>
    </xf>
    <xf numFmtId="4" fontId="21" fillId="0" borderId="0" xfId="6" applyNumberFormat="1" applyFont="1" applyAlignment="1">
      <alignment horizontal="center" vertical="center"/>
    </xf>
    <xf numFmtId="4" fontId="6" fillId="0" borderId="0" xfId="6" applyNumberFormat="1" applyAlignment="1">
      <alignment horizontal="right" vertical="center"/>
    </xf>
    <xf numFmtId="0" fontId="2" fillId="6" borderId="13" xfId="6" applyFont="1" applyFill="1" applyBorder="1" applyAlignment="1">
      <alignment horizontal="left" vertical="center" wrapText="1"/>
    </xf>
    <xf numFmtId="44" fontId="2" fillId="0" borderId="29" xfId="19" applyFont="1" applyBorder="1" applyAlignment="1" applyProtection="1">
      <alignment horizontal="right" vertical="center"/>
    </xf>
    <xf numFmtId="44" fontId="7" fillId="0" borderId="0" xfId="19" applyFont="1" applyBorder="1" applyAlignment="1" applyProtection="1">
      <alignment horizontal="right" vertical="center"/>
    </xf>
    <xf numFmtId="0" fontId="21" fillId="0" borderId="0" xfId="6" applyFont="1" applyAlignment="1">
      <alignment horizontal="center" vertical="center" wrapText="1"/>
    </xf>
    <xf numFmtId="0" fontId="2" fillId="6" borderId="25" xfId="6" applyFont="1" applyFill="1" applyBorder="1" applyAlignment="1">
      <alignment horizontal="left" vertical="center"/>
    </xf>
    <xf numFmtId="3" fontId="7" fillId="0" borderId="0" xfId="6" applyNumberFormat="1" applyFont="1" applyAlignment="1">
      <alignment horizontal="right" vertical="center"/>
    </xf>
    <xf numFmtId="3" fontId="6" fillId="0" borderId="0" xfId="6" applyNumberFormat="1" applyAlignment="1">
      <alignment horizontal="right" vertical="center"/>
    </xf>
    <xf numFmtId="0" fontId="2" fillId="6" borderId="10" xfId="6" applyFont="1" applyFill="1" applyBorder="1" applyAlignment="1">
      <alignment horizontal="left" vertical="center"/>
    </xf>
    <xf numFmtId="44" fontId="2" fillId="0" borderId="30" xfId="19" applyFont="1" applyBorder="1" applyAlignment="1" applyProtection="1">
      <alignment horizontal="right" vertical="center"/>
    </xf>
    <xf numFmtId="10" fontId="7" fillId="0" borderId="0" xfId="16" applyNumberFormat="1" applyFont="1" applyBorder="1" applyAlignment="1" applyProtection="1">
      <alignment horizontal="right" vertical="center"/>
    </xf>
    <xf numFmtId="10" fontId="0" fillId="0" borderId="0" xfId="16" applyNumberFormat="1" applyFont="1" applyFill="1" applyBorder="1" applyAlignment="1" applyProtection="1">
      <alignment horizontal="right" vertical="center"/>
    </xf>
    <xf numFmtId="166" fontId="7" fillId="0" borderId="0" xfId="16" applyNumberFormat="1" applyFont="1" applyBorder="1" applyAlignment="1" applyProtection="1">
      <alignment horizontal="right" vertical="center"/>
    </xf>
    <xf numFmtId="166" fontId="0" fillId="0" borderId="0" xfId="16" applyNumberFormat="1" applyFont="1" applyFill="1" applyBorder="1" applyAlignment="1" applyProtection="1">
      <alignment horizontal="right" vertical="center"/>
    </xf>
    <xf numFmtId="0" fontId="2" fillId="6" borderId="45" xfId="6" applyFont="1" applyFill="1" applyBorder="1" applyAlignment="1">
      <alignment horizontal="left" vertical="center"/>
    </xf>
    <xf numFmtId="4" fontId="5" fillId="6" borderId="27" xfId="6" applyNumberFormat="1" applyFont="1" applyFill="1" applyBorder="1" applyAlignment="1">
      <alignment horizontal="center"/>
    </xf>
    <xf numFmtId="4" fontId="5" fillId="6" borderId="5" xfId="6" applyNumberFormat="1" applyFont="1" applyFill="1" applyBorder="1" applyAlignment="1">
      <alignment horizontal="center"/>
    </xf>
    <xf numFmtId="0" fontId="2" fillId="6" borderId="31" xfId="6" applyFont="1" applyFill="1" applyBorder="1" applyAlignment="1">
      <alignment horizontal="left" vertical="center"/>
    </xf>
    <xf numFmtId="3" fontId="2" fillId="0" borderId="27" xfId="6" applyNumberFormat="1" applyFont="1" applyBorder="1" applyAlignment="1">
      <alignment horizontal="right" vertical="center"/>
    </xf>
    <xf numFmtId="4" fontId="2" fillId="6" borderId="31" xfId="6" applyNumberFormat="1" applyFont="1" applyFill="1" applyBorder="1" applyAlignment="1">
      <alignment horizontal="left" vertical="center"/>
    </xf>
    <xf numFmtId="4" fontId="2" fillId="0" borderId="27" xfId="6" applyNumberFormat="1" applyFont="1" applyBorder="1" applyAlignment="1">
      <alignment horizontal="right" vertical="center"/>
    </xf>
    <xf numFmtId="0" fontId="2" fillId="6" borderId="31" xfId="6" applyFont="1" applyFill="1" applyBorder="1" applyAlignment="1">
      <alignment horizontal="left" vertical="center" wrapText="1"/>
    </xf>
    <xf numFmtId="44" fontId="2" fillId="0" borderId="27" xfId="19" applyFont="1" applyBorder="1" applyAlignment="1" applyProtection="1">
      <alignment horizontal="right" vertical="center"/>
    </xf>
    <xf numFmtId="44" fontId="2" fillId="0" borderId="29" xfId="19" applyFont="1" applyFill="1" applyBorder="1" applyAlignment="1" applyProtection="1">
      <alignment horizontal="center" vertical="center"/>
    </xf>
    <xf numFmtId="0" fontId="2" fillId="6" borderId="32" xfId="6" applyFont="1" applyFill="1" applyBorder="1" applyAlignment="1">
      <alignment horizontal="left" vertical="center" wrapText="1"/>
    </xf>
    <xf numFmtId="44" fontId="2" fillId="0" borderId="46" xfId="19" applyFont="1" applyBorder="1" applyAlignment="1" applyProtection="1">
      <alignment horizontal="right" vertical="center"/>
    </xf>
    <xf numFmtId="44" fontId="2" fillId="0" borderId="30" xfId="19" applyFont="1" applyFill="1" applyBorder="1" applyAlignment="1" applyProtection="1">
      <alignment horizontal="center" vertical="center"/>
    </xf>
    <xf numFmtId="0" fontId="2" fillId="0" borderId="0" xfId="6" applyFont="1" applyAlignment="1">
      <alignment horizontal="center"/>
    </xf>
    <xf numFmtId="4" fontId="2" fillId="0" borderId="0" xfId="6" applyNumberFormat="1" applyFont="1"/>
    <xf numFmtId="3" fontId="2" fillId="0" borderId="0" xfId="6" applyNumberFormat="1" applyFont="1"/>
    <xf numFmtId="43" fontId="2" fillId="0" borderId="0" xfId="17" applyFont="1" applyProtection="1"/>
    <xf numFmtId="4" fontId="2" fillId="0" borderId="22" xfId="1" applyNumberFormat="1" applyFont="1" applyBorder="1" applyAlignment="1">
      <alignment horizontal="right"/>
    </xf>
    <xf numFmtId="4" fontId="8" fillId="4" borderId="6" xfId="3" applyNumberFormat="1" applyFont="1" applyFill="1" applyBorder="1"/>
    <xf numFmtId="4" fontId="8" fillId="4" borderId="16" xfId="3" applyNumberFormat="1" applyFont="1" applyFill="1" applyBorder="1" applyAlignment="1">
      <alignment horizontal="right"/>
    </xf>
    <xf numFmtId="43" fontId="8" fillId="4" borderId="16" xfId="3" applyNumberFormat="1" applyFont="1" applyFill="1" applyBorder="1"/>
    <xf numFmtId="44" fontId="15" fillId="0" borderId="27" xfId="6" applyNumberFormat="1" applyFont="1" applyBorder="1" applyAlignment="1">
      <alignment horizontal="right"/>
    </xf>
    <xf numFmtId="4" fontId="6" fillId="0" borderId="39" xfId="6" applyNumberFormat="1" applyBorder="1"/>
    <xf numFmtId="44" fontId="34" fillId="0" borderId="0" xfId="6" applyNumberFormat="1" applyFont="1"/>
    <xf numFmtId="0" fontId="2" fillId="6" borderId="50" xfId="6" applyFont="1" applyFill="1" applyBorder="1" applyAlignment="1">
      <alignment horizontal="left" vertical="center" wrapText="1"/>
    </xf>
    <xf numFmtId="44" fontId="2" fillId="0" borderId="41" xfId="19" applyFont="1" applyBorder="1" applyAlignment="1" applyProtection="1">
      <alignment horizontal="right" vertical="center"/>
    </xf>
    <xf numFmtId="44" fontId="2" fillId="0" borderId="51" xfId="19" applyFont="1" applyFill="1" applyBorder="1" applyAlignment="1" applyProtection="1">
      <alignment horizontal="center" vertical="center"/>
    </xf>
    <xf numFmtId="0" fontId="2" fillId="0" borderId="15" xfId="6" applyFont="1" applyBorder="1"/>
    <xf numFmtId="4" fontId="2" fillId="0" borderId="7" xfId="3" applyNumberFormat="1" applyFont="1" applyBorder="1" applyAlignment="1">
      <alignment horizontal="center" vertical="center" wrapText="1"/>
    </xf>
    <xf numFmtId="4" fontId="2" fillId="0" borderId="8" xfId="3" applyNumberFormat="1" applyFont="1" applyBorder="1" applyAlignment="1">
      <alignment horizontal="center" vertical="center" wrapText="1"/>
    </xf>
    <xf numFmtId="3" fontId="2" fillId="0" borderId="26" xfId="6" applyNumberFormat="1" applyFont="1" applyBorder="1" applyProtection="1">
      <protection locked="0"/>
    </xf>
    <xf numFmtId="2" fontId="2" fillId="0" borderId="19" xfId="0" applyNumberFormat="1" applyFont="1" applyBorder="1" applyAlignment="1" applyProtection="1">
      <alignment horizontal="right"/>
      <protection locked="0"/>
    </xf>
    <xf numFmtId="4" fontId="5" fillId="7" borderId="19" xfId="0" applyNumberFormat="1" applyFont="1" applyFill="1" applyBorder="1"/>
    <xf numFmtId="4" fontId="2" fillId="7" borderId="19" xfId="1" applyNumberFormat="1" applyFont="1" applyFill="1" applyBorder="1" applyAlignment="1">
      <alignment horizontal="right"/>
    </xf>
    <xf numFmtId="4" fontId="2" fillId="7" borderId="19" xfId="1" applyNumberFormat="1" applyFont="1" applyFill="1" applyBorder="1" applyAlignment="1">
      <alignment horizontal="right" vertical="center"/>
    </xf>
    <xf numFmtId="4" fontId="2" fillId="7" borderId="21" xfId="1" applyNumberFormat="1" applyFont="1" applyFill="1" applyBorder="1" applyAlignment="1">
      <alignment horizontal="right" vertical="center"/>
    </xf>
    <xf numFmtId="4" fontId="3" fillId="7" borderId="16" xfId="3" applyNumberFormat="1" applyFont="1" applyFill="1" applyBorder="1" applyAlignment="1">
      <alignment vertical="center"/>
    </xf>
    <xf numFmtId="4" fontId="2" fillId="7" borderId="22" xfId="1" applyNumberFormat="1" applyFont="1" applyFill="1" applyBorder="1" applyAlignment="1">
      <alignment horizontal="right"/>
    </xf>
    <xf numFmtId="4" fontId="2" fillId="7" borderId="18" xfId="1" applyNumberFormat="1" applyFont="1" applyFill="1" applyBorder="1" applyAlignment="1">
      <alignment horizontal="right" vertical="center"/>
    </xf>
    <xf numFmtId="0" fontId="2" fillId="0" borderId="9" xfId="5" applyFont="1" applyBorder="1" applyAlignment="1">
      <alignment horizontal="right" vertical="center"/>
    </xf>
    <xf numFmtId="4" fontId="2" fillId="0" borderId="19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/>
      <protection locked="0"/>
    </xf>
    <xf numFmtId="4" fontId="2" fillId="0" borderId="22" xfId="1" applyNumberFormat="1" applyFont="1" applyBorder="1" applyAlignment="1" applyProtection="1">
      <alignment horizontal="right" vertical="center"/>
      <protection locked="0"/>
    </xf>
    <xf numFmtId="44" fontId="2" fillId="0" borderId="27" xfId="19" applyFont="1" applyFill="1" applyBorder="1" applyAlignment="1" applyProtection="1">
      <alignment horizontal="right" vertical="center"/>
    </xf>
    <xf numFmtId="14" fontId="28" fillId="0" borderId="37" xfId="9" applyNumberFormat="1" applyFont="1" applyBorder="1" applyAlignment="1" applyProtection="1">
      <alignment horizontal="right"/>
      <protection locked="0"/>
    </xf>
    <xf numFmtId="44" fontId="2" fillId="9" borderId="27" xfId="19" applyFont="1" applyFill="1" applyBorder="1" applyAlignment="1" applyProtection="1">
      <alignment horizontal="right" vertical="center"/>
    </xf>
    <xf numFmtId="172" fontId="7" fillId="0" borderId="0" xfId="6" applyNumberFormat="1" applyFont="1" applyAlignment="1">
      <alignment horizontal="right" vertical="center"/>
    </xf>
    <xf numFmtId="14" fontId="5" fillId="2" borderId="0" xfId="6" applyNumberFormat="1" applyFont="1" applyFill="1" applyAlignment="1" applyProtection="1">
      <alignment horizontal="right" vertical="center" wrapText="1"/>
      <protection locked="0"/>
    </xf>
    <xf numFmtId="0" fontId="11" fillId="10" borderId="8" xfId="3" applyFont="1" applyFill="1" applyBorder="1" applyAlignment="1">
      <alignment horizontal="left"/>
    </xf>
    <xf numFmtId="0" fontId="2" fillId="10" borderId="6" xfId="1" applyFont="1" applyFill="1" applyBorder="1" applyAlignment="1">
      <alignment horizontal="right" vertical="center"/>
    </xf>
    <xf numFmtId="0" fontId="2" fillId="10" borderId="14" xfId="5" applyFont="1" applyFill="1" applyBorder="1" applyAlignment="1">
      <alignment horizontal="right" vertical="center"/>
    </xf>
    <xf numFmtId="0" fontId="2" fillId="10" borderId="14" xfId="1" applyFont="1" applyFill="1" applyBorder="1" applyAlignment="1">
      <alignment horizontal="right" vertical="center"/>
    </xf>
    <xf numFmtId="4" fontId="2" fillId="10" borderId="21" xfId="1" applyNumberFormat="1" applyFont="1" applyFill="1" applyBorder="1" applyAlignment="1">
      <alignment horizontal="right" vertical="center"/>
    </xf>
    <xf numFmtId="10" fontId="6" fillId="0" borderId="21" xfId="20" applyNumberFormat="1" applyFont="1" applyBorder="1" applyAlignment="1">
      <alignment vertical="center"/>
    </xf>
    <xf numFmtId="4" fontId="8" fillId="4" borderId="28" xfId="3" applyNumberFormat="1" applyFont="1" applyFill="1" applyBorder="1"/>
    <xf numFmtId="43" fontId="2" fillId="0" borderId="23" xfId="18" applyFont="1" applyBorder="1" applyAlignment="1" applyProtection="1">
      <alignment horizontal="right"/>
    </xf>
    <xf numFmtId="4" fontId="8" fillId="4" borderId="8" xfId="3" applyNumberFormat="1" applyFont="1" applyFill="1" applyBorder="1"/>
    <xf numFmtId="4" fontId="8" fillId="4" borderId="8" xfId="3" applyNumberFormat="1" applyFont="1" applyFill="1" applyBorder="1" applyAlignment="1">
      <alignment horizontal="right"/>
    </xf>
    <xf numFmtId="43" fontId="8" fillId="4" borderId="8" xfId="3" applyNumberFormat="1" applyFont="1" applyFill="1" applyBorder="1"/>
    <xf numFmtId="4" fontId="2" fillId="2" borderId="15" xfId="1" applyNumberFormat="1" applyFont="1" applyFill="1" applyBorder="1" applyAlignment="1">
      <alignment horizontal="right" vertical="center"/>
    </xf>
    <xf numFmtId="4" fontId="12" fillId="5" borderId="8" xfId="3" applyNumberFormat="1" applyFont="1" applyFill="1" applyBorder="1"/>
    <xf numFmtId="4" fontId="10" fillId="4" borderId="8" xfId="3" applyNumberFormat="1" applyFont="1" applyFill="1" applyBorder="1"/>
    <xf numFmtId="0" fontId="14" fillId="2" borderId="0" xfId="15" applyFont="1" applyFill="1" applyAlignment="1">
      <alignment vertical="center" wrapText="1"/>
    </xf>
    <xf numFmtId="10" fontId="35" fillId="4" borderId="17" xfId="20" applyNumberFormat="1" applyFont="1" applyFill="1" applyBorder="1"/>
    <xf numFmtId="10" fontId="36" fillId="4" borderId="21" xfId="20" applyNumberFormat="1" applyFont="1" applyFill="1" applyBorder="1"/>
    <xf numFmtId="10" fontId="36" fillId="4" borderId="24" xfId="20" applyNumberFormat="1" applyFont="1" applyFill="1" applyBorder="1"/>
    <xf numFmtId="4" fontId="5" fillId="3" borderId="24" xfId="3" applyNumberFormat="1" applyFont="1" applyFill="1" applyBorder="1" applyAlignment="1">
      <alignment horizontal="center" vertical="center" wrapText="1"/>
    </xf>
    <xf numFmtId="4" fontId="5" fillId="7" borderId="26" xfId="0" applyNumberFormat="1" applyFont="1" applyFill="1" applyBorder="1"/>
    <xf numFmtId="4" fontId="5" fillId="7" borderId="53" xfId="0" applyNumberFormat="1" applyFont="1" applyFill="1" applyBorder="1"/>
    <xf numFmtId="0" fontId="11" fillId="11" borderId="8" xfId="3" applyFont="1" applyFill="1" applyBorder="1" applyAlignment="1">
      <alignment horizontal="left"/>
    </xf>
    <xf numFmtId="0" fontId="2" fillId="11" borderId="6" xfId="1" applyFont="1" applyFill="1" applyBorder="1" applyAlignment="1">
      <alignment horizontal="right" vertical="center"/>
    </xf>
    <xf numFmtId="0" fontId="2" fillId="11" borderId="14" xfId="5" applyFont="1" applyFill="1" applyBorder="1" applyAlignment="1">
      <alignment horizontal="right" vertical="center"/>
    </xf>
    <xf numFmtId="0" fontId="2" fillId="11" borderId="14" xfId="1" applyFont="1" applyFill="1" applyBorder="1" applyAlignment="1">
      <alignment horizontal="right" vertical="center"/>
    </xf>
    <xf numFmtId="4" fontId="2" fillId="11" borderId="21" xfId="1" applyNumberFormat="1" applyFont="1" applyFill="1" applyBorder="1" applyAlignment="1">
      <alignment horizontal="right" vertical="center"/>
    </xf>
    <xf numFmtId="4" fontId="2" fillId="11" borderId="26" xfId="1" applyNumberFormat="1" applyFont="1" applyFill="1" applyBorder="1" applyAlignment="1">
      <alignment horizontal="right" vertical="center"/>
    </xf>
    <xf numFmtId="4" fontId="2" fillId="11" borderId="53" xfId="1" applyNumberFormat="1" applyFont="1" applyFill="1" applyBorder="1" applyAlignment="1">
      <alignment horizontal="right" vertical="center"/>
    </xf>
    <xf numFmtId="0" fontId="2" fillId="0" borderId="39" xfId="1" applyFont="1" applyBorder="1" applyAlignment="1">
      <alignment horizontal="right"/>
    </xf>
    <xf numFmtId="4" fontId="8" fillId="5" borderId="24" xfId="3" applyNumberFormat="1" applyFont="1" applyFill="1" applyBorder="1"/>
    <xf numFmtId="0" fontId="2" fillId="2" borderId="44" xfId="1" applyFont="1" applyFill="1" applyBorder="1" applyAlignment="1">
      <alignment horizontal="right"/>
    </xf>
    <xf numFmtId="4" fontId="2" fillId="7" borderId="26" xfId="1" applyNumberFormat="1" applyFont="1" applyFill="1" applyBorder="1" applyAlignment="1">
      <alignment horizontal="right"/>
    </xf>
    <xf numFmtId="4" fontId="2" fillId="7" borderId="18" xfId="1" applyNumberFormat="1" applyFont="1" applyFill="1" applyBorder="1" applyAlignment="1">
      <alignment horizontal="right"/>
    </xf>
    <xf numFmtId="4" fontId="2" fillId="11" borderId="26" xfId="1" applyNumberFormat="1" applyFont="1" applyFill="1" applyBorder="1" applyAlignment="1">
      <alignment horizontal="right"/>
    </xf>
    <xf numFmtId="4" fontId="2" fillId="11" borderId="53" xfId="1" applyNumberFormat="1" applyFont="1" applyFill="1" applyBorder="1" applyAlignment="1">
      <alignment horizontal="right"/>
    </xf>
    <xf numFmtId="9" fontId="7" fillId="2" borderId="0" xfId="20" applyFont="1" applyFill="1" applyAlignment="1" applyProtection="1">
      <alignment horizontal="center"/>
      <protection locked="0"/>
    </xf>
    <xf numFmtId="10" fontId="7" fillId="0" borderId="39" xfId="20" applyNumberFormat="1" applyFont="1" applyFill="1" applyBorder="1" applyProtection="1"/>
    <xf numFmtId="10" fontId="7" fillId="0" borderId="12" xfId="20" applyNumberFormat="1" applyFont="1" applyFill="1" applyBorder="1" applyProtection="1"/>
    <xf numFmtId="10" fontId="7" fillId="0" borderId="22" xfId="20" applyNumberFormat="1" applyFont="1" applyFill="1" applyBorder="1" applyProtection="1"/>
    <xf numFmtId="10" fontId="7" fillId="0" borderId="19" xfId="20" applyNumberFormat="1" applyFont="1" applyFill="1" applyBorder="1" applyProtection="1"/>
    <xf numFmtId="9" fontId="7" fillId="2" borderId="0" xfId="6" applyNumberFormat="1" applyFont="1" applyFill="1" applyAlignment="1" applyProtection="1">
      <alignment horizontal="center"/>
      <protection locked="0"/>
    </xf>
    <xf numFmtId="4" fontId="2" fillId="0" borderId="0" xfId="3" applyNumberFormat="1" applyFont="1" applyAlignment="1">
      <alignment horizontal="center" vertical="center" wrapText="1"/>
    </xf>
    <xf numFmtId="43" fontId="2" fillId="0" borderId="23" xfId="18" applyFont="1" applyFill="1" applyBorder="1" applyAlignment="1" applyProtection="1">
      <alignment horizontal="right"/>
    </xf>
    <xf numFmtId="43" fontId="2" fillId="0" borderId="22" xfId="18" applyFont="1" applyFill="1" applyBorder="1" applyAlignment="1" applyProtection="1">
      <alignment horizontal="right"/>
    </xf>
    <xf numFmtId="10" fontId="6" fillId="0" borderId="21" xfId="20" applyNumberFormat="1" applyFont="1" applyFill="1" applyBorder="1" applyAlignment="1">
      <alignment vertical="center"/>
    </xf>
    <xf numFmtId="4" fontId="37" fillId="12" borderId="26" xfId="3" applyNumberFormat="1" applyFont="1" applyFill="1" applyBorder="1"/>
    <xf numFmtId="4" fontId="37" fillId="4" borderId="28" xfId="3" applyNumberFormat="1" applyFont="1" applyFill="1" applyBorder="1"/>
    <xf numFmtId="4" fontId="37" fillId="4" borderId="26" xfId="3" applyNumberFormat="1" applyFont="1" applyFill="1" applyBorder="1"/>
    <xf numFmtId="4" fontId="2" fillId="0" borderId="16" xfId="3" applyNumberFormat="1" applyFont="1" applyBorder="1" applyAlignment="1">
      <alignment horizontal="center" vertical="center" wrapText="1"/>
    </xf>
    <xf numFmtId="40" fontId="2" fillId="2" borderId="0" xfId="6" applyNumberFormat="1" applyFont="1" applyFill="1" applyProtection="1">
      <protection locked="0"/>
    </xf>
    <xf numFmtId="40" fontId="14" fillId="0" borderId="0" xfId="15" applyNumberFormat="1" applyFont="1" applyAlignment="1">
      <alignment vertical="center" wrapText="1"/>
    </xf>
    <xf numFmtId="40" fontId="38" fillId="0" borderId="0" xfId="15" applyNumberFormat="1" applyFont="1" applyAlignment="1">
      <alignment horizontal="center" wrapText="1"/>
    </xf>
    <xf numFmtId="40" fontId="36" fillId="12" borderId="24" xfId="20" applyNumberFormat="1" applyFont="1" applyFill="1" applyBorder="1"/>
    <xf numFmtId="40" fontId="36" fillId="12" borderId="21" xfId="20" applyNumberFormat="1" applyFont="1" applyFill="1" applyBorder="1"/>
    <xf numFmtId="40" fontId="35" fillId="12" borderId="17" xfId="20" applyNumberFormat="1" applyFont="1" applyFill="1" applyBorder="1"/>
    <xf numFmtId="40" fontId="27" fillId="0" borderId="0" xfId="6" applyNumberFormat="1" applyFont="1" applyAlignment="1" applyProtection="1">
      <alignment vertical="center"/>
      <protection locked="0"/>
    </xf>
    <xf numFmtId="40" fontId="28" fillId="0" borderId="34" xfId="9" applyNumberFormat="1" applyFont="1" applyBorder="1" applyAlignment="1" applyProtection="1">
      <alignment horizontal="left"/>
      <protection locked="0"/>
    </xf>
    <xf numFmtId="40" fontId="28" fillId="0" borderId="0" xfId="6" applyNumberFormat="1" applyFont="1" applyAlignment="1" applyProtection="1">
      <alignment horizontal="right"/>
      <protection locked="0"/>
    </xf>
    <xf numFmtId="40" fontId="2" fillId="0" borderId="0" xfId="6" applyNumberFormat="1" applyFont="1" applyProtection="1">
      <protection locked="0"/>
    </xf>
    <xf numFmtId="40" fontId="39" fillId="12" borderId="21" xfId="20" applyNumberFormat="1" applyFont="1" applyFill="1" applyBorder="1"/>
    <xf numFmtId="0" fontId="5" fillId="6" borderId="49" xfId="6" applyFont="1" applyFill="1" applyBorder="1" applyAlignment="1">
      <alignment horizontal="center" wrapText="1"/>
    </xf>
    <xf numFmtId="0" fontId="5" fillId="6" borderId="47" xfId="6" applyFont="1" applyFill="1" applyBorder="1" applyAlignment="1">
      <alignment horizontal="center" wrapText="1"/>
    </xf>
    <xf numFmtId="0" fontId="2" fillId="2" borderId="24" xfId="15" applyFont="1" applyFill="1" applyBorder="1" applyAlignment="1">
      <alignment horizontal="center" vertical="center" wrapText="1"/>
    </xf>
    <xf numFmtId="0" fontId="2" fillId="2" borderId="21" xfId="15" applyFont="1" applyFill="1" applyBorder="1" applyAlignment="1">
      <alignment horizontal="center" vertical="center" wrapText="1"/>
    </xf>
    <xf numFmtId="0" fontId="2" fillId="2" borderId="17" xfId="15" applyFont="1" applyFill="1" applyBorder="1" applyAlignment="1">
      <alignment horizontal="center" vertical="center" wrapText="1"/>
    </xf>
    <xf numFmtId="0" fontId="8" fillId="4" borderId="24" xfId="3" applyFont="1" applyFill="1" applyBorder="1" applyAlignment="1" applyProtection="1">
      <alignment horizontal="center" vertical="center"/>
      <protection locked="0"/>
    </xf>
    <xf numFmtId="0" fontId="8" fillId="4" borderId="21" xfId="3" applyFont="1" applyFill="1" applyBorder="1" applyAlignment="1" applyProtection="1">
      <alignment horizontal="center" vertical="center"/>
      <protection locked="0"/>
    </xf>
    <xf numFmtId="0" fontId="31" fillId="0" borderId="38" xfId="11" applyFont="1" applyBorder="1" applyAlignment="1" applyProtection="1">
      <alignment horizontal="right"/>
      <protection locked="0"/>
    </xf>
    <xf numFmtId="0" fontId="31" fillId="0" borderId="39" xfId="11" applyFont="1" applyBorder="1" applyAlignment="1" applyProtection="1">
      <alignment horizontal="right"/>
      <protection locked="0"/>
    </xf>
    <xf numFmtId="0" fontId="31" fillId="0" borderId="40" xfId="11" applyFont="1" applyBorder="1" applyAlignment="1" applyProtection="1">
      <alignment horizontal="right"/>
      <protection locked="0"/>
    </xf>
    <xf numFmtId="0" fontId="30" fillId="0" borderId="36" xfId="11" applyFont="1" applyBorder="1" applyAlignment="1" applyProtection="1">
      <alignment horizontal="center"/>
      <protection locked="0"/>
    </xf>
    <xf numFmtId="0" fontId="30" fillId="0" borderId="0" xfId="11" applyFont="1" applyAlignment="1" applyProtection="1">
      <alignment horizontal="center"/>
      <protection locked="0"/>
    </xf>
    <xf numFmtId="0" fontId="30" fillId="0" borderId="37" xfId="11" applyFont="1" applyBorder="1" applyAlignment="1" applyProtection="1">
      <alignment horizontal="center"/>
      <protection locked="0"/>
    </xf>
    <xf numFmtId="0" fontId="20" fillId="6" borderId="3" xfId="6" applyFont="1" applyFill="1" applyBorder="1" applyAlignment="1">
      <alignment horizontal="center"/>
    </xf>
    <xf numFmtId="0" fontId="20" fillId="6" borderId="43" xfId="6" applyFont="1" applyFill="1" applyBorder="1" applyAlignment="1">
      <alignment horizontal="center"/>
    </xf>
    <xf numFmtId="0" fontId="2" fillId="2" borderId="24" xfId="6" applyFont="1" applyFill="1" applyBorder="1" applyAlignment="1">
      <alignment horizontal="center" vertical="center" wrapText="1"/>
    </xf>
    <xf numFmtId="0" fontId="2" fillId="2" borderId="21" xfId="6" applyFont="1" applyFill="1" applyBorder="1" applyAlignment="1">
      <alignment horizontal="center" vertical="center" wrapText="1"/>
    </xf>
    <xf numFmtId="0" fontId="2" fillId="2" borderId="17" xfId="6" applyFont="1" applyFill="1" applyBorder="1" applyAlignment="1">
      <alignment horizontal="center" vertical="center" wrapText="1"/>
    </xf>
    <xf numFmtId="0" fontId="2" fillId="0" borderId="15" xfId="1" applyFont="1" applyBorder="1" applyAlignment="1">
      <alignment horizontal="right" vertical="center"/>
    </xf>
    <xf numFmtId="0" fontId="2" fillId="0" borderId="14" xfId="1" applyFont="1" applyBorder="1" applyAlignment="1">
      <alignment horizontal="right" vertical="center"/>
    </xf>
    <xf numFmtId="0" fontId="8" fillId="4" borderId="8" xfId="3" applyFont="1" applyFill="1" applyBorder="1" applyAlignment="1">
      <alignment horizontal="left"/>
    </xf>
    <xf numFmtId="0" fontId="8" fillId="4" borderId="6" xfId="3" applyFont="1" applyFill="1" applyBorder="1" applyAlignment="1">
      <alignment horizontal="left"/>
    </xf>
    <xf numFmtId="0" fontId="8" fillId="4" borderId="24" xfId="3" applyFont="1" applyFill="1" applyBorder="1" applyAlignment="1">
      <alignment horizontal="center" vertical="center"/>
    </xf>
    <xf numFmtId="0" fontId="8" fillId="4" borderId="21" xfId="3" applyFont="1" applyFill="1" applyBorder="1" applyAlignment="1">
      <alignment horizontal="center" vertical="center"/>
    </xf>
    <xf numFmtId="0" fontId="8" fillId="4" borderId="17" xfId="3" applyFont="1" applyFill="1" applyBorder="1" applyAlignment="1">
      <alignment horizontal="center" vertical="center"/>
    </xf>
    <xf numFmtId="0" fontId="2" fillId="2" borderId="24" xfId="4" applyFont="1" applyFill="1" applyBorder="1" applyAlignment="1">
      <alignment horizontal="center" vertical="center" wrapText="1"/>
    </xf>
    <xf numFmtId="0" fontId="2" fillId="2" borderId="17" xfId="4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21" xfId="4" applyFont="1" applyFill="1" applyBorder="1" applyAlignment="1">
      <alignment horizontal="center" vertical="center" wrapText="1"/>
    </xf>
    <xf numFmtId="0" fontId="15" fillId="0" borderId="5" xfId="6" applyFont="1" applyBorder="1" applyAlignment="1">
      <alignment horizontal="center"/>
    </xf>
    <xf numFmtId="0" fontId="15" fillId="0" borderId="12" xfId="6" applyFont="1" applyBorder="1" applyAlignment="1">
      <alignment horizontal="center"/>
    </xf>
    <xf numFmtId="0" fontId="6" fillId="0" borderId="12" xfId="6" applyBorder="1" applyAlignment="1">
      <alignment horizontal="center"/>
    </xf>
    <xf numFmtId="0" fontId="6" fillId="0" borderId="4" xfId="6" applyBorder="1" applyAlignment="1">
      <alignment horizontal="center"/>
    </xf>
    <xf numFmtId="0" fontId="15" fillId="0" borderId="0" xfId="6" applyFont="1" applyAlignment="1">
      <alignment vertical="top" wrapText="1"/>
    </xf>
    <xf numFmtId="0" fontId="19" fillId="0" borderId="0" xfId="12" applyFont="1" applyAlignment="1">
      <alignment horizontal="center"/>
    </xf>
    <xf numFmtId="0" fontId="1" fillId="0" borderId="0" xfId="12" applyAlignment="1" applyProtection="1">
      <alignment horizontal="left" wrapText="1"/>
      <protection locked="0"/>
    </xf>
    <xf numFmtId="0" fontId="1" fillId="0" borderId="0" xfId="12" applyAlignment="1" applyProtection="1">
      <alignment horizontal="left"/>
      <protection locked="0"/>
    </xf>
    <xf numFmtId="0" fontId="19" fillId="0" borderId="33" xfId="12" applyFont="1" applyBorder="1" applyAlignment="1">
      <alignment horizontal="center" wrapText="1"/>
    </xf>
    <xf numFmtId="0" fontId="19" fillId="0" borderId="34" xfId="12" applyFont="1" applyBorder="1" applyAlignment="1">
      <alignment horizontal="center" wrapText="1"/>
    </xf>
    <xf numFmtId="0" fontId="19" fillId="0" borderId="35" xfId="12" applyFont="1" applyBorder="1" applyAlignment="1">
      <alignment horizontal="center" wrapText="1"/>
    </xf>
    <xf numFmtId="0" fontId="19" fillId="0" borderId="38" xfId="12" applyFont="1" applyBorder="1" applyAlignment="1">
      <alignment horizontal="center" wrapText="1"/>
    </xf>
    <xf numFmtId="0" fontId="19" fillId="0" borderId="39" xfId="12" applyFont="1" applyBorder="1" applyAlignment="1">
      <alignment horizontal="center" wrapText="1"/>
    </xf>
    <xf numFmtId="0" fontId="19" fillId="0" borderId="40" xfId="12" applyFont="1" applyBorder="1" applyAlignment="1">
      <alignment horizontal="center" wrapText="1"/>
    </xf>
    <xf numFmtId="0" fontId="22" fillId="0" borderId="0" xfId="12" applyFont="1" applyAlignment="1" applyProtection="1">
      <alignment horizontal="left" vertical="top" wrapText="1"/>
      <protection locked="0"/>
    </xf>
    <xf numFmtId="0" fontId="22" fillId="0" borderId="0" xfId="12" applyFont="1" applyAlignment="1" applyProtection="1">
      <alignment horizontal="left" wrapText="1"/>
      <protection locked="0"/>
    </xf>
    <xf numFmtId="4" fontId="2" fillId="13" borderId="19" xfId="6" applyNumberFormat="1" applyFont="1" applyFill="1" applyBorder="1"/>
    <xf numFmtId="43" fontId="29" fillId="0" borderId="34" xfId="18" applyFont="1" applyBorder="1" applyAlignment="1" applyProtection="1">
      <alignment horizontal="left"/>
      <protection locked="0"/>
    </xf>
    <xf numFmtId="0" fontId="27" fillId="0" borderId="0" xfId="6" applyFont="1" applyAlignment="1" applyProtection="1">
      <alignment horizontal="right" vertical="center"/>
      <protection locked="0"/>
    </xf>
    <xf numFmtId="10" fontId="7" fillId="0" borderId="18" xfId="20" applyNumberFormat="1" applyFont="1" applyFill="1" applyBorder="1" applyProtection="1"/>
    <xf numFmtId="10" fontId="7" fillId="0" borderId="53" xfId="20" applyNumberFormat="1" applyFont="1" applyFill="1" applyBorder="1" applyProtection="1"/>
    <xf numFmtId="40" fontId="6" fillId="0" borderId="21" xfId="20" applyNumberFormat="1" applyFont="1" applyFill="1" applyBorder="1" applyAlignment="1">
      <alignment vertical="center"/>
    </xf>
    <xf numFmtId="0" fontId="2" fillId="0" borderId="0" xfId="6" applyFont="1" applyFill="1" applyAlignment="1" applyProtection="1">
      <alignment horizontal="center" vertical="center"/>
      <protection locked="0"/>
    </xf>
    <xf numFmtId="0" fontId="2" fillId="0" borderId="0" xfId="6" applyFont="1" applyFill="1" applyAlignment="1" applyProtection="1">
      <alignment horizontal="left" vertical="center"/>
      <protection locked="0"/>
    </xf>
    <xf numFmtId="4" fontId="2" fillId="0" borderId="16" xfId="3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6" applyFont="1" applyFill="1" applyProtection="1">
      <protection locked="0"/>
    </xf>
    <xf numFmtId="165" fontId="7" fillId="0" borderId="0" xfId="6" applyNumberFormat="1" applyFont="1" applyFill="1" applyAlignment="1" applyProtection="1">
      <alignment horizontal="center"/>
      <protection locked="0"/>
    </xf>
    <xf numFmtId="0" fontId="24" fillId="0" borderId="0" xfId="15" applyFont="1" applyFill="1" applyProtection="1">
      <protection locked="0"/>
    </xf>
    <xf numFmtId="165" fontId="2" fillId="0" borderId="0" xfId="6" applyNumberFormat="1" applyFont="1" applyFill="1" applyAlignment="1" applyProtection="1">
      <alignment horizontal="left" vertical="center"/>
      <protection locked="0"/>
    </xf>
    <xf numFmtId="0" fontId="9" fillId="0" borderId="0" xfId="6" applyFont="1" applyFill="1" applyProtection="1">
      <protection locked="0"/>
    </xf>
    <xf numFmtId="0" fontId="5" fillId="2" borderId="0" xfId="6" applyFont="1" applyFill="1" applyProtection="1">
      <protection locked="0"/>
    </xf>
    <xf numFmtId="4" fontId="5" fillId="3" borderId="16" xfId="3" applyNumberFormat="1" applyFont="1" applyFill="1" applyBorder="1" applyAlignment="1">
      <alignment horizontal="center" vertical="center" wrapText="1"/>
    </xf>
    <xf numFmtId="3" fontId="5" fillId="0" borderId="26" xfId="6" applyNumberFormat="1" applyFont="1" applyBorder="1"/>
    <xf numFmtId="4" fontId="5" fillId="0" borderId="19" xfId="6" applyNumberFormat="1" applyFont="1" applyBorder="1"/>
    <xf numFmtId="4" fontId="5" fillId="0" borderId="19" xfId="1" applyNumberFormat="1" applyFont="1" applyBorder="1" applyAlignment="1">
      <alignment horizontal="right"/>
    </xf>
    <xf numFmtId="4" fontId="5" fillId="0" borderId="19" xfId="1" applyNumberFormat="1" applyFont="1" applyBorder="1" applyAlignment="1">
      <alignment horizontal="right" vertical="center"/>
    </xf>
    <xf numFmtId="4" fontId="5" fillId="2" borderId="21" xfId="1" applyNumberFormat="1" applyFont="1" applyFill="1" applyBorder="1" applyAlignment="1">
      <alignment horizontal="right" vertical="center"/>
    </xf>
    <xf numFmtId="4" fontId="9" fillId="5" borderId="16" xfId="3" applyNumberFormat="1" applyFont="1" applyFill="1" applyBorder="1"/>
    <xf numFmtId="0" fontId="5" fillId="0" borderId="0" xfId="6" applyFont="1" applyProtection="1">
      <protection locked="0"/>
    </xf>
    <xf numFmtId="0" fontId="2" fillId="0" borderId="13" xfId="1" applyFont="1" applyBorder="1" applyAlignment="1">
      <alignment horizontal="right"/>
    </xf>
    <xf numFmtId="0" fontId="5" fillId="2" borderId="13" xfId="0" applyFont="1" applyFill="1" applyBorder="1" applyAlignment="1">
      <alignment horizontal="right"/>
    </xf>
    <xf numFmtId="0" fontId="2" fillId="0" borderId="0" xfId="6" applyFont="1" applyAlignment="1" applyProtection="1">
      <alignment horizontal="center" vertical="center"/>
      <protection locked="0"/>
    </xf>
    <xf numFmtId="0" fontId="2" fillId="2" borderId="0" xfId="6" applyFont="1" applyFill="1" applyAlignment="1" applyProtection="1">
      <alignment horizontal="center" vertical="center" wrapText="1"/>
      <protection locked="0"/>
    </xf>
    <xf numFmtId="165" fontId="7" fillId="2" borderId="0" xfId="6" applyNumberFormat="1" applyFont="1" applyFill="1" applyAlignment="1" applyProtection="1">
      <alignment horizontal="center" vertical="center"/>
      <protection locked="0"/>
    </xf>
    <xf numFmtId="0" fontId="2" fillId="0" borderId="0" xfId="6" applyFont="1" applyAlignment="1">
      <alignment horizontal="center" vertical="center"/>
    </xf>
    <xf numFmtId="0" fontId="2" fillId="2" borderId="0" xfId="6" applyFont="1" applyFill="1" applyAlignment="1" applyProtection="1">
      <alignment vertical="center"/>
      <protection locked="0"/>
    </xf>
    <xf numFmtId="3" fontId="2" fillId="0" borderId="52" xfId="6" applyNumberFormat="1" applyFont="1" applyBorder="1" applyAlignment="1" applyProtection="1">
      <alignment vertical="center"/>
      <protection locked="0"/>
    </xf>
    <xf numFmtId="4" fontId="2" fillId="0" borderId="11" xfId="6" applyNumberFormat="1" applyFont="1" applyBorder="1" applyAlignment="1" applyProtection="1">
      <alignment vertical="center"/>
      <protection locked="0"/>
    </xf>
    <xf numFmtId="4" fontId="2" fillId="14" borderId="11" xfId="6" applyNumberFormat="1" applyFont="1" applyFill="1" applyBorder="1" applyAlignment="1" applyProtection="1">
      <alignment vertical="center"/>
      <protection locked="0"/>
    </xf>
    <xf numFmtId="4" fontId="8" fillId="4" borderId="26" xfId="3" applyNumberFormat="1" applyFont="1" applyFill="1" applyBorder="1" applyAlignment="1">
      <alignment vertical="center"/>
    </xf>
    <xf numFmtId="4" fontId="37" fillId="4" borderId="26" xfId="3" applyNumberFormat="1" applyFont="1" applyFill="1" applyBorder="1" applyAlignment="1">
      <alignment vertical="center"/>
    </xf>
    <xf numFmtId="4" fontId="12" fillId="5" borderId="16" xfId="3" applyNumberFormat="1" applyFont="1" applyFill="1" applyBorder="1" applyAlignment="1">
      <alignment vertical="center"/>
    </xf>
    <xf numFmtId="4" fontId="10" fillId="4" borderId="16" xfId="3" applyNumberFormat="1" applyFont="1" applyFill="1" applyBorder="1" applyAlignment="1">
      <alignment vertical="center"/>
    </xf>
    <xf numFmtId="4" fontId="37" fillId="12" borderId="26" xfId="3" applyNumberFormat="1" applyFont="1" applyFill="1" applyBorder="1" applyAlignment="1">
      <alignment vertical="center"/>
    </xf>
    <xf numFmtId="43" fontId="29" fillId="0" borderId="34" xfId="18" applyFont="1" applyBorder="1" applyAlignment="1" applyProtection="1">
      <alignment horizontal="left" vertical="center"/>
      <protection locked="0"/>
    </xf>
    <xf numFmtId="0" fontId="28" fillId="0" borderId="34" xfId="9" applyFont="1" applyBorder="1" applyAlignment="1" applyProtection="1">
      <alignment horizontal="left" vertical="center"/>
      <protection locked="0"/>
    </xf>
    <xf numFmtId="14" fontId="28" fillId="0" borderId="0" xfId="6" applyNumberFormat="1" applyFont="1" applyAlignment="1" applyProtection="1">
      <alignment horizontal="right" vertical="center"/>
      <protection locked="0"/>
    </xf>
    <xf numFmtId="0" fontId="2" fillId="0" borderId="0" xfId="6" applyFont="1" applyAlignment="1" applyProtection="1">
      <alignment vertical="center"/>
      <protection locked="0"/>
    </xf>
    <xf numFmtId="43" fontId="2" fillId="0" borderId="22" xfId="18" applyFont="1" applyBorder="1" applyAlignment="1" applyProtection="1">
      <alignment horizontal="right" vertical="center"/>
    </xf>
    <xf numFmtId="43" fontId="2" fillId="0" borderId="23" xfId="18" applyFont="1" applyBorder="1" applyAlignment="1" applyProtection="1">
      <alignment horizontal="right" vertical="center"/>
    </xf>
    <xf numFmtId="0" fontId="13" fillId="0" borderId="15" xfId="1" applyFont="1" applyBorder="1" applyAlignment="1">
      <alignment horizontal="left" vertical="center"/>
    </xf>
    <xf numFmtId="43" fontId="2" fillId="0" borderId="20" xfId="18" applyFont="1" applyBorder="1" applyAlignment="1" applyProtection="1">
      <alignment horizontal="right" vertical="center"/>
    </xf>
    <xf numFmtId="0" fontId="10" fillId="2" borderId="0" xfId="6" applyFont="1" applyFill="1" applyAlignment="1" applyProtection="1">
      <alignment vertical="center" wrapText="1"/>
      <protection locked="0"/>
    </xf>
    <xf numFmtId="0" fontId="2" fillId="0" borderId="0" xfId="6" applyFont="1" applyAlignment="1">
      <alignment vertical="center"/>
    </xf>
    <xf numFmtId="10" fontId="36" fillId="4" borderId="21" xfId="20" applyNumberFormat="1" applyFont="1" applyFill="1" applyBorder="1" applyAlignment="1">
      <alignment vertical="center"/>
    </xf>
    <xf numFmtId="4" fontId="8" fillId="4" borderId="8" xfId="3" applyNumberFormat="1" applyFont="1" applyFill="1" applyBorder="1" applyAlignment="1">
      <alignment vertical="center"/>
    </xf>
    <xf numFmtId="40" fontId="36" fillId="12" borderId="21" xfId="20" applyNumberFormat="1" applyFont="1" applyFill="1" applyBorder="1" applyAlignment="1">
      <alignment vertical="center"/>
    </xf>
    <xf numFmtId="0" fontId="8" fillId="4" borderId="8" xfId="3" applyFont="1" applyFill="1" applyBorder="1" applyAlignment="1">
      <alignment horizontal="left" vertical="center"/>
    </xf>
    <xf numFmtId="0" fontId="8" fillId="4" borderId="6" xfId="3" applyFont="1" applyFill="1" applyBorder="1" applyAlignment="1">
      <alignment horizontal="left" vertical="center"/>
    </xf>
    <xf numFmtId="4" fontId="8" fillId="4" borderId="16" xfId="3" applyNumberFormat="1" applyFont="1" applyFill="1" applyBorder="1" applyAlignment="1">
      <alignment horizontal="right" vertical="center"/>
    </xf>
    <xf numFmtId="4" fontId="8" fillId="4" borderId="8" xfId="3" applyNumberFormat="1" applyFont="1" applyFill="1" applyBorder="1" applyAlignment="1">
      <alignment horizontal="right" vertical="center"/>
    </xf>
    <xf numFmtId="0" fontId="2" fillId="2" borderId="16" xfId="15" applyFont="1" applyFill="1" applyBorder="1" applyAlignment="1">
      <alignment horizontal="center" vertical="center" wrapText="1"/>
    </xf>
  </cellXfs>
  <cellStyles count="21">
    <cellStyle name="Milliers" xfId="18" builtinId="3"/>
    <cellStyle name="Milliers 12" xfId="2" xr:uid="{00000000-0005-0000-0000-000001000000}"/>
    <cellStyle name="Milliers 2" xfId="8" xr:uid="{00000000-0005-0000-0000-000002000000}"/>
    <cellStyle name="Milliers 2 2" xfId="17" xr:uid="{00000000-0005-0000-0000-000003000000}"/>
    <cellStyle name="Monétaire" xfId="19" builtinId="4"/>
    <cellStyle name="Normal" xfId="0" builtinId="0"/>
    <cellStyle name="Normal 1" xfId="6" xr:uid="{00000000-0005-0000-0000-000006000000}"/>
    <cellStyle name="Normal 2 2" xfId="4" xr:uid="{00000000-0005-0000-0000-000007000000}"/>
    <cellStyle name="Normal 2 2 2" xfId="15" xr:uid="{00000000-0005-0000-0000-000008000000}"/>
    <cellStyle name="Normal 3" xfId="10" xr:uid="{00000000-0005-0000-0000-000009000000}"/>
    <cellStyle name="Normal 8" xfId="12" xr:uid="{00000000-0005-0000-0000-00000A000000}"/>
    <cellStyle name="Normal 8 2" xfId="13" xr:uid="{00000000-0005-0000-0000-00000B000000}"/>
    <cellStyle name="Normal_~4201056" xfId="3" xr:uid="{00000000-0005-0000-0000-00000C000000}"/>
    <cellStyle name="Normal_Feuil1 (2)" xfId="1" xr:uid="{00000000-0005-0000-0000-00000D000000}"/>
    <cellStyle name="Normal_Feuil1 (2) 2" xfId="5" xr:uid="{00000000-0005-0000-0000-00000E000000}"/>
    <cellStyle name="Normal_Fiche opération 2001" xfId="9" xr:uid="{00000000-0005-0000-0000-00000F000000}"/>
    <cellStyle name="Normal_Fiche opération Promoteurs _ V8" xfId="11" xr:uid="{00000000-0005-0000-0000-000010000000}"/>
    <cellStyle name="Pourcentage" xfId="20" builtinId="5"/>
    <cellStyle name="Pourcentage 2" xfId="7" xr:uid="{00000000-0005-0000-0000-000012000000}"/>
    <cellStyle name="Pourcentage 2 2" xfId="16" xr:uid="{00000000-0005-0000-0000-000013000000}"/>
    <cellStyle name="Pourcentage 7" xfId="14" xr:uid="{00000000-0005-0000-0000-000014000000}"/>
  </cellStyles>
  <dxfs count="1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  <colors>
    <mruColors>
      <color rgb="FFFFCCFF"/>
      <color rgb="FFFF00FF"/>
      <color rgb="FFFFFFCC"/>
      <color rgb="FFECF1E3"/>
      <color rgb="FF333399"/>
      <color rgb="FFCDDBB3"/>
      <color rgb="FFCCFFCC"/>
      <color rgb="FFDFE8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8-VEFA%20HORUS%20BZ%20273/3.%20BUDGET/Budget%20VEFA%20HORU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Matrice%20type%20VEFA%20Prog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-%20DOP/42%20-%20P&#244;le%20Construction%20Immobili&#232;re/P&#244;le%20Immobilier/PRLC/Programmation%202021/0229-VEFA%20LA%20ROSERAIE%20(EK%20319)/3.%20Budget/Budgt%20VEFA%20LA%20ROSERAIE%20V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première page"/>
      <sheetName val="Données d'entrée"/>
      <sheetName val="GUIDE DEAL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Prgr. 2021"/>
      <sheetName val="Bdgt"/>
      <sheetName val="FFD PLS"/>
      <sheetName val="DPR PLS"/>
      <sheetName val="Base éligible PLS"/>
      <sheetName val="SF previsio PLS"/>
      <sheetName val="Synthèse PLS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NH VEFA"/>
      <sheetName val="EDD"/>
      <sheetName val="FICHE CLOTURE"/>
      <sheetName val="BILAN LLTS"/>
      <sheetName val="BILAN LLS"/>
      <sheetName val="BILAN PLS"/>
      <sheetName val="Calcul CIDOM"/>
      <sheetName val="3,2-3,3"/>
    </sheetNames>
    <sheetDataSet>
      <sheetData sheetId="0">
        <row r="4">
          <cell r="A4" t="str">
            <v>Horus</v>
          </cell>
        </row>
        <row r="5">
          <cell r="A5" t="str">
            <v>Le Tampon</v>
          </cell>
        </row>
        <row r="23">
          <cell r="B23" t="str">
            <v>52, Rue du Général de Gaulle - 97 430 Le Tampon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  <cell r="D3"/>
        </row>
        <row r="4">
          <cell r="A4" t="str">
            <v>T I Bis a + V</v>
          </cell>
          <cell r="B4">
            <v>370</v>
          </cell>
          <cell r="C4">
            <v>370</v>
          </cell>
          <cell r="D4"/>
        </row>
        <row r="5">
          <cell r="A5" t="str">
            <v>T II + T</v>
          </cell>
          <cell r="B5">
            <v>414</v>
          </cell>
          <cell r="C5">
            <v>370</v>
          </cell>
          <cell r="D5"/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/>
      <sheetData sheetId="3">
        <row r="8">
          <cell r="D8">
            <v>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0</v>
          </cell>
          <cell r="E26">
            <v>0</v>
          </cell>
          <cell r="F26">
            <v>12551419.815494549</v>
          </cell>
        </row>
        <row r="28">
          <cell r="D28">
            <v>0</v>
          </cell>
          <cell r="E28">
            <v>0</v>
          </cell>
          <cell r="F28">
            <v>6486.2000000000007</v>
          </cell>
        </row>
      </sheetData>
      <sheetData sheetId="4"/>
      <sheetData sheetId="5"/>
      <sheetData sheetId="6">
        <row r="65">
          <cell r="D65">
            <v>78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0</v>
          </cell>
          <cell r="AL3">
            <v>0</v>
          </cell>
          <cell r="AN3">
            <v>12</v>
          </cell>
        </row>
        <row r="4">
          <cell r="AJ4">
            <v>0</v>
          </cell>
          <cell r="AL4">
            <v>0</v>
          </cell>
          <cell r="AN4">
            <v>52</v>
          </cell>
        </row>
        <row r="5">
          <cell r="AJ5">
            <v>0</v>
          </cell>
          <cell r="AL5">
            <v>0</v>
          </cell>
          <cell r="AN5">
            <v>14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16">
          <cell r="V16">
            <v>0</v>
          </cell>
          <cell r="X16">
            <v>0</v>
          </cell>
          <cell r="AC16">
            <v>0</v>
          </cell>
        </row>
        <row r="24">
          <cell r="V24">
            <v>0</v>
          </cell>
          <cell r="X24">
            <v>0</v>
          </cell>
          <cell r="AC24">
            <v>0</v>
          </cell>
        </row>
        <row r="36">
          <cell r="V36">
            <v>78</v>
          </cell>
          <cell r="X36">
            <v>5519.0999999999995</v>
          </cell>
          <cell r="Z36">
            <v>5523.6999999999989</v>
          </cell>
          <cell r="AC36">
            <v>6486.2000000000007</v>
          </cell>
        </row>
        <row r="61">
          <cell r="Y61">
            <v>0</v>
          </cell>
          <cell r="Z61">
            <v>0</v>
          </cell>
          <cell r="AA61">
            <v>0</v>
          </cell>
        </row>
        <row r="62">
          <cell r="Y62">
            <v>0</v>
          </cell>
          <cell r="Z62">
            <v>0</v>
          </cell>
          <cell r="AA62">
            <v>0</v>
          </cell>
          <cell r="AC62">
            <v>0</v>
          </cell>
        </row>
        <row r="63">
          <cell r="AC63">
            <v>0</v>
          </cell>
        </row>
        <row r="67">
          <cell r="B67">
            <v>2009</v>
          </cell>
          <cell r="Y67">
            <v>0</v>
          </cell>
          <cell r="Z67">
            <v>0</v>
          </cell>
          <cell r="AA67">
            <v>6828342.9876612686</v>
          </cell>
        </row>
        <row r="68">
          <cell r="D68">
            <v>44470</v>
          </cell>
          <cell r="Y68">
            <v>0</v>
          </cell>
          <cell r="Z68">
            <v>0</v>
          </cell>
          <cell r="AA68">
            <v>5392542.0240750359</v>
          </cell>
        </row>
        <row r="73">
          <cell r="Y73">
            <v>0</v>
          </cell>
          <cell r="Z73">
            <v>0</v>
          </cell>
          <cell r="AA73">
            <v>0</v>
          </cell>
        </row>
        <row r="74">
          <cell r="Y74">
            <v>0</v>
          </cell>
          <cell r="Z74">
            <v>0</v>
          </cell>
          <cell r="AA74">
            <v>4553076.82783328</v>
          </cell>
          <cell r="AC74">
            <v>4553076.82783328</v>
          </cell>
        </row>
        <row r="82">
          <cell r="A82" t="str">
            <v>LLS</v>
          </cell>
        </row>
        <row r="88">
          <cell r="F88">
            <v>0</v>
          </cell>
        </row>
        <row r="89">
          <cell r="F89">
            <v>0</v>
          </cell>
        </row>
        <row r="90">
          <cell r="A90" t="str">
            <v>LLTS</v>
          </cell>
        </row>
        <row r="91">
          <cell r="B91">
            <v>0</v>
          </cell>
          <cell r="AF91">
            <v>370</v>
          </cell>
        </row>
        <row r="92">
          <cell r="B92">
            <v>0</v>
          </cell>
          <cell r="AF92">
            <v>370</v>
          </cell>
        </row>
        <row r="93">
          <cell r="B93">
            <v>0</v>
          </cell>
          <cell r="AF93">
            <v>600</v>
          </cell>
        </row>
        <row r="94">
          <cell r="B94">
            <v>0</v>
          </cell>
          <cell r="AF94">
            <v>650</v>
          </cell>
        </row>
        <row r="95">
          <cell r="B95">
            <v>0</v>
          </cell>
          <cell r="AF95">
            <v>750</v>
          </cell>
        </row>
        <row r="96">
          <cell r="F96">
            <v>0</v>
          </cell>
        </row>
        <row r="97">
          <cell r="F97">
            <v>0</v>
          </cell>
        </row>
        <row r="98">
          <cell r="A98" t="str">
            <v>PLS</v>
          </cell>
          <cell r="F98">
            <v>10.82</v>
          </cell>
        </row>
        <row r="108">
          <cell r="F108">
            <v>10.17471850081712</v>
          </cell>
        </row>
        <row r="109">
          <cell r="F109">
            <v>8.0684781293302006</v>
          </cell>
        </row>
      </sheetData>
      <sheetData sheetId="17">
        <row r="1">
          <cell r="G1" t="str">
            <v>0</v>
          </cell>
        </row>
        <row r="160">
          <cell r="R160">
            <v>0</v>
          </cell>
          <cell r="V160">
            <v>0</v>
          </cell>
          <cell r="Z160">
            <v>1435800.9635862324</v>
          </cell>
        </row>
      </sheetData>
      <sheetData sheetId="18">
        <row r="75">
          <cell r="B75">
            <v>10759269.773854911</v>
          </cell>
        </row>
      </sheetData>
      <sheetData sheetId="19">
        <row r="69">
          <cell r="E69">
            <v>12294223.913314935</v>
          </cell>
        </row>
      </sheetData>
      <sheetData sheetId="20"/>
      <sheetData sheetId="21">
        <row r="12">
          <cell r="N12">
            <v>1041223.0392260746</v>
          </cell>
        </row>
        <row r="20">
          <cell r="E20">
            <v>78</v>
          </cell>
        </row>
      </sheetData>
      <sheetData sheetId="22"/>
      <sheetData sheetId="23"/>
      <sheetData sheetId="24">
        <row r="17">
          <cell r="E17">
            <v>0</v>
          </cell>
        </row>
        <row r="69">
          <cell r="E69">
            <v>0</v>
          </cell>
        </row>
      </sheetData>
      <sheetData sheetId="25">
        <row r="38">
          <cell r="B38">
            <v>0</v>
          </cell>
        </row>
      </sheetData>
      <sheetData sheetId="26"/>
      <sheetData sheetId="27"/>
      <sheetData sheetId="28">
        <row r="17">
          <cell r="E17">
            <v>0</v>
          </cell>
        </row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  <cell r="P14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DPR LLS"/>
      <sheetName val="FFD LLS"/>
      <sheetName val="Base éligible LLS"/>
      <sheetName val="FFD LLTS"/>
      <sheetName val="DPR LLTS"/>
      <sheetName val="Base éligible LLTS"/>
      <sheetName val="SF previsio LLS-LLTS"/>
      <sheetName val="Synthèse LLS-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  <sheetName val="Clé de répartition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  <cell r="D5">
            <v>540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7392135.1497299988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/>
      <sheetData sheetId="4"/>
      <sheetData sheetId="5"/>
      <sheetData sheetId="6">
        <row r="65">
          <cell r="D65">
            <v>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G1" t="str">
            <v>0</v>
          </cell>
        </row>
        <row r="160">
          <cell r="R160">
            <v>523463.17154684075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1317.72</v>
          </cell>
          <cell r="Y65">
            <v>3400741.2026083162</v>
          </cell>
          <cell r="Z65">
            <v>0</v>
          </cell>
          <cell r="AA65">
            <v>0</v>
          </cell>
        </row>
        <row r="66">
          <cell r="D66">
            <v>44788</v>
          </cell>
          <cell r="Y66">
            <v>2877278.0310614756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2191393.9471216821</v>
          </cell>
          <cell r="Z72">
            <v>0</v>
          </cell>
          <cell r="AA72">
            <v>0</v>
          </cell>
          <cell r="AC72">
            <v>2191393.9471216821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/>
      <sheetData sheetId="19">
        <row r="69">
          <cell r="E69">
            <v>7240586.826376101</v>
          </cell>
        </row>
      </sheetData>
      <sheetData sheetId="20"/>
      <sheetData sheetId="21"/>
      <sheetData sheetId="22"/>
      <sheetData sheetId="23">
        <row r="69">
          <cell r="E69">
            <v>0</v>
          </cell>
        </row>
      </sheetData>
      <sheetData sheetId="24"/>
      <sheetData sheetId="25">
        <row r="12">
          <cell r="N12">
            <v>444135</v>
          </cell>
        </row>
        <row r="13">
          <cell r="N13">
            <v>7392135.1497299988</v>
          </cell>
        </row>
        <row r="14">
          <cell r="N14">
            <v>2191393.9471216821</v>
          </cell>
          <cell r="P14">
            <v>1200000</v>
          </cell>
        </row>
        <row r="20">
          <cell r="E20">
            <v>40</v>
          </cell>
        </row>
      </sheetData>
      <sheetData sheetId="26"/>
      <sheetData sheetId="27"/>
      <sheetData sheetId="28">
        <row r="69">
          <cell r="E69">
            <v>0</v>
          </cell>
        </row>
      </sheetData>
      <sheetData sheetId="29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TE DE PRESENTATION"/>
      <sheetName val="Paramètres Loyers"/>
      <sheetName val="Données d'entrée"/>
      <sheetName val="GUIDE DEAL"/>
      <sheetName val="première page"/>
      <sheetName val="Planning appels de fonds"/>
      <sheetName val="1"/>
      <sheetName val="2"/>
      <sheetName val="3"/>
      <sheetName val="5"/>
      <sheetName val="6"/>
      <sheetName val="7"/>
      <sheetName val="9"/>
      <sheetName val="Calculs détaillés"/>
      <sheetName val="Notice explicative"/>
      <sheetName val="Test de compensation"/>
      <sheetName val="Bdgt"/>
      <sheetName val="Prgr. 2021"/>
      <sheetName val="Base éligible globale"/>
      <sheetName val="SF previsio LLS-LLTS"/>
      <sheetName val="Synthèse LLS-LLTS"/>
      <sheetName val="DPR LLS"/>
      <sheetName val="FFD LLS"/>
      <sheetName val="Base éligible LLS"/>
      <sheetName val="FFD LLTS"/>
      <sheetName val="DPR LLTS"/>
      <sheetName val="Base éligible LLTS"/>
      <sheetName val="FFD PLS"/>
      <sheetName val="DPR PLS"/>
      <sheetName val="Base éligible PLS"/>
      <sheetName val="SF previsio PLS"/>
      <sheetName val="Synthèse PLS"/>
      <sheetName val="NH VEFA"/>
      <sheetName val="EDD"/>
      <sheetName val="FICHE CLOTURE"/>
      <sheetName val="BILAN LLTS"/>
      <sheetName val="BILAN LLS"/>
      <sheetName val="BILAN PLS"/>
      <sheetName val="Calcul CIDOM"/>
      <sheetName val="Estim MOE"/>
    </sheetNames>
    <sheetDataSet>
      <sheetData sheetId="0">
        <row r="4">
          <cell r="A4" t="str">
            <v>VEFA LA ROSERAIE</v>
          </cell>
        </row>
        <row r="5">
          <cell r="A5" t="str">
            <v>Le Tampon</v>
          </cell>
        </row>
        <row r="23">
          <cell r="B23" t="str">
            <v>Rue de la Roseraie</v>
          </cell>
        </row>
      </sheetData>
      <sheetData sheetId="1">
        <row r="3">
          <cell r="A3" t="str">
            <v>T I Bis a + T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 T</v>
          </cell>
          <cell r="B5">
            <v>414</v>
          </cell>
          <cell r="C5">
            <v>370</v>
          </cell>
        </row>
        <row r="6">
          <cell r="A6" t="str">
            <v>T III +V a</v>
          </cell>
          <cell r="B6">
            <v>620</v>
          </cell>
          <cell r="C6">
            <v>600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650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750</v>
          </cell>
          <cell r="D8">
            <v>930</v>
          </cell>
        </row>
      </sheetData>
      <sheetData sheetId="2">
        <row r="8">
          <cell r="D8">
            <v>40</v>
          </cell>
          <cell r="E8">
            <v>0</v>
          </cell>
        </row>
        <row r="20">
          <cell r="E20" t="str">
            <v>7, rue Jean Couturier  97430 LE TAMPON</v>
          </cell>
        </row>
        <row r="22">
          <cell r="D22" t="str">
            <v>François CORNUZ</v>
          </cell>
        </row>
        <row r="26">
          <cell r="D26">
            <v>7513904.5000000019</v>
          </cell>
          <cell r="E26">
            <v>0</v>
          </cell>
          <cell r="F26">
            <v>0</v>
          </cell>
        </row>
        <row r="28">
          <cell r="D28">
            <v>3267.4911111111105</v>
          </cell>
          <cell r="E28">
            <v>0</v>
          </cell>
          <cell r="F28">
            <v>0</v>
          </cell>
        </row>
      </sheetData>
      <sheetData sheetId="3" refreshError="1"/>
      <sheetData sheetId="4" refreshError="1"/>
      <sheetData sheetId="5" refreshError="1"/>
      <sheetData sheetId="6">
        <row r="65">
          <cell r="D65">
            <v>40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>
        <row r="1">
          <cell r="G1" t="str">
            <v>0</v>
          </cell>
        </row>
        <row r="160">
          <cell r="R160">
            <v>821500.90000000014</v>
          </cell>
          <cell r="V160">
            <v>0</v>
          </cell>
          <cell r="Z160">
            <v>0</v>
          </cell>
        </row>
      </sheetData>
      <sheetData sheetId="17">
        <row r="2">
          <cell r="AJ2">
            <v>0</v>
          </cell>
          <cell r="AL2">
            <v>0</v>
          </cell>
          <cell r="AN2">
            <v>0</v>
          </cell>
        </row>
        <row r="3">
          <cell r="AJ3">
            <v>5</v>
          </cell>
          <cell r="AL3">
            <v>0</v>
          </cell>
          <cell r="AN3">
            <v>0</v>
          </cell>
        </row>
        <row r="4">
          <cell r="AJ4">
            <v>10</v>
          </cell>
          <cell r="AL4">
            <v>0</v>
          </cell>
          <cell r="AN4">
            <v>0</v>
          </cell>
        </row>
        <row r="5">
          <cell r="AJ5">
            <v>25</v>
          </cell>
          <cell r="AL5">
            <v>0</v>
          </cell>
          <cell r="AN5">
            <v>0</v>
          </cell>
        </row>
        <row r="6">
          <cell r="AJ6">
            <v>0</v>
          </cell>
          <cell r="AL6">
            <v>0</v>
          </cell>
          <cell r="AN6">
            <v>0</v>
          </cell>
        </row>
        <row r="20">
          <cell r="V20">
            <v>40</v>
          </cell>
          <cell r="X20">
            <v>2898.2999999999997</v>
          </cell>
          <cell r="AC20">
            <v>3267.4911111111105</v>
          </cell>
        </row>
        <row r="28">
          <cell r="V28">
            <v>0</v>
          </cell>
          <cell r="X28">
            <v>0</v>
          </cell>
          <cell r="AC28">
            <v>0</v>
          </cell>
        </row>
        <row r="34">
          <cell r="V34">
            <v>0</v>
          </cell>
          <cell r="X34">
            <v>0</v>
          </cell>
          <cell r="Z34">
            <v>0</v>
          </cell>
          <cell r="AC34">
            <v>0</v>
          </cell>
        </row>
        <row r="59">
          <cell r="Y59">
            <v>1200000</v>
          </cell>
          <cell r="Z59">
            <v>0</v>
          </cell>
          <cell r="AA59">
            <v>0</v>
          </cell>
        </row>
        <row r="60">
          <cell r="Y60">
            <v>1200000</v>
          </cell>
          <cell r="Z60">
            <v>0</v>
          </cell>
          <cell r="AA60">
            <v>0</v>
          </cell>
          <cell r="AC60">
            <v>1200000</v>
          </cell>
        </row>
        <row r="61">
          <cell r="AC61">
            <v>0</v>
          </cell>
        </row>
        <row r="65">
          <cell r="B65">
            <v>34</v>
          </cell>
          <cell r="Y65">
            <v>3156410.6102974857</v>
          </cell>
          <cell r="Z65">
            <v>0</v>
          </cell>
          <cell r="AA65">
            <v>0</v>
          </cell>
        </row>
        <row r="66">
          <cell r="D66">
            <v>44562</v>
          </cell>
          <cell r="Y66">
            <v>2686003.6000000006</v>
          </cell>
          <cell r="Z66">
            <v>0</v>
          </cell>
          <cell r="AA66">
            <v>0</v>
          </cell>
        </row>
        <row r="71">
          <cell r="Y71">
            <v>0</v>
          </cell>
          <cell r="Z71">
            <v>0</v>
          </cell>
          <cell r="AA71">
            <v>0</v>
          </cell>
        </row>
        <row r="72">
          <cell r="Y72">
            <v>2206400.0000000009</v>
          </cell>
          <cell r="Z72">
            <v>0</v>
          </cell>
          <cell r="AA72">
            <v>0</v>
          </cell>
          <cell r="AC72">
            <v>2206400.0000000009</v>
          </cell>
        </row>
        <row r="80">
          <cell r="A80" t="str">
            <v>LLS</v>
          </cell>
        </row>
        <row r="90">
          <cell r="F90">
            <v>6.8225736597770226</v>
          </cell>
        </row>
        <row r="91">
          <cell r="F91">
            <v>5.7991876108104679</v>
          </cell>
        </row>
        <row r="92">
          <cell r="A92" t="str">
            <v>LLTS</v>
          </cell>
        </row>
        <row r="93">
          <cell r="B93">
            <v>0</v>
          </cell>
          <cell r="AF93">
            <v>370</v>
          </cell>
        </row>
        <row r="94">
          <cell r="B94">
            <v>0</v>
          </cell>
          <cell r="AF94">
            <v>370</v>
          </cell>
        </row>
        <row r="95">
          <cell r="B95">
            <v>0</v>
          </cell>
          <cell r="AF95">
            <v>600</v>
          </cell>
        </row>
        <row r="96">
          <cell r="B96">
            <v>0</v>
          </cell>
          <cell r="AF96">
            <v>650</v>
          </cell>
        </row>
        <row r="97">
          <cell r="B97">
            <v>0</v>
          </cell>
          <cell r="AF97">
            <v>750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A100" t="str">
            <v>PLS</v>
          </cell>
          <cell r="F100">
            <v>10.82</v>
          </cell>
        </row>
        <row r="104">
          <cell r="F104">
            <v>0</v>
          </cell>
        </row>
        <row r="105">
          <cell r="F105">
            <v>0</v>
          </cell>
        </row>
      </sheetData>
      <sheetData sheetId="18" refreshError="1"/>
      <sheetData sheetId="19">
        <row r="12">
          <cell r="N12">
            <v>482422.5</v>
          </cell>
        </row>
        <row r="13">
          <cell r="N13">
            <v>7513904.5000000019</v>
          </cell>
        </row>
        <row r="14">
          <cell r="N14">
            <v>2206400.0000000009</v>
          </cell>
          <cell r="P14">
            <v>1200000</v>
          </cell>
        </row>
        <row r="20">
          <cell r="E20">
            <v>40</v>
          </cell>
        </row>
      </sheetData>
      <sheetData sheetId="20" refreshError="1"/>
      <sheetData sheetId="21">
        <row r="69">
          <cell r="E69">
            <v>7093841.3614103822</v>
          </cell>
        </row>
      </sheetData>
      <sheetData sheetId="22" refreshError="1"/>
      <sheetData sheetId="23" refreshError="1"/>
      <sheetData sheetId="24" refreshError="1"/>
      <sheetData sheetId="25">
        <row r="69">
          <cell r="E69">
            <v>0</v>
          </cell>
        </row>
      </sheetData>
      <sheetData sheetId="26" refreshError="1"/>
      <sheetData sheetId="27" refreshError="1"/>
      <sheetData sheetId="28">
        <row r="69">
          <cell r="E69">
            <v>0</v>
          </cell>
        </row>
      </sheetData>
      <sheetData sheetId="29" refreshError="1"/>
      <sheetData sheetId="30">
        <row r="12">
          <cell r="N12">
            <v>0</v>
          </cell>
        </row>
        <row r="20">
          <cell r="E20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CFFCC"/>
    <pageSetUpPr fitToPage="1"/>
  </sheetPr>
  <dimension ref="A5:Z98"/>
  <sheetViews>
    <sheetView tabSelected="1" view="pageBreakPreview" topLeftCell="D1" zoomScale="85" zoomScaleNormal="55" zoomScaleSheetLayoutView="85" workbookViewId="0">
      <pane xSplit="3" ySplit="11" topLeftCell="G12" activePane="bottomRight" state="frozen"/>
      <selection activeCell="D1" sqref="D1"/>
      <selection pane="topRight" activeCell="G1" sqref="G1"/>
      <selection pane="bottomLeft" activeCell="D12" sqref="D12"/>
      <selection pane="bottomRight" activeCell="H14" sqref="H14"/>
    </sheetView>
  </sheetViews>
  <sheetFormatPr baseColWidth="10" defaultColWidth="11.44140625" defaultRowHeight="15" outlineLevelCol="1" x14ac:dyDescent="0.25"/>
  <cols>
    <col min="1" max="1" width="3.44140625" style="115" customWidth="1"/>
    <col min="2" max="2" width="24" style="113" customWidth="1"/>
    <col min="3" max="3" width="41.44140625" style="115" customWidth="1"/>
    <col min="4" max="4" width="71" style="115" bestFit="1" customWidth="1"/>
    <col min="5" max="5" width="18.5546875" style="115" hidden="1" customWidth="1" outlineLevel="1"/>
    <col min="6" max="6" width="7.109375" style="115" hidden="1" customWidth="1" outlineLevel="1"/>
    <col min="7" max="7" width="21.6640625" style="115" customWidth="1" outlineLevel="1"/>
    <col min="8" max="8" width="8.44140625" style="115" bestFit="1" customWidth="1" outlineLevel="1"/>
    <col min="9" max="9" width="21.33203125" style="115" customWidth="1" outlineLevel="1"/>
    <col min="10" max="10" width="10.109375" style="115" customWidth="1" outlineLevel="1"/>
    <col min="11" max="11" width="18.44140625" style="371" customWidth="1"/>
    <col min="12" max="12" width="8.6640625" style="115" bestFit="1" customWidth="1"/>
    <col min="13" max="13" width="22" style="390" customWidth="1"/>
    <col min="14" max="14" width="7.109375" style="115" customWidth="1"/>
    <col min="15" max="15" width="16.88671875" style="300" customWidth="1"/>
    <col min="16" max="16" width="18.44140625" style="116" customWidth="1"/>
    <col min="17" max="17" width="2.44140625" style="120" customWidth="1"/>
    <col min="18" max="18" width="8.6640625" style="122" customWidth="1"/>
    <col min="19" max="19" width="24.33203125" style="355" customWidth="1"/>
    <col min="20" max="20" width="2.44140625" style="120" customWidth="1"/>
    <col min="21" max="21" width="41.44140625" style="115" customWidth="1"/>
    <col min="22" max="23" width="20.109375" style="115" bestFit="1" customWidth="1"/>
    <col min="24" max="25" width="20.109375" style="115" customWidth="1"/>
    <col min="26" max="16384" width="11.44140625" style="64"/>
  </cols>
  <sheetData>
    <row r="5" spans="2:25" ht="15.6" thickBot="1" x14ac:dyDescent="0.3">
      <c r="C5" s="120"/>
      <c r="D5" s="120"/>
      <c r="E5" s="120"/>
      <c r="F5" s="120"/>
      <c r="G5" s="120"/>
      <c r="H5" s="120"/>
      <c r="I5" s="120"/>
      <c r="J5" s="120"/>
      <c r="K5" s="363"/>
      <c r="L5" s="120"/>
      <c r="M5" s="378"/>
      <c r="N5" s="120"/>
      <c r="O5" s="291"/>
      <c r="P5" s="121"/>
    </row>
    <row r="6" spans="2:25" ht="15.6" thickBot="1" x14ac:dyDescent="0.3">
      <c r="C6" s="307" t="s">
        <v>151</v>
      </c>
      <c r="D6" s="144"/>
      <c r="E6" s="114" t="s">
        <v>132</v>
      </c>
      <c r="F6" s="223" t="s">
        <v>114</v>
      </c>
      <c r="G6" s="114" t="s">
        <v>133</v>
      </c>
      <c r="H6" s="222" t="s">
        <v>168</v>
      </c>
      <c r="I6" s="114" t="s">
        <v>134</v>
      </c>
      <c r="J6" s="222" t="s">
        <v>168</v>
      </c>
      <c r="K6" s="364" t="s">
        <v>165</v>
      </c>
      <c r="L6" s="222" t="s">
        <v>168</v>
      </c>
      <c r="M6" s="114" t="s">
        <v>81</v>
      </c>
      <c r="N6" s="290" t="s">
        <v>168</v>
      </c>
      <c r="O6" s="292"/>
      <c r="P6" s="147" t="s">
        <v>166</v>
      </c>
      <c r="R6" s="283" t="s">
        <v>168</v>
      </c>
      <c r="S6" s="356"/>
      <c r="U6" s="64"/>
      <c r="V6" s="64"/>
      <c r="W6" s="64"/>
      <c r="X6" s="64"/>
      <c r="Y6" s="64"/>
    </row>
    <row r="7" spans="2:25" x14ac:dyDescent="0.25">
      <c r="C7" s="308"/>
      <c r="D7" s="373" t="s">
        <v>137</v>
      </c>
      <c r="E7" s="224"/>
      <c r="F7" s="145">
        <f>+E7/K7</f>
        <v>0</v>
      </c>
      <c r="G7" s="224">
        <v>28</v>
      </c>
      <c r="H7" s="279">
        <f>G7/P7</f>
        <v>0.51851851851851849</v>
      </c>
      <c r="I7" s="224">
        <v>25</v>
      </c>
      <c r="J7" s="278">
        <f>I7/P7</f>
        <v>0.46296296296296297</v>
      </c>
      <c r="K7" s="365">
        <f>+E7+G7+I7</f>
        <v>53</v>
      </c>
      <c r="L7" s="280">
        <f>K7/P7</f>
        <v>0.98148148148148151</v>
      </c>
      <c r="M7" s="379">
        <v>1</v>
      </c>
      <c r="N7" s="280">
        <f t="shared" ref="N7:N11" si="0">M7/P7</f>
        <v>1.8518518518518517E-2</v>
      </c>
      <c r="O7" s="292"/>
      <c r="P7" s="148">
        <f>K7+M7</f>
        <v>54</v>
      </c>
      <c r="R7" s="282">
        <f>H7+J7+N7</f>
        <v>0.99999999999999989</v>
      </c>
      <c r="S7" s="356"/>
      <c r="U7" s="64"/>
      <c r="V7" s="64"/>
      <c r="W7" s="64"/>
      <c r="X7" s="64"/>
      <c r="Y7" s="64"/>
    </row>
    <row r="8" spans="2:25" x14ac:dyDescent="0.25">
      <c r="C8" s="308"/>
      <c r="D8" s="373" t="s">
        <v>171</v>
      </c>
      <c r="E8" s="225"/>
      <c r="F8" s="146">
        <f>+E8/K8</f>
        <v>0</v>
      </c>
      <c r="G8" s="149">
        <v>1505.7</v>
      </c>
      <c r="H8" s="279">
        <f>G8/P8</f>
        <v>0.47218389362769692</v>
      </c>
      <c r="I8" s="149">
        <v>1596.1</v>
      </c>
      <c r="J8" s="278">
        <f>I8/P8</f>
        <v>0.50053311590566973</v>
      </c>
      <c r="K8" s="366">
        <f>+E8+G8+I8</f>
        <v>3101.8</v>
      </c>
      <c r="L8" s="281">
        <f>K8/P8</f>
        <v>0.97271700953336682</v>
      </c>
      <c r="M8" s="380">
        <v>87</v>
      </c>
      <c r="N8" s="281">
        <f t="shared" si="0"/>
        <v>2.7282990466633215E-2</v>
      </c>
      <c r="O8" s="292"/>
      <c r="P8" s="149">
        <f>K8+M8</f>
        <v>3188.8</v>
      </c>
      <c r="R8" s="282">
        <f t="shared" ref="R8:R11" si="1">H8+J8+N8</f>
        <v>0.99999999999999978</v>
      </c>
      <c r="S8" s="356"/>
      <c r="U8" s="64"/>
      <c r="V8" s="64"/>
      <c r="W8" s="64"/>
      <c r="X8" s="64"/>
      <c r="Y8" s="64"/>
    </row>
    <row r="9" spans="2:25" x14ac:dyDescent="0.25">
      <c r="C9" s="308"/>
      <c r="D9" s="373" t="s">
        <v>85</v>
      </c>
      <c r="E9" s="225"/>
      <c r="F9" s="146">
        <f>+E9/K9</f>
        <v>0</v>
      </c>
      <c r="G9" s="149">
        <v>1400.84</v>
      </c>
      <c r="H9" s="279">
        <f>G9/P9</f>
        <v>0.41073365820476282</v>
      </c>
      <c r="I9" s="349">
        <f>1636.98*0+1922.74</f>
        <v>1922.74</v>
      </c>
      <c r="J9" s="278">
        <f>I9/P9</f>
        <v>0.56375748406429405</v>
      </c>
      <c r="K9" s="366">
        <f>+E9+G9+I9</f>
        <v>3323.58</v>
      </c>
      <c r="L9" s="281">
        <f>K9/P9</f>
        <v>0.97449114226905686</v>
      </c>
      <c r="M9" s="380">
        <v>87</v>
      </c>
      <c r="N9" s="281">
        <f t="shared" si="0"/>
        <v>2.5508857730943125E-2</v>
      </c>
      <c r="O9" s="292"/>
      <c r="P9" s="149">
        <f>K9+M9</f>
        <v>3410.58</v>
      </c>
      <c r="R9" s="282">
        <f t="shared" si="1"/>
        <v>1</v>
      </c>
      <c r="S9" s="356"/>
      <c r="U9" s="64"/>
      <c r="V9" s="64"/>
      <c r="W9" s="64"/>
      <c r="X9" s="64"/>
      <c r="Y9" s="64"/>
    </row>
    <row r="10" spans="2:25" x14ac:dyDescent="0.25">
      <c r="C10" s="308"/>
      <c r="D10" s="373" t="s">
        <v>172</v>
      </c>
      <c r="E10" s="225"/>
      <c r="F10" s="146"/>
      <c r="G10" s="149">
        <f>G9</f>
        <v>1400.84</v>
      </c>
      <c r="H10" s="279">
        <f>G10/K10</f>
        <v>0.42148526588798824</v>
      </c>
      <c r="I10" s="349">
        <f>I9</f>
        <v>1922.74</v>
      </c>
      <c r="J10" s="278">
        <f>I10/K10</f>
        <v>0.57851473411201171</v>
      </c>
      <c r="K10" s="366">
        <f>+E10+G10+I10</f>
        <v>3323.58</v>
      </c>
      <c r="L10" s="281">
        <f>K10/P10</f>
        <v>1</v>
      </c>
      <c r="M10" s="381"/>
      <c r="N10" s="352"/>
      <c r="O10" s="292"/>
      <c r="P10" s="149">
        <f>K10+N10</f>
        <v>3323.58</v>
      </c>
      <c r="R10" s="282">
        <f t="shared" si="1"/>
        <v>1</v>
      </c>
      <c r="S10" s="356"/>
      <c r="U10" s="64"/>
      <c r="V10" s="64"/>
      <c r="W10" s="64"/>
      <c r="X10" s="64"/>
      <c r="Y10" s="64"/>
    </row>
    <row r="11" spans="2:25" ht="15.6" thickBot="1" x14ac:dyDescent="0.3">
      <c r="C11" s="308"/>
      <c r="D11" s="373" t="s">
        <v>169</v>
      </c>
      <c r="E11" s="225"/>
      <c r="F11" s="146">
        <f>+E11/K11</f>
        <v>0</v>
      </c>
      <c r="G11" s="149">
        <v>1682.4299999999998</v>
      </c>
      <c r="H11" s="279">
        <f>G11/P11</f>
        <v>0.41830161236185526</v>
      </c>
      <c r="I11" s="149">
        <v>2227.62</v>
      </c>
      <c r="J11" s="278">
        <f>I11/P11</f>
        <v>0.55385189144839075</v>
      </c>
      <c r="K11" s="366">
        <f>+E11+G11+I11</f>
        <v>3910.0499999999997</v>
      </c>
      <c r="L11" s="281">
        <f>K11/P11</f>
        <v>0.97215350381024601</v>
      </c>
      <c r="M11" s="380">
        <v>112</v>
      </c>
      <c r="N11" s="353">
        <f t="shared" si="0"/>
        <v>2.7846496189753982E-2</v>
      </c>
      <c r="O11" s="292"/>
      <c r="P11" s="149">
        <f>K11+M11</f>
        <v>4022.0499999999997</v>
      </c>
      <c r="R11" s="282">
        <f t="shared" si="1"/>
        <v>1</v>
      </c>
      <c r="S11" s="356"/>
      <c r="U11" s="64"/>
      <c r="V11" s="64"/>
      <c r="W11" s="64"/>
      <c r="X11" s="64"/>
      <c r="Y11" s="64"/>
    </row>
    <row r="12" spans="2:25" ht="47.4" customHeight="1" thickBot="1" x14ac:dyDescent="0.35">
      <c r="B12" s="150" t="s">
        <v>57</v>
      </c>
      <c r="C12" s="151" t="s">
        <v>56</v>
      </c>
      <c r="D12" s="152"/>
      <c r="E12" s="152"/>
      <c r="F12" s="152"/>
      <c r="G12" s="152"/>
      <c r="H12" s="256"/>
      <c r="I12" s="152"/>
      <c r="J12" s="152"/>
      <c r="K12" s="152"/>
      <c r="L12" s="152"/>
      <c r="M12" s="152"/>
      <c r="N12" s="152"/>
      <c r="O12" s="293" t="s">
        <v>170</v>
      </c>
      <c r="P12" s="241"/>
      <c r="Q12" s="123"/>
      <c r="R12" s="124"/>
      <c r="S12" s="357" t="s">
        <v>167</v>
      </c>
      <c r="T12" s="123"/>
      <c r="U12" s="64"/>
      <c r="V12" s="64"/>
      <c r="W12" s="169"/>
      <c r="X12" s="169"/>
      <c r="Y12" s="169"/>
    </row>
    <row r="13" spans="2:25" ht="15.6" x14ac:dyDescent="0.3">
      <c r="B13" s="304" t="s">
        <v>55</v>
      </c>
      <c r="C13" s="47" t="s">
        <v>54</v>
      </c>
      <c r="D13" s="46"/>
      <c r="E13" s="45">
        <f>SUM(E14:E15)</f>
        <v>0</v>
      </c>
      <c r="F13" s="259">
        <f t="shared" ref="F13:F44" si="2">E13/$P13</f>
        <v>0</v>
      </c>
      <c r="G13" s="248">
        <f>SUM(G14:G15)</f>
        <v>418112.41261957434</v>
      </c>
      <c r="H13" s="259"/>
      <c r="I13" s="45">
        <f>SUM(I14:I15)</f>
        <v>554099.53005822352</v>
      </c>
      <c r="J13" s="259"/>
      <c r="K13" s="45">
        <f>SUM(K14:K15)</f>
        <v>972211.94267779787</v>
      </c>
      <c r="L13" s="259"/>
      <c r="M13" s="382">
        <f>SUM(M14:M15)</f>
        <v>27788.055171845997</v>
      </c>
      <c r="N13" s="259"/>
      <c r="O13" s="294"/>
      <c r="P13" s="45">
        <f>SUM(P14:P15)</f>
        <v>999999.99784964381</v>
      </c>
      <c r="Q13" s="125"/>
      <c r="R13" s="126">
        <f>K13*100/P13</f>
        <v>97.221194476839983</v>
      </c>
      <c r="S13" s="358"/>
      <c r="T13" s="125"/>
      <c r="U13" s="170" t="s">
        <v>135</v>
      </c>
      <c r="V13" s="171" t="s">
        <v>82</v>
      </c>
      <c r="W13" s="169"/>
      <c r="X13" s="169"/>
      <c r="Y13" s="172"/>
    </row>
    <row r="14" spans="2:25" x14ac:dyDescent="0.25">
      <c r="B14" s="305"/>
      <c r="C14" s="26"/>
      <c r="D14" s="24" t="s">
        <v>53</v>
      </c>
      <c r="E14" s="153"/>
      <c r="F14" s="247">
        <f t="shared" si="2"/>
        <v>0</v>
      </c>
      <c r="G14" s="159">
        <f>O14*H11</f>
        <v>407844.07176926057</v>
      </c>
      <c r="H14" s="247" t="e">
        <f>VLOOKUP(S14,$D$7:$D$11,5,0)</f>
        <v>#REF!</v>
      </c>
      <c r="I14" s="159">
        <f>O14*J11</f>
        <v>540005.59378674906</v>
      </c>
      <c r="J14" s="247">
        <f t="shared" ref="J14:J44" si="3">I14/$P14</f>
        <v>0.55385189144839075</v>
      </c>
      <c r="K14" s="367">
        <f>+E14+G14+I14</f>
        <v>947849.66555600963</v>
      </c>
      <c r="L14" s="247">
        <f t="shared" ref="L14:L44" si="4">K14/$P14</f>
        <v>0.97215350381024601</v>
      </c>
      <c r="M14" s="159">
        <f>O14*N11</f>
        <v>27150.333766134212</v>
      </c>
      <c r="N14" s="247">
        <f>M14/$P14</f>
        <v>2.7846496189753982E-2</v>
      </c>
      <c r="O14" s="354">
        <v>974999.99932214385</v>
      </c>
      <c r="P14" s="234">
        <f>K14+M14</f>
        <v>974999.99932214385</v>
      </c>
      <c r="R14" s="277"/>
      <c r="S14" s="356" t="s">
        <v>169</v>
      </c>
      <c r="U14" s="173" t="s">
        <v>83</v>
      </c>
      <c r="V14" s="174">
        <f>M7</f>
        <v>1</v>
      </c>
      <c r="W14" s="175"/>
      <c r="X14" s="175"/>
      <c r="Y14" s="176"/>
    </row>
    <row r="15" spans="2:25" ht="16.2" thickBot="1" x14ac:dyDescent="0.35">
      <c r="B15" s="306"/>
      <c r="C15" s="41"/>
      <c r="D15" s="31" t="s">
        <v>84</v>
      </c>
      <c r="E15" s="153"/>
      <c r="F15" s="247">
        <f t="shared" si="2"/>
        <v>0</v>
      </c>
      <c r="G15" s="249">
        <f>O15/($G$9+$I$9+$M$9)*$G$9</f>
        <v>10268.34085031376</v>
      </c>
      <c r="H15" s="247">
        <f t="shared" ref="H14:H44" si="5">G15/$P15</f>
        <v>0.41073365820476282</v>
      </c>
      <c r="I15" s="154">
        <f>O15/($G$9+$I$9+$M$9)*$I$9</f>
        <v>14093.936271474458</v>
      </c>
      <c r="J15" s="247">
        <f t="shared" si="3"/>
        <v>0.56375748406429405</v>
      </c>
      <c r="K15" s="367">
        <f>+E15+G15+I15</f>
        <v>24362.277121788218</v>
      </c>
      <c r="L15" s="247">
        <f t="shared" si="4"/>
        <v>0.97449114226905686</v>
      </c>
      <c r="M15" s="159">
        <f>O15/($G$9+$I$9+$M$9)*$M$9</f>
        <v>637.72140571178522</v>
      </c>
      <c r="N15" s="247">
        <f t="shared" ref="N15:N62" si="6">M15/$P15</f>
        <v>2.5508857730943125E-2</v>
      </c>
      <c r="O15" s="354">
        <v>24999.998527500004</v>
      </c>
      <c r="P15" s="234">
        <f>K15+M15</f>
        <v>24999.998527500004</v>
      </c>
      <c r="R15" s="277"/>
      <c r="S15" s="356" t="s">
        <v>85</v>
      </c>
      <c r="U15" s="177" t="s">
        <v>85</v>
      </c>
      <c r="V15" s="178">
        <f>M9</f>
        <v>87</v>
      </c>
      <c r="W15" s="169"/>
      <c r="X15" s="179"/>
      <c r="Y15" s="180"/>
    </row>
    <row r="16" spans="2:25" ht="15.6" thickBot="1" x14ac:dyDescent="0.3">
      <c r="B16" s="304" t="s">
        <v>51</v>
      </c>
      <c r="C16" s="6" t="s">
        <v>50</v>
      </c>
      <c r="D16" s="8"/>
      <c r="E16" s="7">
        <f>SUM(E17)</f>
        <v>0</v>
      </c>
      <c r="F16" s="258">
        <f t="shared" si="2"/>
        <v>0</v>
      </c>
      <c r="G16" s="250">
        <f>SUM(G17)</f>
        <v>4810.4697647105422</v>
      </c>
      <c r="H16" s="258"/>
      <c r="I16" s="7">
        <f>SUM(I17)</f>
        <v>6369.2983703717236</v>
      </c>
      <c r="J16" s="258"/>
      <c r="K16" s="7">
        <f>SUM(K17)</f>
        <v>11179.768135082266</v>
      </c>
      <c r="L16" s="258">
        <f t="shared" si="4"/>
        <v>0.97215350381024601</v>
      </c>
      <c r="M16" s="17">
        <f>SUM(M17)</f>
        <v>320.23478756773284</v>
      </c>
      <c r="N16" s="258">
        <f t="shared" si="6"/>
        <v>2.7846496189753982E-2</v>
      </c>
      <c r="O16" s="295"/>
      <c r="P16" s="7">
        <f>SUM(P17)</f>
        <v>11500.002922649999</v>
      </c>
      <c r="R16" s="126">
        <f>K16*100/P16</f>
        <v>97.215350381024592</v>
      </c>
      <c r="S16" s="356"/>
      <c r="U16" s="181" t="s">
        <v>86</v>
      </c>
      <c r="V16" s="182">
        <f>M65/M9</f>
        <v>2246.6234163340778</v>
      </c>
      <c r="W16" s="183"/>
      <c r="X16" s="184"/>
      <c r="Y16" s="176"/>
    </row>
    <row r="17" spans="2:26" ht="15.6" thickBot="1" x14ac:dyDescent="0.3">
      <c r="B17" s="306"/>
      <c r="C17" s="44"/>
      <c r="D17" s="31" t="s">
        <v>49</v>
      </c>
      <c r="E17" s="153"/>
      <c r="F17" s="247">
        <f t="shared" si="2"/>
        <v>0</v>
      </c>
      <c r="G17" s="249">
        <f>O17*H11</f>
        <v>4810.4697647105422</v>
      </c>
      <c r="H17" s="247">
        <f t="shared" si="5"/>
        <v>0.41830161236185526</v>
      </c>
      <c r="I17" s="154">
        <f>O17*J11</f>
        <v>6369.2983703717236</v>
      </c>
      <c r="J17" s="247">
        <f t="shared" si="3"/>
        <v>0.55385189144839075</v>
      </c>
      <c r="K17" s="367">
        <f>+E17+G17+I17</f>
        <v>11179.768135082266</v>
      </c>
      <c r="L17" s="247">
        <f t="shared" si="4"/>
        <v>0.97215350381024601</v>
      </c>
      <c r="M17" s="159">
        <f>O17*N11</f>
        <v>320.23478756773284</v>
      </c>
      <c r="N17" s="247">
        <f t="shared" si="6"/>
        <v>2.7846496189753982E-2</v>
      </c>
      <c r="O17" s="354">
        <v>11500.002922649999</v>
      </c>
      <c r="P17" s="234">
        <f>K17+M17</f>
        <v>11500.002922649999</v>
      </c>
      <c r="R17" s="277"/>
      <c r="S17" s="356" t="s">
        <v>169</v>
      </c>
      <c r="U17" s="185" t="s">
        <v>138</v>
      </c>
      <c r="V17" s="182">
        <f>M65/M11</f>
        <v>1745.1449751880784</v>
      </c>
      <c r="W17" s="240"/>
      <c r="X17" s="175"/>
      <c r="Y17" s="187"/>
    </row>
    <row r="18" spans="2:26" ht="15.75" customHeight="1" thickBot="1" x14ac:dyDescent="0.3">
      <c r="B18" s="304" t="s">
        <v>48</v>
      </c>
      <c r="C18" s="6" t="s">
        <v>47</v>
      </c>
      <c r="D18" s="8"/>
      <c r="E18" s="212">
        <f>SUM(E19:E22)</f>
        <v>0</v>
      </c>
      <c r="F18" s="258">
        <f t="shared" si="2"/>
        <v>0</v>
      </c>
      <c r="G18" s="250">
        <f>SUM(G19:G22)</f>
        <v>257314.93466486313</v>
      </c>
      <c r="H18" s="258"/>
      <c r="I18" s="7">
        <f>SUM(I19:I22)</f>
        <v>334359.09619920596</v>
      </c>
      <c r="J18" s="258"/>
      <c r="K18" s="7">
        <f>SUM(K19:K22)</f>
        <v>591674.03086406901</v>
      </c>
      <c r="L18" s="258"/>
      <c r="M18" s="17">
        <f>SUM(M19:M22)</f>
        <v>16675.967744115871</v>
      </c>
      <c r="N18" s="258"/>
      <c r="O18" s="295"/>
      <c r="P18" s="7">
        <f>SUM(P19:P22)</f>
        <v>608349.99860818498</v>
      </c>
      <c r="Q18" s="125"/>
      <c r="R18" s="126">
        <f>K18*100/P18</f>
        <v>97.258820122911459</v>
      </c>
      <c r="S18" s="356"/>
      <c r="T18" s="125"/>
      <c r="U18" s="173" t="s">
        <v>88</v>
      </c>
      <c r="V18" s="182">
        <f>M63</f>
        <v>180143.99743876938</v>
      </c>
      <c r="W18" s="186"/>
      <c r="X18" s="175"/>
      <c r="Y18" s="187"/>
    </row>
    <row r="19" spans="2:26" ht="15.75" customHeight="1" thickBot="1" x14ac:dyDescent="0.3">
      <c r="B19" s="305"/>
      <c r="C19" s="42"/>
      <c r="D19" s="24" t="s">
        <v>157</v>
      </c>
      <c r="E19" s="153"/>
      <c r="F19" s="247">
        <f t="shared" si="2"/>
        <v>0</v>
      </c>
      <c r="G19" s="249">
        <f>H11*O19</f>
        <v>242614.93426550794</v>
      </c>
      <c r="H19" s="286">
        <f t="shared" si="5"/>
        <v>0.41830161236185526</v>
      </c>
      <c r="I19" s="154">
        <f>J11*O19</f>
        <v>321234.09584263881</v>
      </c>
      <c r="J19" s="286">
        <f t="shared" si="3"/>
        <v>0.55385189144839075</v>
      </c>
      <c r="K19" s="367">
        <f>+E19+G19+I19</f>
        <v>563849.03010814672</v>
      </c>
      <c r="L19" s="247">
        <f t="shared" si="4"/>
        <v>0.9721535038102459</v>
      </c>
      <c r="M19" s="159">
        <f>O19*N11</f>
        <v>16150.967729853182</v>
      </c>
      <c r="N19" s="286">
        <f t="shared" si="6"/>
        <v>2.7846496189753982E-2</v>
      </c>
      <c r="O19" s="354">
        <v>579999.99783799995</v>
      </c>
      <c r="P19" s="234">
        <f>K19+M19</f>
        <v>579999.99783799995</v>
      </c>
      <c r="R19" s="126"/>
      <c r="S19" s="356" t="s">
        <v>169</v>
      </c>
      <c r="U19" s="188" t="s">
        <v>87</v>
      </c>
      <c r="V19" s="189">
        <f>M65</f>
        <v>195456.23722106477</v>
      </c>
      <c r="W19" s="190"/>
      <c r="X19" s="184"/>
      <c r="Y19" s="191"/>
    </row>
    <row r="20" spans="2:26" ht="15.75" customHeight="1" thickBot="1" x14ac:dyDescent="0.3">
      <c r="B20" s="305"/>
      <c r="C20" s="25"/>
      <c r="D20" s="33" t="s">
        <v>45</v>
      </c>
      <c r="E20" s="153"/>
      <c r="F20" s="247">
        <f t="shared" si="2"/>
        <v>0</v>
      </c>
      <c r="G20" s="249">
        <f>O20*H7</f>
        <v>8037.0361488407398</v>
      </c>
      <c r="H20" s="247">
        <f t="shared" si="5"/>
        <v>0.5185185185185186</v>
      </c>
      <c r="I20" s="154">
        <f>J7*O20</f>
        <v>7175.9251328935179</v>
      </c>
      <c r="J20" s="247">
        <f t="shared" si="3"/>
        <v>0.46296296296296302</v>
      </c>
      <c r="K20" s="367">
        <f>+E20+G20+I20</f>
        <v>15212.961281734257</v>
      </c>
      <c r="L20" s="247">
        <f t="shared" si="4"/>
        <v>0.98148148148148151</v>
      </c>
      <c r="M20" s="159">
        <f>O20*N7</f>
        <v>287.03700531574071</v>
      </c>
      <c r="N20" s="247">
        <f t="shared" si="6"/>
        <v>1.8518518518518521E-2</v>
      </c>
      <c r="O20" s="354">
        <v>15499.998287049999</v>
      </c>
      <c r="P20" s="234">
        <f>K20+M20</f>
        <v>15499.998287049997</v>
      </c>
      <c r="Q20" s="121"/>
      <c r="R20" s="126"/>
      <c r="S20" s="356" t="s">
        <v>137</v>
      </c>
      <c r="T20" s="121"/>
      <c r="U20" s="192"/>
      <c r="V20" s="192"/>
      <c r="W20" s="192"/>
      <c r="X20" s="184"/>
      <c r="Y20" s="193"/>
    </row>
    <row r="21" spans="2:26" ht="15.75" customHeight="1" thickBot="1" x14ac:dyDescent="0.3">
      <c r="B21" s="305"/>
      <c r="C21" s="25"/>
      <c r="D21" s="31" t="s">
        <v>44</v>
      </c>
      <c r="E21" s="153"/>
      <c r="F21" s="247">
        <f t="shared" si="2"/>
        <v>0</v>
      </c>
      <c r="G21" s="249">
        <f>H7*O21</f>
        <v>3733.3321178844444</v>
      </c>
      <c r="H21" s="247">
        <f t="shared" si="5"/>
        <v>0.5185185185185186</v>
      </c>
      <c r="I21" s="154">
        <f>O21*J7</f>
        <v>3333.3322481111113</v>
      </c>
      <c r="J21" s="247">
        <f t="shared" si="3"/>
        <v>0.46296296296296302</v>
      </c>
      <c r="K21" s="367">
        <f>+E21+G21+I21</f>
        <v>7066.6643659955553</v>
      </c>
      <c r="L21" s="247">
        <f t="shared" si="4"/>
        <v>0.98148148148148151</v>
      </c>
      <c r="M21" s="159">
        <f>O21*N7</f>
        <v>133.33328992444444</v>
      </c>
      <c r="N21" s="247">
        <f t="shared" si="6"/>
        <v>1.8518518518518521E-2</v>
      </c>
      <c r="O21" s="354">
        <v>7199.9976559200004</v>
      </c>
      <c r="P21" s="234">
        <f>K21+M21</f>
        <v>7199.9976559199995</v>
      </c>
      <c r="R21" s="126"/>
      <c r="S21" s="356" t="s">
        <v>137</v>
      </c>
      <c r="U21" s="64"/>
      <c r="V21" s="315" t="s">
        <v>139</v>
      </c>
      <c r="W21" s="316"/>
      <c r="X21" s="316"/>
      <c r="Y21" s="302" t="s">
        <v>89</v>
      </c>
    </row>
    <row r="22" spans="2:26" ht="15.6" thickBot="1" x14ac:dyDescent="0.3">
      <c r="B22" s="306"/>
      <c r="C22" s="41"/>
      <c r="D22" s="33" t="s">
        <v>43</v>
      </c>
      <c r="E22" s="153"/>
      <c r="F22" s="247">
        <f t="shared" si="2"/>
        <v>0</v>
      </c>
      <c r="G22" s="249">
        <f>O22*H7</f>
        <v>2929.6321326299999</v>
      </c>
      <c r="H22" s="247">
        <f t="shared" si="5"/>
        <v>0.51851851851851849</v>
      </c>
      <c r="I22" s="154">
        <f>O22*J7</f>
        <v>2615.7429755624999</v>
      </c>
      <c r="J22" s="247">
        <f t="shared" si="3"/>
        <v>0.46296296296296297</v>
      </c>
      <c r="K22" s="367">
        <f>+E22+G22+I22</f>
        <v>5545.3751081925002</v>
      </c>
      <c r="L22" s="247">
        <f t="shared" si="4"/>
        <v>0.98148148148148151</v>
      </c>
      <c r="M22" s="159">
        <f>O22*N7</f>
        <v>104.62971902249998</v>
      </c>
      <c r="N22" s="247">
        <f t="shared" si="6"/>
        <v>1.8518518518518517E-2</v>
      </c>
      <c r="O22" s="354">
        <v>5650.0048272149998</v>
      </c>
      <c r="P22" s="234">
        <f>K22+M22</f>
        <v>5650.0048272149998</v>
      </c>
      <c r="R22" s="126"/>
      <c r="S22" s="356" t="s">
        <v>137</v>
      </c>
      <c r="U22" s="194" t="s">
        <v>135</v>
      </c>
      <c r="V22" s="195" t="str">
        <f>+E6</f>
        <v>LLS</v>
      </c>
      <c r="W22" s="195" t="str">
        <f>+G6</f>
        <v>LLTS</v>
      </c>
      <c r="X22" s="196" t="str">
        <f>+I6</f>
        <v>PLS</v>
      </c>
      <c r="Y22" s="303"/>
    </row>
    <row r="23" spans="2:26" ht="21.15" customHeight="1" thickBot="1" x14ac:dyDescent="0.3">
      <c r="B23" s="155"/>
      <c r="C23" s="322" t="s">
        <v>42</v>
      </c>
      <c r="D23" s="323"/>
      <c r="E23" s="213">
        <f>SUM(E24:E36)-E37-E38-E39</f>
        <v>0</v>
      </c>
      <c r="F23" s="258">
        <f t="shared" si="2"/>
        <v>0</v>
      </c>
      <c r="G23" s="251">
        <f>SUM(G24:G36)-G37-G38-G39</f>
        <v>1838562.6028387863</v>
      </c>
      <c r="H23" s="258"/>
      <c r="I23" s="213">
        <f>SUM(I24:I36)-I37-I38-I39</f>
        <v>2461911.4039485431</v>
      </c>
      <c r="J23" s="258"/>
      <c r="K23" s="213">
        <f>SUM(K24:K36)-K37-K38-K39</f>
        <v>4300474.006787329</v>
      </c>
      <c r="L23" s="258"/>
      <c r="M23" s="17">
        <f>SUM(M24:M36)-M37-M38-M39</f>
        <v>93025.995319920214</v>
      </c>
      <c r="N23" s="258"/>
      <c r="O23" s="295"/>
      <c r="P23" s="7">
        <f>SUM(P24:P36)-P37-P38-P39</f>
        <v>4393500.0021072496</v>
      </c>
      <c r="Q23" s="127"/>
      <c r="R23" s="126">
        <f>K23*100/P23</f>
        <v>97.882644923744095</v>
      </c>
      <c r="S23" s="356"/>
      <c r="T23" s="127"/>
      <c r="U23" s="197" t="s">
        <v>90</v>
      </c>
      <c r="V23" s="198">
        <f>+E7</f>
        <v>0</v>
      </c>
      <c r="W23" s="198">
        <f>+G7</f>
        <v>28</v>
      </c>
      <c r="X23" s="198">
        <f>+I7</f>
        <v>25</v>
      </c>
      <c r="Y23" s="174">
        <f>V23+X23+W23</f>
        <v>53</v>
      </c>
    </row>
    <row r="24" spans="2:26" ht="15" customHeight="1" x14ac:dyDescent="0.25">
      <c r="B24" s="305" t="s">
        <v>41</v>
      </c>
      <c r="C24" s="42"/>
      <c r="D24" s="156" t="s">
        <v>40</v>
      </c>
      <c r="E24" s="153"/>
      <c r="F24" s="247">
        <f t="shared" si="2"/>
        <v>0</v>
      </c>
      <c r="G24" s="249">
        <f>O24*H11</f>
        <v>1154512.4507194015</v>
      </c>
      <c r="H24" s="286">
        <f>G24/$P24</f>
        <v>0.41830161236185526</v>
      </c>
      <c r="I24" s="154">
        <f>O24*J11</f>
        <v>1528631.2211928896</v>
      </c>
      <c r="J24" s="286">
        <f t="shared" si="3"/>
        <v>0.55385189144839075</v>
      </c>
      <c r="K24" s="367">
        <f t="shared" ref="K24:K38" si="7">+E24+G24+I24</f>
        <v>2683143.6719122911</v>
      </c>
      <c r="L24" s="247">
        <f t="shared" si="4"/>
        <v>0.97215350381024601</v>
      </c>
      <c r="M24" s="159">
        <f>O24*N11</f>
        <v>76856.329523708555</v>
      </c>
      <c r="N24" s="286">
        <f t="shared" si="6"/>
        <v>2.7846496189753982E-2</v>
      </c>
      <c r="O24" s="354">
        <v>2760000.0014359998</v>
      </c>
      <c r="P24" s="235">
        <f t="shared" ref="P24:P38" si="8">K24+M24</f>
        <v>2760000.0014359998</v>
      </c>
      <c r="Q24" s="128"/>
      <c r="R24" s="126"/>
      <c r="S24" s="356" t="s">
        <v>169</v>
      </c>
      <c r="T24" s="128"/>
      <c r="U24" s="199" t="s">
        <v>91</v>
      </c>
      <c r="V24" s="200">
        <f>+E9</f>
        <v>0</v>
      </c>
      <c r="W24" s="200">
        <f>+G9</f>
        <v>1400.84</v>
      </c>
      <c r="X24" s="200">
        <f>+I9</f>
        <v>1922.74</v>
      </c>
      <c r="Y24" s="178">
        <f>V24+X24+W24</f>
        <v>3323.58</v>
      </c>
    </row>
    <row r="25" spans="2:26" x14ac:dyDescent="0.25">
      <c r="B25" s="305"/>
      <c r="C25" s="25"/>
      <c r="D25" s="156" t="s">
        <v>154</v>
      </c>
      <c r="E25" s="153"/>
      <c r="F25" s="247">
        <f t="shared" si="2"/>
        <v>0</v>
      </c>
      <c r="G25" s="249">
        <f>O25*H11</f>
        <v>83660.322472371045</v>
      </c>
      <c r="H25" s="286">
        <f t="shared" si="5"/>
        <v>0.41830161236185526</v>
      </c>
      <c r="I25" s="154">
        <f>O25*J11</f>
        <v>110770.37828967815</v>
      </c>
      <c r="J25" s="286">
        <f t="shared" si="3"/>
        <v>0.55385189144839087</v>
      </c>
      <c r="K25" s="367">
        <f t="shared" si="7"/>
        <v>194430.70076204918</v>
      </c>
      <c r="L25" s="247">
        <f t="shared" si="4"/>
        <v>0.97215350381024601</v>
      </c>
      <c r="M25" s="159">
        <f>O25*N11</f>
        <v>5569.2992379507959</v>
      </c>
      <c r="N25" s="286">
        <f t="shared" si="6"/>
        <v>2.7846496189753985E-2</v>
      </c>
      <c r="O25" s="354">
        <v>200000</v>
      </c>
      <c r="P25" s="235">
        <f t="shared" si="8"/>
        <v>199999.99999999997</v>
      </c>
      <c r="R25" s="126"/>
      <c r="S25" s="356" t="s">
        <v>169</v>
      </c>
      <c r="U25" s="201" t="s">
        <v>140</v>
      </c>
      <c r="V25" s="202">
        <f>IF($E$9=0,0,$E$65/$E$9)</f>
        <v>0</v>
      </c>
      <c r="W25" s="239">
        <f>IF($G$9=0,0,$G$65/$G$9)</f>
        <v>2523.5574298278179</v>
      </c>
      <c r="X25" s="239">
        <f>IF(I9=0,0,$I$65/$I$9)</f>
        <v>2620.1861073260034</v>
      </c>
      <c r="Y25" s="203">
        <f>V25+W25+X25</f>
        <v>5143.7435371538213</v>
      </c>
    </row>
    <row r="26" spans="2:26" ht="15.75" customHeight="1" x14ac:dyDescent="0.25">
      <c r="B26" s="305"/>
      <c r="C26" s="25"/>
      <c r="D26" s="156" t="s">
        <v>39</v>
      </c>
      <c r="E26" s="153"/>
      <c r="F26" s="247">
        <f t="shared" si="2"/>
        <v>0</v>
      </c>
      <c r="G26" s="249">
        <f>O26*H10</f>
        <v>67437.642542078102</v>
      </c>
      <c r="H26" s="286">
        <f t="shared" si="5"/>
        <v>0.42148526588798829</v>
      </c>
      <c r="I26" s="154">
        <f>O26*J10</f>
        <v>92562.357457921855</v>
      </c>
      <c r="J26" s="286">
        <f t="shared" si="3"/>
        <v>0.57851473411201182</v>
      </c>
      <c r="K26" s="367">
        <f t="shared" si="7"/>
        <v>159999.99999999994</v>
      </c>
      <c r="L26" s="247">
        <f t="shared" si="4"/>
        <v>1</v>
      </c>
      <c r="M26" s="159">
        <v>0</v>
      </c>
      <c r="N26" s="286">
        <f t="shared" si="6"/>
        <v>0</v>
      </c>
      <c r="O26" s="354">
        <v>159999.99999999997</v>
      </c>
      <c r="P26" s="235">
        <f t="shared" si="8"/>
        <v>159999.99999999994</v>
      </c>
      <c r="R26" s="126"/>
      <c r="S26" s="356" t="s">
        <v>172</v>
      </c>
      <c r="U26" s="197" t="s">
        <v>141</v>
      </c>
      <c r="V26" s="202">
        <f>IF($E$11=0,0,$E$65/$E$11)</f>
        <v>0</v>
      </c>
      <c r="W26" s="237">
        <f>IF($G$11=0,0,$G$65/$G$11)</f>
        <v>2101.1870865355472</v>
      </c>
      <c r="X26" s="237">
        <f>IF($I$11=0,0,$I$65/$I$11)</f>
        <v>2261.5781129636116</v>
      </c>
      <c r="Y26" s="203">
        <f>V26+W26+X26</f>
        <v>4362.7651994991593</v>
      </c>
    </row>
    <row r="27" spans="2:26" x14ac:dyDescent="0.25">
      <c r="B27" s="305"/>
      <c r="C27" s="25"/>
      <c r="D27" s="156" t="s">
        <v>155</v>
      </c>
      <c r="E27" s="153"/>
      <c r="F27" s="247">
        <f t="shared" si="2"/>
        <v>0</v>
      </c>
      <c r="G27" s="249">
        <f>H10*O27</f>
        <v>96309.383255405322</v>
      </c>
      <c r="H27" s="286">
        <f t="shared" si="5"/>
        <v>0.42148526588798824</v>
      </c>
      <c r="I27" s="154">
        <f>J10*O27</f>
        <v>132190.61674459471</v>
      </c>
      <c r="J27" s="286">
        <f t="shared" si="3"/>
        <v>0.57851473411201182</v>
      </c>
      <c r="K27" s="367">
        <f t="shared" si="7"/>
        <v>228500.00000000003</v>
      </c>
      <c r="L27" s="247">
        <f t="shared" si="4"/>
        <v>1</v>
      </c>
      <c r="M27" s="159">
        <v>0</v>
      </c>
      <c r="N27" s="286">
        <f t="shared" si="6"/>
        <v>0</v>
      </c>
      <c r="O27" s="354">
        <v>228500.00000000003</v>
      </c>
      <c r="P27" s="235">
        <f t="shared" si="8"/>
        <v>228500.00000000003</v>
      </c>
      <c r="R27" s="126"/>
      <c r="S27" s="356" t="s">
        <v>172</v>
      </c>
      <c r="U27" s="197" t="s">
        <v>88</v>
      </c>
      <c r="V27" s="202">
        <f>E63</f>
        <v>0</v>
      </c>
      <c r="W27" s="202">
        <f>G63</f>
        <v>3462390.0000000005</v>
      </c>
      <c r="X27" s="202">
        <f>I63</f>
        <v>4934316</v>
      </c>
      <c r="Y27" s="203">
        <f t="shared" ref="Y27:Y28" si="9">V27+W27+X27</f>
        <v>8396706</v>
      </c>
    </row>
    <row r="28" spans="2:26" x14ac:dyDescent="0.25">
      <c r="B28" s="305"/>
      <c r="C28" s="25"/>
      <c r="D28" s="156" t="s">
        <v>72</v>
      </c>
      <c r="E28" s="153"/>
      <c r="F28" s="247">
        <f t="shared" si="2"/>
        <v>0</v>
      </c>
      <c r="G28" s="249">
        <f>H10*O28</f>
        <v>111061.36756148491</v>
      </c>
      <c r="H28" s="286">
        <f t="shared" si="5"/>
        <v>0.42148526588798824</v>
      </c>
      <c r="I28" s="154">
        <f>O28*J10</f>
        <v>152438.63243851508</v>
      </c>
      <c r="J28" s="286">
        <f t="shared" si="3"/>
        <v>0.57851473411201171</v>
      </c>
      <c r="K28" s="367">
        <f t="shared" si="7"/>
        <v>263500</v>
      </c>
      <c r="L28" s="247">
        <f t="shared" si="4"/>
        <v>1</v>
      </c>
      <c r="M28" s="159">
        <v>0</v>
      </c>
      <c r="N28" s="286">
        <f t="shared" si="6"/>
        <v>0</v>
      </c>
      <c r="O28" s="354">
        <v>263500</v>
      </c>
      <c r="P28" s="235">
        <f t="shared" si="8"/>
        <v>263500</v>
      </c>
      <c r="R28" s="126"/>
      <c r="S28" s="356" t="s">
        <v>172</v>
      </c>
      <c r="U28" s="218" t="s">
        <v>87</v>
      </c>
      <c r="V28" s="219">
        <f>E65</f>
        <v>0</v>
      </c>
      <c r="W28" s="219">
        <f>G65</f>
        <v>3535100.1900000004</v>
      </c>
      <c r="X28" s="219">
        <f>I65</f>
        <v>5037936.6359999999</v>
      </c>
      <c r="Y28" s="220">
        <f t="shared" si="9"/>
        <v>8573036.8260000013</v>
      </c>
    </row>
    <row r="29" spans="2:26" ht="15.6" thickBot="1" x14ac:dyDescent="0.3">
      <c r="B29" s="305"/>
      <c r="C29" s="25"/>
      <c r="D29" s="156" t="s">
        <v>156</v>
      </c>
      <c r="E29" s="153"/>
      <c r="F29" s="247">
        <f t="shared" si="2"/>
        <v>0</v>
      </c>
      <c r="G29" s="284">
        <f>O29*H10</f>
        <v>51842.687704222553</v>
      </c>
      <c r="H29" s="286">
        <f>G29/$P29</f>
        <v>0.42148526588798824</v>
      </c>
      <c r="I29" s="285">
        <f>O29*J10</f>
        <v>71157.312295777447</v>
      </c>
      <c r="J29" s="286">
        <f t="shared" si="3"/>
        <v>0.57851473411201171</v>
      </c>
      <c r="K29" s="367">
        <f t="shared" si="7"/>
        <v>123000</v>
      </c>
      <c r="L29" s="286">
        <f t="shared" si="4"/>
        <v>1</v>
      </c>
      <c r="M29" s="159">
        <v>0</v>
      </c>
      <c r="N29" s="286">
        <f>M29/$P29</f>
        <v>0</v>
      </c>
      <c r="O29" s="354">
        <v>123000</v>
      </c>
      <c r="P29" s="235">
        <f t="shared" si="8"/>
        <v>123000</v>
      </c>
      <c r="R29" s="126"/>
      <c r="S29" s="356" t="s">
        <v>172</v>
      </c>
      <c r="U29" s="204" t="s">
        <v>158</v>
      </c>
      <c r="V29" s="205">
        <f>IF(E65=0,0,E65/E7)</f>
        <v>0</v>
      </c>
      <c r="W29" s="205">
        <f>G65/G7</f>
        <v>126253.57821428574</v>
      </c>
      <c r="X29" s="205">
        <f>I65/I7</f>
        <v>201517.46544</v>
      </c>
      <c r="Y29" s="206">
        <f>V29+W29+X29</f>
        <v>327771.04365428572</v>
      </c>
      <c r="Z29" s="221"/>
    </row>
    <row r="30" spans="2:26" ht="15.75" customHeight="1" x14ac:dyDescent="0.25">
      <c r="B30" s="305"/>
      <c r="C30" s="41"/>
      <c r="D30" s="156" t="s">
        <v>38</v>
      </c>
      <c r="E30" s="153"/>
      <c r="F30" s="247">
        <f t="shared" si="2"/>
        <v>0</v>
      </c>
      <c r="G30" s="249">
        <f>O30*H11</f>
        <v>112941.4362148794</v>
      </c>
      <c r="H30" s="286">
        <f t="shared" si="5"/>
        <v>0.41830161236185526</v>
      </c>
      <c r="I30" s="154">
        <f>O30*J11</f>
        <v>149540.01185249293</v>
      </c>
      <c r="J30" s="286">
        <f t="shared" si="3"/>
        <v>0.55385189144839075</v>
      </c>
      <c r="K30" s="367">
        <f t="shared" si="7"/>
        <v>262481.44806737232</v>
      </c>
      <c r="L30" s="286">
        <f t="shared" si="4"/>
        <v>0.9721535038102459</v>
      </c>
      <c r="M30" s="159">
        <f>O30*N11</f>
        <v>7518.5540296276777</v>
      </c>
      <c r="N30" s="286">
        <f t="shared" si="6"/>
        <v>2.7846496189753982E-2</v>
      </c>
      <c r="O30" s="354">
        <v>270000.00209700002</v>
      </c>
      <c r="P30" s="235">
        <f t="shared" si="8"/>
        <v>270000.00209700002</v>
      </c>
      <c r="R30" s="126"/>
      <c r="S30" s="356" t="s">
        <v>169</v>
      </c>
      <c r="U30" s="64"/>
      <c r="V30" s="64"/>
      <c r="W30" s="64"/>
      <c r="X30" s="64"/>
      <c r="Y30" s="64"/>
    </row>
    <row r="31" spans="2:26" x14ac:dyDescent="0.25">
      <c r="B31" s="305"/>
      <c r="C31" s="25"/>
      <c r="D31" s="156" t="s">
        <v>37</v>
      </c>
      <c r="E31" s="153"/>
      <c r="F31" s="247">
        <f t="shared" si="2"/>
        <v>0</v>
      </c>
      <c r="G31" s="249">
        <f>O31*H11</f>
        <v>98719.17905317487</v>
      </c>
      <c r="H31" s="286">
        <f t="shared" si="5"/>
        <v>0.41830161236185526</v>
      </c>
      <c r="I31" s="154">
        <f>J11*O31</f>
        <v>130709.04444311705</v>
      </c>
      <c r="J31" s="286">
        <f t="shared" si="3"/>
        <v>0.55385189144839075</v>
      </c>
      <c r="K31" s="367">
        <f t="shared" si="7"/>
        <v>229428.2234962919</v>
      </c>
      <c r="L31" s="286">
        <f t="shared" si="4"/>
        <v>0.97215350381024601</v>
      </c>
      <c r="M31" s="159">
        <f>O31*N11</f>
        <v>6571.7730033080634</v>
      </c>
      <c r="N31" s="286">
        <f t="shared" si="6"/>
        <v>2.7846496189753982E-2</v>
      </c>
      <c r="O31" s="354">
        <v>235999.99649959998</v>
      </c>
      <c r="P31" s="235">
        <f t="shared" si="8"/>
        <v>235999.99649959998</v>
      </c>
      <c r="R31" s="126"/>
      <c r="S31" s="356" t="s">
        <v>169</v>
      </c>
      <c r="U31" s="207"/>
      <c r="V31" s="64"/>
      <c r="W31" s="64"/>
      <c r="X31" s="64"/>
      <c r="Y31" s="64"/>
    </row>
    <row r="32" spans="2:26" x14ac:dyDescent="0.25">
      <c r="B32" s="305"/>
      <c r="C32" s="25"/>
      <c r="D32" s="156" t="s">
        <v>36</v>
      </c>
      <c r="E32" s="153"/>
      <c r="F32" s="247">
        <f t="shared" si="2"/>
        <v>0</v>
      </c>
      <c r="G32" s="284">
        <f>O32*H10</f>
        <v>65962.444111470162</v>
      </c>
      <c r="H32" s="286">
        <f t="shared" si="5"/>
        <v>0.42148526588798824</v>
      </c>
      <c r="I32" s="285">
        <f>O32*J10</f>
        <v>90537.555888529838</v>
      </c>
      <c r="J32" s="286">
        <f t="shared" si="3"/>
        <v>0.57851473411201171</v>
      </c>
      <c r="K32" s="367">
        <f>+E32+G32+I32</f>
        <v>156500</v>
      </c>
      <c r="L32" s="286">
        <f t="shared" si="4"/>
        <v>1</v>
      </c>
      <c r="M32" s="159">
        <v>0</v>
      </c>
      <c r="N32" s="286">
        <f t="shared" si="6"/>
        <v>0</v>
      </c>
      <c r="O32" s="354">
        <v>156500</v>
      </c>
      <c r="P32" s="235">
        <f t="shared" si="8"/>
        <v>156500</v>
      </c>
      <c r="R32" s="126"/>
      <c r="S32" s="356" t="s">
        <v>172</v>
      </c>
      <c r="U32" s="207"/>
      <c r="V32" s="64"/>
      <c r="W32" s="64"/>
      <c r="X32" s="64"/>
      <c r="Y32" s="64"/>
    </row>
    <row r="33" spans="1:25" x14ac:dyDescent="0.25">
      <c r="B33" s="305"/>
      <c r="C33" s="25"/>
      <c r="D33" s="156" t="s">
        <v>92</v>
      </c>
      <c r="E33" s="153"/>
      <c r="F33" s="247">
        <f t="shared" si="2"/>
        <v>0</v>
      </c>
      <c r="G33" s="249">
        <f>O33/($G$9+$I$9+$M$9)*$G$9</f>
        <v>136158.20854700747</v>
      </c>
      <c r="H33" s="286">
        <f>G33/$P33</f>
        <v>0.41073365820476282</v>
      </c>
      <c r="I33" s="154">
        <f>O33/($G$9+$I$9+$M$9)*$I$9</f>
        <v>186885.60713691293</v>
      </c>
      <c r="J33" s="286">
        <f t="shared" si="3"/>
        <v>0.56375748406429393</v>
      </c>
      <c r="K33" s="367">
        <f t="shared" si="7"/>
        <v>323043.8156839204</v>
      </c>
      <c r="L33" s="286">
        <f t="shared" si="4"/>
        <v>0.97449114226905675</v>
      </c>
      <c r="M33" s="159">
        <f>O33/($G$9+$I$9+$M$9)*$M$9</f>
        <v>8456.1863907295974</v>
      </c>
      <c r="N33" s="286">
        <f t="shared" si="6"/>
        <v>2.5508857730943121E-2</v>
      </c>
      <c r="O33" s="354">
        <v>331500.00207465002</v>
      </c>
      <c r="P33" s="235">
        <f t="shared" si="8"/>
        <v>331500.00207465002</v>
      </c>
      <c r="R33" s="126"/>
      <c r="S33" s="356" t="s">
        <v>85</v>
      </c>
      <c r="U33" s="207"/>
      <c r="V33" s="64"/>
      <c r="W33" s="64"/>
      <c r="X33" s="64"/>
      <c r="Y33" s="64"/>
    </row>
    <row r="34" spans="1:25" x14ac:dyDescent="0.25">
      <c r="B34" s="305"/>
      <c r="C34" s="372"/>
      <c r="D34" s="156" t="s">
        <v>161</v>
      </c>
      <c r="E34" s="153"/>
      <c r="F34" s="247">
        <f t="shared" si="2"/>
        <v>0</v>
      </c>
      <c r="G34" s="284">
        <f>O34*H10</f>
        <v>103263.89014255712</v>
      </c>
      <c r="H34" s="286">
        <f t="shared" si="5"/>
        <v>0.42148526588798824</v>
      </c>
      <c r="I34" s="285">
        <f>O34*J10</f>
        <v>141736.10985744288</v>
      </c>
      <c r="J34" s="286">
        <f t="shared" si="3"/>
        <v>0.57851473411201171</v>
      </c>
      <c r="K34" s="367">
        <f t="shared" si="7"/>
        <v>245000</v>
      </c>
      <c r="L34" s="286">
        <f t="shared" si="4"/>
        <v>1</v>
      </c>
      <c r="M34" s="159">
        <v>0</v>
      </c>
      <c r="N34" s="286">
        <f t="shared" si="6"/>
        <v>0</v>
      </c>
      <c r="O34" s="354">
        <v>245000</v>
      </c>
      <c r="P34" s="235">
        <f t="shared" si="8"/>
        <v>245000</v>
      </c>
      <c r="R34" s="126"/>
      <c r="S34" s="356" t="s">
        <v>172</v>
      </c>
      <c r="U34" s="207"/>
      <c r="V34" s="64"/>
      <c r="W34" s="64"/>
      <c r="X34" s="64"/>
      <c r="Y34" s="64"/>
    </row>
    <row r="35" spans="1:25" x14ac:dyDescent="0.25">
      <c r="B35" s="305"/>
      <c r="C35" s="25"/>
      <c r="D35" s="157" t="s">
        <v>34</v>
      </c>
      <c r="E35" s="153"/>
      <c r="F35" s="247">
        <f t="shared" si="2"/>
        <v>0</v>
      </c>
      <c r="G35" s="284">
        <f>O35*H10</f>
        <v>29503.968612159177</v>
      </c>
      <c r="H35" s="286">
        <f t="shared" si="5"/>
        <v>0.42148526588798824</v>
      </c>
      <c r="I35" s="285">
        <f>O35*J10</f>
        <v>40496.03138784082</v>
      </c>
      <c r="J35" s="286">
        <f t="shared" si="3"/>
        <v>0.57851473411201171</v>
      </c>
      <c r="K35" s="367">
        <f t="shared" si="7"/>
        <v>70000</v>
      </c>
      <c r="L35" s="286">
        <f t="shared" si="4"/>
        <v>1</v>
      </c>
      <c r="M35" s="159">
        <v>0</v>
      </c>
      <c r="N35" s="286">
        <f t="shared" si="6"/>
        <v>0</v>
      </c>
      <c r="O35" s="354">
        <v>70000</v>
      </c>
      <c r="P35" s="235">
        <f t="shared" si="8"/>
        <v>70000</v>
      </c>
      <c r="R35" s="126"/>
      <c r="S35" s="356" t="s">
        <v>172</v>
      </c>
      <c r="U35" s="207" t="s">
        <v>163</v>
      </c>
      <c r="V35" s="64"/>
      <c r="W35" s="64"/>
      <c r="X35" s="64"/>
      <c r="Y35" s="64"/>
    </row>
    <row r="36" spans="1:25" ht="15.6" thickBot="1" x14ac:dyDescent="0.3">
      <c r="B36" s="305"/>
      <c r="C36" s="25"/>
      <c r="D36" s="233" t="s">
        <v>160</v>
      </c>
      <c r="E36" s="153"/>
      <c r="F36" s="247" t="e">
        <f t="shared" si="2"/>
        <v>#DIV/0!</v>
      </c>
      <c r="G36" s="249"/>
      <c r="H36" s="247" t="e">
        <f t="shared" si="5"/>
        <v>#DIV/0!</v>
      </c>
      <c r="I36" s="154">
        <v>0</v>
      </c>
      <c r="J36" s="247" t="e">
        <f t="shared" si="3"/>
        <v>#DIV/0!</v>
      </c>
      <c r="K36" s="367">
        <f t="shared" si="7"/>
        <v>0</v>
      </c>
      <c r="L36" s="247" t="e">
        <f t="shared" si="4"/>
        <v>#DIV/0!</v>
      </c>
      <c r="M36" s="159">
        <f>O36/($G$9+$I$9+$M$9)*$M$9</f>
        <v>0</v>
      </c>
      <c r="N36" s="247" t="e">
        <f t="shared" si="6"/>
        <v>#DIV/0!</v>
      </c>
      <c r="O36" s="354">
        <v>0</v>
      </c>
      <c r="P36" s="235">
        <f t="shared" si="8"/>
        <v>0</v>
      </c>
      <c r="R36" s="126"/>
      <c r="S36" s="359"/>
      <c r="U36" s="207"/>
      <c r="V36" s="64"/>
      <c r="W36" s="64"/>
      <c r="X36" s="64"/>
      <c r="Y36" s="64"/>
    </row>
    <row r="37" spans="1:25" s="377" customFormat="1" ht="30.6" thickBot="1" x14ac:dyDescent="0.3">
      <c r="A37" s="374"/>
      <c r="B37" s="404" t="s">
        <v>33</v>
      </c>
      <c r="C37" s="400" t="s">
        <v>173</v>
      </c>
      <c r="D37" s="401" t="s">
        <v>32</v>
      </c>
      <c r="E37" s="402"/>
      <c r="F37" s="397">
        <f t="shared" si="2"/>
        <v>0</v>
      </c>
      <c r="G37" s="403">
        <f>O37*H11</f>
        <v>163137.62882112354</v>
      </c>
      <c r="H37" s="397">
        <f t="shared" si="5"/>
        <v>0.4183016123618552</v>
      </c>
      <c r="I37" s="402">
        <f>O37*J11</f>
        <v>216002.23766487237</v>
      </c>
      <c r="J37" s="397">
        <f t="shared" si="3"/>
        <v>0.55385189144839075</v>
      </c>
      <c r="K37" s="402">
        <f t="shared" si="7"/>
        <v>379139.86648599594</v>
      </c>
      <c r="L37" s="397">
        <f t="shared" si="4"/>
        <v>0.97215350381024601</v>
      </c>
      <c r="M37" s="17">
        <f>O37*N11</f>
        <v>10860.133514004052</v>
      </c>
      <c r="N37" s="397">
        <f t="shared" si="6"/>
        <v>2.7846496189753978E-2</v>
      </c>
      <c r="O37" s="399">
        <v>389999.99999999994</v>
      </c>
      <c r="P37" s="17">
        <f t="shared" si="8"/>
        <v>390000</v>
      </c>
      <c r="Q37" s="375"/>
      <c r="R37" s="376"/>
      <c r="S37" s="356" t="s">
        <v>169</v>
      </c>
      <c r="T37" s="375"/>
    </row>
    <row r="38" spans="1:25" s="396" customFormat="1" ht="34.5" customHeight="1" thickBot="1" x14ac:dyDescent="0.3">
      <c r="A38" s="390"/>
      <c r="B38" s="158" t="s">
        <v>31</v>
      </c>
      <c r="C38" s="400" t="s">
        <v>174</v>
      </c>
      <c r="D38" s="401" t="s">
        <v>30</v>
      </c>
      <c r="E38" s="402"/>
      <c r="F38" s="397">
        <f t="shared" si="2"/>
        <v>0</v>
      </c>
      <c r="G38" s="403">
        <f>O38*H11</f>
        <v>16313.762882112354</v>
      </c>
      <c r="H38" s="397">
        <f t="shared" si="5"/>
        <v>0.41830161236185526</v>
      </c>
      <c r="I38" s="402">
        <f>O38*J11</f>
        <v>21600.223766487241</v>
      </c>
      <c r="J38" s="397">
        <f t="shared" si="3"/>
        <v>0.55385189144839075</v>
      </c>
      <c r="K38" s="402">
        <f>O38*L11</f>
        <v>37913.986648599595</v>
      </c>
      <c r="L38" s="397">
        <f t="shared" si="4"/>
        <v>0.97215350381024601</v>
      </c>
      <c r="M38" s="17">
        <f>O38*N11</f>
        <v>1086.0133514004053</v>
      </c>
      <c r="N38" s="397">
        <f t="shared" si="6"/>
        <v>2.7846496189753982E-2</v>
      </c>
      <c r="O38" s="399">
        <v>39000</v>
      </c>
      <c r="P38" s="17">
        <f t="shared" si="8"/>
        <v>39000</v>
      </c>
      <c r="Q38" s="113"/>
      <c r="R38" s="376"/>
      <c r="S38" s="356" t="s">
        <v>169</v>
      </c>
      <c r="T38" s="113"/>
    </row>
    <row r="39" spans="1:25" ht="15.75" customHeight="1" thickBot="1" x14ac:dyDescent="0.3">
      <c r="B39" s="304" t="s">
        <v>29</v>
      </c>
      <c r="C39" s="6" t="s">
        <v>28</v>
      </c>
      <c r="D39" s="8"/>
      <c r="E39" s="214">
        <f>E40</f>
        <v>0</v>
      </c>
      <c r="F39" s="258">
        <f t="shared" si="2"/>
        <v>0</v>
      </c>
      <c r="G39" s="252">
        <f>G40</f>
        <v>93358.9863941894</v>
      </c>
      <c r="H39" s="258"/>
      <c r="I39" s="214">
        <f>I40</f>
        <v>128141.0136058106</v>
      </c>
      <c r="J39" s="258"/>
      <c r="K39" s="7">
        <f>K40</f>
        <v>221500</v>
      </c>
      <c r="L39" s="258"/>
      <c r="M39" s="17">
        <f>M40</f>
        <v>0</v>
      </c>
      <c r="N39" s="258"/>
      <c r="O39" s="295"/>
      <c r="P39" s="7">
        <f>P40</f>
        <v>221500</v>
      </c>
      <c r="Q39" s="129"/>
      <c r="R39" s="126"/>
      <c r="S39" s="360"/>
      <c r="T39" s="129"/>
      <c r="U39" s="64"/>
      <c r="V39" s="64"/>
      <c r="W39" s="64"/>
      <c r="X39" s="64"/>
      <c r="Y39" s="64"/>
    </row>
    <row r="40" spans="1:25" s="396" customFormat="1" ht="34.5" customHeight="1" thickBot="1" x14ac:dyDescent="0.3">
      <c r="A40" s="390"/>
      <c r="B40" s="306"/>
      <c r="C40" s="393"/>
      <c r="D40" s="82" t="s">
        <v>27</v>
      </c>
      <c r="E40" s="394"/>
      <c r="F40" s="247">
        <f t="shared" si="2"/>
        <v>0</v>
      </c>
      <c r="G40" s="392">
        <f>O40*H10</f>
        <v>93358.9863941894</v>
      </c>
      <c r="H40" s="247">
        <f t="shared" si="5"/>
        <v>0.42148526588798824</v>
      </c>
      <c r="I40" s="391">
        <f>O40*J10</f>
        <v>128141.0136058106</v>
      </c>
      <c r="J40" s="247">
        <f t="shared" si="3"/>
        <v>0.57851473411201171</v>
      </c>
      <c r="K40" s="368">
        <f>+E40+G40+I40</f>
        <v>221500</v>
      </c>
      <c r="L40" s="247">
        <f t="shared" si="4"/>
        <v>1</v>
      </c>
      <c r="M40" s="159">
        <v>0</v>
      </c>
      <c r="N40" s="247">
        <f t="shared" si="6"/>
        <v>0</v>
      </c>
      <c r="O40" s="354">
        <v>221500</v>
      </c>
      <c r="P40" s="236">
        <f>K40+M40</f>
        <v>221500</v>
      </c>
      <c r="Q40" s="395"/>
      <c r="R40" s="376"/>
      <c r="S40" s="356" t="s">
        <v>172</v>
      </c>
      <c r="T40" s="395"/>
    </row>
    <row r="41" spans="1:25" s="396" customFormat="1" ht="22.2" customHeight="1" thickBot="1" x14ac:dyDescent="0.3">
      <c r="A41" s="390"/>
      <c r="B41" s="158" t="s">
        <v>26</v>
      </c>
      <c r="C41" s="19" t="s">
        <v>25</v>
      </c>
      <c r="D41" s="18"/>
      <c r="E41" s="17"/>
      <c r="F41" s="397">
        <f t="shared" si="2"/>
        <v>0</v>
      </c>
      <c r="G41" s="398">
        <f>O41*H7</f>
        <v>17888.888888888887</v>
      </c>
      <c r="H41" s="397">
        <f t="shared" si="5"/>
        <v>0.51851851851851849</v>
      </c>
      <c r="I41" s="17">
        <f>J7*O41</f>
        <v>15972.222222222223</v>
      </c>
      <c r="J41" s="397">
        <f t="shared" si="3"/>
        <v>0.46296296296296297</v>
      </c>
      <c r="K41" s="17">
        <f>+E41+G41+I41</f>
        <v>33861.111111111109</v>
      </c>
      <c r="L41" s="397">
        <f t="shared" si="4"/>
        <v>0.9814814814814814</v>
      </c>
      <c r="M41" s="17">
        <f>N7*O41</f>
        <v>638.8888888888888</v>
      </c>
      <c r="N41" s="397">
        <f t="shared" si="6"/>
        <v>1.8518518518518517E-2</v>
      </c>
      <c r="O41" s="399">
        <v>34500</v>
      </c>
      <c r="P41" s="17">
        <f>K41+M41</f>
        <v>34500</v>
      </c>
      <c r="Q41" s="130"/>
      <c r="R41" s="376"/>
      <c r="S41" s="356" t="s">
        <v>137</v>
      </c>
      <c r="T41" s="130"/>
    </row>
    <row r="42" spans="1:25" ht="15.6" thickBot="1" x14ac:dyDescent="0.3">
      <c r="B42" s="160" t="s">
        <v>24</v>
      </c>
      <c r="C42" s="6" t="s">
        <v>23</v>
      </c>
      <c r="D42" s="8"/>
      <c r="E42" s="7">
        <f>SUM(E43:E53)</f>
        <v>0</v>
      </c>
      <c r="F42" s="258">
        <f t="shared" si="2"/>
        <v>0</v>
      </c>
      <c r="G42" s="250">
        <f>SUM(G43:G53)</f>
        <v>554878.37084015168</v>
      </c>
      <c r="H42" s="258"/>
      <c r="I42" s="7">
        <f>SUM(I43:I53)</f>
        <v>565770.75787105458</v>
      </c>
      <c r="J42" s="258"/>
      <c r="K42" s="7">
        <f>SUM(K43:K53)</f>
        <v>1120649.1287112064</v>
      </c>
      <c r="L42" s="258"/>
      <c r="M42" s="17">
        <f>SUM(M43:M53)</f>
        <v>24850.874339493683</v>
      </c>
      <c r="N42" s="258"/>
      <c r="O42" s="295"/>
      <c r="P42" s="7">
        <f>SUM(P43:P53)</f>
        <v>1145500.0030506998</v>
      </c>
      <c r="R42" s="126"/>
      <c r="S42" s="361"/>
      <c r="U42" s="64"/>
      <c r="V42" s="64"/>
      <c r="W42" s="64"/>
      <c r="X42" s="64"/>
      <c r="Y42" s="64"/>
    </row>
    <row r="43" spans="1:25" x14ac:dyDescent="0.25">
      <c r="B43" s="161"/>
      <c r="C43" s="26"/>
      <c r="D43" s="24" t="s">
        <v>22</v>
      </c>
      <c r="E43" s="153"/>
      <c r="F43" s="247">
        <f t="shared" si="2"/>
        <v>0</v>
      </c>
      <c r="G43" s="249">
        <f>$O$43*H11</f>
        <v>163137.63008815912</v>
      </c>
      <c r="H43" s="247">
        <f t="shared" si="5"/>
        <v>0.41830161236185526</v>
      </c>
      <c r="I43" s="249">
        <f>$O$43*J11</f>
        <v>216002.23934248975</v>
      </c>
      <c r="J43" s="247">
        <f t="shared" si="3"/>
        <v>0.55385189144839075</v>
      </c>
      <c r="K43" s="367">
        <f t="shared" ref="K43:K53" si="10">+E43+G43+I43</f>
        <v>379139.86943064886</v>
      </c>
      <c r="L43" s="247">
        <f t="shared" si="4"/>
        <v>0.97215350381024601</v>
      </c>
      <c r="M43" s="249">
        <f>$O$43*N11</f>
        <v>10860.133598351089</v>
      </c>
      <c r="N43" s="247">
        <f t="shared" si="6"/>
        <v>2.7846496189753982E-2</v>
      </c>
      <c r="O43" s="354">
        <v>390000.00302899996</v>
      </c>
      <c r="P43" s="235">
        <f t="shared" ref="P43:P53" si="11">K43+M43</f>
        <v>390000.00302899996</v>
      </c>
      <c r="Q43" s="131"/>
      <c r="R43" s="126"/>
      <c r="S43" s="356" t="s">
        <v>169</v>
      </c>
      <c r="T43" s="131"/>
      <c r="U43" s="64"/>
      <c r="V43" s="64"/>
      <c r="W43" s="64"/>
      <c r="X43" s="64"/>
      <c r="Y43" s="64"/>
    </row>
    <row r="44" spans="1:25" x14ac:dyDescent="0.25">
      <c r="B44" s="161"/>
      <c r="C44" s="26"/>
      <c r="D44" s="24" t="s">
        <v>21</v>
      </c>
      <c r="E44" s="153"/>
      <c r="F44" s="247" t="e">
        <f t="shared" si="2"/>
        <v>#DIV/0!</v>
      </c>
      <c r="G44" s="249">
        <f t="shared" ref="G43:G53" si="12">O44/($G$9+$I$9+$M$9)*$G$9</f>
        <v>0</v>
      </c>
      <c r="H44" s="247" t="e">
        <f t="shared" si="5"/>
        <v>#DIV/0!</v>
      </c>
      <c r="I44" s="154">
        <f t="shared" ref="I43:I53" si="13">O44/($G$9+$I$9+$M$9)*$I$9</f>
        <v>0</v>
      </c>
      <c r="J44" s="247" t="e">
        <f t="shared" si="3"/>
        <v>#DIV/0!</v>
      </c>
      <c r="K44" s="367">
        <f t="shared" si="10"/>
        <v>0</v>
      </c>
      <c r="L44" s="247" t="e">
        <f t="shared" si="4"/>
        <v>#DIV/0!</v>
      </c>
      <c r="M44" s="159">
        <f t="shared" ref="M43:M53" si="14">O44/($G$9+$I$9+$M$9)*$M$9</f>
        <v>0</v>
      </c>
      <c r="N44" s="247" t="e">
        <f t="shared" si="6"/>
        <v>#DIV/0!</v>
      </c>
      <c r="O44" s="354">
        <v>0</v>
      </c>
      <c r="P44" s="235">
        <f t="shared" si="11"/>
        <v>0</v>
      </c>
      <c r="Q44" s="131"/>
      <c r="R44" s="126"/>
      <c r="S44" s="359"/>
      <c r="T44" s="131"/>
      <c r="U44" s="64"/>
      <c r="V44" s="64"/>
      <c r="W44" s="64"/>
      <c r="X44" s="64"/>
      <c r="Y44" s="64"/>
    </row>
    <row r="45" spans="1:25" x14ac:dyDescent="0.25">
      <c r="B45" s="161"/>
      <c r="C45" s="26"/>
      <c r="D45" s="24" t="s">
        <v>20</v>
      </c>
      <c r="E45" s="153"/>
      <c r="F45" s="247">
        <f t="shared" ref="F45:F65" si="15">E45/$P45</f>
        <v>0</v>
      </c>
      <c r="G45" s="249">
        <f>$O$45*H7</f>
        <v>2851.8543801740743</v>
      </c>
      <c r="H45" s="247">
        <f t="shared" ref="H45:H62" si="16">G45/$P45</f>
        <v>0.51851851851851849</v>
      </c>
      <c r="I45" s="249">
        <f>$O$45*J7</f>
        <v>2546.2985537268519</v>
      </c>
      <c r="J45" s="247">
        <f t="shared" ref="J45:J62" si="17">I45/$P45</f>
        <v>0.46296296296296297</v>
      </c>
      <c r="K45" s="367">
        <f t="shared" si="10"/>
        <v>5398.1529339009267</v>
      </c>
      <c r="L45" s="247">
        <f t="shared" ref="L45:L62" si="18">K45/$P45</f>
        <v>0.98148148148148151</v>
      </c>
      <c r="M45" s="249">
        <f>$O$45*N7</f>
        <v>101.85194214907408</v>
      </c>
      <c r="N45" s="247">
        <f t="shared" si="6"/>
        <v>1.8518518518518517E-2</v>
      </c>
      <c r="O45" s="354">
        <v>5500.0048760500003</v>
      </c>
      <c r="P45" s="235">
        <f t="shared" si="11"/>
        <v>5500.0048760500003</v>
      </c>
      <c r="R45" s="126"/>
      <c r="S45" s="356" t="s">
        <v>137</v>
      </c>
      <c r="U45" s="64"/>
      <c r="V45" s="64"/>
      <c r="W45" s="64"/>
      <c r="X45" s="64"/>
      <c r="Y45" s="64"/>
    </row>
    <row r="46" spans="1:25" x14ac:dyDescent="0.25">
      <c r="B46" s="161"/>
      <c r="C46" s="26"/>
      <c r="D46" s="24" t="s">
        <v>19</v>
      </c>
      <c r="E46" s="153"/>
      <c r="F46" s="247">
        <f t="shared" si="15"/>
        <v>0</v>
      </c>
      <c r="G46" s="249">
        <f>$O$46*H7</f>
        <v>16074.07229768148</v>
      </c>
      <c r="H46" s="247">
        <f t="shared" si="16"/>
        <v>0.5185185185185186</v>
      </c>
      <c r="I46" s="249">
        <f>$O$46*J7</f>
        <v>14351.850265787036</v>
      </c>
      <c r="J46" s="247">
        <f t="shared" si="17"/>
        <v>0.46296296296296302</v>
      </c>
      <c r="K46" s="367">
        <f t="shared" si="10"/>
        <v>30425.922563468514</v>
      </c>
      <c r="L46" s="247">
        <f t="shared" si="18"/>
        <v>0.98148148148148151</v>
      </c>
      <c r="M46" s="249">
        <f>$O$46*N7</f>
        <v>574.07401063148143</v>
      </c>
      <c r="N46" s="247">
        <f t="shared" si="6"/>
        <v>1.8518518518518521E-2</v>
      </c>
      <c r="O46" s="354">
        <v>30999.996574099998</v>
      </c>
      <c r="P46" s="235">
        <f t="shared" si="11"/>
        <v>30999.996574099994</v>
      </c>
      <c r="R46" s="126"/>
      <c r="S46" s="356" t="s">
        <v>137</v>
      </c>
      <c r="U46" s="64"/>
      <c r="V46" s="64"/>
      <c r="W46" s="64"/>
      <c r="X46" s="64"/>
      <c r="Y46" s="64"/>
    </row>
    <row r="47" spans="1:25" x14ac:dyDescent="0.25">
      <c r="B47" s="161"/>
      <c r="C47" s="26"/>
      <c r="D47" s="24" t="s">
        <v>18</v>
      </c>
      <c r="E47" s="153"/>
      <c r="F47" s="247">
        <f t="shared" si="15"/>
        <v>0</v>
      </c>
      <c r="G47" s="249">
        <f>$O$47*H7</f>
        <v>8296.2970520888884</v>
      </c>
      <c r="H47" s="247">
        <f t="shared" si="16"/>
        <v>0.51851851851851849</v>
      </c>
      <c r="I47" s="249">
        <f>$O$47*J7</f>
        <v>7407.4080822222231</v>
      </c>
      <c r="J47" s="247">
        <f t="shared" si="17"/>
        <v>0.46296296296296297</v>
      </c>
      <c r="K47" s="367">
        <f t="shared" si="10"/>
        <v>15703.705134311112</v>
      </c>
      <c r="L47" s="247">
        <f t="shared" si="18"/>
        <v>0.98148148148148151</v>
      </c>
      <c r="M47" s="249">
        <f>$O$47*N7</f>
        <v>296.29632328888891</v>
      </c>
      <c r="N47" s="247">
        <f t="shared" si="6"/>
        <v>1.8518518518518517E-2</v>
      </c>
      <c r="O47" s="354">
        <v>16000.001457600001</v>
      </c>
      <c r="P47" s="235">
        <f t="shared" si="11"/>
        <v>16000.001457600001</v>
      </c>
      <c r="R47" s="126"/>
      <c r="S47" s="356" t="s">
        <v>137</v>
      </c>
      <c r="U47" s="64"/>
      <c r="V47" s="64"/>
      <c r="W47" s="64"/>
      <c r="X47" s="64"/>
      <c r="Y47" s="64"/>
    </row>
    <row r="48" spans="1:25" x14ac:dyDescent="0.25">
      <c r="B48" s="161"/>
      <c r="C48" s="26"/>
      <c r="D48" s="24" t="s">
        <v>17</v>
      </c>
      <c r="E48" s="153"/>
      <c r="F48" s="247">
        <f t="shared" si="15"/>
        <v>0</v>
      </c>
      <c r="G48" s="249">
        <f>$O$48*H7</f>
        <v>10888.887419459259</v>
      </c>
      <c r="H48" s="247">
        <f t="shared" si="16"/>
        <v>0.51851851851851849</v>
      </c>
      <c r="I48" s="249">
        <f>$O$48*J7</f>
        <v>9722.2209102314828</v>
      </c>
      <c r="J48" s="247">
        <f t="shared" si="17"/>
        <v>0.46296296296296297</v>
      </c>
      <c r="K48" s="367">
        <f t="shared" si="10"/>
        <v>20611.108329690742</v>
      </c>
      <c r="L48" s="247">
        <f t="shared" si="18"/>
        <v>0.9814814814814814</v>
      </c>
      <c r="M48" s="249">
        <f>$O$48*N7</f>
        <v>388.88883640925928</v>
      </c>
      <c r="N48" s="247">
        <f t="shared" si="6"/>
        <v>1.8518518518518517E-2</v>
      </c>
      <c r="O48" s="354">
        <v>20999.997166100002</v>
      </c>
      <c r="P48" s="235">
        <f t="shared" si="11"/>
        <v>20999.997166100002</v>
      </c>
      <c r="R48" s="126"/>
      <c r="S48" s="356" t="s">
        <v>137</v>
      </c>
      <c r="U48" s="64"/>
      <c r="V48" s="64"/>
      <c r="W48" s="64"/>
      <c r="X48" s="64"/>
      <c r="Y48" s="64"/>
    </row>
    <row r="49" spans="2:25" x14ac:dyDescent="0.25">
      <c r="B49" s="161"/>
      <c r="C49" s="26"/>
      <c r="D49" s="24" t="s">
        <v>16</v>
      </c>
      <c r="E49" s="153"/>
      <c r="F49" s="247">
        <f t="shared" si="15"/>
        <v>0</v>
      </c>
      <c r="G49" s="249">
        <f>$O$49*H7</f>
        <v>26444.446205385186</v>
      </c>
      <c r="H49" s="247">
        <f t="shared" si="16"/>
        <v>0.51851851851851849</v>
      </c>
      <c r="I49" s="249">
        <f>$O$49*J7</f>
        <v>23611.11268337963</v>
      </c>
      <c r="J49" s="247">
        <f t="shared" si="17"/>
        <v>0.46296296296296297</v>
      </c>
      <c r="K49" s="367">
        <f t="shared" si="10"/>
        <v>50055.558888764819</v>
      </c>
      <c r="L49" s="247">
        <f t="shared" si="18"/>
        <v>0.98148148148148151</v>
      </c>
      <c r="M49" s="249">
        <f>$O$49*N7</f>
        <v>944.44450733518511</v>
      </c>
      <c r="N49" s="247">
        <f t="shared" si="6"/>
        <v>1.8518518518518517E-2</v>
      </c>
      <c r="O49" s="354">
        <v>51000.003396100001</v>
      </c>
      <c r="P49" s="235">
        <f t="shared" si="11"/>
        <v>51000.003396100001</v>
      </c>
      <c r="Q49" s="132"/>
      <c r="R49" s="126"/>
      <c r="S49" s="356" t="s">
        <v>137</v>
      </c>
      <c r="T49" s="132"/>
      <c r="U49" s="64"/>
      <c r="V49" s="64"/>
      <c r="W49" s="64"/>
      <c r="X49" s="64"/>
      <c r="Y49" s="64"/>
    </row>
    <row r="50" spans="2:25" x14ac:dyDescent="0.25">
      <c r="B50" s="161"/>
      <c r="C50" s="35"/>
      <c r="D50" s="34" t="s">
        <v>15</v>
      </c>
      <c r="E50" s="153"/>
      <c r="F50" s="247">
        <f t="shared" si="15"/>
        <v>0</v>
      </c>
      <c r="G50" s="249">
        <f>$O$50*H7</f>
        <v>233333.33333333331</v>
      </c>
      <c r="H50" s="247">
        <f t="shared" si="16"/>
        <v>0.51851851851851849</v>
      </c>
      <c r="I50" s="249">
        <f>$O$50*J7</f>
        <v>208333.33333333334</v>
      </c>
      <c r="J50" s="247">
        <f t="shared" si="17"/>
        <v>0.46296296296296302</v>
      </c>
      <c r="K50" s="367">
        <f t="shared" si="10"/>
        <v>441666.66666666663</v>
      </c>
      <c r="L50" s="247">
        <f t="shared" si="18"/>
        <v>0.98148148148148151</v>
      </c>
      <c r="M50" s="249">
        <f>$O$50*N7</f>
        <v>8333.3333333333321</v>
      </c>
      <c r="N50" s="247">
        <f t="shared" si="6"/>
        <v>1.8518518518518517E-2</v>
      </c>
      <c r="O50" s="354">
        <v>450000</v>
      </c>
      <c r="P50" s="235">
        <f t="shared" si="11"/>
        <v>449999.99999999994</v>
      </c>
      <c r="Q50" s="121"/>
      <c r="R50" s="126"/>
      <c r="S50" s="356" t="s">
        <v>137</v>
      </c>
      <c r="T50" s="121"/>
      <c r="U50" s="64"/>
      <c r="V50" s="64"/>
      <c r="W50" s="64"/>
      <c r="X50" s="64"/>
      <c r="Y50" s="64"/>
    </row>
    <row r="51" spans="2:25" x14ac:dyDescent="0.25">
      <c r="B51" s="161"/>
      <c r="C51" s="35"/>
      <c r="D51" s="34" t="s">
        <v>14</v>
      </c>
      <c r="E51" s="153"/>
      <c r="F51" s="247">
        <f t="shared" si="15"/>
        <v>0</v>
      </c>
      <c r="G51" s="249">
        <f>O51*H7</f>
        <v>47962.961174981479</v>
      </c>
      <c r="H51" s="247">
        <f t="shared" si="16"/>
        <v>0.51851851851851849</v>
      </c>
      <c r="I51" s="154">
        <f>O51*J7</f>
        <v>42824.072477662034</v>
      </c>
      <c r="J51" s="247">
        <f t="shared" si="17"/>
        <v>0.46296296296296297</v>
      </c>
      <c r="K51" s="367">
        <f t="shared" si="10"/>
        <v>90787.033652643513</v>
      </c>
      <c r="L51" s="247">
        <f t="shared" si="18"/>
        <v>0.98148148148148151</v>
      </c>
      <c r="M51" s="159">
        <f>O51*N7</f>
        <v>1712.9628991064812</v>
      </c>
      <c r="N51" s="247">
        <f t="shared" si="6"/>
        <v>1.8518518518518517E-2</v>
      </c>
      <c r="O51" s="354">
        <v>92499.996551749995</v>
      </c>
      <c r="P51" s="235">
        <f t="shared" si="11"/>
        <v>92499.996551749995</v>
      </c>
      <c r="Q51" s="121"/>
      <c r="R51" s="126"/>
      <c r="S51" s="356" t="s">
        <v>137</v>
      </c>
      <c r="T51" s="121"/>
      <c r="U51" s="64"/>
      <c r="V51" s="64"/>
      <c r="W51" s="64"/>
      <c r="X51" s="64"/>
      <c r="Y51" s="64"/>
    </row>
    <row r="52" spans="2:25" x14ac:dyDescent="0.25">
      <c r="B52" s="161"/>
      <c r="C52" s="25"/>
      <c r="D52" s="33" t="s">
        <v>13</v>
      </c>
      <c r="E52" s="153"/>
      <c r="F52" s="247">
        <f t="shared" si="15"/>
        <v>0</v>
      </c>
      <c r="G52" s="249">
        <f>H7*O52</f>
        <v>45888.888888888883</v>
      </c>
      <c r="H52" s="247">
        <f t="shared" si="16"/>
        <v>0.51851851851851849</v>
      </c>
      <c r="I52" s="154">
        <f>J7*O52</f>
        <v>40972.222222222219</v>
      </c>
      <c r="J52" s="247">
        <f t="shared" si="17"/>
        <v>0.46296296296296302</v>
      </c>
      <c r="K52" s="367">
        <f t="shared" si="10"/>
        <v>86861.111111111095</v>
      </c>
      <c r="L52" s="247">
        <f t="shared" si="18"/>
        <v>0.98148148148148151</v>
      </c>
      <c r="M52" s="159">
        <f>O52*N7</f>
        <v>1638.8888888888887</v>
      </c>
      <c r="N52" s="247">
        <f t="shared" si="6"/>
        <v>1.8518518518518521E-2</v>
      </c>
      <c r="O52" s="354">
        <v>88500</v>
      </c>
      <c r="P52" s="235">
        <f t="shared" si="11"/>
        <v>88499.999999999985</v>
      </c>
      <c r="Q52" s="121"/>
      <c r="R52" s="126"/>
      <c r="S52" s="356" t="s">
        <v>137</v>
      </c>
      <c r="T52" s="121"/>
      <c r="U52" s="64"/>
      <c r="V52" s="64"/>
      <c r="W52" s="64"/>
      <c r="X52" s="64"/>
      <c r="Y52" s="64"/>
    </row>
    <row r="53" spans="2:25" ht="15.6" thickBot="1" x14ac:dyDescent="0.3">
      <c r="B53" s="162"/>
      <c r="C53" s="32"/>
      <c r="D53" s="31" t="s">
        <v>12</v>
      </c>
      <c r="E53" s="153"/>
      <c r="F53" s="247" t="e">
        <f t="shared" si="15"/>
        <v>#DIV/0!</v>
      </c>
      <c r="G53" s="249">
        <f t="shared" si="12"/>
        <v>0</v>
      </c>
      <c r="H53" s="247" t="e">
        <f t="shared" si="16"/>
        <v>#DIV/0!</v>
      </c>
      <c r="I53" s="154">
        <f t="shared" si="13"/>
        <v>0</v>
      </c>
      <c r="J53" s="247" t="e">
        <f t="shared" si="17"/>
        <v>#DIV/0!</v>
      </c>
      <c r="K53" s="367">
        <f t="shared" si="10"/>
        <v>0</v>
      </c>
      <c r="L53" s="247" t="e">
        <f t="shared" si="18"/>
        <v>#DIV/0!</v>
      </c>
      <c r="M53" s="159">
        <f t="shared" si="14"/>
        <v>0</v>
      </c>
      <c r="N53" s="247" t="e">
        <f t="shared" si="6"/>
        <v>#DIV/0!</v>
      </c>
      <c r="O53" s="354">
        <v>0</v>
      </c>
      <c r="P53" s="235">
        <f t="shared" si="11"/>
        <v>0</v>
      </c>
      <c r="R53" s="126"/>
      <c r="S53" s="359"/>
      <c r="U53" s="64"/>
      <c r="V53" s="64"/>
      <c r="W53" s="64"/>
      <c r="X53" s="64"/>
      <c r="Y53" s="64"/>
    </row>
    <row r="54" spans="2:25" ht="15.6" thickBot="1" x14ac:dyDescent="0.3">
      <c r="B54" s="163"/>
      <c r="C54" s="6" t="s">
        <v>11</v>
      </c>
      <c r="D54" s="8"/>
      <c r="E54" s="7">
        <f>SUM(E55:E56)</f>
        <v>0</v>
      </c>
      <c r="F54" s="258">
        <f t="shared" si="15"/>
        <v>0</v>
      </c>
      <c r="G54" s="250">
        <f>SUM(G55:G56)</f>
        <v>39524.228194579868</v>
      </c>
      <c r="H54" s="258"/>
      <c r="I54" s="7">
        <f>SUM(I55:I56)</f>
        <v>52332.02047681628</v>
      </c>
      <c r="J54" s="258"/>
      <c r="K54" s="7">
        <f>SUM(K55:K56)</f>
        <v>91856.248671396141</v>
      </c>
      <c r="L54" s="258"/>
      <c r="M54" s="17">
        <f>SUM(M55:M56)</f>
        <v>2631.1427862038513</v>
      </c>
      <c r="N54" s="258"/>
      <c r="O54" s="295"/>
      <c r="P54" s="7">
        <f>SUM(P55:P56)</f>
        <v>94487.391457599981</v>
      </c>
      <c r="R54" s="126"/>
      <c r="S54" s="361"/>
      <c r="U54" s="64"/>
      <c r="V54" s="64"/>
      <c r="W54" s="64"/>
      <c r="X54" s="64"/>
      <c r="Y54" s="64"/>
    </row>
    <row r="55" spans="2:25" x14ac:dyDescent="0.25">
      <c r="B55" s="162"/>
      <c r="C55" s="26"/>
      <c r="D55" s="24" t="s">
        <v>10</v>
      </c>
      <c r="E55" s="153"/>
      <c r="F55" s="247">
        <f t="shared" si="15"/>
        <v>0</v>
      </c>
      <c r="G55" s="249">
        <f>$O$55*H11</f>
        <v>32580.42081965664</v>
      </c>
      <c r="H55" s="247">
        <f t="shared" si="16"/>
        <v>0.41830161236185531</v>
      </c>
      <c r="I55" s="249">
        <f>$O$55*J11</f>
        <v>43138.078271478473</v>
      </c>
      <c r="J55" s="247">
        <f t="shared" si="17"/>
        <v>0.55385189144839087</v>
      </c>
      <c r="K55" s="367">
        <f>+E55+G55+I55</f>
        <v>75718.499091135105</v>
      </c>
      <c r="L55" s="247">
        <f t="shared" si="18"/>
        <v>0.97215350381024601</v>
      </c>
      <c r="M55" s="249">
        <f>$O$55*N11</f>
        <v>2168.8909088648825</v>
      </c>
      <c r="N55" s="247">
        <f t="shared" si="6"/>
        <v>2.7846496189753989E-2</v>
      </c>
      <c r="O55" s="354">
        <v>77887.39</v>
      </c>
      <c r="P55" s="235">
        <f>K55+M55</f>
        <v>77887.389999999985</v>
      </c>
      <c r="R55" s="126"/>
      <c r="S55" s="356" t="s">
        <v>169</v>
      </c>
      <c r="U55" s="64"/>
      <c r="V55" s="64"/>
      <c r="W55" s="64"/>
      <c r="X55" s="64"/>
      <c r="Y55" s="64"/>
    </row>
    <row r="56" spans="2:25" ht="15.6" thickBot="1" x14ac:dyDescent="0.3">
      <c r="B56" s="164"/>
      <c r="C56" s="25"/>
      <c r="D56" s="28" t="s">
        <v>9</v>
      </c>
      <c r="E56" s="153"/>
      <c r="F56" s="247">
        <f t="shared" si="15"/>
        <v>0</v>
      </c>
      <c r="G56" s="249">
        <f>$O$56*H11</f>
        <v>6943.8073749232271</v>
      </c>
      <c r="H56" s="247">
        <f t="shared" si="16"/>
        <v>0.41830161236185526</v>
      </c>
      <c r="I56" s="249">
        <f>$O$56*J11</f>
        <v>9193.9422053378039</v>
      </c>
      <c r="J56" s="247">
        <f t="shared" si="17"/>
        <v>0.55385189144839075</v>
      </c>
      <c r="K56" s="367">
        <f>+E56+G56+I56</f>
        <v>16137.749580261032</v>
      </c>
      <c r="L56" s="247">
        <f t="shared" si="18"/>
        <v>0.97215350381024612</v>
      </c>
      <c r="M56" s="249">
        <f>$O$56*N11</f>
        <v>462.25187733896894</v>
      </c>
      <c r="N56" s="247">
        <f t="shared" si="6"/>
        <v>2.7846496189753982E-2</v>
      </c>
      <c r="O56" s="354">
        <v>16600.001457599999</v>
      </c>
      <c r="P56" s="235">
        <f>K56+M56</f>
        <v>16600.001457599999</v>
      </c>
      <c r="R56" s="126"/>
      <c r="S56" s="356" t="s">
        <v>169</v>
      </c>
      <c r="U56" s="208"/>
      <c r="V56" s="64"/>
      <c r="W56" s="64"/>
      <c r="X56" s="64"/>
      <c r="Y56" s="64"/>
    </row>
    <row r="57" spans="2:25" ht="15.6" thickBot="1" x14ac:dyDescent="0.3">
      <c r="B57" s="317"/>
      <c r="C57" s="6" t="s">
        <v>8</v>
      </c>
      <c r="D57" s="8"/>
      <c r="E57" s="7">
        <f>SUM(E58:E60)</f>
        <v>0</v>
      </c>
      <c r="F57" s="258">
        <f t="shared" si="15"/>
        <v>0</v>
      </c>
      <c r="G57" s="250">
        <f>SUM(G58:G60)</f>
        <v>48481.482989203701</v>
      </c>
      <c r="H57" s="258"/>
      <c r="I57" s="7">
        <f>SUM(I58:I60)</f>
        <v>43287.038383217594</v>
      </c>
      <c r="J57" s="258"/>
      <c r="K57" s="7">
        <f>SUM(K58:K60)</f>
        <v>91768.521372421295</v>
      </c>
      <c r="L57" s="258"/>
      <c r="M57" s="17">
        <f>SUM(M58:M60)</f>
        <v>1731.4815353287036</v>
      </c>
      <c r="N57" s="258"/>
      <c r="O57" s="295"/>
      <c r="P57" s="7">
        <f>SUM(P58:P60)</f>
        <v>93500.002907749993</v>
      </c>
      <c r="Q57" s="125"/>
      <c r="R57" s="126"/>
      <c r="S57" s="361"/>
      <c r="T57" s="125"/>
      <c r="U57" s="209"/>
      <c r="V57" s="64"/>
      <c r="W57" s="64"/>
      <c r="X57" s="64"/>
      <c r="Y57" s="64"/>
    </row>
    <row r="58" spans="2:25" x14ac:dyDescent="0.25">
      <c r="B58" s="318"/>
      <c r="C58" s="26"/>
      <c r="D58" s="24" t="s">
        <v>7</v>
      </c>
      <c r="E58" s="153"/>
      <c r="F58" s="247">
        <f t="shared" si="15"/>
        <v>0</v>
      </c>
      <c r="G58" s="249">
        <f>H7*O58</f>
        <v>27222.223729944442</v>
      </c>
      <c r="H58" s="247">
        <f t="shared" si="16"/>
        <v>0.5185185185185186</v>
      </c>
      <c r="I58" s="154">
        <f>J7*O58</f>
        <v>24305.556901736112</v>
      </c>
      <c r="J58" s="247">
        <f t="shared" si="17"/>
        <v>0.46296296296296302</v>
      </c>
      <c r="K58" s="367">
        <f>E58+G58+I58</f>
        <v>51527.780631680551</v>
      </c>
      <c r="L58" s="247">
        <f t="shared" si="18"/>
        <v>0.98148148148148151</v>
      </c>
      <c r="M58" s="159">
        <f>O58*N7</f>
        <v>972.22227606944443</v>
      </c>
      <c r="N58" s="247">
        <f t="shared" si="6"/>
        <v>1.8518518518518521E-2</v>
      </c>
      <c r="O58" s="354">
        <v>52500.00290775</v>
      </c>
      <c r="P58" s="235">
        <f>K58+M58</f>
        <v>52500.002907749993</v>
      </c>
      <c r="R58" s="126"/>
      <c r="S58" s="356" t="s">
        <v>137</v>
      </c>
      <c r="U58" s="64"/>
      <c r="V58" s="64"/>
      <c r="W58" s="64"/>
      <c r="X58" s="64"/>
      <c r="Y58" s="64"/>
    </row>
    <row r="59" spans="2:25" x14ac:dyDescent="0.25">
      <c r="B59" s="318"/>
      <c r="C59" s="25"/>
      <c r="D59" s="24" t="s">
        <v>6</v>
      </c>
      <c r="E59" s="153"/>
      <c r="F59" s="247">
        <f t="shared" si="15"/>
        <v>0</v>
      </c>
      <c r="G59" s="249">
        <f>O59*H7</f>
        <v>21259.259259259259</v>
      </c>
      <c r="H59" s="247">
        <f t="shared" si="16"/>
        <v>0.51851851851851838</v>
      </c>
      <c r="I59" s="154">
        <f>O59*J7</f>
        <v>18981.481481481482</v>
      </c>
      <c r="J59" s="247">
        <f t="shared" si="17"/>
        <v>0.46296296296296291</v>
      </c>
      <c r="K59" s="367">
        <f>E59+G59+I59</f>
        <v>40240.740740740745</v>
      </c>
      <c r="L59" s="247">
        <f t="shared" si="18"/>
        <v>0.9814814814814814</v>
      </c>
      <c r="M59" s="159">
        <f>O59*N7</f>
        <v>759.25925925925924</v>
      </c>
      <c r="N59" s="247">
        <f t="shared" si="6"/>
        <v>1.8518518518518514E-2</v>
      </c>
      <c r="O59" s="354">
        <v>41000</v>
      </c>
      <c r="P59" s="235">
        <f>K59+M59</f>
        <v>41000.000000000007</v>
      </c>
      <c r="R59" s="126"/>
      <c r="S59" s="356" t="s">
        <v>137</v>
      </c>
      <c r="U59" s="209"/>
      <c r="V59" s="64"/>
      <c r="W59" s="64"/>
      <c r="X59" s="64"/>
      <c r="Y59" s="64"/>
    </row>
    <row r="60" spans="2:25" ht="15.6" thickBot="1" x14ac:dyDescent="0.3">
      <c r="B60" s="319"/>
      <c r="C60" s="23"/>
      <c r="D60" s="22" t="s">
        <v>5</v>
      </c>
      <c r="E60" s="153"/>
      <c r="F60" s="247" t="e">
        <f t="shared" si="15"/>
        <v>#DIV/0!</v>
      </c>
      <c r="G60" s="249">
        <f>O60/($G$9+$I$9+$M$9)*$G$9</f>
        <v>0</v>
      </c>
      <c r="H60" s="247" t="e">
        <f t="shared" si="16"/>
        <v>#DIV/0!</v>
      </c>
      <c r="I60" s="154">
        <f>O60/($G$9+$I$9+$M$9)*$I$9</f>
        <v>0</v>
      </c>
      <c r="J60" s="247" t="e">
        <f t="shared" si="17"/>
        <v>#DIV/0!</v>
      </c>
      <c r="K60" s="367">
        <f>E60+G60+I60</f>
        <v>0</v>
      </c>
      <c r="L60" s="247" t="e">
        <f t="shared" si="18"/>
        <v>#DIV/0!</v>
      </c>
      <c r="M60" s="159">
        <f>O60/($G$9+$I$9+$M$9)*$M$9</f>
        <v>0</v>
      </c>
      <c r="N60" s="247" t="e">
        <f t="shared" si="6"/>
        <v>#DIV/0!</v>
      </c>
      <c r="O60" s="354">
        <v>0</v>
      </c>
      <c r="P60" s="235">
        <f>K60+M60</f>
        <v>0</v>
      </c>
      <c r="R60" s="126"/>
      <c r="S60" s="359"/>
      <c r="U60" s="64"/>
      <c r="V60" s="64"/>
      <c r="W60" s="64"/>
      <c r="X60" s="64"/>
      <c r="Y60" s="64"/>
    </row>
    <row r="61" spans="2:25" ht="15.6" thickBot="1" x14ac:dyDescent="0.3">
      <c r="B61" s="165"/>
      <c r="C61" s="21" t="s">
        <v>4</v>
      </c>
      <c r="D61" s="20"/>
      <c r="E61" s="7">
        <f>E13+E16+E18+E23+E39+E41+E42+E54+E57+E38+E37</f>
        <v>0</v>
      </c>
      <c r="F61" s="258">
        <f t="shared" si="15"/>
        <v>0</v>
      </c>
      <c r="G61" s="250">
        <f>G13+G16+G18+G23+G39+G41+G42+G54+G57+G38+G37</f>
        <v>3452383.7688981839</v>
      </c>
      <c r="H61" s="258"/>
      <c r="I61" s="7">
        <f>I13+I16+I18+I23+I39+I41+I42+I54+I57+I38+I37</f>
        <v>4399844.8425668245</v>
      </c>
      <c r="J61" s="258"/>
      <c r="K61" s="7">
        <f>K13+K16+K18+K23+K39+K41+K42+K54+K57+K38+K37</f>
        <v>7852228.6114650089</v>
      </c>
      <c r="L61" s="258"/>
      <c r="M61" s="17">
        <f>M13+M16+M18+M23+M39+M41+M42+M54+M57+M38+M37</f>
        <v>179608.78743876939</v>
      </c>
      <c r="N61" s="258"/>
      <c r="O61" s="295"/>
      <c r="P61" s="7">
        <f>P13+P16+P18+P23+P39+P41+P42+P54+P57+P38+P37</f>
        <v>8031837.3989037778</v>
      </c>
      <c r="Q61" s="133"/>
      <c r="R61" s="126"/>
      <c r="S61" s="361"/>
      <c r="T61" s="133"/>
      <c r="U61" s="64"/>
      <c r="V61" s="64"/>
      <c r="W61" s="64"/>
      <c r="X61" s="64"/>
      <c r="Y61" s="64"/>
    </row>
    <row r="62" spans="2:25" ht="15.6" thickBot="1" x14ac:dyDescent="0.3">
      <c r="B62" s="165"/>
      <c r="C62" s="320" t="s">
        <v>3</v>
      </c>
      <c r="D62" s="321"/>
      <c r="E62" s="166"/>
      <c r="F62" s="247">
        <f t="shared" si="15"/>
        <v>0</v>
      </c>
      <c r="G62" s="253">
        <v>10006.231101816475</v>
      </c>
      <c r="H62" s="247">
        <f t="shared" si="16"/>
        <v>1.8359632655673436E-2</v>
      </c>
      <c r="I62" s="166">
        <v>534471.15743317548</v>
      </c>
      <c r="J62" s="247">
        <f t="shared" si="17"/>
        <v>0.98065835334788198</v>
      </c>
      <c r="K62" s="369">
        <f>+E62+G62+I62</f>
        <v>544477.388534992</v>
      </c>
      <c r="L62" s="247">
        <f t="shared" si="18"/>
        <v>0.99901798600355551</v>
      </c>
      <c r="M62" s="166">
        <v>535.21</v>
      </c>
      <c r="N62" s="247">
        <f t="shared" si="6"/>
        <v>9.8201399644459318E-4</v>
      </c>
      <c r="O62" s="354">
        <v>545012.6</v>
      </c>
      <c r="P62" s="211">
        <f>K62+M62</f>
        <v>545012.59853499196</v>
      </c>
      <c r="Q62" s="134"/>
      <c r="R62" s="126"/>
      <c r="S62" s="361"/>
      <c r="T62" s="134"/>
      <c r="U62" s="208"/>
      <c r="V62" s="64"/>
      <c r="W62" s="64"/>
      <c r="X62" s="64"/>
      <c r="Y62" s="64"/>
    </row>
    <row r="63" spans="2:25" ht="15.6" thickBot="1" x14ac:dyDescent="0.3">
      <c r="B63" s="165"/>
      <c r="C63" s="19" t="s">
        <v>2</v>
      </c>
      <c r="D63" s="18"/>
      <c r="E63" s="45">
        <f t="shared" ref="E63:I63" si="19">E61+E62</f>
        <v>0</v>
      </c>
      <c r="F63" s="258">
        <f t="shared" si="15"/>
        <v>0</v>
      </c>
      <c r="G63" s="288">
        <f t="shared" si="19"/>
        <v>3462390.0000000005</v>
      </c>
      <c r="H63" s="258"/>
      <c r="I63" s="289">
        <f t="shared" si="19"/>
        <v>4934316</v>
      </c>
      <c r="J63" s="258"/>
      <c r="K63" s="45">
        <f>K61+K62</f>
        <v>8396706</v>
      </c>
      <c r="L63" s="258"/>
      <c r="M63" s="383">
        <f>M61+M62</f>
        <v>180143.99743876938</v>
      </c>
      <c r="N63" s="258"/>
      <c r="O63" s="301">
        <v>8576849.9961754493</v>
      </c>
      <c r="P63" s="45">
        <f>P61+P62</f>
        <v>8576849.9974387698</v>
      </c>
      <c r="Q63" s="135"/>
      <c r="R63" s="126"/>
      <c r="S63" s="361"/>
      <c r="T63" s="135"/>
      <c r="U63" s="64"/>
      <c r="V63" s="64"/>
      <c r="W63" s="64"/>
      <c r="X63" s="64"/>
      <c r="Y63" s="64"/>
    </row>
    <row r="64" spans="2:25" ht="15.6" thickBot="1" x14ac:dyDescent="0.3">
      <c r="B64" s="165"/>
      <c r="C64" s="16"/>
      <c r="D64" s="15" t="s">
        <v>153</v>
      </c>
      <c r="E64" s="14">
        <f t="shared" ref="E64:I64" si="20">E63*(2.1%)</f>
        <v>0</v>
      </c>
      <c r="F64" s="247">
        <f t="shared" si="15"/>
        <v>0</v>
      </c>
      <c r="G64" s="254">
        <f t="shared" si="20"/>
        <v>72710.190000000017</v>
      </c>
      <c r="H64" s="247"/>
      <c r="I64" s="14">
        <f t="shared" si="20"/>
        <v>103620.63600000001</v>
      </c>
      <c r="J64" s="247"/>
      <c r="K64" s="370">
        <f>K63*(2.1%)</f>
        <v>176330.826</v>
      </c>
      <c r="L64" s="247"/>
      <c r="M64" s="384">
        <f>M63*(8.5%)</f>
        <v>15312.239782295399</v>
      </c>
      <c r="N64" s="247"/>
      <c r="O64" s="354"/>
      <c r="P64" s="14">
        <f>M64+K64</f>
        <v>191643.06578229539</v>
      </c>
      <c r="Q64" s="135"/>
      <c r="R64" s="126"/>
      <c r="S64" s="361"/>
      <c r="T64" s="135"/>
      <c r="U64" s="210"/>
      <c r="V64" s="64"/>
      <c r="W64" s="64"/>
      <c r="X64" s="64"/>
      <c r="Y64" s="64"/>
    </row>
    <row r="65" spans="1:25" s="65" customFormat="1" ht="15.6" thickBot="1" x14ac:dyDescent="0.3">
      <c r="A65" s="118"/>
      <c r="B65" s="167"/>
      <c r="C65" s="12" t="s">
        <v>0</v>
      </c>
      <c r="D65" s="11"/>
      <c r="E65" s="168">
        <f t="shared" ref="E65:I65" si="21">E63+E64</f>
        <v>0</v>
      </c>
      <c r="F65" s="257">
        <f t="shared" si="15"/>
        <v>0</v>
      </c>
      <c r="G65" s="255">
        <f t="shared" si="21"/>
        <v>3535100.1900000004</v>
      </c>
      <c r="H65" s="257"/>
      <c r="I65" s="168">
        <f t="shared" si="21"/>
        <v>5037936.6359999999</v>
      </c>
      <c r="J65" s="257"/>
      <c r="K65" s="10">
        <f>K63+K64</f>
        <v>8573036.8259999994</v>
      </c>
      <c r="L65" s="257"/>
      <c r="M65" s="385">
        <f>M63+M64</f>
        <v>195456.23722106477</v>
      </c>
      <c r="N65" s="257"/>
      <c r="O65" s="296"/>
      <c r="P65" s="168">
        <f>P63+P64</f>
        <v>8768493.0632210653</v>
      </c>
      <c r="Q65" s="135"/>
      <c r="R65" s="126"/>
      <c r="S65" s="361"/>
      <c r="T65" s="136"/>
    </row>
    <row r="66" spans="1:25" s="66" customFormat="1" x14ac:dyDescent="0.25">
      <c r="A66" s="119"/>
      <c r="B66" s="137"/>
      <c r="C66" s="115"/>
      <c r="D66" s="138"/>
      <c r="E66" s="138"/>
      <c r="F66" s="138"/>
      <c r="G66" s="287">
        <v>3462390</v>
      </c>
      <c r="H66" s="138"/>
      <c r="I66" s="287">
        <v>4934316</v>
      </c>
      <c r="J66" s="138"/>
      <c r="K66" s="138"/>
      <c r="L66" s="138"/>
      <c r="M66" s="386">
        <v>180143.99617545001</v>
      </c>
      <c r="N66" s="138"/>
      <c r="P66" s="287">
        <v>8768493.0700000003</v>
      </c>
      <c r="Q66" s="135"/>
      <c r="R66" s="119"/>
      <c r="S66" s="362"/>
      <c r="T66" s="119"/>
    </row>
    <row r="67" spans="1:25" s="66" customFormat="1" ht="17.399999999999999" x14ac:dyDescent="0.3">
      <c r="A67" s="119"/>
      <c r="B67" s="137"/>
      <c r="C67" s="115"/>
      <c r="D67" s="351"/>
      <c r="E67" s="138"/>
      <c r="F67" s="138"/>
      <c r="G67" s="350"/>
      <c r="H67" s="138"/>
      <c r="I67" s="350"/>
      <c r="J67" s="138"/>
      <c r="K67" s="138"/>
      <c r="L67" s="138"/>
      <c r="M67" s="387"/>
      <c r="N67" s="138"/>
      <c r="O67" s="297"/>
      <c r="P67" s="116"/>
      <c r="Q67" s="119"/>
      <c r="R67" s="119"/>
      <c r="S67" s="362"/>
      <c r="T67" s="119"/>
      <c r="U67" s="119"/>
      <c r="V67" s="119"/>
      <c r="W67" s="119"/>
      <c r="X67" s="119"/>
      <c r="Y67" s="119"/>
    </row>
    <row r="68" spans="1:25" s="66" customFormat="1" ht="17.399999999999999" x14ac:dyDescent="0.3">
      <c r="A68" s="119"/>
      <c r="B68" s="137"/>
      <c r="C68" s="115"/>
      <c r="D68" s="139" t="s">
        <v>93</v>
      </c>
      <c r="E68" s="140"/>
      <c r="F68" s="140"/>
      <c r="H68" s="140"/>
      <c r="I68" s="140"/>
      <c r="J68" s="140"/>
      <c r="K68" s="140"/>
      <c r="L68" s="140"/>
      <c r="M68" s="388"/>
      <c r="N68" s="140"/>
      <c r="O68" s="298"/>
      <c r="P68" s="141"/>
      <c r="Q68" s="119"/>
      <c r="R68" s="119"/>
      <c r="S68" s="362"/>
      <c r="T68" s="119"/>
      <c r="U68" s="119"/>
      <c r="V68" s="119"/>
      <c r="W68" s="119"/>
      <c r="X68" s="119"/>
      <c r="Y68" s="119"/>
    </row>
    <row r="69" spans="1:25" s="66" customFormat="1" ht="17.399999999999999" x14ac:dyDescent="0.3">
      <c r="A69" s="119"/>
      <c r="B69" s="137"/>
      <c r="C69" s="115"/>
      <c r="D69" s="142" t="s">
        <v>94</v>
      </c>
      <c r="E69" s="143"/>
      <c r="F69" s="143"/>
      <c r="G69" s="143"/>
      <c r="H69" s="143"/>
      <c r="I69" s="143"/>
      <c r="J69" s="143"/>
      <c r="K69" s="143"/>
      <c r="L69" s="143"/>
      <c r="M69" s="389"/>
      <c r="N69" s="143"/>
      <c r="O69" s="299"/>
      <c r="P69" s="238">
        <f ca="1">TODAY()</f>
        <v>45088</v>
      </c>
      <c r="Q69" s="119"/>
      <c r="R69" s="119"/>
      <c r="S69" s="362"/>
      <c r="T69" s="119"/>
      <c r="U69" s="119"/>
      <c r="V69" s="119"/>
      <c r="W69" s="119"/>
      <c r="X69" s="119"/>
      <c r="Y69" s="119"/>
    </row>
    <row r="70" spans="1:25" ht="17.399999999999999" x14ac:dyDescent="0.3">
      <c r="B70" s="137"/>
      <c r="D70" s="312"/>
      <c r="E70" s="313"/>
      <c r="F70" s="313"/>
      <c r="G70" s="313"/>
      <c r="H70" s="313"/>
      <c r="I70" s="313"/>
      <c r="J70" s="313"/>
      <c r="K70" s="313"/>
      <c r="L70" s="313"/>
      <c r="M70" s="313"/>
      <c r="N70" s="313"/>
      <c r="O70" s="313"/>
      <c r="P70" s="314"/>
      <c r="Q70" s="119"/>
      <c r="R70" s="119"/>
      <c r="S70" s="362"/>
      <c r="T70" s="119"/>
    </row>
    <row r="71" spans="1:25" ht="17.399999999999999" x14ac:dyDescent="0.3">
      <c r="B71" s="137"/>
      <c r="D71" s="312"/>
      <c r="E71" s="313"/>
      <c r="F71" s="313"/>
      <c r="G71" s="313"/>
      <c r="H71" s="313"/>
      <c r="I71" s="313"/>
      <c r="J71" s="313"/>
      <c r="K71" s="313"/>
      <c r="L71" s="313"/>
      <c r="M71" s="313"/>
      <c r="N71" s="313"/>
      <c r="O71" s="313"/>
      <c r="P71" s="314"/>
      <c r="Q71" s="119"/>
      <c r="R71" s="119"/>
      <c r="S71" s="362"/>
      <c r="T71" s="119"/>
    </row>
    <row r="72" spans="1:25" ht="17.399999999999999" x14ac:dyDescent="0.3">
      <c r="B72" s="137"/>
      <c r="D72" s="312"/>
      <c r="E72" s="313"/>
      <c r="F72" s="313"/>
      <c r="G72" s="313"/>
      <c r="H72" s="313"/>
      <c r="I72" s="313"/>
      <c r="J72" s="313"/>
      <c r="K72" s="313"/>
      <c r="L72" s="313"/>
      <c r="M72" s="313"/>
      <c r="N72" s="313"/>
      <c r="O72" s="313"/>
      <c r="P72" s="314"/>
      <c r="Q72" s="119"/>
      <c r="R72" s="119"/>
      <c r="S72" s="362"/>
      <c r="T72" s="119"/>
    </row>
    <row r="73" spans="1:25" x14ac:dyDescent="0.25">
      <c r="B73" s="137"/>
      <c r="D73" s="309" t="s">
        <v>95</v>
      </c>
      <c r="E73" s="310"/>
      <c r="F73" s="310"/>
      <c r="G73" s="310"/>
      <c r="H73" s="310"/>
      <c r="I73" s="310"/>
      <c r="J73" s="310"/>
      <c r="K73" s="310"/>
      <c r="L73" s="310"/>
      <c r="M73" s="310"/>
      <c r="N73" s="310"/>
      <c r="O73" s="310"/>
      <c r="P73" s="311"/>
      <c r="Q73" s="119"/>
      <c r="R73" s="119"/>
      <c r="S73" s="362"/>
      <c r="T73" s="119"/>
      <c r="U73" s="117"/>
      <c r="V73" s="118"/>
      <c r="W73" s="118"/>
    </row>
    <row r="74" spans="1:25" x14ac:dyDescent="0.25">
      <c r="B74" s="137"/>
      <c r="P74" s="115"/>
      <c r="Q74" s="119"/>
      <c r="R74" s="119"/>
      <c r="S74" s="362"/>
      <c r="T74" s="119"/>
    </row>
    <row r="75" spans="1:25" x14ac:dyDescent="0.25">
      <c r="B75" s="137"/>
      <c r="P75" s="115"/>
      <c r="Q75" s="115"/>
      <c r="R75" s="115"/>
      <c r="S75" s="358"/>
      <c r="T75" s="115"/>
    </row>
    <row r="76" spans="1:25" x14ac:dyDescent="0.25">
      <c r="B76" s="137"/>
      <c r="P76" s="115"/>
      <c r="Q76" s="115"/>
      <c r="R76" s="115"/>
      <c r="S76" s="358"/>
      <c r="T76" s="115"/>
    </row>
    <row r="77" spans="1:25" x14ac:dyDescent="0.25">
      <c r="B77" s="137"/>
      <c r="P77" s="115"/>
      <c r="Q77" s="115"/>
      <c r="R77" s="115"/>
      <c r="S77" s="358"/>
      <c r="T77" s="115"/>
    </row>
    <row r="78" spans="1:25" x14ac:dyDescent="0.25">
      <c r="B78" s="137"/>
      <c r="P78" s="115"/>
      <c r="Q78" s="115"/>
      <c r="R78" s="115"/>
      <c r="S78" s="358"/>
      <c r="T78" s="115"/>
    </row>
    <row r="79" spans="1:25" x14ac:dyDescent="0.25">
      <c r="B79" s="137"/>
      <c r="P79" s="115"/>
      <c r="Q79" s="115"/>
      <c r="R79" s="115"/>
      <c r="S79" s="358"/>
      <c r="T79" s="115"/>
    </row>
    <row r="80" spans="1:25" x14ac:dyDescent="0.25">
      <c r="B80" s="137"/>
      <c r="P80" s="115"/>
      <c r="Q80" s="115"/>
      <c r="R80" s="115"/>
      <c r="S80" s="358"/>
      <c r="T80" s="115"/>
    </row>
    <row r="81" spans="2:20" x14ac:dyDescent="0.25">
      <c r="B81" s="137"/>
      <c r="P81" s="115"/>
      <c r="Q81" s="115"/>
      <c r="R81" s="115"/>
      <c r="S81" s="358"/>
      <c r="T81" s="115"/>
    </row>
    <row r="82" spans="2:20" ht="18.75" customHeight="1" x14ac:dyDescent="0.25">
      <c r="B82" s="137"/>
      <c r="P82" s="115"/>
      <c r="Q82" s="115"/>
      <c r="R82" s="115"/>
      <c r="S82" s="358"/>
      <c r="T82" s="115"/>
    </row>
    <row r="83" spans="2:20" ht="15" hidden="1" customHeight="1" x14ac:dyDescent="0.25">
      <c r="B83" s="137"/>
      <c r="P83" s="115"/>
      <c r="Q83" s="115"/>
      <c r="R83" s="115"/>
      <c r="S83" s="358"/>
      <c r="T83" s="115"/>
    </row>
    <row r="84" spans="2:20" x14ac:dyDescent="0.25">
      <c r="B84" s="137"/>
      <c r="P84" s="115"/>
      <c r="Q84" s="115"/>
      <c r="R84" s="115"/>
      <c r="S84" s="358"/>
      <c r="T84" s="115"/>
    </row>
    <row r="85" spans="2:20" x14ac:dyDescent="0.25">
      <c r="B85" s="137"/>
      <c r="P85" s="115"/>
      <c r="Q85" s="115"/>
      <c r="R85" s="115"/>
      <c r="S85" s="358"/>
      <c r="T85" s="115"/>
    </row>
    <row r="86" spans="2:20" x14ac:dyDescent="0.25">
      <c r="B86" s="137"/>
      <c r="P86" s="115"/>
      <c r="Q86" s="115"/>
      <c r="R86" s="115"/>
      <c r="S86" s="358"/>
      <c r="T86" s="115"/>
    </row>
    <row r="87" spans="2:20" x14ac:dyDescent="0.25">
      <c r="B87" s="137"/>
      <c r="P87" s="115"/>
      <c r="Q87" s="115"/>
      <c r="R87" s="115"/>
      <c r="S87" s="358"/>
      <c r="T87" s="115"/>
    </row>
    <row r="88" spans="2:20" ht="15" hidden="1" customHeight="1" x14ac:dyDescent="0.25">
      <c r="B88" s="137"/>
      <c r="P88" s="115"/>
      <c r="Q88" s="115"/>
      <c r="R88" s="115"/>
      <c r="S88" s="358"/>
      <c r="T88" s="115"/>
    </row>
    <row r="89" spans="2:20" x14ac:dyDescent="0.25">
      <c r="B89" s="137"/>
      <c r="P89" s="115"/>
      <c r="Q89" s="115"/>
      <c r="R89" s="115"/>
      <c r="S89" s="358"/>
      <c r="T89" s="115"/>
    </row>
    <row r="90" spans="2:20" x14ac:dyDescent="0.25">
      <c r="B90" s="137"/>
      <c r="P90" s="115"/>
      <c r="Q90" s="115"/>
      <c r="R90" s="115"/>
      <c r="S90" s="358"/>
      <c r="T90" s="115"/>
    </row>
    <row r="91" spans="2:20" x14ac:dyDescent="0.25">
      <c r="B91" s="137"/>
      <c r="P91" s="115"/>
      <c r="Q91" s="115"/>
      <c r="R91" s="115"/>
      <c r="S91" s="358"/>
      <c r="T91" s="115"/>
    </row>
    <row r="92" spans="2:20" x14ac:dyDescent="0.25">
      <c r="B92" s="137"/>
      <c r="P92" s="115"/>
      <c r="Q92" s="115"/>
      <c r="R92" s="115"/>
      <c r="S92" s="358"/>
      <c r="T92" s="115"/>
    </row>
    <row r="93" spans="2:20" x14ac:dyDescent="0.25">
      <c r="B93" s="137"/>
      <c r="P93" s="115"/>
      <c r="Q93" s="115"/>
      <c r="R93" s="115"/>
      <c r="S93" s="358"/>
      <c r="T93" s="115"/>
    </row>
    <row r="94" spans="2:20" x14ac:dyDescent="0.25">
      <c r="B94" s="137"/>
      <c r="P94" s="115"/>
      <c r="Q94" s="115"/>
      <c r="R94" s="115"/>
      <c r="S94" s="358"/>
      <c r="T94" s="115"/>
    </row>
    <row r="95" spans="2:20" x14ac:dyDescent="0.25">
      <c r="B95" s="137"/>
      <c r="P95" s="115"/>
      <c r="Q95" s="115"/>
      <c r="R95" s="115"/>
      <c r="S95" s="358"/>
      <c r="T95" s="115"/>
    </row>
    <row r="96" spans="2:20" x14ac:dyDescent="0.25">
      <c r="B96" s="137"/>
      <c r="P96" s="115"/>
      <c r="Q96" s="115"/>
      <c r="R96" s="115"/>
      <c r="S96" s="358"/>
      <c r="T96" s="115"/>
    </row>
    <row r="97" spans="2:20" x14ac:dyDescent="0.25">
      <c r="B97" s="137"/>
      <c r="P97" s="115"/>
      <c r="Q97" s="115"/>
      <c r="R97" s="115"/>
      <c r="S97" s="358"/>
      <c r="T97" s="115"/>
    </row>
    <row r="98" spans="2:20" x14ac:dyDescent="0.25">
      <c r="B98" s="137"/>
      <c r="P98" s="115"/>
      <c r="Q98" s="115"/>
      <c r="R98" s="115"/>
      <c r="S98" s="358"/>
      <c r="T98" s="115"/>
    </row>
  </sheetData>
  <sheetProtection selectLockedCells="1"/>
  <mergeCells count="17">
    <mergeCell ref="C6:C11"/>
    <mergeCell ref="D73:P73"/>
    <mergeCell ref="D72:P72"/>
    <mergeCell ref="V21:X21"/>
    <mergeCell ref="B57:B60"/>
    <mergeCell ref="C62:D62"/>
    <mergeCell ref="D70:P70"/>
    <mergeCell ref="D71:P71"/>
    <mergeCell ref="C23:D23"/>
    <mergeCell ref="B24:B36"/>
    <mergeCell ref="C37:D37"/>
    <mergeCell ref="C38:D38"/>
    <mergeCell ref="Y21:Y22"/>
    <mergeCell ref="B13:B15"/>
    <mergeCell ref="B16:B17"/>
    <mergeCell ref="B18:B22"/>
    <mergeCell ref="B39:B40"/>
  </mergeCells>
  <conditionalFormatting sqref="C6">
    <cfRule type="expression" priority="5" stopIfTrue="1">
      <formula>TRUE</formula>
    </cfRule>
  </conditionalFormatting>
  <conditionalFormatting sqref="C13 C16 C39 C41:C42 C57">
    <cfRule type="expression" priority="10" stopIfTrue="1">
      <formula>TRUE</formula>
    </cfRule>
  </conditionalFormatting>
  <conditionalFormatting sqref="E65 G65 I65 K65 P65">
    <cfRule type="cellIs" dxfId="11" priority="11" stopIfTrue="1" operator="equal">
      <formula>#REF!</formula>
    </cfRule>
    <cfRule type="cellIs" dxfId="10" priority="12" stopIfTrue="1" operator="notEqual">
      <formula>#REF!</formula>
    </cfRule>
  </conditionalFormatting>
  <conditionalFormatting sqref="M65">
    <cfRule type="cellIs" dxfId="9" priority="1" stopIfTrue="1" operator="equal">
      <formula>#REF!</formula>
    </cfRule>
    <cfRule type="cellIs" dxfId="8" priority="2" stopIfTrue="1" operator="notEqual">
      <formula>#REF!</formula>
    </cfRule>
  </conditionalFormatting>
  <dataValidations count="1">
    <dataValidation type="list" allowBlank="1" showInputMessage="1" showErrorMessage="1" sqref="S14:S15 S58:S60 S55:S56 S43:S53 S40:S41 S37:S38 S24:S35 S19:S22 S17" xr:uid="{00EE7CB1-FF07-4A9C-A002-B5119213E4C1}">
      <formula1>$D$7:$D$11</formula1>
    </dataValidation>
  </dataValidations>
  <printOptions horizontalCentered="1"/>
  <pageMargins left="0.19685039370078741" right="0.19685039370078741" top="0.74803149606299213" bottom="0.55118110236220474" header="0.31496062992125984" footer="0.31496062992125984"/>
  <pageSetup paperSize="8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B5:E65"/>
  <sheetViews>
    <sheetView view="pageBreakPreview" topLeftCell="A12" zoomScale="85" zoomScaleNormal="55" zoomScaleSheetLayoutView="85" workbookViewId="0">
      <selection activeCell="E14" sqref="E14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24" t="str">
        <f>'DPR GLOBAL_clé répartition'!C6</f>
        <v>VEFA "OPERATION SILOE"</v>
      </c>
      <c r="D6" s="74" t="s">
        <v>136</v>
      </c>
      <c r="E6" s="260" t="str">
        <f>'DPR GLOBAL_clé répartition'!G6</f>
        <v>LLTS</v>
      </c>
    </row>
    <row r="7" spans="2:5" x14ac:dyDescent="0.25">
      <c r="C7" s="325"/>
      <c r="D7" s="75" t="s">
        <v>120</v>
      </c>
      <c r="E7" s="261">
        <f>'DPR GLOBAL_clé répartition'!G7</f>
        <v>28</v>
      </c>
    </row>
    <row r="8" spans="2:5" x14ac:dyDescent="0.25">
      <c r="C8" s="325"/>
      <c r="D8" s="77" t="s">
        <v>159</v>
      </c>
      <c r="E8" s="226">
        <f>'DPR GLOBAL_clé répartition'!G8</f>
        <v>1505.7</v>
      </c>
    </row>
    <row r="9" spans="2:5" x14ac:dyDescent="0.25">
      <c r="C9" s="325"/>
      <c r="D9" s="77" t="s">
        <v>131</v>
      </c>
      <c r="E9" s="226">
        <f>'DPR GLOBAL_clé répartition'!G9</f>
        <v>1400.84</v>
      </c>
    </row>
    <row r="10" spans="2:5" ht="15.6" thickBot="1" x14ac:dyDescent="0.3">
      <c r="C10" s="326"/>
      <c r="D10" s="76" t="s">
        <v>121</v>
      </c>
      <c r="E10" s="262">
        <f>'DPR GLOBAL_clé répartition'!G11</f>
        <v>1682.4299999999998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51" t="s">
        <v>57</v>
      </c>
      <c r="C12" s="50" t="s">
        <v>56</v>
      </c>
      <c r="D12" s="49"/>
      <c r="E12" s="48"/>
    </row>
    <row r="13" spans="2:5" x14ac:dyDescent="0.25">
      <c r="B13" s="327" t="s">
        <v>55</v>
      </c>
      <c r="C13" s="47" t="s">
        <v>54</v>
      </c>
      <c r="D13" s="46"/>
      <c r="E13" s="45">
        <f>SUM(E14:E15)</f>
        <v>418112.41261957434</v>
      </c>
    </row>
    <row r="14" spans="2:5" x14ac:dyDescent="0.25">
      <c r="B14" s="332"/>
      <c r="C14" s="26"/>
      <c r="D14" s="24" t="s">
        <v>53</v>
      </c>
      <c r="E14" s="227">
        <f>'DPR GLOBAL_clé répartition'!G14</f>
        <v>407844.07176926057</v>
      </c>
    </row>
    <row r="15" spans="2:5" ht="15.6" thickBot="1" x14ac:dyDescent="0.3">
      <c r="B15" s="328"/>
      <c r="C15" s="41"/>
      <c r="D15" s="31" t="s">
        <v>52</v>
      </c>
      <c r="E15" s="227">
        <f>'DPR GLOBAL_clé répartition'!G15</f>
        <v>10268.34085031376</v>
      </c>
    </row>
    <row r="16" spans="2:5" ht="15.6" thickBot="1" x14ac:dyDescent="0.3">
      <c r="B16" s="327" t="s">
        <v>51</v>
      </c>
      <c r="C16" s="6" t="s">
        <v>50</v>
      </c>
      <c r="D16" s="8"/>
      <c r="E16" s="7">
        <f>SUM(E17)</f>
        <v>4810.4697647105422</v>
      </c>
    </row>
    <row r="17" spans="2:5" ht="15.6" thickBot="1" x14ac:dyDescent="0.3">
      <c r="B17" s="328"/>
      <c r="C17" s="44"/>
      <c r="D17" s="31" t="s">
        <v>49</v>
      </c>
      <c r="E17" s="227">
        <f>'DPR GLOBAL_clé répartition'!G17</f>
        <v>4810.4697647105422</v>
      </c>
    </row>
    <row r="18" spans="2:5" ht="53.4" customHeight="1" thickBot="1" x14ac:dyDescent="0.3">
      <c r="B18" s="327" t="s">
        <v>48</v>
      </c>
      <c r="C18" s="6" t="s">
        <v>47</v>
      </c>
      <c r="D18" s="8"/>
      <c r="E18" s="7">
        <f>SUM(E19:E22)</f>
        <v>257314.93466486313</v>
      </c>
    </row>
    <row r="19" spans="2:5" x14ac:dyDescent="0.25">
      <c r="B19" s="332"/>
      <c r="C19" s="42"/>
      <c r="D19" s="24" t="s">
        <v>46</v>
      </c>
      <c r="E19" s="227">
        <f>'DPR GLOBAL_clé répartition'!G19</f>
        <v>242614.93426550794</v>
      </c>
    </row>
    <row r="20" spans="2:5" x14ac:dyDescent="0.25">
      <c r="B20" s="332"/>
      <c r="C20" s="25"/>
      <c r="D20" s="33" t="s">
        <v>45</v>
      </c>
      <c r="E20" s="227">
        <f>'DPR GLOBAL_clé répartition'!G20</f>
        <v>8037.0361488407398</v>
      </c>
    </row>
    <row r="21" spans="2:5" x14ac:dyDescent="0.25">
      <c r="B21" s="332"/>
      <c r="C21" s="25"/>
      <c r="D21" s="31" t="s">
        <v>44</v>
      </c>
      <c r="E21" s="227">
        <f>'DPR GLOBAL_clé répartition'!G21</f>
        <v>3733.3321178844444</v>
      </c>
    </row>
    <row r="22" spans="2:5" ht="15.6" thickBot="1" x14ac:dyDescent="0.3">
      <c r="B22" s="328"/>
      <c r="C22" s="41"/>
      <c r="D22" s="33" t="s">
        <v>43</v>
      </c>
      <c r="E22" s="227">
        <f>'DPR GLOBAL_clé répartition'!G22</f>
        <v>2929.6321326299999</v>
      </c>
    </row>
    <row r="23" spans="2:5" ht="21.15" customHeight="1" thickBot="1" x14ac:dyDescent="0.3">
      <c r="B23" s="43"/>
      <c r="C23" s="322" t="s">
        <v>42</v>
      </c>
      <c r="D23" s="323"/>
      <c r="E23" s="27">
        <f>SUM(E24:E36)-E37-E38-E39</f>
        <v>1838562.6028387863</v>
      </c>
    </row>
    <row r="24" spans="2:5" ht="108.75" customHeight="1" x14ac:dyDescent="0.25">
      <c r="B24" s="332" t="s">
        <v>41</v>
      </c>
      <c r="C24" s="42"/>
      <c r="D24" s="156" t="s">
        <v>40</v>
      </c>
      <c r="E24" s="228">
        <f>'DPR GLOBAL_clé répartition'!G24</f>
        <v>1154512.4507194015</v>
      </c>
    </row>
    <row r="25" spans="2:5" x14ac:dyDescent="0.25">
      <c r="B25" s="332"/>
      <c r="C25" s="25"/>
      <c r="D25" s="156" t="s">
        <v>154</v>
      </c>
      <c r="E25" s="228">
        <f>'DPR GLOBAL_clé répartition'!G25</f>
        <v>83660.322472371045</v>
      </c>
    </row>
    <row r="26" spans="2:5" x14ac:dyDescent="0.25">
      <c r="B26" s="332"/>
      <c r="C26" s="25"/>
      <c r="D26" s="156" t="s">
        <v>39</v>
      </c>
      <c r="E26" s="228">
        <f>'DPR GLOBAL_clé répartition'!G26</f>
        <v>67437.642542078102</v>
      </c>
    </row>
    <row r="27" spans="2:5" x14ac:dyDescent="0.25">
      <c r="B27" s="332"/>
      <c r="C27" s="25"/>
      <c r="D27" s="156" t="s">
        <v>155</v>
      </c>
      <c r="E27" s="228">
        <f>'DPR GLOBAL_clé répartition'!G27</f>
        <v>96309.383255405322</v>
      </c>
    </row>
    <row r="28" spans="2:5" x14ac:dyDescent="0.25">
      <c r="B28" s="332"/>
      <c r="C28" s="25"/>
      <c r="D28" s="156" t="s">
        <v>72</v>
      </c>
      <c r="E28" s="228">
        <f>'DPR GLOBAL_clé répartition'!G28</f>
        <v>111061.36756148491</v>
      </c>
    </row>
    <row r="29" spans="2:5" x14ac:dyDescent="0.25">
      <c r="B29" s="332"/>
      <c r="C29" s="25"/>
      <c r="D29" s="156" t="s">
        <v>156</v>
      </c>
      <c r="E29" s="228">
        <f>'DPR GLOBAL_clé répartition'!G29</f>
        <v>51842.687704222553</v>
      </c>
    </row>
    <row r="30" spans="2:5" x14ac:dyDescent="0.25">
      <c r="B30" s="332"/>
      <c r="C30" s="41"/>
      <c r="D30" s="156" t="s">
        <v>38</v>
      </c>
      <c r="E30" s="228">
        <f>'DPR GLOBAL_clé répartition'!G30</f>
        <v>112941.4362148794</v>
      </c>
    </row>
    <row r="31" spans="2:5" x14ac:dyDescent="0.25">
      <c r="B31" s="332"/>
      <c r="C31" s="25"/>
      <c r="D31" s="156" t="s">
        <v>37</v>
      </c>
      <c r="E31" s="228">
        <f>'DPR GLOBAL_clé répartition'!G31</f>
        <v>98719.17905317487</v>
      </c>
    </row>
    <row r="32" spans="2:5" x14ac:dyDescent="0.25">
      <c r="B32" s="332"/>
      <c r="C32" s="25"/>
      <c r="D32" s="156" t="s">
        <v>36</v>
      </c>
      <c r="E32" s="228">
        <f>'DPR GLOBAL_clé répartition'!G32</f>
        <v>65962.444111470162</v>
      </c>
    </row>
    <row r="33" spans="2:5" x14ac:dyDescent="0.25">
      <c r="B33" s="332"/>
      <c r="C33" s="25"/>
      <c r="D33" s="156" t="s">
        <v>92</v>
      </c>
      <c r="E33" s="228">
        <f>'DPR GLOBAL_clé répartition'!G33</f>
        <v>136158.20854700747</v>
      </c>
    </row>
    <row r="34" spans="2:5" x14ac:dyDescent="0.25">
      <c r="B34" s="332"/>
      <c r="C34" s="25"/>
      <c r="D34" s="156" t="s">
        <v>161</v>
      </c>
      <c r="E34" s="228">
        <f>'DPR GLOBAL_clé répartition'!G34</f>
        <v>103263.89014255712</v>
      </c>
    </row>
    <row r="35" spans="2:5" x14ac:dyDescent="0.25">
      <c r="B35" s="332"/>
      <c r="C35" s="25"/>
      <c r="D35" s="157" t="s">
        <v>34</v>
      </c>
      <c r="E35" s="228">
        <f>'DPR GLOBAL_clé répartition'!G35</f>
        <v>29503.968612159177</v>
      </c>
    </row>
    <row r="36" spans="2:5" ht="15.6" thickBot="1" x14ac:dyDescent="0.3">
      <c r="B36" s="332"/>
      <c r="C36" s="25"/>
      <c r="D36" s="233" t="s">
        <v>160</v>
      </c>
      <c r="E36" s="232">
        <f>'DPR GLOBAL_clé répartition'!G36</f>
        <v>0</v>
      </c>
    </row>
    <row r="37" spans="2:5" ht="30.6" thickBot="1" x14ac:dyDescent="0.3">
      <c r="B37" s="83" t="s">
        <v>33</v>
      </c>
      <c r="C37" s="242" t="s">
        <v>164</v>
      </c>
      <c r="D37" s="243" t="s">
        <v>32</v>
      </c>
      <c r="E37" s="268">
        <f>'DPR GLOBAL_clé répartition'!G37</f>
        <v>163137.62882112354</v>
      </c>
    </row>
    <row r="38" spans="2:5" ht="34.5" customHeight="1" thickBot="1" x14ac:dyDescent="0.3">
      <c r="B38" s="78" t="s">
        <v>31</v>
      </c>
      <c r="C38" s="242" t="s">
        <v>164</v>
      </c>
      <c r="D38" s="244" t="s">
        <v>30</v>
      </c>
      <c r="E38" s="269">
        <f>'DPR GLOBAL_clé répartition'!G38</f>
        <v>16313.762882112354</v>
      </c>
    </row>
    <row r="39" spans="2:5" ht="15.75" customHeight="1" thickBot="1" x14ac:dyDescent="0.3">
      <c r="B39" s="327" t="s">
        <v>29</v>
      </c>
      <c r="C39" s="6" t="s">
        <v>28</v>
      </c>
      <c r="D39" s="8"/>
      <c r="E39" s="27">
        <f>E40</f>
        <v>93358.9863941894</v>
      </c>
    </row>
    <row r="40" spans="2:5" ht="50.25" customHeight="1" thickBot="1" x14ac:dyDescent="0.3">
      <c r="B40" s="328"/>
      <c r="C40" s="242" t="s">
        <v>164</v>
      </c>
      <c r="D40" s="245" t="s">
        <v>27</v>
      </c>
      <c r="E40" s="246">
        <f>'DPR GLOBAL_clé répartition'!G40</f>
        <v>93358.9863941894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30">
        <f>'DPR GLOBAL_clé répartition'!G41</f>
        <v>17888.888888888887</v>
      </c>
    </row>
    <row r="42" spans="2:5" ht="15.6" thickBot="1" x14ac:dyDescent="0.3">
      <c r="B42" s="79" t="s">
        <v>24</v>
      </c>
      <c r="C42" s="6" t="s">
        <v>23</v>
      </c>
      <c r="D42" s="8"/>
      <c r="E42" s="27">
        <f>SUM(E43:E53)</f>
        <v>554878.37084015168</v>
      </c>
    </row>
    <row r="43" spans="2:5" x14ac:dyDescent="0.25">
      <c r="B43" s="80"/>
      <c r="C43" s="26"/>
      <c r="D43" s="24" t="s">
        <v>22</v>
      </c>
      <c r="E43" s="231">
        <f>'DPR GLOBAL_clé répartition'!G43</f>
        <v>163137.63008815912</v>
      </c>
    </row>
    <row r="44" spans="2:5" x14ac:dyDescent="0.25">
      <c r="B44" s="80"/>
      <c r="C44" s="26"/>
      <c r="D44" s="24" t="s">
        <v>21</v>
      </c>
      <c r="E44" s="231">
        <f>'DPR GLOBAL_clé répartition'!G44</f>
        <v>0</v>
      </c>
    </row>
    <row r="45" spans="2:5" x14ac:dyDescent="0.25">
      <c r="B45" s="80"/>
      <c r="C45" s="26"/>
      <c r="D45" s="24" t="s">
        <v>20</v>
      </c>
      <c r="E45" s="231">
        <f>'DPR GLOBAL_clé répartition'!G45</f>
        <v>2851.8543801740743</v>
      </c>
    </row>
    <row r="46" spans="2:5" x14ac:dyDescent="0.25">
      <c r="B46" s="80"/>
      <c r="C46" s="26"/>
      <c r="D46" s="24" t="s">
        <v>19</v>
      </c>
      <c r="E46" s="231">
        <f>'DPR GLOBAL_clé répartition'!G46</f>
        <v>16074.07229768148</v>
      </c>
    </row>
    <row r="47" spans="2:5" x14ac:dyDescent="0.25">
      <c r="B47" s="80"/>
      <c r="C47" s="26"/>
      <c r="D47" s="24" t="s">
        <v>18</v>
      </c>
      <c r="E47" s="231">
        <f>'DPR GLOBAL_clé répartition'!G47</f>
        <v>8296.2970520888884</v>
      </c>
    </row>
    <row r="48" spans="2:5" x14ac:dyDescent="0.25">
      <c r="B48" s="80"/>
      <c r="C48" s="26"/>
      <c r="D48" s="24" t="s">
        <v>17</v>
      </c>
      <c r="E48" s="231">
        <f>'DPR GLOBAL_clé répartition'!G48</f>
        <v>10888.887419459259</v>
      </c>
    </row>
    <row r="49" spans="2:5" x14ac:dyDescent="0.25">
      <c r="B49" s="80"/>
      <c r="C49" s="26"/>
      <c r="D49" s="24" t="s">
        <v>16</v>
      </c>
      <c r="E49" s="231">
        <f>'DPR GLOBAL_clé répartition'!G49</f>
        <v>26444.446205385186</v>
      </c>
    </row>
    <row r="50" spans="2:5" x14ac:dyDescent="0.25">
      <c r="B50" s="80"/>
      <c r="C50" s="35"/>
      <c r="D50" s="34" t="s">
        <v>15</v>
      </c>
      <c r="E50" s="231">
        <f>'DPR GLOBAL_clé répartition'!G50</f>
        <v>233333.33333333331</v>
      </c>
    </row>
    <row r="51" spans="2:5" x14ac:dyDescent="0.25">
      <c r="B51" s="80"/>
      <c r="C51" s="35"/>
      <c r="D51" s="34" t="s">
        <v>14</v>
      </c>
      <c r="E51" s="231">
        <f>'DPR GLOBAL_clé répartition'!G51</f>
        <v>47962.961174981479</v>
      </c>
    </row>
    <row r="52" spans="2:5" x14ac:dyDescent="0.25">
      <c r="B52" s="80"/>
      <c r="C52" s="25"/>
      <c r="D52" s="33" t="s">
        <v>13</v>
      </c>
      <c r="E52" s="231">
        <f>'DPR GLOBAL_clé répartition'!G52</f>
        <v>45888.888888888883</v>
      </c>
    </row>
    <row r="53" spans="2:5" ht="15.6" thickBot="1" x14ac:dyDescent="0.3">
      <c r="B53" s="29"/>
      <c r="C53" s="32"/>
      <c r="D53" s="31" t="s">
        <v>12</v>
      </c>
      <c r="E53" s="231">
        <f>'DPR GLOBAL_clé répartition'!G53</f>
        <v>0</v>
      </c>
    </row>
    <row r="54" spans="2:5" ht="15.6" thickBot="1" x14ac:dyDescent="0.3">
      <c r="B54" s="30"/>
      <c r="C54" s="6" t="s">
        <v>11</v>
      </c>
      <c r="D54" s="8"/>
      <c r="E54" s="271">
        <f>SUM(E55:E56)</f>
        <v>39524.228194579868</v>
      </c>
    </row>
    <row r="55" spans="2:5" ht="15.6" thickBot="1" x14ac:dyDescent="0.3">
      <c r="B55" s="29"/>
      <c r="C55" s="26"/>
      <c r="D55" s="270" t="s">
        <v>10</v>
      </c>
      <c r="E55" s="273">
        <f>'DPR GLOBAL_clé répartition'!G55</f>
        <v>32580.42081965664</v>
      </c>
    </row>
    <row r="56" spans="2:5" ht="15.6" thickBot="1" x14ac:dyDescent="0.3">
      <c r="B56" s="81"/>
      <c r="C56" s="25"/>
      <c r="D56" s="272" t="s">
        <v>9</v>
      </c>
      <c r="E56" s="273">
        <f>'DPR GLOBAL_clé répartition'!G56</f>
        <v>6943.8073749232271</v>
      </c>
    </row>
    <row r="57" spans="2:5" ht="15.6" thickBot="1" x14ac:dyDescent="0.3">
      <c r="B57" s="329"/>
      <c r="C57" s="6" t="s">
        <v>8</v>
      </c>
      <c r="D57" s="8"/>
      <c r="E57" s="27">
        <f>SUM(E58:E60)</f>
        <v>48481.482989203701</v>
      </c>
    </row>
    <row r="58" spans="2:5" x14ac:dyDescent="0.25">
      <c r="B58" s="330"/>
      <c r="C58" s="26"/>
      <c r="D58" s="24" t="s">
        <v>7</v>
      </c>
      <c r="E58" s="231">
        <f>'DPR GLOBAL_clé répartition'!G58</f>
        <v>27222.223729944442</v>
      </c>
    </row>
    <row r="59" spans="2:5" x14ac:dyDescent="0.25">
      <c r="B59" s="330"/>
      <c r="C59" s="25"/>
      <c r="D59" s="24" t="s">
        <v>6</v>
      </c>
      <c r="E59" s="231">
        <f>'DPR GLOBAL_clé répartition'!G59</f>
        <v>21259.259259259259</v>
      </c>
    </row>
    <row r="60" spans="2:5" ht="15.6" thickBot="1" x14ac:dyDescent="0.3">
      <c r="B60" s="331"/>
      <c r="C60" s="23"/>
      <c r="D60" s="22" t="s">
        <v>5</v>
      </c>
      <c r="E60" s="231">
        <f>'DPR GLOBAL_clé répartition'!G60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3452383.7688981839</v>
      </c>
    </row>
    <row r="62" spans="2:5" ht="15.6" thickBot="1" x14ac:dyDescent="0.3">
      <c r="C62" s="320" t="s">
        <v>3</v>
      </c>
      <c r="D62" s="321"/>
      <c r="E62" s="232">
        <f>'DPR GLOBAL_clé répartition'!G62</f>
        <v>10006.231101816475</v>
      </c>
    </row>
    <row r="63" spans="2:5" ht="15.6" thickBot="1" x14ac:dyDescent="0.3">
      <c r="C63" s="19" t="s">
        <v>2</v>
      </c>
      <c r="D63" s="18"/>
      <c r="E63" s="17">
        <f>E61+E62</f>
        <v>3462390.0000000005</v>
      </c>
    </row>
    <row r="64" spans="2:5" ht="15.6" thickBot="1" x14ac:dyDescent="0.3">
      <c r="C64" s="16"/>
      <c r="D64" s="15" t="s">
        <v>1</v>
      </c>
      <c r="E64" s="14">
        <f>E63*(2.1%)</f>
        <v>72710.190000000017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3535100.1900000004</v>
      </c>
    </row>
  </sheetData>
  <sheetProtection selectLockedCells="1" selectUnlockedCells="1"/>
  <mergeCells count="9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7" priority="3" stopIfTrue="1" operator="equal">
      <formula>#REF!</formula>
    </cfRule>
    <cfRule type="cellIs" dxfId="6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50"/>
    <pageSetUpPr fitToPage="1"/>
  </sheetPr>
  <dimension ref="B5:E65"/>
  <sheetViews>
    <sheetView view="pageBreakPreview" topLeftCell="C12" zoomScale="90" zoomScaleNormal="55" zoomScaleSheetLayoutView="90" workbookViewId="0">
      <selection activeCell="E63" sqref="E63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24" t="str">
        <f>'DPR GLOBAL_clé répartition'!C6</f>
        <v>VEFA "OPERATION SILOE"</v>
      </c>
      <c r="D6" s="74" t="s">
        <v>136</v>
      </c>
      <c r="E6" s="260" t="str">
        <f>'DPR GLOBAL_clé répartition'!I6</f>
        <v>PLS</v>
      </c>
    </row>
    <row r="7" spans="2:5" x14ac:dyDescent="0.25">
      <c r="C7" s="325"/>
      <c r="D7" s="75" t="s">
        <v>120</v>
      </c>
      <c r="E7" s="261">
        <f>'DPR GLOBAL_clé répartition'!I7</f>
        <v>25</v>
      </c>
    </row>
    <row r="8" spans="2:5" x14ac:dyDescent="0.25">
      <c r="C8" s="325"/>
      <c r="D8" s="77" t="s">
        <v>159</v>
      </c>
      <c r="E8" s="226">
        <f>'DPR GLOBAL_clé répartition'!I8</f>
        <v>1596.1</v>
      </c>
    </row>
    <row r="9" spans="2:5" x14ac:dyDescent="0.25">
      <c r="C9" s="325"/>
      <c r="D9" s="77" t="s">
        <v>131</v>
      </c>
      <c r="E9" s="226">
        <f>'DPR GLOBAL_clé répartition'!I9</f>
        <v>1922.74</v>
      </c>
    </row>
    <row r="10" spans="2:5" ht="15.6" thickBot="1" x14ac:dyDescent="0.3">
      <c r="C10" s="326"/>
      <c r="D10" s="76" t="s">
        <v>121</v>
      </c>
      <c r="E10" s="262">
        <f>'DPR GLOBAL_clé répartition'!I11</f>
        <v>2227.62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51" t="s">
        <v>57</v>
      </c>
      <c r="C12" s="50" t="s">
        <v>56</v>
      </c>
      <c r="D12" s="49"/>
      <c r="E12" s="48"/>
    </row>
    <row r="13" spans="2:5" x14ac:dyDescent="0.25">
      <c r="B13" s="327" t="s">
        <v>55</v>
      </c>
      <c r="C13" s="47" t="s">
        <v>54</v>
      </c>
      <c r="D13" s="46"/>
      <c r="E13" s="45">
        <f>SUM(E14:E15)</f>
        <v>554099.53005822352</v>
      </c>
    </row>
    <row r="14" spans="2:5" x14ac:dyDescent="0.25">
      <c r="B14" s="332"/>
      <c r="C14" s="26"/>
      <c r="D14" s="24" t="s">
        <v>53</v>
      </c>
      <c r="E14" s="227">
        <f>'DPR GLOBAL_clé répartition'!I14</f>
        <v>540005.59378674906</v>
      </c>
    </row>
    <row r="15" spans="2:5" ht="15.6" thickBot="1" x14ac:dyDescent="0.3">
      <c r="B15" s="328"/>
      <c r="C15" s="41"/>
      <c r="D15" s="31" t="s">
        <v>52</v>
      </c>
      <c r="E15" s="227">
        <f>'DPR GLOBAL_clé répartition'!I15</f>
        <v>14093.936271474458</v>
      </c>
    </row>
    <row r="16" spans="2:5" ht="15.6" thickBot="1" x14ac:dyDescent="0.3">
      <c r="B16" s="327" t="s">
        <v>51</v>
      </c>
      <c r="C16" s="6" t="s">
        <v>50</v>
      </c>
      <c r="D16" s="8"/>
      <c r="E16" s="7">
        <f>SUM(E17)</f>
        <v>6369.2983703717236</v>
      </c>
    </row>
    <row r="17" spans="2:5" ht="15.6" thickBot="1" x14ac:dyDescent="0.3">
      <c r="B17" s="328"/>
      <c r="C17" s="44"/>
      <c r="D17" s="31" t="s">
        <v>49</v>
      </c>
      <c r="E17" s="227">
        <f>'DPR GLOBAL_clé répartition'!I17</f>
        <v>6369.2983703717236</v>
      </c>
    </row>
    <row r="18" spans="2:5" ht="53.4" customHeight="1" thickBot="1" x14ac:dyDescent="0.3">
      <c r="B18" s="327" t="s">
        <v>48</v>
      </c>
      <c r="C18" s="6" t="s">
        <v>47</v>
      </c>
      <c r="D18" s="8"/>
      <c r="E18" s="7">
        <f>SUM(E19:E22)</f>
        <v>334359.09619920596</v>
      </c>
    </row>
    <row r="19" spans="2:5" x14ac:dyDescent="0.25">
      <c r="B19" s="332"/>
      <c r="C19" s="42"/>
      <c r="D19" s="24" t="s">
        <v>46</v>
      </c>
      <c r="E19" s="227">
        <f>'DPR GLOBAL_clé répartition'!I19</f>
        <v>321234.09584263881</v>
      </c>
    </row>
    <row r="20" spans="2:5" x14ac:dyDescent="0.25">
      <c r="B20" s="332"/>
      <c r="C20" s="25"/>
      <c r="D20" s="33" t="s">
        <v>45</v>
      </c>
      <c r="E20" s="227">
        <f>'DPR GLOBAL_clé répartition'!I20</f>
        <v>7175.9251328935179</v>
      </c>
    </row>
    <row r="21" spans="2:5" x14ac:dyDescent="0.25">
      <c r="B21" s="332"/>
      <c r="C21" s="25"/>
      <c r="D21" s="31" t="s">
        <v>44</v>
      </c>
      <c r="E21" s="227">
        <f>'DPR GLOBAL_clé répartition'!I21</f>
        <v>3333.3322481111113</v>
      </c>
    </row>
    <row r="22" spans="2:5" ht="15.6" thickBot="1" x14ac:dyDescent="0.3">
      <c r="B22" s="328"/>
      <c r="C22" s="41"/>
      <c r="D22" s="33" t="s">
        <v>43</v>
      </c>
      <c r="E22" s="227">
        <f>'DPR GLOBAL_clé répartition'!I22</f>
        <v>2615.7429755624999</v>
      </c>
    </row>
    <row r="23" spans="2:5" ht="21.15" customHeight="1" thickBot="1" x14ac:dyDescent="0.3">
      <c r="B23" s="43"/>
      <c r="C23" s="322" t="s">
        <v>42</v>
      </c>
      <c r="D23" s="323"/>
      <c r="E23" s="27">
        <f>SUM(E24:E36)-E37-E38-E39</f>
        <v>2461911.4039485431</v>
      </c>
    </row>
    <row r="24" spans="2:5" ht="108.75" customHeight="1" x14ac:dyDescent="0.25">
      <c r="B24" s="332" t="s">
        <v>41</v>
      </c>
      <c r="C24" s="42"/>
      <c r="D24" s="156" t="s">
        <v>40</v>
      </c>
      <c r="E24" s="227">
        <f>'DPR GLOBAL_clé répartition'!I24</f>
        <v>1528631.2211928896</v>
      </c>
    </row>
    <row r="25" spans="2:5" x14ac:dyDescent="0.25">
      <c r="B25" s="332"/>
      <c r="C25" s="25"/>
      <c r="D25" s="156" t="s">
        <v>154</v>
      </c>
      <c r="E25" s="227">
        <f>'DPR GLOBAL_clé répartition'!I25</f>
        <v>110770.37828967815</v>
      </c>
    </row>
    <row r="26" spans="2:5" x14ac:dyDescent="0.25">
      <c r="B26" s="332"/>
      <c r="C26" s="25"/>
      <c r="D26" s="156" t="s">
        <v>39</v>
      </c>
      <c r="E26" s="227">
        <f>'DPR GLOBAL_clé répartition'!I26</f>
        <v>92562.357457921855</v>
      </c>
    </row>
    <row r="27" spans="2:5" x14ac:dyDescent="0.25">
      <c r="B27" s="332"/>
      <c r="C27" s="25"/>
      <c r="D27" s="156" t="s">
        <v>155</v>
      </c>
      <c r="E27" s="227">
        <f>'DPR GLOBAL_clé répartition'!I27</f>
        <v>132190.61674459471</v>
      </c>
    </row>
    <row r="28" spans="2:5" x14ac:dyDescent="0.25">
      <c r="B28" s="332"/>
      <c r="C28" s="25"/>
      <c r="D28" s="156" t="s">
        <v>72</v>
      </c>
      <c r="E28" s="227">
        <f>'DPR GLOBAL_clé répartition'!I28</f>
        <v>152438.63243851508</v>
      </c>
    </row>
    <row r="29" spans="2:5" x14ac:dyDescent="0.25">
      <c r="B29" s="332"/>
      <c r="C29" s="25"/>
      <c r="D29" s="156" t="s">
        <v>156</v>
      </c>
      <c r="E29" s="227">
        <f>'DPR GLOBAL_clé répartition'!I29</f>
        <v>71157.312295777447</v>
      </c>
    </row>
    <row r="30" spans="2:5" x14ac:dyDescent="0.25">
      <c r="B30" s="332"/>
      <c r="C30" s="41"/>
      <c r="D30" s="156" t="s">
        <v>38</v>
      </c>
      <c r="E30" s="227">
        <f>'DPR GLOBAL_clé répartition'!I30</f>
        <v>149540.01185249293</v>
      </c>
    </row>
    <row r="31" spans="2:5" x14ac:dyDescent="0.25">
      <c r="B31" s="332"/>
      <c r="C31" s="25"/>
      <c r="D31" s="156" t="s">
        <v>37</v>
      </c>
      <c r="E31" s="227">
        <f>'DPR GLOBAL_clé répartition'!I31</f>
        <v>130709.04444311705</v>
      </c>
    </row>
    <row r="32" spans="2:5" x14ac:dyDescent="0.25">
      <c r="B32" s="332"/>
      <c r="C32" s="25"/>
      <c r="D32" s="156" t="s">
        <v>36</v>
      </c>
      <c r="E32" s="227">
        <f>'DPR GLOBAL_clé répartition'!I32</f>
        <v>90537.555888529838</v>
      </c>
    </row>
    <row r="33" spans="2:5" x14ac:dyDescent="0.25">
      <c r="B33" s="332"/>
      <c r="C33" s="25"/>
      <c r="D33" s="156" t="s">
        <v>92</v>
      </c>
      <c r="E33" s="227">
        <f>'DPR GLOBAL_clé répartition'!I33</f>
        <v>186885.60713691293</v>
      </c>
    </row>
    <row r="34" spans="2:5" x14ac:dyDescent="0.25">
      <c r="B34" s="332"/>
      <c r="C34" s="25"/>
      <c r="D34" s="156" t="s">
        <v>161</v>
      </c>
      <c r="E34" s="227">
        <f>'DPR GLOBAL_clé répartition'!I34</f>
        <v>141736.10985744288</v>
      </c>
    </row>
    <row r="35" spans="2:5" x14ac:dyDescent="0.25">
      <c r="B35" s="332"/>
      <c r="C35" s="25"/>
      <c r="D35" s="157" t="s">
        <v>34</v>
      </c>
      <c r="E35" s="227">
        <f>'DPR GLOBAL_clé répartition'!I35</f>
        <v>40496.03138784082</v>
      </c>
    </row>
    <row r="36" spans="2:5" ht="15.6" thickBot="1" x14ac:dyDescent="0.3">
      <c r="B36" s="332"/>
      <c r="C36" s="25"/>
      <c r="D36" s="233" t="s">
        <v>160</v>
      </c>
      <c r="E36" s="274">
        <f>'DPR GLOBAL_clé répartition'!I36</f>
        <v>0</v>
      </c>
    </row>
    <row r="37" spans="2:5" ht="30.6" thickBot="1" x14ac:dyDescent="0.3">
      <c r="B37" s="83" t="s">
        <v>33</v>
      </c>
      <c r="C37" s="242" t="s">
        <v>164</v>
      </c>
      <c r="D37" s="243" t="s">
        <v>32</v>
      </c>
      <c r="E37" s="275">
        <f>'DPR GLOBAL_clé répartition'!I37</f>
        <v>216002.23766487237</v>
      </c>
    </row>
    <row r="38" spans="2:5" ht="34.5" customHeight="1" thickBot="1" x14ac:dyDescent="0.3">
      <c r="B38" s="78" t="s">
        <v>31</v>
      </c>
      <c r="C38" s="242" t="s">
        <v>164</v>
      </c>
      <c r="D38" s="244" t="s">
        <v>30</v>
      </c>
      <c r="E38" s="276">
        <f>'DPR GLOBAL_clé répartition'!I38</f>
        <v>21600.223766487241</v>
      </c>
    </row>
    <row r="39" spans="2:5" ht="15.75" customHeight="1" thickBot="1" x14ac:dyDescent="0.3">
      <c r="B39" s="327" t="s">
        <v>29</v>
      </c>
      <c r="C39" s="6" t="s">
        <v>28</v>
      </c>
      <c r="D39" s="8"/>
      <c r="E39" s="27">
        <f>E40</f>
        <v>128141.0136058106</v>
      </c>
    </row>
    <row r="40" spans="2:5" ht="50.25" customHeight="1" thickBot="1" x14ac:dyDescent="0.3">
      <c r="B40" s="328"/>
      <c r="C40" s="242" t="s">
        <v>164</v>
      </c>
      <c r="D40" s="245" t="s">
        <v>27</v>
      </c>
      <c r="E40" s="246">
        <f>'DPR GLOBAL_clé répartition'!I40</f>
        <v>128141.0136058106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30">
        <f>'DPR GLOBAL_clé répartition'!I41</f>
        <v>15972.222222222223</v>
      </c>
    </row>
    <row r="42" spans="2:5" ht="15.6" thickBot="1" x14ac:dyDescent="0.3">
      <c r="B42" s="79" t="s">
        <v>24</v>
      </c>
      <c r="C42" s="6" t="s">
        <v>23</v>
      </c>
      <c r="D42" s="8"/>
      <c r="E42" s="27">
        <f>SUM(E43:E53)</f>
        <v>565770.75787105458</v>
      </c>
    </row>
    <row r="43" spans="2:5" x14ac:dyDescent="0.25">
      <c r="B43" s="80"/>
      <c r="C43" s="26"/>
      <c r="D43" s="24" t="s">
        <v>22</v>
      </c>
      <c r="E43" s="231">
        <f>'DPR GLOBAL_clé répartition'!I43</f>
        <v>216002.23934248975</v>
      </c>
    </row>
    <row r="44" spans="2:5" x14ac:dyDescent="0.25">
      <c r="B44" s="80"/>
      <c r="C44" s="26"/>
      <c r="D44" s="24" t="s">
        <v>21</v>
      </c>
      <c r="E44" s="231">
        <f>'DPR GLOBAL_clé répartition'!I44</f>
        <v>0</v>
      </c>
    </row>
    <row r="45" spans="2:5" x14ac:dyDescent="0.25">
      <c r="B45" s="80"/>
      <c r="C45" s="26"/>
      <c r="D45" s="24" t="s">
        <v>20</v>
      </c>
      <c r="E45" s="231">
        <f>'DPR GLOBAL_clé répartition'!I45</f>
        <v>2546.2985537268519</v>
      </c>
    </row>
    <row r="46" spans="2:5" x14ac:dyDescent="0.25">
      <c r="B46" s="80"/>
      <c r="C46" s="26"/>
      <c r="D46" s="24" t="s">
        <v>19</v>
      </c>
      <c r="E46" s="231">
        <f>'DPR GLOBAL_clé répartition'!I46</f>
        <v>14351.850265787036</v>
      </c>
    </row>
    <row r="47" spans="2:5" x14ac:dyDescent="0.25">
      <c r="B47" s="80"/>
      <c r="C47" s="26"/>
      <c r="D47" s="24" t="s">
        <v>18</v>
      </c>
      <c r="E47" s="231">
        <f>'DPR GLOBAL_clé répartition'!I47</f>
        <v>7407.4080822222231</v>
      </c>
    </row>
    <row r="48" spans="2:5" x14ac:dyDescent="0.25">
      <c r="B48" s="80"/>
      <c r="C48" s="26"/>
      <c r="D48" s="24" t="s">
        <v>17</v>
      </c>
      <c r="E48" s="231">
        <f>'DPR GLOBAL_clé répartition'!I48</f>
        <v>9722.2209102314828</v>
      </c>
    </row>
    <row r="49" spans="2:5" x14ac:dyDescent="0.25">
      <c r="B49" s="80"/>
      <c r="C49" s="26"/>
      <c r="D49" s="24" t="s">
        <v>16</v>
      </c>
      <c r="E49" s="231">
        <f>'DPR GLOBAL_clé répartition'!I49</f>
        <v>23611.11268337963</v>
      </c>
    </row>
    <row r="50" spans="2:5" x14ac:dyDescent="0.25">
      <c r="B50" s="80"/>
      <c r="C50" s="35"/>
      <c r="D50" s="34" t="s">
        <v>15</v>
      </c>
      <c r="E50" s="231">
        <f>'DPR GLOBAL_clé répartition'!I50</f>
        <v>208333.33333333334</v>
      </c>
    </row>
    <row r="51" spans="2:5" x14ac:dyDescent="0.25">
      <c r="B51" s="80"/>
      <c r="C51" s="35"/>
      <c r="D51" s="34" t="s">
        <v>14</v>
      </c>
      <c r="E51" s="231">
        <f>'DPR GLOBAL_clé répartition'!I51</f>
        <v>42824.072477662034</v>
      </c>
    </row>
    <row r="52" spans="2:5" x14ac:dyDescent="0.25">
      <c r="B52" s="80"/>
      <c r="C52" s="25"/>
      <c r="D52" s="33" t="s">
        <v>13</v>
      </c>
      <c r="E52" s="231">
        <f>'DPR GLOBAL_clé répartition'!I52</f>
        <v>40972.222222222219</v>
      </c>
    </row>
    <row r="53" spans="2:5" ht="15.6" thickBot="1" x14ac:dyDescent="0.3">
      <c r="B53" s="29"/>
      <c r="C53" s="32"/>
      <c r="D53" s="31" t="s">
        <v>12</v>
      </c>
      <c r="E53" s="231">
        <f>'DPR GLOBAL_clé répartition'!I53</f>
        <v>0</v>
      </c>
    </row>
    <row r="54" spans="2:5" ht="15.6" thickBot="1" x14ac:dyDescent="0.3">
      <c r="B54" s="30"/>
      <c r="C54" s="6" t="s">
        <v>11</v>
      </c>
      <c r="D54" s="8"/>
      <c r="E54" s="27">
        <f>SUM(E55:E56)</f>
        <v>52332.02047681628</v>
      </c>
    </row>
    <row r="55" spans="2:5" x14ac:dyDescent="0.25">
      <c r="B55" s="29"/>
      <c r="C55" s="26"/>
      <c r="D55" s="24" t="s">
        <v>10</v>
      </c>
      <c r="E55" s="231">
        <f>'DPR GLOBAL_clé répartition'!I55</f>
        <v>43138.078271478473</v>
      </c>
    </row>
    <row r="56" spans="2:5" ht="15.6" thickBot="1" x14ac:dyDescent="0.3">
      <c r="B56" s="81"/>
      <c r="C56" s="25"/>
      <c r="D56" s="28" t="s">
        <v>9</v>
      </c>
      <c r="E56" s="231">
        <f>'DPR GLOBAL_clé répartition'!I56</f>
        <v>9193.9422053378039</v>
      </c>
    </row>
    <row r="57" spans="2:5" ht="15.6" thickBot="1" x14ac:dyDescent="0.3">
      <c r="B57" s="329"/>
      <c r="C57" s="6" t="s">
        <v>8</v>
      </c>
      <c r="D57" s="8"/>
      <c r="E57" s="27">
        <f>SUM(E58:E60)</f>
        <v>43287.038383217594</v>
      </c>
    </row>
    <row r="58" spans="2:5" x14ac:dyDescent="0.25">
      <c r="B58" s="330"/>
      <c r="C58" s="26"/>
      <c r="D58" s="24" t="s">
        <v>7</v>
      </c>
      <c r="E58" s="231">
        <f>'DPR GLOBAL_clé répartition'!I58</f>
        <v>24305.556901736112</v>
      </c>
    </row>
    <row r="59" spans="2:5" x14ac:dyDescent="0.25">
      <c r="B59" s="330"/>
      <c r="C59" s="25"/>
      <c r="D59" s="24" t="s">
        <v>6</v>
      </c>
      <c r="E59" s="231">
        <f>'DPR GLOBAL_clé répartition'!I59</f>
        <v>18981.481481481482</v>
      </c>
    </row>
    <row r="60" spans="2:5" ht="15.6" thickBot="1" x14ac:dyDescent="0.3">
      <c r="B60" s="331"/>
      <c r="C60" s="23"/>
      <c r="D60" s="22" t="s">
        <v>5</v>
      </c>
      <c r="E60" s="231">
        <f>'DPR GLOBAL_clé répartition'!I60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4399844.8425668245</v>
      </c>
    </row>
    <row r="62" spans="2:5" ht="15.6" thickBot="1" x14ac:dyDescent="0.3">
      <c r="C62" s="320" t="s">
        <v>3</v>
      </c>
      <c r="D62" s="321"/>
      <c r="E62" s="232">
        <f>'DPR GLOBAL_clé répartition'!I62</f>
        <v>534471.15743317548</v>
      </c>
    </row>
    <row r="63" spans="2:5" ht="15.6" thickBot="1" x14ac:dyDescent="0.3">
      <c r="C63" s="19" t="s">
        <v>2</v>
      </c>
      <c r="D63" s="18"/>
      <c r="E63" s="17">
        <f>E61+E62</f>
        <v>4934316</v>
      </c>
    </row>
    <row r="64" spans="2:5" ht="15.6" thickBot="1" x14ac:dyDescent="0.3">
      <c r="C64" s="16"/>
      <c r="D64" s="15" t="s">
        <v>1</v>
      </c>
      <c r="E64" s="14">
        <f>E63*(2.1%)</f>
        <v>103620.63600000001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5037936.6359999999</v>
      </c>
    </row>
  </sheetData>
  <sheetProtection selectLockedCells="1" selectUnlockedCells="1"/>
  <mergeCells count="9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5" priority="3" stopIfTrue="1" operator="equal">
      <formula>#REF!</formula>
    </cfRule>
    <cfRule type="cellIs" dxfId="4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7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CCFF"/>
    <pageSetUpPr fitToPage="1"/>
  </sheetPr>
  <dimension ref="B5:E65"/>
  <sheetViews>
    <sheetView view="pageBreakPreview" zoomScaleNormal="55" zoomScaleSheetLayoutView="100" workbookViewId="0">
      <selection activeCell="E63" sqref="E63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24" t="str">
        <f>'DPR GLOBAL_clé répartition'!C6</f>
        <v>VEFA "OPERATION SILOE"</v>
      </c>
      <c r="D6" s="74" t="s">
        <v>136</v>
      </c>
      <c r="E6" s="260" t="str">
        <f>'DPR GLOBAL_clé répartition'!M6</f>
        <v>COMMERCES</v>
      </c>
    </row>
    <row r="7" spans="2:5" x14ac:dyDescent="0.25">
      <c r="C7" s="325"/>
      <c r="D7" s="75" t="s">
        <v>120</v>
      </c>
      <c r="E7" s="261">
        <f>'DPR GLOBAL_clé répartition'!M7</f>
        <v>1</v>
      </c>
    </row>
    <row r="8" spans="2:5" x14ac:dyDescent="0.25">
      <c r="C8" s="325"/>
      <c r="D8" s="77" t="s">
        <v>159</v>
      </c>
      <c r="E8" s="226">
        <f>'DPR GLOBAL_clé répartition'!M8</f>
        <v>87</v>
      </c>
    </row>
    <row r="9" spans="2:5" x14ac:dyDescent="0.25">
      <c r="C9" s="325"/>
      <c r="D9" s="77" t="s">
        <v>131</v>
      </c>
      <c r="E9" s="226">
        <f>'DPR GLOBAL_clé répartition'!M9</f>
        <v>87</v>
      </c>
    </row>
    <row r="10" spans="2:5" ht="15.6" thickBot="1" x14ac:dyDescent="0.3">
      <c r="C10" s="326"/>
      <c r="D10" s="76" t="s">
        <v>121</v>
      </c>
      <c r="E10" s="262">
        <f>'DPR GLOBAL_clé répartition'!M11</f>
        <v>112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51" t="s">
        <v>57</v>
      </c>
      <c r="C12" s="50" t="s">
        <v>56</v>
      </c>
      <c r="D12" s="49"/>
      <c r="E12" s="48"/>
    </row>
    <row r="13" spans="2:5" x14ac:dyDescent="0.25">
      <c r="B13" s="327" t="s">
        <v>55</v>
      </c>
      <c r="C13" s="47" t="s">
        <v>54</v>
      </c>
      <c r="D13" s="46"/>
      <c r="E13" s="45">
        <f>SUM(E14:E15)</f>
        <v>27788.055171845997</v>
      </c>
    </row>
    <row r="14" spans="2:5" x14ac:dyDescent="0.25">
      <c r="B14" s="332"/>
      <c r="C14" s="26"/>
      <c r="D14" s="24" t="s">
        <v>53</v>
      </c>
      <c r="E14" s="227">
        <f>'DPR GLOBAL_clé répartition'!M14</f>
        <v>27150.333766134212</v>
      </c>
    </row>
    <row r="15" spans="2:5" ht="15.6" thickBot="1" x14ac:dyDescent="0.3">
      <c r="B15" s="328"/>
      <c r="C15" s="41"/>
      <c r="D15" s="31" t="s">
        <v>52</v>
      </c>
      <c r="E15" s="227">
        <f>'DPR GLOBAL_clé répartition'!M15</f>
        <v>637.72140571178522</v>
      </c>
    </row>
    <row r="16" spans="2:5" ht="15.6" thickBot="1" x14ac:dyDescent="0.3">
      <c r="B16" s="327" t="s">
        <v>51</v>
      </c>
      <c r="C16" s="6" t="s">
        <v>50</v>
      </c>
      <c r="D16" s="8"/>
      <c r="E16" s="7">
        <f>SUM(E17)</f>
        <v>320.23478756773284</v>
      </c>
    </row>
    <row r="17" spans="2:5" ht="15.6" thickBot="1" x14ac:dyDescent="0.3">
      <c r="B17" s="328"/>
      <c r="C17" s="44"/>
      <c r="D17" s="31" t="s">
        <v>49</v>
      </c>
      <c r="E17" s="227">
        <f>'DPR GLOBAL_clé répartition'!M17</f>
        <v>320.23478756773284</v>
      </c>
    </row>
    <row r="18" spans="2:5" ht="53.4" customHeight="1" thickBot="1" x14ac:dyDescent="0.3">
      <c r="B18" s="327" t="s">
        <v>48</v>
      </c>
      <c r="C18" s="6" t="s">
        <v>47</v>
      </c>
      <c r="D18" s="8"/>
      <c r="E18" s="7">
        <f>SUM(E19:E22)</f>
        <v>16675.967744115871</v>
      </c>
    </row>
    <row r="19" spans="2:5" x14ac:dyDescent="0.25">
      <c r="B19" s="332"/>
      <c r="C19" s="42"/>
      <c r="D19" s="24" t="s">
        <v>46</v>
      </c>
      <c r="E19" s="227">
        <f>'DPR GLOBAL_clé répartition'!M19</f>
        <v>16150.967729853182</v>
      </c>
    </row>
    <row r="20" spans="2:5" x14ac:dyDescent="0.25">
      <c r="B20" s="332"/>
      <c r="C20" s="25"/>
      <c r="D20" s="33" t="s">
        <v>45</v>
      </c>
      <c r="E20" s="227">
        <f>'DPR GLOBAL_clé répartition'!M20</f>
        <v>287.03700531574071</v>
      </c>
    </row>
    <row r="21" spans="2:5" x14ac:dyDescent="0.25">
      <c r="B21" s="332"/>
      <c r="C21" s="25"/>
      <c r="D21" s="31" t="s">
        <v>44</v>
      </c>
      <c r="E21" s="227">
        <f>'DPR GLOBAL_clé répartition'!M21</f>
        <v>133.33328992444444</v>
      </c>
    </row>
    <row r="22" spans="2:5" ht="15.6" thickBot="1" x14ac:dyDescent="0.3">
      <c r="B22" s="328"/>
      <c r="C22" s="41"/>
      <c r="D22" s="33" t="s">
        <v>43</v>
      </c>
      <c r="E22" s="227">
        <f>'DPR GLOBAL_clé répartition'!M22</f>
        <v>104.62971902249998</v>
      </c>
    </row>
    <row r="23" spans="2:5" ht="21.15" customHeight="1" thickBot="1" x14ac:dyDescent="0.3">
      <c r="B23" s="43"/>
      <c r="C23" s="322" t="s">
        <v>42</v>
      </c>
      <c r="D23" s="323"/>
      <c r="E23" s="27">
        <f>SUM(E24:E36)-E37-E38-E39</f>
        <v>93025.995319920214</v>
      </c>
    </row>
    <row r="24" spans="2:5" ht="108.75" customHeight="1" x14ac:dyDescent="0.25">
      <c r="B24" s="332" t="s">
        <v>41</v>
      </c>
      <c r="C24" s="42"/>
      <c r="D24" s="156" t="s">
        <v>40</v>
      </c>
      <c r="E24" s="227">
        <f>'DPR GLOBAL_clé répartition'!M24</f>
        <v>76856.329523708555</v>
      </c>
    </row>
    <row r="25" spans="2:5" x14ac:dyDescent="0.25">
      <c r="B25" s="332"/>
      <c r="C25" s="25"/>
      <c r="D25" s="156" t="s">
        <v>154</v>
      </c>
      <c r="E25" s="227">
        <f>'DPR GLOBAL_clé répartition'!M25</f>
        <v>5569.2992379507959</v>
      </c>
    </row>
    <row r="26" spans="2:5" x14ac:dyDescent="0.25">
      <c r="B26" s="332"/>
      <c r="C26" s="25"/>
      <c r="D26" s="156" t="s">
        <v>39</v>
      </c>
      <c r="E26" s="227">
        <f>'DPR GLOBAL_clé répartition'!M26</f>
        <v>0</v>
      </c>
    </row>
    <row r="27" spans="2:5" x14ac:dyDescent="0.25">
      <c r="B27" s="332"/>
      <c r="C27" s="25"/>
      <c r="D27" s="156" t="s">
        <v>155</v>
      </c>
      <c r="E27" s="227">
        <f>'DPR GLOBAL_clé répartition'!M27</f>
        <v>0</v>
      </c>
    </row>
    <row r="28" spans="2:5" x14ac:dyDescent="0.25">
      <c r="B28" s="332"/>
      <c r="C28" s="25"/>
      <c r="D28" s="156" t="s">
        <v>72</v>
      </c>
      <c r="E28" s="227">
        <f>'DPR GLOBAL_clé répartition'!M28</f>
        <v>0</v>
      </c>
    </row>
    <row r="29" spans="2:5" x14ac:dyDescent="0.25">
      <c r="B29" s="332"/>
      <c r="C29" s="25"/>
      <c r="D29" s="156" t="s">
        <v>156</v>
      </c>
      <c r="E29" s="227">
        <f>'DPR GLOBAL_clé répartition'!M29</f>
        <v>0</v>
      </c>
    </row>
    <row r="30" spans="2:5" x14ac:dyDescent="0.25">
      <c r="B30" s="332"/>
      <c r="C30" s="41"/>
      <c r="D30" s="156" t="s">
        <v>38</v>
      </c>
      <c r="E30" s="227">
        <f>'DPR GLOBAL_clé répartition'!M30</f>
        <v>7518.5540296276777</v>
      </c>
    </row>
    <row r="31" spans="2:5" x14ac:dyDescent="0.25">
      <c r="B31" s="332"/>
      <c r="C31" s="25"/>
      <c r="D31" s="156" t="s">
        <v>37</v>
      </c>
      <c r="E31" s="227">
        <f>'DPR GLOBAL_clé répartition'!M31</f>
        <v>6571.7730033080634</v>
      </c>
    </row>
    <row r="32" spans="2:5" x14ac:dyDescent="0.25">
      <c r="B32" s="332"/>
      <c r="C32" s="25"/>
      <c r="D32" s="156" t="s">
        <v>36</v>
      </c>
      <c r="E32" s="227">
        <f>'DPR GLOBAL_clé répartition'!M32</f>
        <v>0</v>
      </c>
    </row>
    <row r="33" spans="2:5" x14ac:dyDescent="0.25">
      <c r="B33" s="332"/>
      <c r="C33" s="25"/>
      <c r="D33" s="156" t="s">
        <v>92</v>
      </c>
      <c r="E33" s="227">
        <f>'DPR GLOBAL_clé répartition'!M33</f>
        <v>8456.1863907295974</v>
      </c>
    </row>
    <row r="34" spans="2:5" x14ac:dyDescent="0.25">
      <c r="B34" s="332"/>
      <c r="C34" s="25"/>
      <c r="D34" s="156" t="s">
        <v>35</v>
      </c>
      <c r="E34" s="227">
        <f>'DPR GLOBAL_clé répartition'!M34</f>
        <v>0</v>
      </c>
    </row>
    <row r="35" spans="2:5" x14ac:dyDescent="0.25">
      <c r="B35" s="332"/>
      <c r="C35" s="25"/>
      <c r="D35" s="157" t="s">
        <v>34</v>
      </c>
      <c r="E35" s="227">
        <f>'DPR GLOBAL_clé répartition'!M35</f>
        <v>0</v>
      </c>
    </row>
    <row r="36" spans="2:5" ht="15.6" thickBot="1" x14ac:dyDescent="0.3">
      <c r="B36" s="332"/>
      <c r="C36" s="25"/>
      <c r="D36" s="233" t="s">
        <v>160</v>
      </c>
      <c r="E36" s="227">
        <f>'DPR GLOBAL_clé répartition'!M36</f>
        <v>0</v>
      </c>
    </row>
    <row r="37" spans="2:5" ht="30.6" thickBot="1" x14ac:dyDescent="0.3">
      <c r="B37" s="83" t="s">
        <v>33</v>
      </c>
      <c r="C37" s="39"/>
      <c r="D37" s="40" t="s">
        <v>32</v>
      </c>
      <c r="E37" s="227">
        <f>'DPR GLOBAL_clé répartition'!M37</f>
        <v>10860.133514004052</v>
      </c>
    </row>
    <row r="38" spans="2:5" ht="34.5" customHeight="1" thickBot="1" x14ac:dyDescent="0.3">
      <c r="B38" s="78" t="s">
        <v>31</v>
      </c>
      <c r="C38" s="39"/>
      <c r="D38" s="38" t="s">
        <v>30</v>
      </c>
      <c r="E38" s="227">
        <f>'DPR GLOBAL_clé répartition'!M38</f>
        <v>1086.0133514004053</v>
      </c>
    </row>
    <row r="39" spans="2:5" ht="15.75" customHeight="1" thickBot="1" x14ac:dyDescent="0.3">
      <c r="B39" s="327" t="s">
        <v>29</v>
      </c>
      <c r="C39" s="6" t="s">
        <v>28</v>
      </c>
      <c r="D39" s="8"/>
      <c r="E39" s="27">
        <f>E40</f>
        <v>0</v>
      </c>
    </row>
    <row r="40" spans="2:5" ht="50.25" customHeight="1" thickBot="1" x14ac:dyDescent="0.3">
      <c r="B40" s="328"/>
      <c r="C40" s="37"/>
      <c r="D40" s="82" t="s">
        <v>27</v>
      </c>
      <c r="E40" s="229">
        <f>'DPR GLOBAL_clé répartition'!M40</f>
        <v>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30">
        <f>'DPR GLOBAL_clé répartition'!M41</f>
        <v>638.8888888888888</v>
      </c>
    </row>
    <row r="42" spans="2:5" ht="15.6" thickBot="1" x14ac:dyDescent="0.3">
      <c r="B42" s="79" t="s">
        <v>24</v>
      </c>
      <c r="C42" s="6" t="s">
        <v>23</v>
      </c>
      <c r="D42" s="8"/>
      <c r="E42" s="27">
        <f>SUM(E43:E53)</f>
        <v>24850.874339493683</v>
      </c>
    </row>
    <row r="43" spans="2:5" x14ac:dyDescent="0.25">
      <c r="B43" s="80"/>
      <c r="C43" s="26"/>
      <c r="D43" s="24" t="s">
        <v>22</v>
      </c>
      <c r="E43" s="231">
        <f>'DPR GLOBAL_clé répartition'!M43</f>
        <v>10860.133598351089</v>
      </c>
    </row>
    <row r="44" spans="2:5" x14ac:dyDescent="0.25">
      <c r="B44" s="80"/>
      <c r="C44" s="26"/>
      <c r="D44" s="24" t="s">
        <v>21</v>
      </c>
      <c r="E44" s="231">
        <f>'DPR GLOBAL_clé répartition'!M44</f>
        <v>0</v>
      </c>
    </row>
    <row r="45" spans="2:5" x14ac:dyDescent="0.25">
      <c r="B45" s="80"/>
      <c r="C45" s="26"/>
      <c r="D45" s="24" t="s">
        <v>20</v>
      </c>
      <c r="E45" s="231">
        <f>'DPR GLOBAL_clé répartition'!M45</f>
        <v>101.85194214907408</v>
      </c>
    </row>
    <row r="46" spans="2:5" x14ac:dyDescent="0.25">
      <c r="B46" s="80"/>
      <c r="C46" s="26"/>
      <c r="D46" s="24" t="s">
        <v>19</v>
      </c>
      <c r="E46" s="231">
        <f>'DPR GLOBAL_clé répartition'!M46</f>
        <v>574.07401063148143</v>
      </c>
    </row>
    <row r="47" spans="2:5" x14ac:dyDescent="0.25">
      <c r="B47" s="80"/>
      <c r="C47" s="26"/>
      <c r="D47" s="24" t="s">
        <v>18</v>
      </c>
      <c r="E47" s="231">
        <f>'DPR GLOBAL_clé répartition'!M47</f>
        <v>296.29632328888891</v>
      </c>
    </row>
    <row r="48" spans="2:5" x14ac:dyDescent="0.25">
      <c r="B48" s="80"/>
      <c r="C48" s="26"/>
      <c r="D48" s="24" t="s">
        <v>17</v>
      </c>
      <c r="E48" s="231">
        <f>'DPR GLOBAL_clé répartition'!M48</f>
        <v>388.88883640925928</v>
      </c>
    </row>
    <row r="49" spans="2:5" x14ac:dyDescent="0.25">
      <c r="B49" s="80"/>
      <c r="C49" s="26"/>
      <c r="D49" s="24" t="s">
        <v>16</v>
      </c>
      <c r="E49" s="231">
        <f>'DPR GLOBAL_clé répartition'!M49</f>
        <v>944.44450733518511</v>
      </c>
    </row>
    <row r="50" spans="2:5" x14ac:dyDescent="0.25">
      <c r="B50" s="80"/>
      <c r="C50" s="35"/>
      <c r="D50" s="34" t="s">
        <v>15</v>
      </c>
      <c r="E50" s="231">
        <f>'DPR GLOBAL_clé répartition'!M50</f>
        <v>8333.3333333333321</v>
      </c>
    </row>
    <row r="51" spans="2:5" x14ac:dyDescent="0.25">
      <c r="B51" s="80"/>
      <c r="C51" s="35"/>
      <c r="D51" s="34" t="s">
        <v>14</v>
      </c>
      <c r="E51" s="231">
        <f>'DPR GLOBAL_clé répartition'!M51</f>
        <v>1712.9628991064812</v>
      </c>
    </row>
    <row r="52" spans="2:5" x14ac:dyDescent="0.25">
      <c r="B52" s="80"/>
      <c r="C52" s="25"/>
      <c r="D52" s="33" t="s">
        <v>13</v>
      </c>
      <c r="E52" s="231">
        <f>'DPR GLOBAL_clé répartition'!M52</f>
        <v>1638.8888888888887</v>
      </c>
    </row>
    <row r="53" spans="2:5" ht="15.6" thickBot="1" x14ac:dyDescent="0.3">
      <c r="B53" s="29"/>
      <c r="C53" s="32"/>
      <c r="D53" s="31" t="s">
        <v>12</v>
      </c>
      <c r="E53" s="231">
        <f>'DPR GLOBAL_clé répartition'!M53</f>
        <v>0</v>
      </c>
    </row>
    <row r="54" spans="2:5" ht="15.6" thickBot="1" x14ac:dyDescent="0.3">
      <c r="B54" s="30"/>
      <c r="C54" s="6" t="s">
        <v>11</v>
      </c>
      <c r="D54" s="8"/>
      <c r="E54" s="27">
        <f>SUM(E55:E56)</f>
        <v>2631.1427862038513</v>
      </c>
    </row>
    <row r="55" spans="2:5" x14ac:dyDescent="0.25">
      <c r="B55" s="29"/>
      <c r="C55" s="26"/>
      <c r="D55" s="24" t="s">
        <v>10</v>
      </c>
      <c r="E55" s="231">
        <f>'DPR GLOBAL_clé répartition'!M55</f>
        <v>2168.8909088648825</v>
      </c>
    </row>
    <row r="56" spans="2:5" ht="15.6" thickBot="1" x14ac:dyDescent="0.3">
      <c r="B56" s="81"/>
      <c r="C56" s="25"/>
      <c r="D56" s="28" t="s">
        <v>9</v>
      </c>
      <c r="E56" s="231">
        <f>'DPR GLOBAL_clé répartition'!M56</f>
        <v>462.25187733896894</v>
      </c>
    </row>
    <row r="57" spans="2:5" ht="15.6" thickBot="1" x14ac:dyDescent="0.3">
      <c r="B57" s="329"/>
      <c r="C57" s="6" t="s">
        <v>8</v>
      </c>
      <c r="D57" s="8"/>
      <c r="E57" s="27">
        <f>SUM(E58:E60)</f>
        <v>1731.4815353287036</v>
      </c>
    </row>
    <row r="58" spans="2:5" x14ac:dyDescent="0.25">
      <c r="B58" s="330"/>
      <c r="C58" s="26"/>
      <c r="D58" s="24" t="s">
        <v>7</v>
      </c>
      <c r="E58" s="231">
        <f>'DPR GLOBAL_clé répartition'!M58</f>
        <v>972.22227606944443</v>
      </c>
    </row>
    <row r="59" spans="2:5" x14ac:dyDescent="0.25">
      <c r="B59" s="330"/>
      <c r="C59" s="25"/>
      <c r="D59" s="24" t="s">
        <v>6</v>
      </c>
      <c r="E59" s="231">
        <f>'DPR GLOBAL_clé répartition'!M59</f>
        <v>759.25925925925924</v>
      </c>
    </row>
    <row r="60" spans="2:5" ht="15.6" thickBot="1" x14ac:dyDescent="0.3">
      <c r="B60" s="331"/>
      <c r="C60" s="23"/>
      <c r="D60" s="22" t="s">
        <v>5</v>
      </c>
      <c r="E60" s="231">
        <f>'DPR GLOBAL_clé répartition'!M60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179608.78743876939</v>
      </c>
    </row>
    <row r="62" spans="2:5" ht="15.6" thickBot="1" x14ac:dyDescent="0.3">
      <c r="C62" s="320" t="s">
        <v>3</v>
      </c>
      <c r="D62" s="321"/>
      <c r="E62" s="232">
        <f>'DPR GLOBAL_clé répartition'!M62</f>
        <v>535.21</v>
      </c>
    </row>
    <row r="63" spans="2:5" ht="15.6" thickBot="1" x14ac:dyDescent="0.3">
      <c r="C63" s="19" t="s">
        <v>2</v>
      </c>
      <c r="D63" s="18"/>
      <c r="E63" s="17">
        <f>E61+E62</f>
        <v>180143.99743876938</v>
      </c>
    </row>
    <row r="64" spans="2:5" ht="15.6" thickBot="1" x14ac:dyDescent="0.3">
      <c r="C64" s="16"/>
      <c r="D64" s="15" t="s">
        <v>152</v>
      </c>
      <c r="E64" s="14">
        <f>E63*(8.5%)</f>
        <v>15312.239782295399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195456.23722106477</v>
      </c>
    </row>
  </sheetData>
  <sheetProtection selectLockedCells="1" selectUnlockedCells="1"/>
  <mergeCells count="9">
    <mergeCell ref="C6:C10"/>
    <mergeCell ref="B39:B40"/>
    <mergeCell ref="B57:B60"/>
    <mergeCell ref="C62:D62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3" priority="3" stopIfTrue="1" operator="equal">
      <formula>#REF!</formula>
    </cfRule>
    <cfRule type="cellIs" dxfId="2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J39"/>
  <sheetViews>
    <sheetView showGridLines="0" showRowColHeaders="0" topLeftCell="A3" zoomScale="145" zoomScaleNormal="145" zoomScaleSheetLayoutView="100" zoomScalePageLayoutView="150" workbookViewId="0">
      <selection activeCell="I12" sqref="I12"/>
    </sheetView>
  </sheetViews>
  <sheetFormatPr baseColWidth="10" defaultRowHeight="13.2" x14ac:dyDescent="0.25"/>
  <cols>
    <col min="1" max="1" width="5" style="52" customWidth="1"/>
    <col min="2" max="2" width="33.6640625" style="52" customWidth="1"/>
    <col min="3" max="3" width="13.6640625" style="52" customWidth="1"/>
    <col min="4" max="6" width="12.44140625" style="52" customWidth="1"/>
    <col min="7" max="7" width="14.88671875" style="52" bestFit="1" customWidth="1"/>
    <col min="8" max="8" width="14.44140625" style="52" bestFit="1" customWidth="1"/>
    <col min="9" max="9" width="12.88671875" style="52" bestFit="1" customWidth="1"/>
    <col min="10" max="10" width="14.44140625" style="52" bestFit="1" customWidth="1"/>
    <col min="11" max="257" width="11.44140625" style="52"/>
    <col min="258" max="258" width="33.6640625" style="52" customWidth="1"/>
    <col min="259" max="259" width="13.6640625" style="52" customWidth="1"/>
    <col min="260" max="262" width="12.44140625" style="52" customWidth="1"/>
    <col min="263" max="513" width="11.44140625" style="52"/>
    <col min="514" max="514" width="33.6640625" style="52" customWidth="1"/>
    <col min="515" max="515" width="13.6640625" style="52" customWidth="1"/>
    <col min="516" max="518" width="12.44140625" style="52" customWidth="1"/>
    <col min="519" max="769" width="11.44140625" style="52"/>
    <col min="770" max="770" width="33.6640625" style="52" customWidth="1"/>
    <col min="771" max="771" width="13.6640625" style="52" customWidth="1"/>
    <col min="772" max="774" width="12.44140625" style="52" customWidth="1"/>
    <col min="775" max="1025" width="11.44140625" style="52"/>
    <col min="1026" max="1026" width="33.6640625" style="52" customWidth="1"/>
    <col min="1027" max="1027" width="13.6640625" style="52" customWidth="1"/>
    <col min="1028" max="1030" width="12.44140625" style="52" customWidth="1"/>
    <col min="1031" max="1281" width="11.44140625" style="52"/>
    <col min="1282" max="1282" width="33.6640625" style="52" customWidth="1"/>
    <col min="1283" max="1283" width="13.6640625" style="52" customWidth="1"/>
    <col min="1284" max="1286" width="12.44140625" style="52" customWidth="1"/>
    <col min="1287" max="1537" width="11.44140625" style="52"/>
    <col min="1538" max="1538" width="33.6640625" style="52" customWidth="1"/>
    <col min="1539" max="1539" width="13.6640625" style="52" customWidth="1"/>
    <col min="1540" max="1542" width="12.44140625" style="52" customWidth="1"/>
    <col min="1543" max="1793" width="11.44140625" style="52"/>
    <col min="1794" max="1794" width="33.6640625" style="52" customWidth="1"/>
    <col min="1795" max="1795" width="13.6640625" style="52" customWidth="1"/>
    <col min="1796" max="1798" width="12.44140625" style="52" customWidth="1"/>
    <col min="1799" max="2049" width="11.44140625" style="52"/>
    <col min="2050" max="2050" width="33.6640625" style="52" customWidth="1"/>
    <col min="2051" max="2051" width="13.6640625" style="52" customWidth="1"/>
    <col min="2052" max="2054" width="12.44140625" style="52" customWidth="1"/>
    <col min="2055" max="2305" width="11.44140625" style="52"/>
    <col min="2306" max="2306" width="33.6640625" style="52" customWidth="1"/>
    <col min="2307" max="2307" width="13.6640625" style="52" customWidth="1"/>
    <col min="2308" max="2310" width="12.44140625" style="52" customWidth="1"/>
    <col min="2311" max="2561" width="11.44140625" style="52"/>
    <col min="2562" max="2562" width="33.6640625" style="52" customWidth="1"/>
    <col min="2563" max="2563" width="13.6640625" style="52" customWidth="1"/>
    <col min="2564" max="2566" width="12.44140625" style="52" customWidth="1"/>
    <col min="2567" max="2817" width="11.44140625" style="52"/>
    <col min="2818" max="2818" width="33.6640625" style="52" customWidth="1"/>
    <col min="2819" max="2819" width="13.6640625" style="52" customWidth="1"/>
    <col min="2820" max="2822" width="12.44140625" style="52" customWidth="1"/>
    <col min="2823" max="3073" width="11.44140625" style="52"/>
    <col min="3074" max="3074" width="33.6640625" style="52" customWidth="1"/>
    <col min="3075" max="3075" width="13.6640625" style="52" customWidth="1"/>
    <col min="3076" max="3078" width="12.44140625" style="52" customWidth="1"/>
    <col min="3079" max="3329" width="11.44140625" style="52"/>
    <col min="3330" max="3330" width="33.6640625" style="52" customWidth="1"/>
    <col min="3331" max="3331" width="13.6640625" style="52" customWidth="1"/>
    <col min="3332" max="3334" width="12.44140625" style="52" customWidth="1"/>
    <col min="3335" max="3585" width="11.44140625" style="52"/>
    <col min="3586" max="3586" width="33.6640625" style="52" customWidth="1"/>
    <col min="3587" max="3587" width="13.6640625" style="52" customWidth="1"/>
    <col min="3588" max="3590" width="12.44140625" style="52" customWidth="1"/>
    <col min="3591" max="3841" width="11.44140625" style="52"/>
    <col min="3842" max="3842" width="33.6640625" style="52" customWidth="1"/>
    <col min="3843" max="3843" width="13.6640625" style="52" customWidth="1"/>
    <col min="3844" max="3846" width="12.44140625" style="52" customWidth="1"/>
    <col min="3847" max="4097" width="11.44140625" style="52"/>
    <col min="4098" max="4098" width="33.6640625" style="52" customWidth="1"/>
    <col min="4099" max="4099" width="13.6640625" style="52" customWidth="1"/>
    <col min="4100" max="4102" width="12.44140625" style="52" customWidth="1"/>
    <col min="4103" max="4353" width="11.44140625" style="52"/>
    <col min="4354" max="4354" width="33.6640625" style="52" customWidth="1"/>
    <col min="4355" max="4355" width="13.6640625" style="52" customWidth="1"/>
    <col min="4356" max="4358" width="12.44140625" style="52" customWidth="1"/>
    <col min="4359" max="4609" width="11.44140625" style="52"/>
    <col min="4610" max="4610" width="33.6640625" style="52" customWidth="1"/>
    <col min="4611" max="4611" width="13.6640625" style="52" customWidth="1"/>
    <col min="4612" max="4614" width="12.44140625" style="52" customWidth="1"/>
    <col min="4615" max="4865" width="11.44140625" style="52"/>
    <col min="4866" max="4866" width="33.6640625" style="52" customWidth="1"/>
    <col min="4867" max="4867" width="13.6640625" style="52" customWidth="1"/>
    <col min="4868" max="4870" width="12.44140625" style="52" customWidth="1"/>
    <col min="4871" max="5121" width="11.44140625" style="52"/>
    <col min="5122" max="5122" width="33.6640625" style="52" customWidth="1"/>
    <col min="5123" max="5123" width="13.6640625" style="52" customWidth="1"/>
    <col min="5124" max="5126" width="12.44140625" style="52" customWidth="1"/>
    <col min="5127" max="5377" width="11.44140625" style="52"/>
    <col min="5378" max="5378" width="33.6640625" style="52" customWidth="1"/>
    <col min="5379" max="5379" width="13.6640625" style="52" customWidth="1"/>
    <col min="5380" max="5382" width="12.44140625" style="52" customWidth="1"/>
    <col min="5383" max="5633" width="11.44140625" style="52"/>
    <col min="5634" max="5634" width="33.6640625" style="52" customWidth="1"/>
    <col min="5635" max="5635" width="13.6640625" style="52" customWidth="1"/>
    <col min="5636" max="5638" width="12.44140625" style="52" customWidth="1"/>
    <col min="5639" max="5889" width="11.44140625" style="52"/>
    <col min="5890" max="5890" width="33.6640625" style="52" customWidth="1"/>
    <col min="5891" max="5891" width="13.6640625" style="52" customWidth="1"/>
    <col min="5892" max="5894" width="12.44140625" style="52" customWidth="1"/>
    <col min="5895" max="6145" width="11.44140625" style="52"/>
    <col min="6146" max="6146" width="33.6640625" style="52" customWidth="1"/>
    <col min="6147" max="6147" width="13.6640625" style="52" customWidth="1"/>
    <col min="6148" max="6150" width="12.44140625" style="52" customWidth="1"/>
    <col min="6151" max="6401" width="11.44140625" style="52"/>
    <col min="6402" max="6402" width="33.6640625" style="52" customWidth="1"/>
    <col min="6403" max="6403" width="13.6640625" style="52" customWidth="1"/>
    <col min="6404" max="6406" width="12.44140625" style="52" customWidth="1"/>
    <col min="6407" max="6657" width="11.44140625" style="52"/>
    <col min="6658" max="6658" width="33.6640625" style="52" customWidth="1"/>
    <col min="6659" max="6659" width="13.6640625" style="52" customWidth="1"/>
    <col min="6660" max="6662" width="12.44140625" style="52" customWidth="1"/>
    <col min="6663" max="6913" width="11.44140625" style="52"/>
    <col min="6914" max="6914" width="33.6640625" style="52" customWidth="1"/>
    <col min="6915" max="6915" width="13.6640625" style="52" customWidth="1"/>
    <col min="6916" max="6918" width="12.44140625" style="52" customWidth="1"/>
    <col min="6919" max="7169" width="11.44140625" style="52"/>
    <col min="7170" max="7170" width="33.6640625" style="52" customWidth="1"/>
    <col min="7171" max="7171" width="13.6640625" style="52" customWidth="1"/>
    <col min="7172" max="7174" width="12.44140625" style="52" customWidth="1"/>
    <col min="7175" max="7425" width="11.44140625" style="52"/>
    <col min="7426" max="7426" width="33.6640625" style="52" customWidth="1"/>
    <col min="7427" max="7427" width="13.6640625" style="52" customWidth="1"/>
    <col min="7428" max="7430" width="12.44140625" style="52" customWidth="1"/>
    <col min="7431" max="7681" width="11.44140625" style="52"/>
    <col min="7682" max="7682" width="33.6640625" style="52" customWidth="1"/>
    <col min="7683" max="7683" width="13.6640625" style="52" customWidth="1"/>
    <col min="7684" max="7686" width="12.44140625" style="52" customWidth="1"/>
    <col min="7687" max="7937" width="11.44140625" style="52"/>
    <col min="7938" max="7938" width="33.6640625" style="52" customWidth="1"/>
    <col min="7939" max="7939" width="13.6640625" style="52" customWidth="1"/>
    <col min="7940" max="7942" width="12.44140625" style="52" customWidth="1"/>
    <col min="7943" max="8193" width="11.44140625" style="52"/>
    <col min="8194" max="8194" width="33.6640625" style="52" customWidth="1"/>
    <col min="8195" max="8195" width="13.6640625" style="52" customWidth="1"/>
    <col min="8196" max="8198" width="12.44140625" style="52" customWidth="1"/>
    <col min="8199" max="8449" width="11.44140625" style="52"/>
    <col min="8450" max="8450" width="33.6640625" style="52" customWidth="1"/>
    <col min="8451" max="8451" width="13.6640625" style="52" customWidth="1"/>
    <col min="8452" max="8454" width="12.44140625" style="52" customWidth="1"/>
    <col min="8455" max="8705" width="11.44140625" style="52"/>
    <col min="8706" max="8706" width="33.6640625" style="52" customWidth="1"/>
    <col min="8707" max="8707" width="13.6640625" style="52" customWidth="1"/>
    <col min="8708" max="8710" width="12.44140625" style="52" customWidth="1"/>
    <col min="8711" max="8961" width="11.44140625" style="52"/>
    <col min="8962" max="8962" width="33.6640625" style="52" customWidth="1"/>
    <col min="8963" max="8963" width="13.6640625" style="52" customWidth="1"/>
    <col min="8964" max="8966" width="12.44140625" style="52" customWidth="1"/>
    <col min="8967" max="9217" width="11.44140625" style="52"/>
    <col min="9218" max="9218" width="33.6640625" style="52" customWidth="1"/>
    <col min="9219" max="9219" width="13.6640625" style="52" customWidth="1"/>
    <col min="9220" max="9222" width="12.44140625" style="52" customWidth="1"/>
    <col min="9223" max="9473" width="11.44140625" style="52"/>
    <col min="9474" max="9474" width="33.6640625" style="52" customWidth="1"/>
    <col min="9475" max="9475" width="13.6640625" style="52" customWidth="1"/>
    <col min="9476" max="9478" width="12.44140625" style="52" customWidth="1"/>
    <col min="9479" max="9729" width="11.44140625" style="52"/>
    <col min="9730" max="9730" width="33.6640625" style="52" customWidth="1"/>
    <col min="9731" max="9731" width="13.6640625" style="52" customWidth="1"/>
    <col min="9732" max="9734" width="12.44140625" style="52" customWidth="1"/>
    <col min="9735" max="9985" width="11.44140625" style="52"/>
    <col min="9986" max="9986" width="33.6640625" style="52" customWidth="1"/>
    <col min="9987" max="9987" width="13.6640625" style="52" customWidth="1"/>
    <col min="9988" max="9990" width="12.44140625" style="52" customWidth="1"/>
    <col min="9991" max="10241" width="11.44140625" style="52"/>
    <col min="10242" max="10242" width="33.6640625" style="52" customWidth="1"/>
    <col min="10243" max="10243" width="13.6640625" style="52" customWidth="1"/>
    <col min="10244" max="10246" width="12.44140625" style="52" customWidth="1"/>
    <col min="10247" max="10497" width="11.44140625" style="52"/>
    <col min="10498" max="10498" width="33.6640625" style="52" customWidth="1"/>
    <col min="10499" max="10499" width="13.6640625" style="52" customWidth="1"/>
    <col min="10500" max="10502" width="12.44140625" style="52" customWidth="1"/>
    <col min="10503" max="10753" width="11.44140625" style="52"/>
    <col min="10754" max="10754" width="33.6640625" style="52" customWidth="1"/>
    <col min="10755" max="10755" width="13.6640625" style="52" customWidth="1"/>
    <col min="10756" max="10758" width="12.44140625" style="52" customWidth="1"/>
    <col min="10759" max="11009" width="11.44140625" style="52"/>
    <col min="11010" max="11010" width="33.6640625" style="52" customWidth="1"/>
    <col min="11011" max="11011" width="13.6640625" style="52" customWidth="1"/>
    <col min="11012" max="11014" width="12.44140625" style="52" customWidth="1"/>
    <col min="11015" max="11265" width="11.44140625" style="52"/>
    <col min="11266" max="11266" width="33.6640625" style="52" customWidth="1"/>
    <col min="11267" max="11267" width="13.6640625" style="52" customWidth="1"/>
    <col min="11268" max="11270" width="12.44140625" style="52" customWidth="1"/>
    <col min="11271" max="11521" width="11.44140625" style="52"/>
    <col min="11522" max="11522" width="33.6640625" style="52" customWidth="1"/>
    <col min="11523" max="11523" width="13.6640625" style="52" customWidth="1"/>
    <col min="11524" max="11526" width="12.44140625" style="52" customWidth="1"/>
    <col min="11527" max="11777" width="11.44140625" style="52"/>
    <col min="11778" max="11778" width="33.6640625" style="52" customWidth="1"/>
    <col min="11779" max="11779" width="13.6640625" style="52" customWidth="1"/>
    <col min="11780" max="11782" width="12.44140625" style="52" customWidth="1"/>
    <col min="11783" max="12033" width="11.44140625" style="52"/>
    <col min="12034" max="12034" width="33.6640625" style="52" customWidth="1"/>
    <col min="12035" max="12035" width="13.6640625" style="52" customWidth="1"/>
    <col min="12036" max="12038" width="12.44140625" style="52" customWidth="1"/>
    <col min="12039" max="12289" width="11.44140625" style="52"/>
    <col min="12290" max="12290" width="33.6640625" style="52" customWidth="1"/>
    <col min="12291" max="12291" width="13.6640625" style="52" customWidth="1"/>
    <col min="12292" max="12294" width="12.44140625" style="52" customWidth="1"/>
    <col min="12295" max="12545" width="11.44140625" style="52"/>
    <col min="12546" max="12546" width="33.6640625" style="52" customWidth="1"/>
    <col min="12547" max="12547" width="13.6640625" style="52" customWidth="1"/>
    <col min="12548" max="12550" width="12.44140625" style="52" customWidth="1"/>
    <col min="12551" max="12801" width="11.44140625" style="52"/>
    <col min="12802" max="12802" width="33.6640625" style="52" customWidth="1"/>
    <col min="12803" max="12803" width="13.6640625" style="52" customWidth="1"/>
    <col min="12804" max="12806" width="12.44140625" style="52" customWidth="1"/>
    <col min="12807" max="13057" width="11.44140625" style="52"/>
    <col min="13058" max="13058" width="33.6640625" style="52" customWidth="1"/>
    <col min="13059" max="13059" width="13.6640625" style="52" customWidth="1"/>
    <col min="13060" max="13062" width="12.44140625" style="52" customWidth="1"/>
    <col min="13063" max="13313" width="11.44140625" style="52"/>
    <col min="13314" max="13314" width="33.6640625" style="52" customWidth="1"/>
    <col min="13315" max="13315" width="13.6640625" style="52" customWidth="1"/>
    <col min="13316" max="13318" width="12.44140625" style="52" customWidth="1"/>
    <col min="13319" max="13569" width="11.44140625" style="52"/>
    <col min="13570" max="13570" width="33.6640625" style="52" customWidth="1"/>
    <col min="13571" max="13571" width="13.6640625" style="52" customWidth="1"/>
    <col min="13572" max="13574" width="12.44140625" style="52" customWidth="1"/>
    <col min="13575" max="13825" width="11.44140625" style="52"/>
    <col min="13826" max="13826" width="33.6640625" style="52" customWidth="1"/>
    <col min="13827" max="13827" width="13.6640625" style="52" customWidth="1"/>
    <col min="13828" max="13830" width="12.44140625" style="52" customWidth="1"/>
    <col min="13831" max="14081" width="11.44140625" style="52"/>
    <col min="14082" max="14082" width="33.6640625" style="52" customWidth="1"/>
    <col min="14083" max="14083" width="13.6640625" style="52" customWidth="1"/>
    <col min="14084" max="14086" width="12.44140625" style="52" customWidth="1"/>
    <col min="14087" max="14337" width="11.44140625" style="52"/>
    <col min="14338" max="14338" width="33.6640625" style="52" customWidth="1"/>
    <col min="14339" max="14339" width="13.6640625" style="52" customWidth="1"/>
    <col min="14340" max="14342" width="12.44140625" style="52" customWidth="1"/>
    <col min="14343" max="14593" width="11.44140625" style="52"/>
    <col min="14594" max="14594" width="33.6640625" style="52" customWidth="1"/>
    <col min="14595" max="14595" width="13.6640625" style="52" customWidth="1"/>
    <col min="14596" max="14598" width="12.44140625" style="52" customWidth="1"/>
    <col min="14599" max="14849" width="11.44140625" style="52"/>
    <col min="14850" max="14850" width="33.6640625" style="52" customWidth="1"/>
    <col min="14851" max="14851" width="13.6640625" style="52" customWidth="1"/>
    <col min="14852" max="14854" width="12.44140625" style="52" customWidth="1"/>
    <col min="14855" max="15105" width="11.44140625" style="52"/>
    <col min="15106" max="15106" width="33.6640625" style="52" customWidth="1"/>
    <col min="15107" max="15107" width="13.6640625" style="52" customWidth="1"/>
    <col min="15108" max="15110" width="12.44140625" style="52" customWidth="1"/>
    <col min="15111" max="15361" width="11.44140625" style="52"/>
    <col min="15362" max="15362" width="33.6640625" style="52" customWidth="1"/>
    <col min="15363" max="15363" width="13.6640625" style="52" customWidth="1"/>
    <col min="15364" max="15366" width="12.44140625" style="52" customWidth="1"/>
    <col min="15367" max="15617" width="11.44140625" style="52"/>
    <col min="15618" max="15618" width="33.6640625" style="52" customWidth="1"/>
    <col min="15619" max="15619" width="13.6640625" style="52" customWidth="1"/>
    <col min="15620" max="15622" width="12.44140625" style="52" customWidth="1"/>
    <col min="15623" max="15873" width="11.44140625" style="52"/>
    <col min="15874" max="15874" width="33.6640625" style="52" customWidth="1"/>
    <col min="15875" max="15875" width="13.6640625" style="52" customWidth="1"/>
    <col min="15876" max="15878" width="12.44140625" style="52" customWidth="1"/>
    <col min="15879" max="16129" width="11.44140625" style="52"/>
    <col min="16130" max="16130" width="33.6640625" style="52" customWidth="1"/>
    <col min="16131" max="16131" width="13.6640625" style="52" customWidth="1"/>
    <col min="16132" max="16134" width="12.44140625" style="52" customWidth="1"/>
    <col min="16135" max="16384" width="11.44140625" style="52"/>
  </cols>
  <sheetData>
    <row r="1" spans="1:10" ht="13.8" x14ac:dyDescent="0.3">
      <c r="B1" s="333" t="str">
        <f>'DPR GLOBAL_clé répartition'!C6</f>
        <v>VEFA "OPERATION SILOE"</v>
      </c>
      <c r="C1" s="334"/>
      <c r="D1" s="335"/>
      <c r="E1" s="335"/>
      <c r="F1" s="336"/>
    </row>
    <row r="3" spans="1:10" ht="13.8" x14ac:dyDescent="0.3">
      <c r="B3" s="333" t="s">
        <v>80</v>
      </c>
      <c r="C3" s="334"/>
      <c r="D3" s="335"/>
      <c r="E3" s="335"/>
      <c r="F3" s="336"/>
    </row>
    <row r="4" spans="1:10" ht="13.8" x14ac:dyDescent="0.3">
      <c r="B4" s="53"/>
      <c r="C4" s="53"/>
      <c r="D4" s="53"/>
      <c r="E4" s="53"/>
      <c r="F4" s="53"/>
    </row>
    <row r="5" spans="1:10" ht="27.6" x14ac:dyDescent="0.3">
      <c r="B5" s="63" t="s">
        <v>79</v>
      </c>
      <c r="C5" s="63" t="s">
        <v>78</v>
      </c>
      <c r="D5" s="62" t="s">
        <v>77</v>
      </c>
      <c r="E5" s="62" t="s">
        <v>76</v>
      </c>
      <c r="F5" s="62" t="s">
        <v>75</v>
      </c>
    </row>
    <row r="6" spans="1:10" ht="13.8" x14ac:dyDescent="0.3">
      <c r="B6" s="53"/>
      <c r="C6" s="55"/>
      <c r="D6" s="53"/>
      <c r="E6" s="53"/>
      <c r="F6" s="53"/>
    </row>
    <row r="7" spans="1:10" ht="13.8" x14ac:dyDescent="0.3">
      <c r="A7" s="60">
        <v>1</v>
      </c>
      <c r="B7" s="59" t="s">
        <v>150</v>
      </c>
      <c r="C7" s="215">
        <f>'DPR GLOBAL_clé répartition'!P19</f>
        <v>579999.99783799995</v>
      </c>
      <c r="D7" s="57"/>
      <c r="E7" s="57"/>
      <c r="F7" s="57"/>
    </row>
    <row r="8" spans="1:10" ht="13.8" x14ac:dyDescent="0.3">
      <c r="A8" s="60">
        <v>2</v>
      </c>
      <c r="B8" s="59" t="s">
        <v>74</v>
      </c>
      <c r="C8" s="215">
        <f>'DPR GLOBAL_clé répartition'!P24</f>
        <v>2760000.0014359998</v>
      </c>
      <c r="D8" s="57">
        <f>'DPR GLOBAL_clé répartition'!P37</f>
        <v>390000</v>
      </c>
      <c r="E8" s="57">
        <f>'DPR GLOBAL_clé répartition'!P38</f>
        <v>39000</v>
      </c>
      <c r="F8" s="57">
        <v>16500</v>
      </c>
    </row>
    <row r="9" spans="1:10" ht="13.8" x14ac:dyDescent="0.3">
      <c r="A9" s="60">
        <v>3</v>
      </c>
      <c r="B9" s="59" t="s">
        <v>73</v>
      </c>
      <c r="C9" s="215">
        <f>'DPR GLOBAL_clé répartition'!P25</f>
        <v>199999.99999999997</v>
      </c>
      <c r="D9" s="57"/>
      <c r="E9" s="57"/>
      <c r="F9" s="57"/>
    </row>
    <row r="10" spans="1:10" ht="13.8" x14ac:dyDescent="0.3">
      <c r="A10" s="60">
        <v>4</v>
      </c>
      <c r="B10" s="59" t="s">
        <v>123</v>
      </c>
      <c r="C10" s="215">
        <v>42000</v>
      </c>
      <c r="D10" s="57"/>
      <c r="E10" s="57"/>
      <c r="F10" s="57">
        <v>42000</v>
      </c>
      <c r="G10" s="217"/>
    </row>
    <row r="11" spans="1:10" ht="13.8" x14ac:dyDescent="0.3">
      <c r="A11" s="60">
        <v>5</v>
      </c>
      <c r="B11" s="59" t="s">
        <v>124</v>
      </c>
      <c r="C11" s="215">
        <f>'DPR GLOBAL_clé répartition'!P29</f>
        <v>123000</v>
      </c>
      <c r="D11" s="57"/>
      <c r="E11" s="57"/>
      <c r="F11" s="57"/>
    </row>
    <row r="12" spans="1:10" ht="13.8" x14ac:dyDescent="0.3">
      <c r="A12" s="60">
        <v>6</v>
      </c>
      <c r="B12" s="59" t="s">
        <v>125</v>
      </c>
      <c r="C12" s="215">
        <v>200000</v>
      </c>
      <c r="D12" s="57"/>
      <c r="E12" s="57"/>
      <c r="F12" s="57">
        <v>18820</v>
      </c>
    </row>
    <row r="13" spans="1:10" ht="13.8" x14ac:dyDescent="0.3">
      <c r="A13" s="60">
        <v>7</v>
      </c>
      <c r="B13" s="59" t="s">
        <v>126</v>
      </c>
      <c r="C13" s="215">
        <v>125000</v>
      </c>
      <c r="D13" s="57"/>
      <c r="E13" s="57"/>
      <c r="F13" s="57"/>
    </row>
    <row r="14" spans="1:10" ht="13.8" x14ac:dyDescent="0.3">
      <c r="A14" s="60">
        <v>8</v>
      </c>
      <c r="B14" s="59" t="s">
        <v>162</v>
      </c>
      <c r="C14" s="215">
        <f>'DPR GLOBAL_clé répartition'!P34</f>
        <v>245000</v>
      </c>
      <c r="D14" s="57"/>
      <c r="E14" s="57"/>
      <c r="F14" s="57"/>
      <c r="J14" s="54"/>
    </row>
    <row r="15" spans="1:10" ht="13.8" x14ac:dyDescent="0.3">
      <c r="A15" s="60">
        <v>9</v>
      </c>
      <c r="B15" s="59" t="s">
        <v>122</v>
      </c>
      <c r="C15" s="215">
        <f>'DPR GLOBAL_clé répartition'!P28-'Estim MOE'!C10</f>
        <v>221500</v>
      </c>
      <c r="D15" s="57"/>
      <c r="E15" s="57"/>
      <c r="F15" s="57"/>
      <c r="J15" s="54"/>
    </row>
    <row r="16" spans="1:10" ht="13.8" x14ac:dyDescent="0.3">
      <c r="A16" s="60">
        <v>10</v>
      </c>
      <c r="B16" s="59" t="s">
        <v>71</v>
      </c>
      <c r="C16" s="215">
        <f>'DPR GLOBAL_clé répartition'!P26</f>
        <v>159999.99999999994</v>
      </c>
      <c r="D16" s="57"/>
      <c r="E16" s="57"/>
      <c r="F16" s="57"/>
      <c r="J16" s="54"/>
    </row>
    <row r="17" spans="1:10" ht="13.8" x14ac:dyDescent="0.3">
      <c r="A17" s="60">
        <v>11</v>
      </c>
      <c r="B17" s="59" t="s">
        <v>70</v>
      </c>
      <c r="C17" s="215">
        <f>'DPR GLOBAL_clé répartition'!P27</f>
        <v>228500.00000000003</v>
      </c>
      <c r="D17" s="61"/>
      <c r="E17" s="57"/>
      <c r="F17" s="57"/>
      <c r="J17" s="54"/>
    </row>
    <row r="18" spans="1:10" ht="13.8" x14ac:dyDescent="0.3">
      <c r="A18" s="60">
        <v>12</v>
      </c>
      <c r="B18" s="59" t="s">
        <v>127</v>
      </c>
      <c r="C18" s="215">
        <f>'DPR GLOBAL_clé répartition'!P31</f>
        <v>235999.99649959998</v>
      </c>
      <c r="D18" s="61"/>
      <c r="E18" s="57"/>
      <c r="F18" s="57"/>
    </row>
    <row r="19" spans="1:10" ht="13.8" x14ac:dyDescent="0.3">
      <c r="A19" s="60">
        <v>13</v>
      </c>
      <c r="B19" s="59" t="s">
        <v>69</v>
      </c>
      <c r="C19" s="215">
        <f>'DPR GLOBAL_clé répartition'!P30</f>
        <v>270000.00209700002</v>
      </c>
      <c r="D19" s="57"/>
      <c r="E19" s="57"/>
      <c r="F19" s="57"/>
    </row>
    <row r="20" spans="1:10" ht="13.8" x14ac:dyDescent="0.3">
      <c r="A20" s="60">
        <v>14</v>
      </c>
      <c r="B20" s="59" t="s">
        <v>36</v>
      </c>
      <c r="C20" s="215">
        <f>'DPR GLOBAL_clé répartition'!P32</f>
        <v>156500</v>
      </c>
      <c r="D20" s="57"/>
      <c r="E20" s="57"/>
      <c r="F20" s="57">
        <f>C20</f>
        <v>156500</v>
      </c>
    </row>
    <row r="21" spans="1:10" ht="13.8" x14ac:dyDescent="0.3">
      <c r="A21" s="60">
        <v>15</v>
      </c>
      <c r="B21" s="59" t="s">
        <v>128</v>
      </c>
      <c r="C21" s="215">
        <f>'DPR GLOBAL_clé répartition'!P35</f>
        <v>70000</v>
      </c>
      <c r="D21" s="57"/>
      <c r="E21" s="57"/>
      <c r="F21" s="57"/>
    </row>
    <row r="22" spans="1:10" ht="13.8" x14ac:dyDescent="0.3">
      <c r="A22" s="60">
        <v>16</v>
      </c>
      <c r="B22" s="59" t="s">
        <v>65</v>
      </c>
      <c r="C22" s="215">
        <f>'DPR GLOBAL_clé répartition'!P41</f>
        <v>34500</v>
      </c>
      <c r="D22" s="57"/>
      <c r="E22" s="57"/>
      <c r="F22" s="57"/>
    </row>
    <row r="23" spans="1:10" ht="13.8" x14ac:dyDescent="0.3">
      <c r="A23" s="60">
        <v>17</v>
      </c>
      <c r="B23" s="59" t="s">
        <v>110</v>
      </c>
      <c r="C23" s="215">
        <v>40000</v>
      </c>
      <c r="D23" s="57"/>
      <c r="E23" s="57"/>
      <c r="F23" s="57"/>
    </row>
    <row r="24" spans="1:10" ht="13.8" x14ac:dyDescent="0.3">
      <c r="A24" s="60">
        <v>18</v>
      </c>
      <c r="B24" s="59" t="s">
        <v>68</v>
      </c>
      <c r="C24" s="215">
        <f>'DPR GLOBAL_clé répartition'!P20</f>
        <v>15499.998287049997</v>
      </c>
      <c r="D24" s="57"/>
      <c r="E24" s="57"/>
      <c r="F24" s="57"/>
    </row>
    <row r="25" spans="1:10" ht="13.8" x14ac:dyDescent="0.3">
      <c r="A25" s="60">
        <v>19</v>
      </c>
      <c r="B25" s="59" t="s">
        <v>67</v>
      </c>
      <c r="C25" s="215">
        <f>'DPR GLOBAL_clé répartition'!P21</f>
        <v>7199.9976559199995</v>
      </c>
      <c r="D25" s="57"/>
      <c r="E25" s="57"/>
      <c r="F25" s="57"/>
    </row>
    <row r="26" spans="1:10" ht="13.8" x14ac:dyDescent="0.3">
      <c r="A26" s="60">
        <v>20</v>
      </c>
      <c r="B26" s="59" t="s">
        <v>66</v>
      </c>
      <c r="C26" s="215">
        <f>'DPR GLOBAL_clé répartition'!P22</f>
        <v>5650.0048272149998</v>
      </c>
      <c r="D26" s="57"/>
      <c r="E26" s="57"/>
      <c r="F26" s="57"/>
    </row>
    <row r="27" spans="1:10" ht="13.8" x14ac:dyDescent="0.3">
      <c r="B27" s="53"/>
      <c r="C27" s="55"/>
      <c r="D27" s="55"/>
      <c r="E27" s="55"/>
      <c r="F27" s="55"/>
    </row>
    <row r="28" spans="1:10" ht="13.8" x14ac:dyDescent="0.3">
      <c r="B28" s="58" t="s">
        <v>64</v>
      </c>
      <c r="C28" s="57">
        <f>SUM(C7:C26)</f>
        <v>5720349.998640785</v>
      </c>
      <c r="D28" s="57">
        <f>SUM(D7:D26)</f>
        <v>390000</v>
      </c>
      <c r="E28" s="57">
        <f>SUM(E7:E26)</f>
        <v>39000</v>
      </c>
      <c r="F28" s="57">
        <f>SUM(F7:F26)</f>
        <v>233820</v>
      </c>
      <c r="G28" s="54"/>
    </row>
    <row r="29" spans="1:10" ht="13.8" x14ac:dyDescent="0.3">
      <c r="B29" s="58" t="s">
        <v>63</v>
      </c>
      <c r="C29" s="57">
        <f>C28*8.5%</f>
        <v>486229.74988446676</v>
      </c>
      <c r="D29" s="57">
        <f t="shared" ref="D29:F29" si="0">D28*8.5%</f>
        <v>33150</v>
      </c>
      <c r="E29" s="57">
        <f t="shared" si="0"/>
        <v>3315.0000000000005</v>
      </c>
      <c r="F29" s="57">
        <f t="shared" si="0"/>
        <v>19874.7</v>
      </c>
      <c r="G29" s="54"/>
    </row>
    <row r="30" spans="1:10" ht="13.8" x14ac:dyDescent="0.3">
      <c r="B30" s="58" t="s">
        <v>62</v>
      </c>
      <c r="C30" s="57">
        <f>SUM(C28:C29)</f>
        <v>6206579.7485252516</v>
      </c>
      <c r="D30" s="57">
        <f>SUM(D28:D29)</f>
        <v>423150</v>
      </c>
      <c r="E30" s="57">
        <f>SUM(E28:E29)</f>
        <v>42315</v>
      </c>
      <c r="F30" s="57">
        <f>SUM(F28:F29)</f>
        <v>253694.7</v>
      </c>
      <c r="G30" s="54"/>
    </row>
    <row r="31" spans="1:10" ht="13.8" x14ac:dyDescent="0.3">
      <c r="B31" s="53"/>
      <c r="C31" s="55"/>
      <c r="D31" s="53"/>
      <c r="E31" s="53"/>
      <c r="F31" s="53"/>
    </row>
    <row r="32" spans="1:10" ht="13.8" x14ac:dyDescent="0.3">
      <c r="B32" s="53" t="s">
        <v>61</v>
      </c>
      <c r="C32" s="55"/>
      <c r="D32" s="337" t="s">
        <v>60</v>
      </c>
      <c r="E32" s="337"/>
      <c r="F32" s="337"/>
    </row>
    <row r="33" spans="2:10" ht="13.8" x14ac:dyDescent="0.3">
      <c r="B33" s="53" t="s">
        <v>59</v>
      </c>
      <c r="D33" s="337"/>
      <c r="E33" s="337"/>
      <c r="F33" s="337"/>
      <c r="H33" s="54"/>
      <c r="I33" s="56"/>
      <c r="J33" s="56"/>
    </row>
    <row r="34" spans="2:10" ht="13.8" x14ac:dyDescent="0.3">
      <c r="B34" s="53"/>
      <c r="C34" s="55"/>
      <c r="D34" s="53"/>
      <c r="E34" s="53"/>
      <c r="F34" s="53"/>
    </row>
    <row r="35" spans="2:10" ht="13.8" x14ac:dyDescent="0.3">
      <c r="B35" s="53"/>
      <c r="C35" s="55"/>
      <c r="D35" s="53"/>
      <c r="E35" s="53"/>
      <c r="F35" s="53"/>
    </row>
    <row r="36" spans="2:10" ht="13.8" x14ac:dyDescent="0.3">
      <c r="B36" s="53"/>
      <c r="C36" s="55"/>
    </row>
    <row r="37" spans="2:10" ht="13.8" x14ac:dyDescent="0.3">
      <c r="B37" s="53"/>
      <c r="C37" s="54"/>
    </row>
    <row r="38" spans="2:10" ht="13.8" x14ac:dyDescent="0.3">
      <c r="B38" s="53"/>
      <c r="C38" s="54"/>
    </row>
    <row r="39" spans="2:10" ht="13.8" x14ac:dyDescent="0.3">
      <c r="B39" s="53"/>
    </row>
  </sheetData>
  <mergeCells count="3">
    <mergeCell ref="B1:F1"/>
    <mergeCell ref="B3:F3"/>
    <mergeCell ref="D32:F33"/>
  </mergeCell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headerFooter alignWithMargins="0">
    <oddHeader>&amp;C&amp;"Arial Narrow,Italique"SCCV LE BUTOR - 55 LLTS - Mars 2015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E18"/>
  <sheetViews>
    <sheetView showGridLines="0" showRowColHeaders="0" view="pageBreakPreview" zoomScale="150" zoomScaleNormal="100" zoomScaleSheetLayoutView="150" workbookViewId="0">
      <selection activeCell="C15" sqref="C15"/>
    </sheetView>
  </sheetViews>
  <sheetFormatPr baseColWidth="10" defaultRowHeight="13.2" x14ac:dyDescent="0.25"/>
  <cols>
    <col min="1" max="1" width="51.5546875" style="52" bestFit="1" customWidth="1"/>
    <col min="2" max="2" width="14.109375" style="52" customWidth="1"/>
    <col min="3" max="3" width="10.33203125" style="52" customWidth="1"/>
    <col min="4" max="4" width="15.109375" style="52" customWidth="1"/>
    <col min="5" max="5" width="11.44140625" style="52"/>
    <col min="6" max="6" width="11.6640625" style="52" bestFit="1" customWidth="1"/>
    <col min="7" max="255" width="11.44140625" style="52"/>
    <col min="256" max="256" width="37" style="52" bestFit="1" customWidth="1"/>
    <col min="257" max="258" width="10" style="52" customWidth="1"/>
    <col min="259" max="259" width="10.33203125" style="52" customWidth="1"/>
    <col min="260" max="260" width="15.109375" style="52" customWidth="1"/>
    <col min="261" max="261" width="11.44140625" style="52"/>
    <col min="262" max="262" width="11.6640625" style="52" bestFit="1" customWidth="1"/>
    <col min="263" max="511" width="11.44140625" style="52"/>
    <col min="512" max="512" width="37" style="52" bestFit="1" customWidth="1"/>
    <col min="513" max="514" width="10" style="52" customWidth="1"/>
    <col min="515" max="515" width="10.33203125" style="52" customWidth="1"/>
    <col min="516" max="516" width="15.109375" style="52" customWidth="1"/>
    <col min="517" max="517" width="11.44140625" style="52"/>
    <col min="518" max="518" width="11.6640625" style="52" bestFit="1" customWidth="1"/>
    <col min="519" max="767" width="11.44140625" style="52"/>
    <col min="768" max="768" width="37" style="52" bestFit="1" customWidth="1"/>
    <col min="769" max="770" width="10" style="52" customWidth="1"/>
    <col min="771" max="771" width="10.33203125" style="52" customWidth="1"/>
    <col min="772" max="772" width="15.109375" style="52" customWidth="1"/>
    <col min="773" max="773" width="11.44140625" style="52"/>
    <col min="774" max="774" width="11.6640625" style="52" bestFit="1" customWidth="1"/>
    <col min="775" max="1023" width="11.44140625" style="52"/>
    <col min="1024" max="1024" width="37" style="52" bestFit="1" customWidth="1"/>
    <col min="1025" max="1026" width="10" style="52" customWidth="1"/>
    <col min="1027" max="1027" width="10.33203125" style="52" customWidth="1"/>
    <col min="1028" max="1028" width="15.109375" style="52" customWidth="1"/>
    <col min="1029" max="1029" width="11.44140625" style="52"/>
    <col min="1030" max="1030" width="11.6640625" style="52" bestFit="1" customWidth="1"/>
    <col min="1031" max="1279" width="11.44140625" style="52"/>
    <col min="1280" max="1280" width="37" style="52" bestFit="1" customWidth="1"/>
    <col min="1281" max="1282" width="10" style="52" customWidth="1"/>
    <col min="1283" max="1283" width="10.33203125" style="52" customWidth="1"/>
    <col min="1284" max="1284" width="15.109375" style="52" customWidth="1"/>
    <col min="1285" max="1285" width="11.44140625" style="52"/>
    <col min="1286" max="1286" width="11.6640625" style="52" bestFit="1" customWidth="1"/>
    <col min="1287" max="1535" width="11.44140625" style="52"/>
    <col min="1536" max="1536" width="37" style="52" bestFit="1" customWidth="1"/>
    <col min="1537" max="1538" width="10" style="52" customWidth="1"/>
    <col min="1539" max="1539" width="10.33203125" style="52" customWidth="1"/>
    <col min="1540" max="1540" width="15.109375" style="52" customWidth="1"/>
    <col min="1541" max="1541" width="11.44140625" style="52"/>
    <col min="1542" max="1542" width="11.6640625" style="52" bestFit="1" customWidth="1"/>
    <col min="1543" max="1791" width="11.44140625" style="52"/>
    <col min="1792" max="1792" width="37" style="52" bestFit="1" customWidth="1"/>
    <col min="1793" max="1794" width="10" style="52" customWidth="1"/>
    <col min="1795" max="1795" width="10.33203125" style="52" customWidth="1"/>
    <col min="1796" max="1796" width="15.109375" style="52" customWidth="1"/>
    <col min="1797" max="1797" width="11.44140625" style="52"/>
    <col min="1798" max="1798" width="11.6640625" style="52" bestFit="1" customWidth="1"/>
    <col min="1799" max="2047" width="11.44140625" style="52"/>
    <col min="2048" max="2048" width="37" style="52" bestFit="1" customWidth="1"/>
    <col min="2049" max="2050" width="10" style="52" customWidth="1"/>
    <col min="2051" max="2051" width="10.33203125" style="52" customWidth="1"/>
    <col min="2052" max="2052" width="15.109375" style="52" customWidth="1"/>
    <col min="2053" max="2053" width="11.44140625" style="52"/>
    <col min="2054" max="2054" width="11.6640625" style="52" bestFit="1" customWidth="1"/>
    <col min="2055" max="2303" width="11.44140625" style="52"/>
    <col min="2304" max="2304" width="37" style="52" bestFit="1" customWidth="1"/>
    <col min="2305" max="2306" width="10" style="52" customWidth="1"/>
    <col min="2307" max="2307" width="10.33203125" style="52" customWidth="1"/>
    <col min="2308" max="2308" width="15.109375" style="52" customWidth="1"/>
    <col min="2309" max="2309" width="11.44140625" style="52"/>
    <col min="2310" max="2310" width="11.6640625" style="52" bestFit="1" customWidth="1"/>
    <col min="2311" max="2559" width="11.44140625" style="52"/>
    <col min="2560" max="2560" width="37" style="52" bestFit="1" customWidth="1"/>
    <col min="2561" max="2562" width="10" style="52" customWidth="1"/>
    <col min="2563" max="2563" width="10.33203125" style="52" customWidth="1"/>
    <col min="2564" max="2564" width="15.109375" style="52" customWidth="1"/>
    <col min="2565" max="2565" width="11.44140625" style="52"/>
    <col min="2566" max="2566" width="11.6640625" style="52" bestFit="1" customWidth="1"/>
    <col min="2567" max="2815" width="11.44140625" style="52"/>
    <col min="2816" max="2816" width="37" style="52" bestFit="1" customWidth="1"/>
    <col min="2817" max="2818" width="10" style="52" customWidth="1"/>
    <col min="2819" max="2819" width="10.33203125" style="52" customWidth="1"/>
    <col min="2820" max="2820" width="15.109375" style="52" customWidth="1"/>
    <col min="2821" max="2821" width="11.44140625" style="52"/>
    <col min="2822" max="2822" width="11.6640625" style="52" bestFit="1" customWidth="1"/>
    <col min="2823" max="3071" width="11.44140625" style="52"/>
    <col min="3072" max="3072" width="37" style="52" bestFit="1" customWidth="1"/>
    <col min="3073" max="3074" width="10" style="52" customWidth="1"/>
    <col min="3075" max="3075" width="10.33203125" style="52" customWidth="1"/>
    <col min="3076" max="3076" width="15.109375" style="52" customWidth="1"/>
    <col min="3077" max="3077" width="11.44140625" style="52"/>
    <col min="3078" max="3078" width="11.6640625" style="52" bestFit="1" customWidth="1"/>
    <col min="3079" max="3327" width="11.44140625" style="52"/>
    <col min="3328" max="3328" width="37" style="52" bestFit="1" customWidth="1"/>
    <col min="3329" max="3330" width="10" style="52" customWidth="1"/>
    <col min="3331" max="3331" width="10.33203125" style="52" customWidth="1"/>
    <col min="3332" max="3332" width="15.109375" style="52" customWidth="1"/>
    <col min="3333" max="3333" width="11.44140625" style="52"/>
    <col min="3334" max="3334" width="11.6640625" style="52" bestFit="1" customWidth="1"/>
    <col min="3335" max="3583" width="11.44140625" style="52"/>
    <col min="3584" max="3584" width="37" style="52" bestFit="1" customWidth="1"/>
    <col min="3585" max="3586" width="10" style="52" customWidth="1"/>
    <col min="3587" max="3587" width="10.33203125" style="52" customWidth="1"/>
    <col min="3588" max="3588" width="15.109375" style="52" customWidth="1"/>
    <col min="3589" max="3589" width="11.44140625" style="52"/>
    <col min="3590" max="3590" width="11.6640625" style="52" bestFit="1" customWidth="1"/>
    <col min="3591" max="3839" width="11.44140625" style="52"/>
    <col min="3840" max="3840" width="37" style="52" bestFit="1" customWidth="1"/>
    <col min="3841" max="3842" width="10" style="52" customWidth="1"/>
    <col min="3843" max="3843" width="10.33203125" style="52" customWidth="1"/>
    <col min="3844" max="3844" width="15.109375" style="52" customWidth="1"/>
    <col min="3845" max="3845" width="11.44140625" style="52"/>
    <col min="3846" max="3846" width="11.6640625" style="52" bestFit="1" customWidth="1"/>
    <col min="3847" max="4095" width="11.44140625" style="52"/>
    <col min="4096" max="4096" width="37" style="52" bestFit="1" customWidth="1"/>
    <col min="4097" max="4098" width="10" style="52" customWidth="1"/>
    <col min="4099" max="4099" width="10.33203125" style="52" customWidth="1"/>
    <col min="4100" max="4100" width="15.109375" style="52" customWidth="1"/>
    <col min="4101" max="4101" width="11.44140625" style="52"/>
    <col min="4102" max="4102" width="11.6640625" style="52" bestFit="1" customWidth="1"/>
    <col min="4103" max="4351" width="11.44140625" style="52"/>
    <col min="4352" max="4352" width="37" style="52" bestFit="1" customWidth="1"/>
    <col min="4353" max="4354" width="10" style="52" customWidth="1"/>
    <col min="4355" max="4355" width="10.33203125" style="52" customWidth="1"/>
    <col min="4356" max="4356" width="15.109375" style="52" customWidth="1"/>
    <col min="4357" max="4357" width="11.44140625" style="52"/>
    <col min="4358" max="4358" width="11.6640625" style="52" bestFit="1" customWidth="1"/>
    <col min="4359" max="4607" width="11.44140625" style="52"/>
    <col min="4608" max="4608" width="37" style="52" bestFit="1" customWidth="1"/>
    <col min="4609" max="4610" width="10" style="52" customWidth="1"/>
    <col min="4611" max="4611" width="10.33203125" style="52" customWidth="1"/>
    <col min="4612" max="4612" width="15.109375" style="52" customWidth="1"/>
    <col min="4613" max="4613" width="11.44140625" style="52"/>
    <col min="4614" max="4614" width="11.6640625" style="52" bestFit="1" customWidth="1"/>
    <col min="4615" max="4863" width="11.44140625" style="52"/>
    <col min="4864" max="4864" width="37" style="52" bestFit="1" customWidth="1"/>
    <col min="4865" max="4866" width="10" style="52" customWidth="1"/>
    <col min="4867" max="4867" width="10.33203125" style="52" customWidth="1"/>
    <col min="4868" max="4868" width="15.109375" style="52" customWidth="1"/>
    <col min="4869" max="4869" width="11.44140625" style="52"/>
    <col min="4870" max="4870" width="11.6640625" style="52" bestFit="1" customWidth="1"/>
    <col min="4871" max="5119" width="11.44140625" style="52"/>
    <col min="5120" max="5120" width="37" style="52" bestFit="1" customWidth="1"/>
    <col min="5121" max="5122" width="10" style="52" customWidth="1"/>
    <col min="5123" max="5123" width="10.33203125" style="52" customWidth="1"/>
    <col min="5124" max="5124" width="15.109375" style="52" customWidth="1"/>
    <col min="5125" max="5125" width="11.44140625" style="52"/>
    <col min="5126" max="5126" width="11.6640625" style="52" bestFit="1" customWidth="1"/>
    <col min="5127" max="5375" width="11.44140625" style="52"/>
    <col min="5376" max="5376" width="37" style="52" bestFit="1" customWidth="1"/>
    <col min="5377" max="5378" width="10" style="52" customWidth="1"/>
    <col min="5379" max="5379" width="10.33203125" style="52" customWidth="1"/>
    <col min="5380" max="5380" width="15.109375" style="52" customWidth="1"/>
    <col min="5381" max="5381" width="11.44140625" style="52"/>
    <col min="5382" max="5382" width="11.6640625" style="52" bestFit="1" customWidth="1"/>
    <col min="5383" max="5631" width="11.44140625" style="52"/>
    <col min="5632" max="5632" width="37" style="52" bestFit="1" customWidth="1"/>
    <col min="5633" max="5634" width="10" style="52" customWidth="1"/>
    <col min="5635" max="5635" width="10.33203125" style="52" customWidth="1"/>
    <col min="5636" max="5636" width="15.109375" style="52" customWidth="1"/>
    <col min="5637" max="5637" width="11.44140625" style="52"/>
    <col min="5638" max="5638" width="11.6640625" style="52" bestFit="1" customWidth="1"/>
    <col min="5639" max="5887" width="11.44140625" style="52"/>
    <col min="5888" max="5888" width="37" style="52" bestFit="1" customWidth="1"/>
    <col min="5889" max="5890" width="10" style="52" customWidth="1"/>
    <col min="5891" max="5891" width="10.33203125" style="52" customWidth="1"/>
    <col min="5892" max="5892" width="15.109375" style="52" customWidth="1"/>
    <col min="5893" max="5893" width="11.44140625" style="52"/>
    <col min="5894" max="5894" width="11.6640625" style="52" bestFit="1" customWidth="1"/>
    <col min="5895" max="6143" width="11.44140625" style="52"/>
    <col min="6144" max="6144" width="37" style="52" bestFit="1" customWidth="1"/>
    <col min="6145" max="6146" width="10" style="52" customWidth="1"/>
    <col min="6147" max="6147" width="10.33203125" style="52" customWidth="1"/>
    <col min="6148" max="6148" width="15.109375" style="52" customWidth="1"/>
    <col min="6149" max="6149" width="11.44140625" style="52"/>
    <col min="6150" max="6150" width="11.6640625" style="52" bestFit="1" customWidth="1"/>
    <col min="6151" max="6399" width="11.44140625" style="52"/>
    <col min="6400" max="6400" width="37" style="52" bestFit="1" customWidth="1"/>
    <col min="6401" max="6402" width="10" style="52" customWidth="1"/>
    <col min="6403" max="6403" width="10.33203125" style="52" customWidth="1"/>
    <col min="6404" max="6404" width="15.109375" style="52" customWidth="1"/>
    <col min="6405" max="6405" width="11.44140625" style="52"/>
    <col min="6406" max="6406" width="11.6640625" style="52" bestFit="1" customWidth="1"/>
    <col min="6407" max="6655" width="11.44140625" style="52"/>
    <col min="6656" max="6656" width="37" style="52" bestFit="1" customWidth="1"/>
    <col min="6657" max="6658" width="10" style="52" customWidth="1"/>
    <col min="6659" max="6659" width="10.33203125" style="52" customWidth="1"/>
    <col min="6660" max="6660" width="15.109375" style="52" customWidth="1"/>
    <col min="6661" max="6661" width="11.44140625" style="52"/>
    <col min="6662" max="6662" width="11.6640625" style="52" bestFit="1" customWidth="1"/>
    <col min="6663" max="6911" width="11.44140625" style="52"/>
    <col min="6912" max="6912" width="37" style="52" bestFit="1" customWidth="1"/>
    <col min="6913" max="6914" width="10" style="52" customWidth="1"/>
    <col min="6915" max="6915" width="10.33203125" style="52" customWidth="1"/>
    <col min="6916" max="6916" width="15.109375" style="52" customWidth="1"/>
    <col min="6917" max="6917" width="11.44140625" style="52"/>
    <col min="6918" max="6918" width="11.6640625" style="52" bestFit="1" customWidth="1"/>
    <col min="6919" max="7167" width="11.44140625" style="52"/>
    <col min="7168" max="7168" width="37" style="52" bestFit="1" customWidth="1"/>
    <col min="7169" max="7170" width="10" style="52" customWidth="1"/>
    <col min="7171" max="7171" width="10.33203125" style="52" customWidth="1"/>
    <col min="7172" max="7172" width="15.109375" style="52" customWidth="1"/>
    <col min="7173" max="7173" width="11.44140625" style="52"/>
    <col min="7174" max="7174" width="11.6640625" style="52" bestFit="1" customWidth="1"/>
    <col min="7175" max="7423" width="11.44140625" style="52"/>
    <col min="7424" max="7424" width="37" style="52" bestFit="1" customWidth="1"/>
    <col min="7425" max="7426" width="10" style="52" customWidth="1"/>
    <col min="7427" max="7427" width="10.33203125" style="52" customWidth="1"/>
    <col min="7428" max="7428" width="15.109375" style="52" customWidth="1"/>
    <col min="7429" max="7429" width="11.44140625" style="52"/>
    <col min="7430" max="7430" width="11.6640625" style="52" bestFit="1" customWidth="1"/>
    <col min="7431" max="7679" width="11.44140625" style="52"/>
    <col min="7680" max="7680" width="37" style="52" bestFit="1" customWidth="1"/>
    <col min="7681" max="7682" width="10" style="52" customWidth="1"/>
    <col min="7683" max="7683" width="10.33203125" style="52" customWidth="1"/>
    <col min="7684" max="7684" width="15.109375" style="52" customWidth="1"/>
    <col min="7685" max="7685" width="11.44140625" style="52"/>
    <col min="7686" max="7686" width="11.6640625" style="52" bestFit="1" customWidth="1"/>
    <col min="7687" max="7935" width="11.44140625" style="52"/>
    <col min="7936" max="7936" width="37" style="52" bestFit="1" customWidth="1"/>
    <col min="7937" max="7938" width="10" style="52" customWidth="1"/>
    <col min="7939" max="7939" width="10.33203125" style="52" customWidth="1"/>
    <col min="7940" max="7940" width="15.109375" style="52" customWidth="1"/>
    <col min="7941" max="7941" width="11.44140625" style="52"/>
    <col min="7942" max="7942" width="11.6640625" style="52" bestFit="1" customWidth="1"/>
    <col min="7943" max="8191" width="11.44140625" style="52"/>
    <col min="8192" max="8192" width="37" style="52" bestFit="1" customWidth="1"/>
    <col min="8193" max="8194" width="10" style="52" customWidth="1"/>
    <col min="8195" max="8195" width="10.33203125" style="52" customWidth="1"/>
    <col min="8196" max="8196" width="15.109375" style="52" customWidth="1"/>
    <col min="8197" max="8197" width="11.44140625" style="52"/>
    <col min="8198" max="8198" width="11.6640625" style="52" bestFit="1" customWidth="1"/>
    <col min="8199" max="8447" width="11.44140625" style="52"/>
    <col min="8448" max="8448" width="37" style="52" bestFit="1" customWidth="1"/>
    <col min="8449" max="8450" width="10" style="52" customWidth="1"/>
    <col min="8451" max="8451" width="10.33203125" style="52" customWidth="1"/>
    <col min="8452" max="8452" width="15.109375" style="52" customWidth="1"/>
    <col min="8453" max="8453" width="11.44140625" style="52"/>
    <col min="8454" max="8454" width="11.6640625" style="52" bestFit="1" customWidth="1"/>
    <col min="8455" max="8703" width="11.44140625" style="52"/>
    <col min="8704" max="8704" width="37" style="52" bestFit="1" customWidth="1"/>
    <col min="8705" max="8706" width="10" style="52" customWidth="1"/>
    <col min="8707" max="8707" width="10.33203125" style="52" customWidth="1"/>
    <col min="8708" max="8708" width="15.109375" style="52" customWidth="1"/>
    <col min="8709" max="8709" width="11.44140625" style="52"/>
    <col min="8710" max="8710" width="11.6640625" style="52" bestFit="1" customWidth="1"/>
    <col min="8711" max="8959" width="11.44140625" style="52"/>
    <col min="8960" max="8960" width="37" style="52" bestFit="1" customWidth="1"/>
    <col min="8961" max="8962" width="10" style="52" customWidth="1"/>
    <col min="8963" max="8963" width="10.33203125" style="52" customWidth="1"/>
    <col min="8964" max="8964" width="15.109375" style="52" customWidth="1"/>
    <col min="8965" max="8965" width="11.44140625" style="52"/>
    <col min="8966" max="8966" width="11.6640625" style="52" bestFit="1" customWidth="1"/>
    <col min="8967" max="9215" width="11.44140625" style="52"/>
    <col min="9216" max="9216" width="37" style="52" bestFit="1" customWidth="1"/>
    <col min="9217" max="9218" width="10" style="52" customWidth="1"/>
    <col min="9219" max="9219" width="10.33203125" style="52" customWidth="1"/>
    <col min="9220" max="9220" width="15.109375" style="52" customWidth="1"/>
    <col min="9221" max="9221" width="11.44140625" style="52"/>
    <col min="9222" max="9222" width="11.6640625" style="52" bestFit="1" customWidth="1"/>
    <col min="9223" max="9471" width="11.44140625" style="52"/>
    <col min="9472" max="9472" width="37" style="52" bestFit="1" customWidth="1"/>
    <col min="9473" max="9474" width="10" style="52" customWidth="1"/>
    <col min="9475" max="9475" width="10.33203125" style="52" customWidth="1"/>
    <col min="9476" max="9476" width="15.109375" style="52" customWidth="1"/>
    <col min="9477" max="9477" width="11.44140625" style="52"/>
    <col min="9478" max="9478" width="11.6640625" style="52" bestFit="1" customWidth="1"/>
    <col min="9479" max="9727" width="11.44140625" style="52"/>
    <col min="9728" max="9728" width="37" style="52" bestFit="1" customWidth="1"/>
    <col min="9729" max="9730" width="10" style="52" customWidth="1"/>
    <col min="9731" max="9731" width="10.33203125" style="52" customWidth="1"/>
    <col min="9732" max="9732" width="15.109375" style="52" customWidth="1"/>
    <col min="9733" max="9733" width="11.44140625" style="52"/>
    <col min="9734" max="9734" width="11.6640625" style="52" bestFit="1" customWidth="1"/>
    <col min="9735" max="9983" width="11.44140625" style="52"/>
    <col min="9984" max="9984" width="37" style="52" bestFit="1" customWidth="1"/>
    <col min="9985" max="9986" width="10" style="52" customWidth="1"/>
    <col min="9987" max="9987" width="10.33203125" style="52" customWidth="1"/>
    <col min="9988" max="9988" width="15.109375" style="52" customWidth="1"/>
    <col min="9989" max="9989" width="11.44140625" style="52"/>
    <col min="9990" max="9990" width="11.6640625" style="52" bestFit="1" customWidth="1"/>
    <col min="9991" max="10239" width="11.44140625" style="52"/>
    <col min="10240" max="10240" width="37" style="52" bestFit="1" customWidth="1"/>
    <col min="10241" max="10242" width="10" style="52" customWidth="1"/>
    <col min="10243" max="10243" width="10.33203125" style="52" customWidth="1"/>
    <col min="10244" max="10244" width="15.109375" style="52" customWidth="1"/>
    <col min="10245" max="10245" width="11.44140625" style="52"/>
    <col min="10246" max="10246" width="11.6640625" style="52" bestFit="1" customWidth="1"/>
    <col min="10247" max="10495" width="11.44140625" style="52"/>
    <col min="10496" max="10496" width="37" style="52" bestFit="1" customWidth="1"/>
    <col min="10497" max="10498" width="10" style="52" customWidth="1"/>
    <col min="10499" max="10499" width="10.33203125" style="52" customWidth="1"/>
    <col min="10500" max="10500" width="15.109375" style="52" customWidth="1"/>
    <col min="10501" max="10501" width="11.44140625" style="52"/>
    <col min="10502" max="10502" width="11.6640625" style="52" bestFit="1" customWidth="1"/>
    <col min="10503" max="10751" width="11.44140625" style="52"/>
    <col min="10752" max="10752" width="37" style="52" bestFit="1" customWidth="1"/>
    <col min="10753" max="10754" width="10" style="52" customWidth="1"/>
    <col min="10755" max="10755" width="10.33203125" style="52" customWidth="1"/>
    <col min="10756" max="10756" width="15.109375" style="52" customWidth="1"/>
    <col min="10757" max="10757" width="11.44140625" style="52"/>
    <col min="10758" max="10758" width="11.6640625" style="52" bestFit="1" customWidth="1"/>
    <col min="10759" max="11007" width="11.44140625" style="52"/>
    <col min="11008" max="11008" width="37" style="52" bestFit="1" customWidth="1"/>
    <col min="11009" max="11010" width="10" style="52" customWidth="1"/>
    <col min="11011" max="11011" width="10.33203125" style="52" customWidth="1"/>
    <col min="11012" max="11012" width="15.109375" style="52" customWidth="1"/>
    <col min="11013" max="11013" width="11.44140625" style="52"/>
    <col min="11014" max="11014" width="11.6640625" style="52" bestFit="1" customWidth="1"/>
    <col min="11015" max="11263" width="11.44140625" style="52"/>
    <col min="11264" max="11264" width="37" style="52" bestFit="1" customWidth="1"/>
    <col min="11265" max="11266" width="10" style="52" customWidth="1"/>
    <col min="11267" max="11267" width="10.33203125" style="52" customWidth="1"/>
    <col min="11268" max="11268" width="15.109375" style="52" customWidth="1"/>
    <col min="11269" max="11269" width="11.44140625" style="52"/>
    <col min="11270" max="11270" width="11.6640625" style="52" bestFit="1" customWidth="1"/>
    <col min="11271" max="11519" width="11.44140625" style="52"/>
    <col min="11520" max="11520" width="37" style="52" bestFit="1" customWidth="1"/>
    <col min="11521" max="11522" width="10" style="52" customWidth="1"/>
    <col min="11523" max="11523" width="10.33203125" style="52" customWidth="1"/>
    <col min="11524" max="11524" width="15.109375" style="52" customWidth="1"/>
    <col min="11525" max="11525" width="11.44140625" style="52"/>
    <col min="11526" max="11526" width="11.6640625" style="52" bestFit="1" customWidth="1"/>
    <col min="11527" max="11775" width="11.44140625" style="52"/>
    <col min="11776" max="11776" width="37" style="52" bestFit="1" customWidth="1"/>
    <col min="11777" max="11778" width="10" style="52" customWidth="1"/>
    <col min="11779" max="11779" width="10.33203125" style="52" customWidth="1"/>
    <col min="11780" max="11780" width="15.109375" style="52" customWidth="1"/>
    <col min="11781" max="11781" width="11.44140625" style="52"/>
    <col min="11782" max="11782" width="11.6640625" style="52" bestFit="1" customWidth="1"/>
    <col min="11783" max="12031" width="11.44140625" style="52"/>
    <col min="12032" max="12032" width="37" style="52" bestFit="1" customWidth="1"/>
    <col min="12033" max="12034" width="10" style="52" customWidth="1"/>
    <col min="12035" max="12035" width="10.33203125" style="52" customWidth="1"/>
    <col min="12036" max="12036" width="15.109375" style="52" customWidth="1"/>
    <col min="12037" max="12037" width="11.44140625" style="52"/>
    <col min="12038" max="12038" width="11.6640625" style="52" bestFit="1" customWidth="1"/>
    <col min="12039" max="12287" width="11.44140625" style="52"/>
    <col min="12288" max="12288" width="37" style="52" bestFit="1" customWidth="1"/>
    <col min="12289" max="12290" width="10" style="52" customWidth="1"/>
    <col min="12291" max="12291" width="10.33203125" style="52" customWidth="1"/>
    <col min="12292" max="12292" width="15.109375" style="52" customWidth="1"/>
    <col min="12293" max="12293" width="11.44140625" style="52"/>
    <col min="12294" max="12294" width="11.6640625" style="52" bestFit="1" customWidth="1"/>
    <col min="12295" max="12543" width="11.44140625" style="52"/>
    <col min="12544" max="12544" width="37" style="52" bestFit="1" customWidth="1"/>
    <col min="12545" max="12546" width="10" style="52" customWidth="1"/>
    <col min="12547" max="12547" width="10.33203125" style="52" customWidth="1"/>
    <col min="12548" max="12548" width="15.109375" style="52" customWidth="1"/>
    <col min="12549" max="12549" width="11.44140625" style="52"/>
    <col min="12550" max="12550" width="11.6640625" style="52" bestFit="1" customWidth="1"/>
    <col min="12551" max="12799" width="11.44140625" style="52"/>
    <col min="12800" max="12800" width="37" style="52" bestFit="1" customWidth="1"/>
    <col min="12801" max="12802" width="10" style="52" customWidth="1"/>
    <col min="12803" max="12803" width="10.33203125" style="52" customWidth="1"/>
    <col min="12804" max="12804" width="15.109375" style="52" customWidth="1"/>
    <col min="12805" max="12805" width="11.44140625" style="52"/>
    <col min="12806" max="12806" width="11.6640625" style="52" bestFit="1" customWidth="1"/>
    <col min="12807" max="13055" width="11.44140625" style="52"/>
    <col min="13056" max="13056" width="37" style="52" bestFit="1" customWidth="1"/>
    <col min="13057" max="13058" width="10" style="52" customWidth="1"/>
    <col min="13059" max="13059" width="10.33203125" style="52" customWidth="1"/>
    <col min="13060" max="13060" width="15.109375" style="52" customWidth="1"/>
    <col min="13061" max="13061" width="11.44140625" style="52"/>
    <col min="13062" max="13062" width="11.6640625" style="52" bestFit="1" customWidth="1"/>
    <col min="13063" max="13311" width="11.44140625" style="52"/>
    <col min="13312" max="13312" width="37" style="52" bestFit="1" customWidth="1"/>
    <col min="13313" max="13314" width="10" style="52" customWidth="1"/>
    <col min="13315" max="13315" width="10.33203125" style="52" customWidth="1"/>
    <col min="13316" max="13316" width="15.109375" style="52" customWidth="1"/>
    <col min="13317" max="13317" width="11.44140625" style="52"/>
    <col min="13318" max="13318" width="11.6640625" style="52" bestFit="1" customWidth="1"/>
    <col min="13319" max="13567" width="11.44140625" style="52"/>
    <col min="13568" max="13568" width="37" style="52" bestFit="1" customWidth="1"/>
    <col min="13569" max="13570" width="10" style="52" customWidth="1"/>
    <col min="13571" max="13571" width="10.33203125" style="52" customWidth="1"/>
    <col min="13572" max="13572" width="15.109375" style="52" customWidth="1"/>
    <col min="13573" max="13573" width="11.44140625" style="52"/>
    <col min="13574" max="13574" width="11.6640625" style="52" bestFit="1" customWidth="1"/>
    <col min="13575" max="13823" width="11.44140625" style="52"/>
    <col min="13824" max="13824" width="37" style="52" bestFit="1" customWidth="1"/>
    <col min="13825" max="13826" width="10" style="52" customWidth="1"/>
    <col min="13827" max="13827" width="10.33203125" style="52" customWidth="1"/>
    <col min="13828" max="13828" width="15.109375" style="52" customWidth="1"/>
    <col min="13829" max="13829" width="11.44140625" style="52"/>
    <col min="13830" max="13830" width="11.6640625" style="52" bestFit="1" customWidth="1"/>
    <col min="13831" max="14079" width="11.44140625" style="52"/>
    <col min="14080" max="14080" width="37" style="52" bestFit="1" customWidth="1"/>
    <col min="14081" max="14082" width="10" style="52" customWidth="1"/>
    <col min="14083" max="14083" width="10.33203125" style="52" customWidth="1"/>
    <col min="14084" max="14084" width="15.109375" style="52" customWidth="1"/>
    <col min="14085" max="14085" width="11.44140625" style="52"/>
    <col min="14086" max="14086" width="11.6640625" style="52" bestFit="1" customWidth="1"/>
    <col min="14087" max="14335" width="11.44140625" style="52"/>
    <col min="14336" max="14336" width="37" style="52" bestFit="1" customWidth="1"/>
    <col min="14337" max="14338" width="10" style="52" customWidth="1"/>
    <col min="14339" max="14339" width="10.33203125" style="52" customWidth="1"/>
    <col min="14340" max="14340" width="15.109375" style="52" customWidth="1"/>
    <col min="14341" max="14341" width="11.44140625" style="52"/>
    <col min="14342" max="14342" width="11.6640625" style="52" bestFit="1" customWidth="1"/>
    <col min="14343" max="14591" width="11.44140625" style="52"/>
    <col min="14592" max="14592" width="37" style="52" bestFit="1" customWidth="1"/>
    <col min="14593" max="14594" width="10" style="52" customWidth="1"/>
    <col min="14595" max="14595" width="10.33203125" style="52" customWidth="1"/>
    <col min="14596" max="14596" width="15.109375" style="52" customWidth="1"/>
    <col min="14597" max="14597" width="11.44140625" style="52"/>
    <col min="14598" max="14598" width="11.6640625" style="52" bestFit="1" customWidth="1"/>
    <col min="14599" max="14847" width="11.44140625" style="52"/>
    <col min="14848" max="14848" width="37" style="52" bestFit="1" customWidth="1"/>
    <col min="14849" max="14850" width="10" style="52" customWidth="1"/>
    <col min="14851" max="14851" width="10.33203125" style="52" customWidth="1"/>
    <col min="14852" max="14852" width="15.109375" style="52" customWidth="1"/>
    <col min="14853" max="14853" width="11.44140625" style="52"/>
    <col min="14854" max="14854" width="11.6640625" style="52" bestFit="1" customWidth="1"/>
    <col min="14855" max="15103" width="11.44140625" style="52"/>
    <col min="15104" max="15104" width="37" style="52" bestFit="1" customWidth="1"/>
    <col min="15105" max="15106" width="10" style="52" customWidth="1"/>
    <col min="15107" max="15107" width="10.33203125" style="52" customWidth="1"/>
    <col min="15108" max="15108" width="15.109375" style="52" customWidth="1"/>
    <col min="15109" max="15109" width="11.44140625" style="52"/>
    <col min="15110" max="15110" width="11.6640625" style="52" bestFit="1" customWidth="1"/>
    <col min="15111" max="15359" width="11.44140625" style="52"/>
    <col min="15360" max="15360" width="37" style="52" bestFit="1" customWidth="1"/>
    <col min="15361" max="15362" width="10" style="52" customWidth="1"/>
    <col min="15363" max="15363" width="10.33203125" style="52" customWidth="1"/>
    <col min="15364" max="15364" width="15.109375" style="52" customWidth="1"/>
    <col min="15365" max="15365" width="11.44140625" style="52"/>
    <col min="15366" max="15366" width="11.6640625" style="52" bestFit="1" customWidth="1"/>
    <col min="15367" max="15615" width="11.44140625" style="52"/>
    <col min="15616" max="15616" width="37" style="52" bestFit="1" customWidth="1"/>
    <col min="15617" max="15618" width="10" style="52" customWidth="1"/>
    <col min="15619" max="15619" width="10.33203125" style="52" customWidth="1"/>
    <col min="15620" max="15620" width="15.109375" style="52" customWidth="1"/>
    <col min="15621" max="15621" width="11.44140625" style="52"/>
    <col min="15622" max="15622" width="11.6640625" style="52" bestFit="1" customWidth="1"/>
    <col min="15623" max="15871" width="11.44140625" style="52"/>
    <col min="15872" max="15872" width="37" style="52" bestFit="1" customWidth="1"/>
    <col min="15873" max="15874" width="10" style="52" customWidth="1"/>
    <col min="15875" max="15875" width="10.33203125" style="52" customWidth="1"/>
    <col min="15876" max="15876" width="15.109375" style="52" customWidth="1"/>
    <col min="15877" max="15877" width="11.44140625" style="52"/>
    <col min="15878" max="15878" width="11.6640625" style="52" bestFit="1" customWidth="1"/>
    <col min="15879" max="16127" width="11.44140625" style="52"/>
    <col min="16128" max="16128" width="37" style="52" bestFit="1" customWidth="1"/>
    <col min="16129" max="16130" width="10" style="52" customWidth="1"/>
    <col min="16131" max="16131" width="10.33203125" style="52" customWidth="1"/>
    <col min="16132" max="16132" width="15.109375" style="52" customWidth="1"/>
    <col min="16133" max="16133" width="11.44140625" style="52"/>
    <col min="16134" max="16134" width="11.6640625" style="52" bestFit="1" customWidth="1"/>
    <col min="16135" max="16384" width="11.44140625" style="52"/>
  </cols>
  <sheetData>
    <row r="1" spans="1:5" x14ac:dyDescent="0.25">
      <c r="A1" s="95" t="str">
        <f>'DPR GLOBAL_clé répartition'!C6</f>
        <v>VEFA "OPERATION SILOE"</v>
      </c>
      <c r="B1" s="96">
        <f>'DPR GLOBAL_clé répartition'!K7</f>
        <v>53</v>
      </c>
      <c r="C1" s="97" t="s">
        <v>58</v>
      </c>
      <c r="D1" s="98"/>
      <c r="E1" s="69"/>
    </row>
    <row r="2" spans="1:5" x14ac:dyDescent="0.25">
      <c r="A2" s="99" t="s">
        <v>111</v>
      </c>
      <c r="B2" s="216">
        <f>'DPR GLOBAL_clé répartition'!K65</f>
        <v>8573036.8259999994</v>
      </c>
      <c r="C2" s="100" t="s">
        <v>112</v>
      </c>
      <c r="D2" s="100"/>
      <c r="E2" s="69"/>
    </row>
    <row r="3" spans="1:5" x14ac:dyDescent="0.25">
      <c r="A3" s="70"/>
      <c r="B3" s="71" t="s">
        <v>113</v>
      </c>
      <c r="C3" s="72" t="s">
        <v>114</v>
      </c>
      <c r="D3" s="73" t="s">
        <v>112</v>
      </c>
      <c r="E3" s="69"/>
    </row>
    <row r="4" spans="1:5" x14ac:dyDescent="0.25">
      <c r="A4" s="84" t="s">
        <v>142</v>
      </c>
      <c r="B4" s="85"/>
      <c r="C4" s="86"/>
      <c r="D4" s="87">
        <f t="shared" ref="D4:D15" si="0">C4*$B$2</f>
        <v>0</v>
      </c>
      <c r="E4" s="69"/>
    </row>
    <row r="5" spans="1:5" x14ac:dyDescent="0.25">
      <c r="A5" s="84" t="s">
        <v>115</v>
      </c>
      <c r="B5" s="85"/>
      <c r="C5" s="88"/>
      <c r="D5" s="87">
        <f t="shared" si="0"/>
        <v>0</v>
      </c>
      <c r="E5" s="69"/>
    </row>
    <row r="6" spans="1:5" x14ac:dyDescent="0.25">
      <c r="A6" s="84" t="s">
        <v>129</v>
      </c>
      <c r="B6" s="85"/>
      <c r="C6" s="88"/>
      <c r="D6" s="87">
        <f t="shared" si="0"/>
        <v>0</v>
      </c>
      <c r="E6" s="69"/>
    </row>
    <row r="7" spans="1:5" x14ac:dyDescent="0.25">
      <c r="A7" s="84" t="s">
        <v>116</v>
      </c>
      <c r="B7" s="89"/>
      <c r="C7" s="88"/>
      <c r="D7" s="87">
        <f t="shared" si="0"/>
        <v>0</v>
      </c>
      <c r="E7" s="69"/>
    </row>
    <row r="8" spans="1:5" x14ac:dyDescent="0.25">
      <c r="A8" s="84" t="s">
        <v>117</v>
      </c>
      <c r="B8" s="85"/>
      <c r="C8" s="88"/>
      <c r="D8" s="87">
        <f t="shared" si="0"/>
        <v>0</v>
      </c>
      <c r="E8" s="69"/>
    </row>
    <row r="9" spans="1:5" x14ac:dyDescent="0.25">
      <c r="A9" s="84" t="s">
        <v>143</v>
      </c>
      <c r="B9" s="85"/>
      <c r="C9" s="88"/>
      <c r="D9" s="87">
        <f t="shared" si="0"/>
        <v>0</v>
      </c>
      <c r="E9" s="69"/>
    </row>
    <row r="10" spans="1:5" x14ac:dyDescent="0.25">
      <c r="A10" s="84" t="s">
        <v>144</v>
      </c>
      <c r="B10" s="85"/>
      <c r="C10" s="88"/>
      <c r="D10" s="87">
        <f t="shared" si="0"/>
        <v>0</v>
      </c>
      <c r="E10" s="69"/>
    </row>
    <row r="11" spans="1:5" x14ac:dyDescent="0.25">
      <c r="A11" s="84" t="s">
        <v>145</v>
      </c>
      <c r="B11" s="85"/>
      <c r="C11" s="88"/>
      <c r="D11" s="87">
        <f t="shared" si="0"/>
        <v>0</v>
      </c>
      <c r="E11" s="69"/>
    </row>
    <row r="12" spans="1:5" x14ac:dyDescent="0.25">
      <c r="A12" s="84" t="s">
        <v>146</v>
      </c>
      <c r="B12" s="85"/>
      <c r="C12" s="88"/>
      <c r="D12" s="87">
        <f t="shared" si="0"/>
        <v>0</v>
      </c>
      <c r="E12" s="69"/>
    </row>
    <row r="13" spans="1:5" x14ac:dyDescent="0.25">
      <c r="A13" s="84" t="s">
        <v>147</v>
      </c>
      <c r="B13" s="85"/>
      <c r="C13" s="88"/>
      <c r="D13" s="87">
        <f t="shared" si="0"/>
        <v>0</v>
      </c>
      <c r="E13" s="69"/>
    </row>
    <row r="14" spans="1:5" x14ac:dyDescent="0.25">
      <c r="A14" s="84" t="s">
        <v>148</v>
      </c>
      <c r="B14" s="89"/>
      <c r="C14" s="88"/>
      <c r="D14" s="87">
        <f t="shared" si="0"/>
        <v>0</v>
      </c>
      <c r="E14" s="69"/>
    </row>
    <row r="15" spans="1:5" x14ac:dyDescent="0.25">
      <c r="A15" s="84" t="s">
        <v>149</v>
      </c>
      <c r="B15" s="90"/>
      <c r="C15" s="88"/>
      <c r="D15" s="87">
        <f t="shared" si="0"/>
        <v>0</v>
      </c>
      <c r="E15" s="69"/>
    </row>
    <row r="16" spans="1:5" x14ac:dyDescent="0.25">
      <c r="A16" s="91" t="s">
        <v>118</v>
      </c>
      <c r="B16" s="92" t="s">
        <v>119</v>
      </c>
      <c r="C16" s="93">
        <f>SUM(C4:C15)</f>
        <v>0</v>
      </c>
      <c r="D16" s="94">
        <f>SUM(D4:D15)</f>
        <v>0</v>
      </c>
      <c r="E16" s="69"/>
    </row>
    <row r="17" spans="2:5" x14ac:dyDescent="0.25">
      <c r="B17" s="69"/>
      <c r="C17" s="69"/>
      <c r="D17" s="69"/>
      <c r="E17" s="69"/>
    </row>
    <row r="18" spans="2:5" x14ac:dyDescent="0.25">
      <c r="E18" s="69"/>
    </row>
  </sheetData>
  <sheetProtection sheet="1" objects="1" scenarios="1" selectLockedCells="1"/>
  <printOptions horizontalCentered="1"/>
  <pageMargins left="0.28000000000000003" right="0.28999999999999998" top="0.98425196850393704" bottom="0.98425196850393704" header="0.51181102362204722" footer="0.51181102362204722"/>
  <pageSetup paperSize="9" orientation="portrait" r:id="rId1"/>
  <headerFooter alignWithMargins="0">
    <oddHeader>&amp;LSODEGIS&amp;CFLUX DE TRESORERIES
OPERATIONS DE DEFISCALISATION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0"/>
  </sheetPr>
  <dimension ref="A1:G49"/>
  <sheetViews>
    <sheetView view="pageBreakPreview" zoomScale="70" zoomScaleSheetLayoutView="70" workbookViewId="0">
      <selection activeCell="C32" sqref="C32"/>
    </sheetView>
  </sheetViews>
  <sheetFormatPr baseColWidth="10" defaultColWidth="11.44140625" defaultRowHeight="14.4" x14ac:dyDescent="0.3"/>
  <cols>
    <col min="1" max="1" width="7.44140625" style="68" customWidth="1"/>
    <col min="2" max="6" width="11.44140625" style="67"/>
    <col min="7" max="7" width="18.109375" style="67" customWidth="1"/>
    <col min="8" max="16384" width="11.44140625" style="67"/>
  </cols>
  <sheetData>
    <row r="1" spans="1:7" ht="15" customHeight="1" x14ac:dyDescent="0.3">
      <c r="A1" s="341" t="s">
        <v>96</v>
      </c>
      <c r="B1" s="342"/>
      <c r="C1" s="342"/>
      <c r="D1" s="342"/>
      <c r="E1" s="342"/>
      <c r="F1" s="342"/>
      <c r="G1" s="343"/>
    </row>
    <row r="2" spans="1:7" x14ac:dyDescent="0.3">
      <c r="A2" s="344"/>
      <c r="B2" s="345"/>
      <c r="C2" s="345"/>
      <c r="D2" s="345"/>
      <c r="E2" s="345"/>
      <c r="F2" s="345"/>
      <c r="G2" s="346"/>
    </row>
    <row r="4" spans="1:7" ht="15" customHeight="1" x14ac:dyDescent="0.3">
      <c r="A4" s="338" t="s">
        <v>97</v>
      </c>
      <c r="B4" s="338"/>
      <c r="C4" s="112" t="str">
        <f>'DPR GLOBAL_clé répartition'!C6</f>
        <v>VEFA "OPERATION SILOE"</v>
      </c>
    </row>
    <row r="6" spans="1:7" ht="15" customHeight="1" x14ac:dyDescent="0.3"/>
    <row r="7" spans="1:7" ht="15.75" customHeight="1" x14ac:dyDescent="0.3">
      <c r="A7" s="103" t="s">
        <v>108</v>
      </c>
      <c r="B7" s="102"/>
      <c r="C7" s="102"/>
      <c r="D7" s="102"/>
      <c r="E7" s="102"/>
      <c r="F7" s="102"/>
      <c r="G7" s="102"/>
    </row>
    <row r="8" spans="1:7" ht="15" customHeight="1" x14ac:dyDescent="0.3">
      <c r="A8" s="101"/>
      <c r="B8" s="102"/>
      <c r="C8" s="102"/>
      <c r="D8" s="102"/>
      <c r="E8" s="102"/>
      <c r="F8" s="102"/>
      <c r="G8" s="102"/>
    </row>
    <row r="9" spans="1:7" ht="15" customHeight="1" x14ac:dyDescent="0.3">
      <c r="A9" s="339" t="s">
        <v>109</v>
      </c>
      <c r="B9" s="339"/>
      <c r="C9" s="339"/>
      <c r="D9" s="339"/>
      <c r="E9" s="339"/>
      <c r="F9" s="339"/>
      <c r="G9" s="339"/>
    </row>
    <row r="10" spans="1:7" ht="15" customHeight="1" x14ac:dyDescent="0.3">
      <c r="A10" s="339"/>
      <c r="B10" s="339"/>
      <c r="C10" s="339"/>
      <c r="D10" s="339"/>
      <c r="E10" s="339"/>
      <c r="F10" s="339"/>
      <c r="G10" s="339"/>
    </row>
    <row r="11" spans="1:7" ht="15" customHeight="1" x14ac:dyDescent="0.3">
      <c r="A11" s="339"/>
      <c r="B11" s="339"/>
      <c r="C11" s="339"/>
      <c r="D11" s="339"/>
      <c r="E11" s="339"/>
      <c r="F11" s="339"/>
      <c r="G11" s="339"/>
    </row>
    <row r="12" spans="1:7" x14ac:dyDescent="0.3">
      <c r="A12" s="339"/>
      <c r="B12" s="339"/>
      <c r="C12" s="339"/>
      <c r="D12" s="339"/>
      <c r="E12" s="339"/>
      <c r="F12" s="339"/>
      <c r="G12" s="339"/>
    </row>
    <row r="13" spans="1:7" ht="15" customHeight="1" x14ac:dyDescent="0.3">
      <c r="A13" s="340"/>
      <c r="B13" s="340"/>
      <c r="C13" s="340"/>
      <c r="D13" s="340"/>
      <c r="E13" s="340"/>
      <c r="F13" s="340"/>
      <c r="G13" s="340"/>
    </row>
    <row r="14" spans="1:7" x14ac:dyDescent="0.3">
      <c r="A14" s="101"/>
      <c r="B14" s="102"/>
      <c r="C14" s="102"/>
      <c r="D14" s="102"/>
      <c r="E14" s="102"/>
      <c r="F14" s="102"/>
      <c r="G14" s="102"/>
    </row>
    <row r="15" spans="1:7" x14ac:dyDescent="0.3">
      <c r="A15" s="104"/>
      <c r="B15" s="348" t="s">
        <v>98</v>
      </c>
      <c r="C15" s="348"/>
      <c r="D15" s="348"/>
      <c r="E15" s="348"/>
      <c r="F15" s="348"/>
      <c r="G15" s="348"/>
    </row>
    <row r="16" spans="1:7" ht="15.75" customHeight="1" x14ac:dyDescent="0.3">
      <c r="A16" s="105"/>
      <c r="B16" s="348"/>
      <c r="C16" s="348"/>
      <c r="D16" s="348"/>
      <c r="E16" s="348"/>
      <c r="F16" s="348"/>
      <c r="G16" s="348"/>
    </row>
    <row r="17" spans="1:7" ht="15.6" customHeight="1" x14ac:dyDescent="0.3">
      <c r="A17" s="347" t="s">
        <v>99</v>
      </c>
      <c r="B17" s="347"/>
      <c r="C17" s="347"/>
      <c r="D17" s="347"/>
      <c r="E17" s="347"/>
      <c r="F17" s="347"/>
      <c r="G17" s="347"/>
    </row>
    <row r="18" spans="1:7" ht="15.6" customHeight="1" x14ac:dyDescent="0.3">
      <c r="A18" s="347"/>
      <c r="B18" s="347"/>
      <c r="C18" s="347"/>
      <c r="D18" s="347"/>
      <c r="E18" s="347"/>
      <c r="F18" s="347"/>
      <c r="G18" s="347"/>
    </row>
    <row r="19" spans="1:7" ht="26.85" customHeight="1" x14ac:dyDescent="0.3">
      <c r="A19" s="347"/>
      <c r="B19" s="347"/>
      <c r="C19" s="347"/>
      <c r="D19" s="347"/>
      <c r="E19" s="347"/>
      <c r="F19" s="347"/>
      <c r="G19" s="347"/>
    </row>
    <row r="20" spans="1:7" ht="15.6" customHeight="1" x14ac:dyDescent="0.3">
      <c r="A20" s="347"/>
      <c r="B20" s="347"/>
      <c r="C20" s="347"/>
      <c r="D20" s="347"/>
      <c r="E20" s="347"/>
      <c r="F20" s="347"/>
      <c r="G20" s="347"/>
    </row>
    <row r="21" spans="1:7" x14ac:dyDescent="0.3">
      <c r="A21" s="347"/>
      <c r="B21" s="347"/>
      <c r="C21" s="347"/>
      <c r="D21" s="347"/>
      <c r="E21" s="347"/>
      <c r="F21" s="347"/>
      <c r="G21" s="347"/>
    </row>
    <row r="22" spans="1:7" x14ac:dyDescent="0.3">
      <c r="A22" s="101"/>
      <c r="B22" s="102"/>
      <c r="C22" s="102"/>
      <c r="D22" s="102"/>
      <c r="E22" s="102"/>
      <c r="F22" s="102"/>
      <c r="G22" s="102"/>
    </row>
    <row r="23" spans="1:7" x14ac:dyDescent="0.3">
      <c r="A23" s="104"/>
      <c r="B23" s="347" t="s">
        <v>100</v>
      </c>
      <c r="C23" s="347"/>
      <c r="D23" s="347"/>
      <c r="E23" s="347"/>
      <c r="F23" s="347"/>
      <c r="G23" s="347"/>
    </row>
    <row r="24" spans="1:7" x14ac:dyDescent="0.3">
      <c r="A24" s="105"/>
      <c r="B24" s="347"/>
      <c r="C24" s="347"/>
      <c r="D24" s="347"/>
      <c r="E24" s="347"/>
      <c r="F24" s="347"/>
      <c r="G24" s="347"/>
    </row>
    <row r="25" spans="1:7" x14ac:dyDescent="0.3">
      <c r="A25" s="104"/>
      <c r="B25" s="348" t="s">
        <v>98</v>
      </c>
      <c r="C25" s="348"/>
      <c r="D25" s="348"/>
      <c r="E25" s="348"/>
      <c r="F25" s="348"/>
      <c r="G25" s="348"/>
    </row>
    <row r="26" spans="1:7" x14ac:dyDescent="0.3">
      <c r="A26" s="105"/>
      <c r="B26" s="348"/>
      <c r="C26" s="348"/>
      <c r="D26" s="348"/>
      <c r="E26" s="348"/>
      <c r="F26" s="348"/>
      <c r="G26" s="348"/>
    </row>
    <row r="27" spans="1:7" x14ac:dyDescent="0.3">
      <c r="A27" s="104"/>
      <c r="B27" s="348" t="s">
        <v>101</v>
      </c>
      <c r="C27" s="348"/>
      <c r="D27" s="348"/>
      <c r="E27" s="348"/>
      <c r="F27" s="348"/>
      <c r="G27" s="348"/>
    </row>
    <row r="28" spans="1:7" x14ac:dyDescent="0.3">
      <c r="A28" s="105"/>
      <c r="B28" s="348"/>
      <c r="C28" s="348"/>
      <c r="D28" s="348"/>
      <c r="E28" s="348"/>
      <c r="F28" s="348"/>
      <c r="G28" s="348"/>
    </row>
    <row r="29" spans="1:7" x14ac:dyDescent="0.3">
      <c r="A29" s="106"/>
      <c r="B29" s="107"/>
      <c r="C29" s="107"/>
      <c r="D29" s="107"/>
      <c r="E29" s="107"/>
      <c r="F29" s="107"/>
      <c r="G29" s="107"/>
    </row>
    <row r="30" spans="1:7" x14ac:dyDescent="0.3">
      <c r="A30" s="348" t="s">
        <v>102</v>
      </c>
      <c r="B30" s="348"/>
      <c r="C30" s="348"/>
      <c r="D30" s="348"/>
      <c r="E30" s="348"/>
      <c r="F30" s="348"/>
      <c r="G30" s="348"/>
    </row>
    <row r="31" spans="1:7" x14ac:dyDescent="0.3">
      <c r="A31" s="348"/>
      <c r="B31" s="348"/>
      <c r="C31" s="348"/>
      <c r="D31" s="348"/>
      <c r="E31" s="348"/>
      <c r="F31" s="348"/>
      <c r="G31" s="348"/>
    </row>
    <row r="32" spans="1:7" x14ac:dyDescent="0.3">
      <c r="A32" s="105"/>
      <c r="B32" s="108"/>
      <c r="C32" s="108"/>
      <c r="D32" s="108"/>
      <c r="E32" s="108"/>
      <c r="F32" s="108"/>
      <c r="G32" s="108"/>
    </row>
    <row r="33" spans="1:7" x14ac:dyDescent="0.3">
      <c r="A33" s="104"/>
      <c r="B33" s="108" t="s">
        <v>103</v>
      </c>
      <c r="C33" s="108"/>
      <c r="D33" s="108"/>
      <c r="E33" s="108"/>
      <c r="F33" s="108"/>
      <c r="G33" s="108"/>
    </row>
    <row r="34" spans="1:7" x14ac:dyDescent="0.3">
      <c r="A34" s="105"/>
      <c r="B34" s="108"/>
      <c r="C34" s="108"/>
      <c r="D34" s="108"/>
      <c r="E34" s="108"/>
      <c r="F34" s="108"/>
      <c r="G34" s="108"/>
    </row>
    <row r="35" spans="1:7" x14ac:dyDescent="0.3">
      <c r="A35" s="104"/>
      <c r="B35" s="108" t="s">
        <v>104</v>
      </c>
      <c r="C35" s="108"/>
      <c r="D35" s="108"/>
      <c r="E35" s="108"/>
      <c r="F35" s="108"/>
      <c r="G35" s="108"/>
    </row>
    <row r="36" spans="1:7" x14ac:dyDescent="0.3">
      <c r="A36" s="105"/>
      <c r="B36" s="108"/>
      <c r="C36" s="108"/>
      <c r="D36" s="108"/>
      <c r="E36" s="108"/>
      <c r="F36" s="108"/>
      <c r="G36" s="108"/>
    </row>
    <row r="37" spans="1:7" x14ac:dyDescent="0.3">
      <c r="A37" s="104"/>
      <c r="B37" s="108" t="s">
        <v>105</v>
      </c>
      <c r="C37" s="108"/>
      <c r="D37" s="108"/>
      <c r="E37" s="108"/>
      <c r="F37" s="108"/>
      <c r="G37" s="108"/>
    </row>
    <row r="38" spans="1:7" x14ac:dyDescent="0.3">
      <c r="A38" s="105"/>
      <c r="B38" s="108"/>
      <c r="C38" s="108"/>
      <c r="D38" s="108"/>
      <c r="E38" s="108"/>
      <c r="F38" s="108"/>
      <c r="G38" s="108"/>
    </row>
    <row r="39" spans="1:7" x14ac:dyDescent="0.3">
      <c r="A39" s="104"/>
      <c r="B39" s="108" t="s">
        <v>106</v>
      </c>
      <c r="C39" s="108"/>
      <c r="D39" s="108"/>
      <c r="E39" s="108"/>
      <c r="F39" s="108"/>
      <c r="G39" s="108"/>
    </row>
    <row r="40" spans="1:7" x14ac:dyDescent="0.3">
      <c r="A40" s="105"/>
      <c r="B40" s="108"/>
      <c r="C40" s="108"/>
      <c r="D40" s="108"/>
      <c r="E40" s="102"/>
      <c r="F40" s="102"/>
      <c r="G40" s="102"/>
    </row>
    <row r="41" spans="1:7" x14ac:dyDescent="0.3">
      <c r="A41" s="101"/>
      <c r="B41" s="102"/>
      <c r="C41" s="102"/>
      <c r="D41" s="102"/>
      <c r="E41" s="102"/>
      <c r="F41" s="102"/>
      <c r="G41" s="102"/>
    </row>
    <row r="42" spans="1:7" x14ac:dyDescent="0.3">
      <c r="A42" s="101"/>
      <c r="B42" s="102"/>
      <c r="C42" s="102"/>
      <c r="D42" s="102"/>
      <c r="E42" s="108" t="s">
        <v>130</v>
      </c>
      <c r="F42" s="109" t="s">
        <v>107</v>
      </c>
      <c r="G42" s="110">
        <f ca="1">TODAY()</f>
        <v>45088</v>
      </c>
    </row>
    <row r="43" spans="1:7" x14ac:dyDescent="0.3">
      <c r="A43" s="101"/>
      <c r="B43" s="102"/>
      <c r="C43" s="102"/>
      <c r="D43" s="102"/>
      <c r="E43" s="102"/>
      <c r="F43" s="102"/>
      <c r="G43" s="102"/>
    </row>
    <row r="44" spans="1:7" x14ac:dyDescent="0.3">
      <c r="A44" s="101"/>
      <c r="B44" s="102"/>
      <c r="C44" s="102"/>
      <c r="D44" s="102"/>
      <c r="E44" s="102"/>
      <c r="F44" s="102"/>
      <c r="G44" s="102"/>
    </row>
    <row r="45" spans="1:7" x14ac:dyDescent="0.3">
      <c r="A45" s="101"/>
      <c r="B45" s="102"/>
      <c r="C45" s="102"/>
      <c r="D45" s="102"/>
      <c r="E45" s="102"/>
      <c r="F45" s="102"/>
      <c r="G45" s="102"/>
    </row>
    <row r="46" spans="1:7" x14ac:dyDescent="0.3">
      <c r="A46" s="101"/>
      <c r="B46" s="102"/>
      <c r="C46" s="102"/>
      <c r="D46" s="102"/>
      <c r="E46" s="102"/>
      <c r="F46" s="102"/>
      <c r="G46" s="102"/>
    </row>
    <row r="47" spans="1:7" ht="27" customHeight="1" x14ac:dyDescent="0.3">
      <c r="A47" s="111"/>
      <c r="B47" s="111"/>
      <c r="C47" s="111"/>
      <c r="D47" s="111"/>
      <c r="E47" s="111"/>
      <c r="F47" s="111"/>
      <c r="G47" s="111"/>
    </row>
    <row r="48" spans="1:7" x14ac:dyDescent="0.3">
      <c r="A48" s="52"/>
      <c r="B48" s="52"/>
      <c r="C48" s="52"/>
      <c r="D48" s="52"/>
      <c r="E48" s="52"/>
      <c r="F48" s="52"/>
      <c r="G48" s="52"/>
    </row>
    <row r="49" spans="1:7" x14ac:dyDescent="0.3">
      <c r="A49" s="52"/>
      <c r="B49" s="52"/>
      <c r="C49" s="52"/>
      <c r="D49" s="52"/>
      <c r="E49" s="52"/>
      <c r="F49" s="52"/>
      <c r="G49" s="52"/>
    </row>
  </sheetData>
  <sheetProtection sheet="1" objects="1" scenarios="1" selectLockedCells="1"/>
  <mergeCells count="10">
    <mergeCell ref="B25:G26"/>
    <mergeCell ref="B27:G28"/>
    <mergeCell ref="A30:G31"/>
    <mergeCell ref="B15:G16"/>
    <mergeCell ref="A17:G21"/>
    <mergeCell ref="A4:B4"/>
    <mergeCell ref="A9:G12"/>
    <mergeCell ref="A13:G13"/>
    <mergeCell ref="A1:G2"/>
    <mergeCell ref="B23:G2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B5:E65"/>
  <sheetViews>
    <sheetView view="pageBreakPreview" topLeftCell="A22" zoomScale="85" zoomScaleNormal="55" zoomScaleSheetLayoutView="85" workbookViewId="0">
      <selection activeCell="D26" sqref="D26:D27"/>
    </sheetView>
  </sheetViews>
  <sheetFormatPr baseColWidth="10" defaultColWidth="11.44140625" defaultRowHeight="15" x14ac:dyDescent="0.25"/>
  <cols>
    <col min="1" max="1" width="3.44140625" style="1" customWidth="1"/>
    <col min="2" max="2" width="24" style="4" customWidth="1"/>
    <col min="3" max="3" width="41.44140625" style="1" customWidth="1"/>
    <col min="4" max="4" width="71" style="1" bestFit="1" customWidth="1"/>
    <col min="5" max="5" width="19.109375" style="3" bestFit="1" customWidth="1"/>
    <col min="6" max="16384" width="11.44140625" style="1"/>
  </cols>
  <sheetData>
    <row r="5" spans="2:5" ht="15.6" thickBot="1" x14ac:dyDescent="0.3">
      <c r="C5" s="2"/>
      <c r="D5" s="2"/>
      <c r="E5" s="5"/>
    </row>
    <row r="6" spans="2:5" ht="15.6" thickBot="1" x14ac:dyDescent="0.3">
      <c r="C6" s="324" t="str">
        <f>'DPR GLOBAL_clé répartition'!C6</f>
        <v>VEFA "OPERATION SILOE"</v>
      </c>
      <c r="D6" s="74" t="s">
        <v>136</v>
      </c>
      <c r="E6" s="260" t="str">
        <f>'DPR GLOBAL_clé répartition'!E6</f>
        <v>LLS</v>
      </c>
    </row>
    <row r="7" spans="2:5" x14ac:dyDescent="0.25">
      <c r="C7" s="325"/>
      <c r="D7" s="75" t="s">
        <v>120</v>
      </c>
      <c r="E7" s="261">
        <f>'DPR GLOBAL_clé répartition'!E7</f>
        <v>0</v>
      </c>
    </row>
    <row r="8" spans="2:5" x14ac:dyDescent="0.25">
      <c r="C8" s="325"/>
      <c r="D8" s="77" t="s">
        <v>159</v>
      </c>
      <c r="E8" s="226">
        <f>'DPR GLOBAL_clé répartition'!E8</f>
        <v>0</v>
      </c>
    </row>
    <row r="9" spans="2:5" x14ac:dyDescent="0.25">
      <c r="C9" s="325"/>
      <c r="D9" s="77" t="s">
        <v>131</v>
      </c>
      <c r="E9" s="226">
        <f>'DPR GLOBAL_clé répartition'!E9</f>
        <v>0</v>
      </c>
    </row>
    <row r="10" spans="2:5" ht="15.6" thickBot="1" x14ac:dyDescent="0.3">
      <c r="C10" s="326"/>
      <c r="D10" s="76" t="s">
        <v>121</v>
      </c>
      <c r="E10" s="262">
        <f>'DPR GLOBAL_clé répartition'!E11</f>
        <v>0</v>
      </c>
    </row>
    <row r="11" spans="2:5" ht="15.6" thickBot="1" x14ac:dyDescent="0.3">
      <c r="C11" s="2"/>
      <c r="D11" s="2"/>
      <c r="E11" s="5"/>
    </row>
    <row r="12" spans="2:5" ht="45.6" thickBot="1" x14ac:dyDescent="0.3">
      <c r="B12" s="51" t="s">
        <v>57</v>
      </c>
      <c r="C12" s="50" t="s">
        <v>56</v>
      </c>
      <c r="D12" s="49"/>
      <c r="E12" s="48"/>
    </row>
    <row r="13" spans="2:5" x14ac:dyDescent="0.25">
      <c r="B13" s="327" t="s">
        <v>55</v>
      </c>
      <c r="C13" s="47" t="s">
        <v>54</v>
      </c>
      <c r="D13" s="46"/>
      <c r="E13" s="45">
        <f>SUM(E14:E15)</f>
        <v>0</v>
      </c>
    </row>
    <row r="14" spans="2:5" x14ac:dyDescent="0.25">
      <c r="B14" s="332"/>
      <c r="C14" s="26"/>
      <c r="D14" s="24" t="s">
        <v>53</v>
      </c>
      <c r="E14" s="227">
        <f>'DPR GLOBAL_clé répartition'!E14</f>
        <v>0</v>
      </c>
    </row>
    <row r="15" spans="2:5" ht="15.6" thickBot="1" x14ac:dyDescent="0.3">
      <c r="B15" s="328"/>
      <c r="C15" s="41"/>
      <c r="D15" s="31" t="s">
        <v>52</v>
      </c>
      <c r="E15" s="227">
        <f>'DPR GLOBAL_clé répartition'!E15</f>
        <v>0</v>
      </c>
    </row>
    <row r="16" spans="2:5" ht="15.6" thickBot="1" x14ac:dyDescent="0.3">
      <c r="B16" s="327" t="s">
        <v>51</v>
      </c>
      <c r="C16" s="6" t="s">
        <v>50</v>
      </c>
      <c r="D16" s="8"/>
      <c r="E16" s="7">
        <f>SUM(E17)</f>
        <v>0</v>
      </c>
    </row>
    <row r="17" spans="2:5" ht="15.6" thickBot="1" x14ac:dyDescent="0.3">
      <c r="B17" s="328"/>
      <c r="C17" s="44"/>
      <c r="D17" s="31" t="s">
        <v>49</v>
      </c>
      <c r="E17" s="227">
        <f>'DPR GLOBAL_clé répartition'!E17</f>
        <v>0</v>
      </c>
    </row>
    <row r="18" spans="2:5" ht="53.4" customHeight="1" thickBot="1" x14ac:dyDescent="0.3">
      <c r="B18" s="327" t="s">
        <v>48</v>
      </c>
      <c r="C18" s="6" t="s">
        <v>47</v>
      </c>
      <c r="D18" s="8"/>
      <c r="E18" s="7">
        <f>SUM(E19:E22)</f>
        <v>0</v>
      </c>
    </row>
    <row r="19" spans="2:5" x14ac:dyDescent="0.25">
      <c r="B19" s="332"/>
      <c r="C19" s="42"/>
      <c r="D19" s="24" t="s">
        <v>46</v>
      </c>
      <c r="E19" s="227">
        <f>'DPR GLOBAL_clé répartition'!E19</f>
        <v>0</v>
      </c>
    </row>
    <row r="20" spans="2:5" x14ac:dyDescent="0.25">
      <c r="B20" s="332"/>
      <c r="C20" s="25"/>
      <c r="D20" s="33" t="s">
        <v>45</v>
      </c>
      <c r="E20" s="227">
        <f>'DPR GLOBAL_clé répartition'!E20</f>
        <v>0</v>
      </c>
    </row>
    <row r="21" spans="2:5" x14ac:dyDescent="0.25">
      <c r="B21" s="332"/>
      <c r="C21" s="25"/>
      <c r="D21" s="31" t="s">
        <v>44</v>
      </c>
      <c r="E21" s="227">
        <f>'DPR GLOBAL_clé répartition'!E21</f>
        <v>0</v>
      </c>
    </row>
    <row r="22" spans="2:5" ht="15.6" thickBot="1" x14ac:dyDescent="0.3">
      <c r="B22" s="328"/>
      <c r="C22" s="41"/>
      <c r="D22" s="33" t="s">
        <v>43</v>
      </c>
      <c r="E22" s="227">
        <f>'DPR GLOBAL_clé répartition'!E22</f>
        <v>0</v>
      </c>
    </row>
    <row r="23" spans="2:5" ht="21.15" customHeight="1" thickBot="1" x14ac:dyDescent="0.3">
      <c r="B23" s="43"/>
      <c r="C23" s="322" t="s">
        <v>42</v>
      </c>
      <c r="D23" s="323"/>
      <c r="E23" s="27">
        <f>SUM(E24:E36)-E37-E38-E39</f>
        <v>0</v>
      </c>
    </row>
    <row r="24" spans="2:5" ht="108.75" customHeight="1" x14ac:dyDescent="0.25">
      <c r="B24" s="332" t="s">
        <v>41</v>
      </c>
      <c r="C24" s="42"/>
      <c r="D24" s="156" t="s">
        <v>40</v>
      </c>
      <c r="E24" s="228">
        <f>'DPR GLOBAL_clé répartition'!E24</f>
        <v>0</v>
      </c>
    </row>
    <row r="25" spans="2:5" x14ac:dyDescent="0.25">
      <c r="B25" s="332"/>
      <c r="C25" s="25"/>
      <c r="D25" s="156" t="s">
        <v>154</v>
      </c>
      <c r="E25" s="228">
        <f>'DPR GLOBAL_clé répartition'!E25</f>
        <v>0</v>
      </c>
    </row>
    <row r="26" spans="2:5" x14ac:dyDescent="0.25">
      <c r="B26" s="332"/>
      <c r="C26" s="25"/>
      <c r="D26" s="156" t="s">
        <v>39</v>
      </c>
      <c r="E26" s="228">
        <f>'DPR GLOBAL_clé répartition'!E26</f>
        <v>0</v>
      </c>
    </row>
    <row r="27" spans="2:5" x14ac:dyDescent="0.25">
      <c r="B27" s="332"/>
      <c r="C27" s="25"/>
      <c r="D27" s="156" t="s">
        <v>155</v>
      </c>
      <c r="E27" s="228">
        <f>'DPR GLOBAL_clé répartition'!E27</f>
        <v>0</v>
      </c>
    </row>
    <row r="28" spans="2:5" x14ac:dyDescent="0.25">
      <c r="B28" s="332"/>
      <c r="C28" s="25"/>
      <c r="D28" s="156" t="s">
        <v>72</v>
      </c>
      <c r="E28" s="228">
        <f>'DPR GLOBAL_clé répartition'!E28</f>
        <v>0</v>
      </c>
    </row>
    <row r="29" spans="2:5" x14ac:dyDescent="0.25">
      <c r="B29" s="332"/>
      <c r="C29" s="25"/>
      <c r="D29" s="156" t="s">
        <v>156</v>
      </c>
      <c r="E29" s="228">
        <f>'DPR GLOBAL_clé répartition'!E29</f>
        <v>0</v>
      </c>
    </row>
    <row r="30" spans="2:5" x14ac:dyDescent="0.25">
      <c r="B30" s="332"/>
      <c r="C30" s="41"/>
      <c r="D30" s="156" t="s">
        <v>38</v>
      </c>
      <c r="E30" s="228">
        <f>'DPR GLOBAL_clé répartition'!E30</f>
        <v>0</v>
      </c>
    </row>
    <row r="31" spans="2:5" x14ac:dyDescent="0.25">
      <c r="B31" s="332"/>
      <c r="C31" s="25"/>
      <c r="D31" s="156" t="s">
        <v>37</v>
      </c>
      <c r="E31" s="228">
        <f>'DPR GLOBAL_clé répartition'!E31</f>
        <v>0</v>
      </c>
    </row>
    <row r="32" spans="2:5" x14ac:dyDescent="0.25">
      <c r="B32" s="332"/>
      <c r="C32" s="25"/>
      <c r="D32" s="156" t="s">
        <v>36</v>
      </c>
      <c r="E32" s="228">
        <f>'DPR GLOBAL_clé répartition'!E32</f>
        <v>0</v>
      </c>
    </row>
    <row r="33" spans="2:5" x14ac:dyDescent="0.25">
      <c r="B33" s="332"/>
      <c r="C33" s="25"/>
      <c r="D33" s="156" t="s">
        <v>92</v>
      </c>
      <c r="E33" s="228">
        <f>'DPR GLOBAL_clé répartition'!E33</f>
        <v>0</v>
      </c>
    </row>
    <row r="34" spans="2:5" x14ac:dyDescent="0.25">
      <c r="B34" s="332"/>
      <c r="C34" s="25"/>
      <c r="D34" s="156" t="s">
        <v>35</v>
      </c>
      <c r="E34" s="228">
        <f>'DPR GLOBAL_clé répartition'!E34</f>
        <v>0</v>
      </c>
    </row>
    <row r="35" spans="2:5" x14ac:dyDescent="0.25">
      <c r="B35" s="332"/>
      <c r="C35" s="25"/>
      <c r="D35" s="157" t="s">
        <v>34</v>
      </c>
      <c r="E35" s="228">
        <f>'DPR GLOBAL_clé répartition'!E35</f>
        <v>0</v>
      </c>
    </row>
    <row r="36" spans="2:5" ht="15.6" thickBot="1" x14ac:dyDescent="0.3">
      <c r="B36" s="332"/>
      <c r="C36" s="25"/>
      <c r="D36" s="233" t="s">
        <v>160</v>
      </c>
      <c r="E36" s="232">
        <f>'DPR GLOBAL_clé répartition'!E36</f>
        <v>0</v>
      </c>
    </row>
    <row r="37" spans="2:5" ht="30.6" thickBot="1" x14ac:dyDescent="0.3">
      <c r="B37" s="83" t="s">
        <v>33</v>
      </c>
      <c r="C37" s="263" t="s">
        <v>164</v>
      </c>
      <c r="D37" s="264" t="s">
        <v>32</v>
      </c>
      <c r="E37" s="268">
        <f>'DPR GLOBAL_clé répartition'!E37</f>
        <v>0</v>
      </c>
    </row>
    <row r="38" spans="2:5" ht="34.5" customHeight="1" thickBot="1" x14ac:dyDescent="0.3">
      <c r="B38" s="78" t="s">
        <v>31</v>
      </c>
      <c r="C38" s="263" t="s">
        <v>164</v>
      </c>
      <c r="D38" s="265" t="s">
        <v>30</v>
      </c>
      <c r="E38" s="269">
        <f>'DPR GLOBAL_clé répartition'!E38</f>
        <v>0</v>
      </c>
    </row>
    <row r="39" spans="2:5" ht="15.75" customHeight="1" thickBot="1" x14ac:dyDescent="0.3">
      <c r="B39" s="327" t="s">
        <v>29</v>
      </c>
      <c r="C39" s="6" t="s">
        <v>28</v>
      </c>
      <c r="D39" s="8"/>
      <c r="E39" s="27">
        <f>E40</f>
        <v>0</v>
      </c>
    </row>
    <row r="40" spans="2:5" ht="50.25" customHeight="1" thickBot="1" x14ac:dyDescent="0.3">
      <c r="B40" s="328"/>
      <c r="C40" s="263" t="s">
        <v>164</v>
      </c>
      <c r="D40" s="266" t="s">
        <v>27</v>
      </c>
      <c r="E40" s="267">
        <f>'DPR GLOBAL_clé répartition'!E40</f>
        <v>0</v>
      </c>
    </row>
    <row r="41" spans="2:5" ht="22.65" customHeight="1" thickBot="1" x14ac:dyDescent="0.3">
      <c r="B41" s="36" t="s">
        <v>26</v>
      </c>
      <c r="C41" s="19" t="s">
        <v>25</v>
      </c>
      <c r="D41" s="18"/>
      <c r="E41" s="230">
        <f>'DPR GLOBAL_clé répartition'!E41</f>
        <v>0</v>
      </c>
    </row>
    <row r="42" spans="2:5" ht="15.6" thickBot="1" x14ac:dyDescent="0.3">
      <c r="B42" s="79" t="s">
        <v>24</v>
      </c>
      <c r="C42" s="6" t="s">
        <v>23</v>
      </c>
      <c r="D42" s="8"/>
      <c r="E42" s="27">
        <f>SUM(E43:E53)</f>
        <v>0</v>
      </c>
    </row>
    <row r="43" spans="2:5" x14ac:dyDescent="0.25">
      <c r="B43" s="80"/>
      <c r="C43" s="26"/>
      <c r="D43" s="24" t="s">
        <v>22</v>
      </c>
      <c r="E43" s="231">
        <f>'DPR GLOBAL_clé répartition'!E43</f>
        <v>0</v>
      </c>
    </row>
    <row r="44" spans="2:5" x14ac:dyDescent="0.25">
      <c r="B44" s="80"/>
      <c r="C44" s="26"/>
      <c r="D44" s="24" t="s">
        <v>21</v>
      </c>
      <c r="E44" s="231">
        <f>'DPR GLOBAL_clé répartition'!E44</f>
        <v>0</v>
      </c>
    </row>
    <row r="45" spans="2:5" x14ac:dyDescent="0.25">
      <c r="B45" s="80"/>
      <c r="C45" s="26"/>
      <c r="D45" s="24" t="s">
        <v>20</v>
      </c>
      <c r="E45" s="231">
        <f>'DPR GLOBAL_clé répartition'!E45</f>
        <v>0</v>
      </c>
    </row>
    <row r="46" spans="2:5" x14ac:dyDescent="0.25">
      <c r="B46" s="80"/>
      <c r="C46" s="26"/>
      <c r="D46" s="24" t="s">
        <v>19</v>
      </c>
      <c r="E46" s="231">
        <f>'DPR GLOBAL_clé répartition'!E46</f>
        <v>0</v>
      </c>
    </row>
    <row r="47" spans="2:5" x14ac:dyDescent="0.25">
      <c r="B47" s="80"/>
      <c r="C47" s="26"/>
      <c r="D47" s="24" t="s">
        <v>18</v>
      </c>
      <c r="E47" s="231">
        <f>'DPR GLOBAL_clé répartition'!E47</f>
        <v>0</v>
      </c>
    </row>
    <row r="48" spans="2:5" x14ac:dyDescent="0.25">
      <c r="B48" s="80"/>
      <c r="C48" s="26"/>
      <c r="D48" s="24" t="s">
        <v>17</v>
      </c>
      <c r="E48" s="231">
        <f>'DPR GLOBAL_clé répartition'!E48</f>
        <v>0</v>
      </c>
    </row>
    <row r="49" spans="2:5" x14ac:dyDescent="0.25">
      <c r="B49" s="80"/>
      <c r="C49" s="26"/>
      <c r="D49" s="24" t="s">
        <v>16</v>
      </c>
      <c r="E49" s="231">
        <f>'DPR GLOBAL_clé répartition'!E49</f>
        <v>0</v>
      </c>
    </row>
    <row r="50" spans="2:5" x14ac:dyDescent="0.25">
      <c r="B50" s="80"/>
      <c r="C50" s="35"/>
      <c r="D50" s="34" t="s">
        <v>15</v>
      </c>
      <c r="E50" s="231">
        <f>'DPR GLOBAL_clé répartition'!E50</f>
        <v>0</v>
      </c>
    </row>
    <row r="51" spans="2:5" x14ac:dyDescent="0.25">
      <c r="B51" s="80"/>
      <c r="C51" s="35"/>
      <c r="D51" s="34" t="s">
        <v>14</v>
      </c>
      <c r="E51" s="231">
        <f>'DPR GLOBAL_clé répartition'!E51</f>
        <v>0</v>
      </c>
    </row>
    <row r="52" spans="2:5" x14ac:dyDescent="0.25">
      <c r="B52" s="80"/>
      <c r="C52" s="25"/>
      <c r="D52" s="33" t="s">
        <v>13</v>
      </c>
      <c r="E52" s="231">
        <f>'DPR GLOBAL_clé répartition'!E52</f>
        <v>0</v>
      </c>
    </row>
    <row r="53" spans="2:5" ht="15.6" thickBot="1" x14ac:dyDescent="0.3">
      <c r="B53" s="29"/>
      <c r="C53" s="32"/>
      <c r="D53" s="31" t="s">
        <v>12</v>
      </c>
      <c r="E53" s="231">
        <f>'DPR GLOBAL_clé répartition'!E53</f>
        <v>0</v>
      </c>
    </row>
    <row r="54" spans="2:5" ht="15.6" thickBot="1" x14ac:dyDescent="0.3">
      <c r="B54" s="30"/>
      <c r="C54" s="6" t="s">
        <v>11</v>
      </c>
      <c r="D54" s="8"/>
      <c r="E54" s="27">
        <f>SUM(E55:E56)</f>
        <v>0</v>
      </c>
    </row>
    <row r="55" spans="2:5" x14ac:dyDescent="0.25">
      <c r="B55" s="29"/>
      <c r="C55" s="26"/>
      <c r="D55" s="24" t="s">
        <v>10</v>
      </c>
      <c r="E55" s="231">
        <f>'DPR GLOBAL_clé répartition'!E55</f>
        <v>0</v>
      </c>
    </row>
    <row r="56" spans="2:5" ht="15.6" thickBot="1" x14ac:dyDescent="0.3">
      <c r="B56" s="81"/>
      <c r="C56" s="25"/>
      <c r="D56" s="28" t="s">
        <v>9</v>
      </c>
      <c r="E56" s="231">
        <f>'DPR GLOBAL_clé répartition'!E56</f>
        <v>0</v>
      </c>
    </row>
    <row r="57" spans="2:5" ht="15.6" thickBot="1" x14ac:dyDescent="0.3">
      <c r="B57" s="329"/>
      <c r="C57" s="6" t="s">
        <v>8</v>
      </c>
      <c r="D57" s="8"/>
      <c r="E57" s="27">
        <f>SUM(E58:E60)</f>
        <v>0</v>
      </c>
    </row>
    <row r="58" spans="2:5" x14ac:dyDescent="0.25">
      <c r="B58" s="330"/>
      <c r="C58" s="26"/>
      <c r="D58" s="24" t="s">
        <v>7</v>
      </c>
      <c r="E58" s="231">
        <f>'DPR GLOBAL_clé répartition'!E58</f>
        <v>0</v>
      </c>
    </row>
    <row r="59" spans="2:5" x14ac:dyDescent="0.25">
      <c r="B59" s="330"/>
      <c r="C59" s="25"/>
      <c r="D59" s="24" t="s">
        <v>6</v>
      </c>
      <c r="E59" s="231">
        <f>'DPR GLOBAL_clé répartition'!E59</f>
        <v>0</v>
      </c>
    </row>
    <row r="60" spans="2:5" ht="15.6" thickBot="1" x14ac:dyDescent="0.3">
      <c r="B60" s="331"/>
      <c r="C60" s="23"/>
      <c r="D60" s="22" t="s">
        <v>5</v>
      </c>
      <c r="E60" s="231">
        <f>'DPR GLOBAL_clé répartition'!E60</f>
        <v>0</v>
      </c>
    </row>
    <row r="61" spans="2:5" ht="15.6" thickBot="1" x14ac:dyDescent="0.3">
      <c r="C61" s="21" t="s">
        <v>4</v>
      </c>
      <c r="D61" s="20"/>
      <c r="E61" s="7">
        <f>E13+E16+E18+E23+E41+E42+E54+E57+E37+E38+E39</f>
        <v>0</v>
      </c>
    </row>
    <row r="62" spans="2:5" ht="15.6" thickBot="1" x14ac:dyDescent="0.3">
      <c r="C62" s="320" t="s">
        <v>3</v>
      </c>
      <c r="D62" s="321"/>
      <c r="E62" s="232">
        <f>'DPR GLOBAL_clé répartition'!E62</f>
        <v>0</v>
      </c>
    </row>
    <row r="63" spans="2:5" ht="15.6" thickBot="1" x14ac:dyDescent="0.3">
      <c r="C63" s="19" t="s">
        <v>2</v>
      </c>
      <c r="D63" s="18"/>
      <c r="E63" s="17">
        <f>E61+E62</f>
        <v>0</v>
      </c>
    </row>
    <row r="64" spans="2:5" ht="15.6" thickBot="1" x14ac:dyDescent="0.3">
      <c r="C64" s="16"/>
      <c r="D64" s="15" t="s">
        <v>1</v>
      </c>
      <c r="E64" s="14">
        <f>E63*(2.1%)</f>
        <v>0</v>
      </c>
    </row>
    <row r="65" spans="2:5" s="9" customFormat="1" ht="15.6" thickBot="1" x14ac:dyDescent="0.3">
      <c r="B65" s="13"/>
      <c r="C65" s="12" t="s">
        <v>0</v>
      </c>
      <c r="D65" s="11"/>
      <c r="E65" s="10">
        <f>E63+E64</f>
        <v>0</v>
      </c>
    </row>
  </sheetData>
  <sheetProtection selectLockedCells="1" selectUnlockedCells="1"/>
  <mergeCells count="9">
    <mergeCell ref="B39:B40"/>
    <mergeCell ref="B57:B60"/>
    <mergeCell ref="C62:D62"/>
    <mergeCell ref="C6:C10"/>
    <mergeCell ref="B13:B15"/>
    <mergeCell ref="B16:B17"/>
    <mergeCell ref="B18:B22"/>
    <mergeCell ref="C23:D23"/>
    <mergeCell ref="B24:B36"/>
  </mergeCells>
  <conditionalFormatting sqref="C6">
    <cfRule type="expression" priority="1" stopIfTrue="1">
      <formula>TRUE</formula>
    </cfRule>
  </conditionalFormatting>
  <conditionalFormatting sqref="C13 C16 C39 C41:C42 C57">
    <cfRule type="expression" priority="2" stopIfTrue="1">
      <formula>TRUE</formula>
    </cfRule>
  </conditionalFormatting>
  <conditionalFormatting sqref="E61 E63 E65">
    <cfRule type="cellIs" dxfId="1" priority="3" stopIfTrue="1" operator="equal">
      <formula>#REF!</formula>
    </cfRule>
    <cfRule type="cellIs" dxfId="0" priority="4" stopIfTrue="1" operator="notEqual">
      <formula>#REF!</formula>
    </cfRule>
  </conditionalFormatting>
  <printOptions horizontalCentered="1"/>
  <pageMargins left="0.19685039370078741" right="0.19685039370078741" top="0.74803149606299213" bottom="0.55118110236220474" header="0.31496062992125984" footer="0.31496062992125984"/>
  <pageSetup paperSize="8" scale="8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DPR GLOBAL_clé répartition</vt:lpstr>
      <vt:lpstr>DPR LLTS</vt:lpstr>
      <vt:lpstr>DPR PLS</vt:lpstr>
      <vt:lpstr>DPR COM</vt:lpstr>
      <vt:lpstr>Estim MOE</vt:lpstr>
      <vt:lpstr>Planning appels de fonds</vt:lpstr>
      <vt:lpstr>Loi sur l'eau</vt:lpstr>
      <vt:lpstr>DPR LLS</vt:lpstr>
      <vt:lpstr>'DPR COM'!Zone_d_impression</vt:lpstr>
      <vt:lpstr>'DPR GLOBAL_clé répartition'!Zone_d_impression</vt:lpstr>
      <vt:lpstr>'DPR LLS'!Zone_d_impression</vt:lpstr>
      <vt:lpstr>'DPR LLTS'!Zone_d_impression</vt:lpstr>
      <vt:lpstr>'DPR PLS'!Zone_d_impression</vt:lpstr>
      <vt:lpstr>'Estim MOE'!Zone_d_impression</vt:lpstr>
      <vt:lpstr>'Loi sur l''eau'!Zone_d_impression</vt:lpstr>
      <vt:lpstr>'Planning appels de fonds'!Zone_d_impression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Lin-Xia CHUNG YOU CHONG</dc:creator>
  <cp:lastModifiedBy>Nathalie BLANDINO</cp:lastModifiedBy>
  <cp:lastPrinted>2023-04-27T10:57:06Z</cp:lastPrinted>
  <dcterms:created xsi:type="dcterms:W3CDTF">2021-09-23T04:44:30Z</dcterms:created>
  <dcterms:modified xsi:type="dcterms:W3CDTF">2023-06-11T08:07:37Z</dcterms:modified>
</cp:coreProperties>
</file>