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30151AF2-6D3A-496C-B53B-772410A3711F}" xr6:coauthVersionLast="47" xr6:coauthVersionMax="47" xr10:uidLastSave="{00000000-0000-0000-0000-000000000000}"/>
  <bookViews>
    <workbookView xWindow="-108" yWindow="-108" windowWidth="30936" windowHeight="16896" xr2:uid="{4506F4A3-00AB-41D4-9311-8B37D0DDE751}"/>
  </bookViews>
  <sheets>
    <sheet name="Données" sheetId="1" r:id="rId1"/>
    <sheet name="Délais études_travaux" sheetId="3" r:id="rId2"/>
    <sheet name="Listes" sheetId="2" r:id="rId3"/>
  </sheets>
  <externalReferences>
    <externalReference r:id="rId4"/>
  </externalReferences>
  <definedNames>
    <definedName name="Ass">Listes!$B$1:$B$8</definedName>
    <definedName name="Communes">Listes!$D$1:$D$15</definedName>
    <definedName name="EPCI">Listes!$E$1:$E$4</definedName>
    <definedName name="Phases">Listes!$C$1:$C$15</definedName>
    <definedName name="RO">Listes!$A$1:$A$7</definedName>
    <definedName name="_xlnm.Print_Area" localSheetId="0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J2" i="1" l="1"/>
  <c r="BJ3" i="1"/>
  <c r="BJ4" i="1"/>
  <c r="BJ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19" i="1"/>
  <c r="BJ20" i="1"/>
  <c r="BJ21" i="1"/>
  <c r="BJ22" i="1"/>
  <c r="BJ23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44" i="1"/>
  <c r="BJ45" i="1"/>
  <c r="BJ46" i="1"/>
  <c r="BJ47" i="1"/>
  <c r="BJ48" i="1"/>
  <c r="BJ49" i="1"/>
  <c r="BJ50" i="1"/>
  <c r="BJ51" i="1"/>
  <c r="BJ52" i="1"/>
  <c r="BJ53" i="1"/>
  <c r="BJ54" i="1"/>
  <c r="BJ55" i="1"/>
  <c r="BJ56" i="1"/>
  <c r="BJ57" i="1"/>
  <c r="BJ58" i="1"/>
  <c r="BJ59" i="1"/>
  <c r="BJ60" i="1"/>
  <c r="BJ61" i="1"/>
  <c r="BJ62" i="1"/>
  <c r="BJ63" i="1"/>
  <c r="BJ64" i="1"/>
  <c r="BJ65" i="1"/>
  <c r="BJ66" i="1"/>
  <c r="BJ67" i="1"/>
  <c r="BJ68" i="1"/>
  <c r="BJ69" i="1"/>
  <c r="BJ70" i="1"/>
  <c r="BJ71" i="1"/>
  <c r="BJ72" i="1"/>
  <c r="BJ73" i="1"/>
  <c r="BJ74" i="1"/>
  <c r="BJ75" i="1"/>
  <c r="BJ76" i="1"/>
  <c r="BJ77" i="1"/>
  <c r="BJ78" i="1"/>
  <c r="BJ79" i="1"/>
  <c r="BJ80" i="1"/>
  <c r="BJ81" i="1"/>
  <c r="BJ82" i="1"/>
  <c r="BJ83" i="1"/>
  <c r="BJ84" i="1"/>
  <c r="BJ85" i="1"/>
  <c r="BJ86" i="1"/>
  <c r="BJ87" i="1"/>
  <c r="BJ88" i="1"/>
  <c r="BJ89" i="1"/>
  <c r="BJ90" i="1"/>
  <c r="BJ91" i="1"/>
  <c r="BJ92" i="1"/>
  <c r="BJ93" i="1"/>
  <c r="BJ94" i="1"/>
  <c r="BJ95" i="1"/>
  <c r="BJ96" i="1"/>
  <c r="BJ97" i="1"/>
  <c r="BJ98" i="1"/>
  <c r="BJ99" i="1"/>
  <c r="BJ100" i="1"/>
  <c r="BJ101" i="1"/>
  <c r="BJ102" i="1"/>
  <c r="BJ103" i="1"/>
  <c r="BJ104" i="1"/>
  <c r="BJ105" i="1"/>
  <c r="BJ106" i="1"/>
  <c r="BJ107" i="1"/>
  <c r="BJ108" i="1"/>
  <c r="BJ109" i="1"/>
  <c r="BJ110" i="1"/>
  <c r="BJ111" i="1"/>
  <c r="BJ112" i="1"/>
  <c r="BJ113" i="1"/>
  <c r="BJ114" i="1"/>
  <c r="BJ115" i="1"/>
  <c r="BJ116" i="1"/>
  <c r="BJ117" i="1"/>
  <c r="BJ118" i="1"/>
  <c r="BJ119" i="1"/>
  <c r="BJ120" i="1"/>
  <c r="BJ121" i="1"/>
  <c r="BJ122" i="1"/>
  <c r="BJ123" i="1"/>
  <c r="BJ124" i="1"/>
  <c r="BJ125" i="1"/>
  <c r="BJ126" i="1"/>
  <c r="BJ127" i="1"/>
  <c r="BJ128" i="1"/>
  <c r="BJ129" i="1"/>
  <c r="BJ130" i="1"/>
  <c r="BJ131" i="1"/>
  <c r="BJ132" i="1"/>
  <c r="BJ133" i="1"/>
  <c r="BJ134" i="1"/>
  <c r="BJ135" i="1"/>
  <c r="BJ136" i="1"/>
  <c r="BJ137" i="1"/>
  <c r="BJ138" i="1"/>
  <c r="BJ139" i="1"/>
  <c r="BJ140" i="1"/>
  <c r="BJ141" i="1"/>
  <c r="BJ142" i="1"/>
  <c r="BJ143" i="1"/>
  <c r="BJ144" i="1"/>
  <c r="BJ145" i="1"/>
  <c r="BJ146" i="1"/>
  <c r="BJ147" i="1"/>
  <c r="BJ148" i="1"/>
  <c r="BJ149" i="1"/>
  <c r="BJ150" i="1"/>
  <c r="BJ151" i="1"/>
  <c r="BJ152" i="1"/>
  <c r="BJ153" i="1"/>
  <c r="BJ154" i="1"/>
  <c r="BI2" i="1"/>
  <c r="BI3" i="1"/>
  <c r="BI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I73" i="1"/>
  <c r="BI74" i="1"/>
  <c r="BI75" i="1"/>
  <c r="BI76" i="1"/>
  <c r="BI77" i="1"/>
  <c r="BI78" i="1"/>
  <c r="BI79" i="1"/>
  <c r="BI80" i="1"/>
  <c r="BI81" i="1"/>
  <c r="BI82" i="1"/>
  <c r="BI83" i="1"/>
  <c r="BI84" i="1"/>
  <c r="BI85" i="1"/>
  <c r="BI86" i="1"/>
  <c r="BI87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I113" i="1"/>
  <c r="BI114" i="1"/>
  <c r="BI115" i="1"/>
  <c r="BI116" i="1"/>
  <c r="BI117" i="1"/>
  <c r="BI118" i="1"/>
  <c r="BI119" i="1"/>
  <c r="BI120" i="1"/>
  <c r="BI121" i="1"/>
  <c r="BI122" i="1"/>
  <c r="BI123" i="1"/>
  <c r="BI124" i="1"/>
  <c r="BI125" i="1"/>
  <c r="BI126" i="1"/>
  <c r="BI127" i="1"/>
  <c r="BI128" i="1"/>
  <c r="BI129" i="1"/>
  <c r="BI130" i="1"/>
  <c r="BI131" i="1"/>
  <c r="BI132" i="1"/>
  <c r="BI133" i="1"/>
  <c r="BI134" i="1"/>
  <c r="BI135" i="1"/>
  <c r="BI136" i="1"/>
  <c r="BI137" i="1"/>
  <c r="BI138" i="1"/>
  <c r="BI139" i="1"/>
  <c r="BI140" i="1"/>
  <c r="BI141" i="1"/>
  <c r="BI142" i="1"/>
  <c r="BI143" i="1"/>
  <c r="BI144" i="1"/>
  <c r="BI145" i="1"/>
  <c r="BI146" i="1"/>
  <c r="BI147" i="1"/>
  <c r="BI148" i="1"/>
  <c r="BI149" i="1"/>
  <c r="BI150" i="1"/>
  <c r="BI151" i="1"/>
  <c r="BI152" i="1"/>
  <c r="BI153" i="1"/>
  <c r="BI154" i="1"/>
  <c r="BH2" i="1"/>
  <c r="BH3" i="1"/>
  <c r="BH4" i="1"/>
  <c r="BH5" i="1"/>
  <c r="BH6" i="1"/>
  <c r="BH7" i="1"/>
  <c r="BH8" i="1"/>
  <c r="BH9" i="1"/>
  <c r="BH10" i="1"/>
  <c r="BH11" i="1"/>
  <c r="BH12" i="1"/>
  <c r="BH13" i="1"/>
  <c r="BH14" i="1"/>
  <c r="BH15" i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36" i="1"/>
  <c r="BH37" i="1"/>
  <c r="BH38" i="1"/>
  <c r="BH39" i="1"/>
  <c r="BH40" i="1"/>
  <c r="BH41" i="1"/>
  <c r="BH42" i="1"/>
  <c r="BH43" i="1"/>
  <c r="BH44" i="1"/>
  <c r="BH45" i="1"/>
  <c r="BH46" i="1"/>
  <c r="BH47" i="1"/>
  <c r="BH48" i="1"/>
  <c r="BH49" i="1"/>
  <c r="BH50" i="1"/>
  <c r="BH51" i="1"/>
  <c r="BH52" i="1"/>
  <c r="BH53" i="1"/>
  <c r="BH54" i="1"/>
  <c r="BH55" i="1"/>
  <c r="BH56" i="1"/>
  <c r="BH57" i="1"/>
  <c r="BH58" i="1"/>
  <c r="BH59" i="1"/>
  <c r="BH60" i="1"/>
  <c r="BH61" i="1"/>
  <c r="BH62" i="1"/>
  <c r="BH63" i="1"/>
  <c r="BH64" i="1"/>
  <c r="BH65" i="1"/>
  <c r="BH66" i="1"/>
  <c r="BH67" i="1"/>
  <c r="BH68" i="1"/>
  <c r="BH69" i="1"/>
  <c r="BH70" i="1"/>
  <c r="BH71" i="1"/>
  <c r="BH72" i="1"/>
  <c r="BH73" i="1"/>
  <c r="BH74" i="1"/>
  <c r="BH75" i="1"/>
  <c r="BH76" i="1"/>
  <c r="BH77" i="1"/>
  <c r="BH78" i="1"/>
  <c r="BH79" i="1"/>
  <c r="BH80" i="1"/>
  <c r="BH81" i="1"/>
  <c r="BH82" i="1"/>
  <c r="BH83" i="1"/>
  <c r="BH84" i="1"/>
  <c r="BH85" i="1"/>
  <c r="BH86" i="1"/>
  <c r="BH87" i="1"/>
  <c r="BH88" i="1"/>
  <c r="BH89" i="1"/>
  <c r="BH90" i="1"/>
  <c r="BH91" i="1"/>
  <c r="BH92" i="1"/>
  <c r="BH93" i="1"/>
  <c r="BH94" i="1"/>
  <c r="BH95" i="1"/>
  <c r="BH96" i="1"/>
  <c r="BH97" i="1"/>
  <c r="BH98" i="1"/>
  <c r="BH99" i="1"/>
  <c r="BH100" i="1"/>
  <c r="BH101" i="1"/>
  <c r="BH102" i="1"/>
  <c r="BH103" i="1"/>
  <c r="BH104" i="1"/>
  <c r="BH105" i="1"/>
  <c r="BH106" i="1"/>
  <c r="BH107" i="1"/>
  <c r="BH108" i="1"/>
  <c r="BH109" i="1"/>
  <c r="BH110" i="1"/>
  <c r="BH111" i="1"/>
  <c r="BH112" i="1"/>
  <c r="BH113" i="1"/>
  <c r="BH114" i="1"/>
  <c r="BH115" i="1"/>
  <c r="BH116" i="1"/>
  <c r="BH117" i="1"/>
  <c r="BH118" i="1"/>
  <c r="BH119" i="1"/>
  <c r="BH120" i="1"/>
  <c r="BH121" i="1"/>
  <c r="BH122" i="1"/>
  <c r="BH123" i="1"/>
  <c r="BH124" i="1"/>
  <c r="BH125" i="1"/>
  <c r="BH126" i="1"/>
  <c r="BH127" i="1"/>
  <c r="BH128" i="1"/>
  <c r="BH129" i="1"/>
  <c r="BH130" i="1"/>
  <c r="BH131" i="1"/>
  <c r="BH132" i="1"/>
  <c r="BH133" i="1"/>
  <c r="BH134" i="1"/>
  <c r="BH135" i="1"/>
  <c r="BH136" i="1"/>
  <c r="BH137" i="1"/>
  <c r="BH138" i="1"/>
  <c r="BH139" i="1"/>
  <c r="BH140" i="1"/>
  <c r="BH141" i="1"/>
  <c r="BH142" i="1"/>
  <c r="BH143" i="1"/>
  <c r="BH144" i="1"/>
  <c r="BH145" i="1"/>
  <c r="BH146" i="1"/>
  <c r="BH147" i="1"/>
  <c r="BH148" i="1"/>
  <c r="BH149" i="1"/>
  <c r="BH150" i="1"/>
  <c r="BH151" i="1"/>
  <c r="BH152" i="1"/>
  <c r="BH153" i="1"/>
  <c r="BH154" i="1"/>
  <c r="BF63" i="1" l="1"/>
  <c r="BF52" i="1"/>
  <c r="BF51" i="1"/>
  <c r="BC121" i="1"/>
  <c r="BA2" i="1"/>
  <c r="BC2" i="1" s="1"/>
  <c r="BA3" i="1"/>
  <c r="BC3" i="1" s="1"/>
  <c r="BA4" i="1"/>
  <c r="BC4" i="1" s="1"/>
  <c r="BA5" i="1"/>
  <c r="BC5" i="1" s="1"/>
  <c r="BA6" i="1"/>
  <c r="BC6" i="1" s="1"/>
  <c r="BA7" i="1"/>
  <c r="BC7" i="1" s="1"/>
  <c r="BA8" i="1"/>
  <c r="BC8" i="1" s="1"/>
  <c r="BA9" i="1"/>
  <c r="BC9" i="1" s="1"/>
  <c r="BA10" i="1"/>
  <c r="BC10" i="1" s="1"/>
  <c r="BA11" i="1"/>
  <c r="BC11" i="1" s="1"/>
  <c r="BA12" i="1"/>
  <c r="BC12" i="1" s="1"/>
  <c r="BA13" i="1"/>
  <c r="BC13" i="1" s="1"/>
  <c r="BA14" i="1"/>
  <c r="BC14" i="1" s="1"/>
  <c r="BA15" i="1"/>
  <c r="BC15" i="1" s="1"/>
  <c r="BA16" i="1"/>
  <c r="BC16" i="1" s="1"/>
  <c r="BA17" i="1"/>
  <c r="BC17" i="1" s="1"/>
  <c r="BA18" i="1"/>
  <c r="BC18" i="1" s="1"/>
  <c r="BA19" i="1"/>
  <c r="BC19" i="1" s="1"/>
  <c r="BA20" i="1"/>
  <c r="BC20" i="1" s="1"/>
  <c r="BA21" i="1"/>
  <c r="BC21" i="1" s="1"/>
  <c r="BA22" i="1"/>
  <c r="BC22" i="1" s="1"/>
  <c r="BA23" i="1"/>
  <c r="BC23" i="1" s="1"/>
  <c r="BA24" i="1"/>
  <c r="BC24" i="1" s="1"/>
  <c r="BA25" i="1"/>
  <c r="BC25" i="1" s="1"/>
  <c r="BA26" i="1"/>
  <c r="BC26" i="1" s="1"/>
  <c r="BA27" i="1"/>
  <c r="BC27" i="1" s="1"/>
  <c r="BA28" i="1"/>
  <c r="BC28" i="1" s="1"/>
  <c r="BA29" i="1"/>
  <c r="BC29" i="1" s="1"/>
  <c r="BA30" i="1"/>
  <c r="BC30" i="1" s="1"/>
  <c r="BA31" i="1"/>
  <c r="BC31" i="1" s="1"/>
  <c r="BA32" i="1"/>
  <c r="BC32" i="1" s="1"/>
  <c r="BA33" i="1"/>
  <c r="BC33" i="1" s="1"/>
  <c r="BA34" i="1"/>
  <c r="BC34" i="1" s="1"/>
  <c r="BA35" i="1"/>
  <c r="BC35" i="1" s="1"/>
  <c r="BA36" i="1"/>
  <c r="BC36" i="1" s="1"/>
  <c r="BA37" i="1"/>
  <c r="BC37" i="1" s="1"/>
  <c r="BA38" i="1"/>
  <c r="BC38" i="1" s="1"/>
  <c r="BA39" i="1"/>
  <c r="BC39" i="1" s="1"/>
  <c r="BA40" i="1"/>
  <c r="BC40" i="1" s="1"/>
  <c r="BA41" i="1"/>
  <c r="BC41" i="1" s="1"/>
  <c r="BA42" i="1"/>
  <c r="BC42" i="1" s="1"/>
  <c r="BA43" i="1"/>
  <c r="BC43" i="1" s="1"/>
  <c r="BA44" i="1"/>
  <c r="BC44" i="1" s="1"/>
  <c r="BA45" i="1"/>
  <c r="BC45" i="1" s="1"/>
  <c r="BA46" i="1"/>
  <c r="BC46" i="1" s="1"/>
  <c r="BA47" i="1"/>
  <c r="BC47" i="1" s="1"/>
  <c r="BA48" i="1"/>
  <c r="BC48" i="1" s="1"/>
  <c r="BA49" i="1"/>
  <c r="BB49" i="1" s="1"/>
  <c r="BC49" i="1" s="1"/>
  <c r="BA50" i="1"/>
  <c r="BB50" i="1" s="1"/>
  <c r="BC50" i="1" s="1"/>
  <c r="BA51" i="1"/>
  <c r="BC51" i="1" s="1"/>
  <c r="BA52" i="1"/>
  <c r="BC52" i="1" s="1"/>
  <c r="BA53" i="1"/>
  <c r="BB53" i="1" s="1"/>
  <c r="BC53" i="1" s="1"/>
  <c r="BA54" i="1"/>
  <c r="BB54" i="1" s="1"/>
  <c r="BC54" i="1" s="1"/>
  <c r="BA55" i="1"/>
  <c r="BB55" i="1" s="1"/>
  <c r="BC55" i="1" s="1"/>
  <c r="BA56" i="1"/>
  <c r="BB56" i="1" s="1"/>
  <c r="BC56" i="1" s="1"/>
  <c r="BA57" i="1"/>
  <c r="BB57" i="1" s="1"/>
  <c r="BC57" i="1" s="1"/>
  <c r="BA58" i="1"/>
  <c r="BB58" i="1" s="1"/>
  <c r="BC58" i="1" s="1"/>
  <c r="BA59" i="1"/>
  <c r="BB59" i="1" s="1"/>
  <c r="BC59" i="1" s="1"/>
  <c r="BA60" i="1"/>
  <c r="BB60" i="1" s="1"/>
  <c r="BC60" i="1" s="1"/>
  <c r="BA61" i="1"/>
  <c r="BB61" i="1" s="1"/>
  <c r="BC61" i="1" s="1"/>
  <c r="BA62" i="1"/>
  <c r="BB62" i="1" s="1"/>
  <c r="BC62" i="1" s="1"/>
  <c r="BA63" i="1"/>
  <c r="BB63" i="1" s="1"/>
  <c r="BC63" i="1" s="1"/>
  <c r="BA64" i="1"/>
  <c r="BB64" i="1" s="1"/>
  <c r="BC64" i="1" s="1"/>
  <c r="BA65" i="1"/>
  <c r="BB65" i="1" s="1"/>
  <c r="BC65" i="1" s="1"/>
  <c r="BA66" i="1"/>
  <c r="BB66" i="1" s="1"/>
  <c r="BC66" i="1" s="1"/>
  <c r="BA67" i="1"/>
  <c r="BB67" i="1" s="1"/>
  <c r="BC67" i="1" s="1"/>
  <c r="BA68" i="1"/>
  <c r="BB68" i="1" s="1"/>
  <c r="BC68" i="1" s="1"/>
  <c r="BA69" i="1"/>
  <c r="BB69" i="1" s="1"/>
  <c r="BC69" i="1" s="1"/>
  <c r="BA70" i="1"/>
  <c r="BB70" i="1" s="1"/>
  <c r="BC70" i="1" s="1"/>
  <c r="BA71" i="1"/>
  <c r="BB71" i="1" s="1"/>
  <c r="BC71" i="1" s="1"/>
  <c r="BA72" i="1"/>
  <c r="BB72" i="1" s="1"/>
  <c r="BC72" i="1" s="1"/>
  <c r="BA73" i="1"/>
  <c r="BB73" i="1" s="1"/>
  <c r="BC73" i="1" s="1"/>
  <c r="BA74" i="1"/>
  <c r="BB74" i="1" s="1"/>
  <c r="BC74" i="1" s="1"/>
  <c r="BA75" i="1"/>
  <c r="BB75" i="1" s="1"/>
  <c r="BC75" i="1" s="1"/>
  <c r="BA76" i="1"/>
  <c r="BB76" i="1" s="1"/>
  <c r="BC76" i="1" s="1"/>
  <c r="BA77" i="1"/>
  <c r="BB77" i="1" s="1"/>
  <c r="BC77" i="1" s="1"/>
  <c r="BA78" i="1"/>
  <c r="BB78" i="1" s="1"/>
  <c r="BC78" i="1" s="1"/>
  <c r="BA79" i="1"/>
  <c r="BB79" i="1" s="1"/>
  <c r="BC79" i="1" s="1"/>
  <c r="BA80" i="1"/>
  <c r="BB80" i="1" s="1"/>
  <c r="BC80" i="1" s="1"/>
  <c r="BA81" i="1"/>
  <c r="BB81" i="1" s="1"/>
  <c r="BC81" i="1" s="1"/>
  <c r="BA82" i="1"/>
  <c r="BB82" i="1" s="1"/>
  <c r="BC82" i="1" s="1"/>
  <c r="BA83" i="1"/>
  <c r="BB83" i="1" s="1"/>
  <c r="BC83" i="1" s="1"/>
  <c r="BA84" i="1"/>
  <c r="BB84" i="1" s="1"/>
  <c r="BC84" i="1" s="1"/>
  <c r="BA85" i="1"/>
  <c r="BB85" i="1" s="1"/>
  <c r="BC85" i="1" s="1"/>
  <c r="BA86" i="1"/>
  <c r="BB86" i="1" s="1"/>
  <c r="BC86" i="1" s="1"/>
  <c r="BA87" i="1"/>
  <c r="BB87" i="1" s="1"/>
  <c r="BC87" i="1" s="1"/>
  <c r="BA88" i="1"/>
  <c r="BB88" i="1" s="1"/>
  <c r="BC88" i="1" s="1"/>
  <c r="BA89" i="1"/>
  <c r="BB89" i="1" s="1"/>
  <c r="BC89" i="1" s="1"/>
  <c r="BA90" i="1"/>
  <c r="BB90" i="1" s="1"/>
  <c r="BC90" i="1" s="1"/>
  <c r="BA91" i="1"/>
  <c r="BB91" i="1" s="1"/>
  <c r="BC91" i="1" s="1"/>
  <c r="BA92" i="1"/>
  <c r="BB92" i="1" s="1"/>
  <c r="BC92" i="1" s="1"/>
  <c r="BA93" i="1"/>
  <c r="BB93" i="1" s="1"/>
  <c r="BC93" i="1" s="1"/>
  <c r="BA94" i="1"/>
  <c r="BB94" i="1" s="1"/>
  <c r="BC94" i="1" s="1"/>
  <c r="BA95" i="1"/>
  <c r="BB95" i="1" s="1"/>
  <c r="BC95" i="1" s="1"/>
  <c r="BA96" i="1"/>
  <c r="BB96" i="1" s="1"/>
  <c r="BC96" i="1" s="1"/>
  <c r="BA97" i="1"/>
  <c r="BB97" i="1" s="1"/>
  <c r="BC97" i="1" s="1"/>
  <c r="BA98" i="1"/>
  <c r="BB98" i="1" s="1"/>
  <c r="BC98" i="1" s="1"/>
  <c r="BA99" i="1"/>
  <c r="BB99" i="1" s="1"/>
  <c r="BC99" i="1" s="1"/>
  <c r="BA100" i="1"/>
  <c r="BB100" i="1" s="1"/>
  <c r="BC100" i="1" s="1"/>
  <c r="BA101" i="1"/>
  <c r="BB101" i="1" s="1"/>
  <c r="BC101" i="1" s="1"/>
  <c r="BA102" i="1"/>
  <c r="BB102" i="1" s="1"/>
  <c r="BC102" i="1" s="1"/>
  <c r="BA103" i="1"/>
  <c r="BB103" i="1" s="1"/>
  <c r="BC103" i="1" s="1"/>
  <c r="BA104" i="1"/>
  <c r="BB104" i="1" s="1"/>
  <c r="BC104" i="1" s="1"/>
  <c r="BA105" i="1"/>
  <c r="BB105" i="1" s="1"/>
  <c r="BC105" i="1" s="1"/>
  <c r="BA106" i="1"/>
  <c r="BB106" i="1" s="1"/>
  <c r="BC106" i="1" s="1"/>
  <c r="BA107" i="1"/>
  <c r="BB107" i="1" s="1"/>
  <c r="BC107" i="1" s="1"/>
  <c r="BA108" i="1"/>
  <c r="BB108" i="1" s="1"/>
  <c r="BC108" i="1" s="1"/>
  <c r="BA109" i="1"/>
  <c r="BB109" i="1" s="1"/>
  <c r="BC109" i="1" s="1"/>
  <c r="BA110" i="1"/>
  <c r="BB110" i="1" s="1"/>
  <c r="BC110" i="1" s="1"/>
  <c r="BA111" i="1"/>
  <c r="BB111" i="1" s="1"/>
  <c r="BC111" i="1" s="1"/>
  <c r="BA112" i="1"/>
  <c r="BB112" i="1" s="1"/>
  <c r="BC112" i="1" s="1"/>
  <c r="BA113" i="1"/>
  <c r="BB113" i="1" s="1"/>
  <c r="BC113" i="1" s="1"/>
  <c r="BA114" i="1"/>
  <c r="BB114" i="1" s="1"/>
  <c r="BC114" i="1" s="1"/>
  <c r="BA115" i="1"/>
  <c r="BB115" i="1" s="1"/>
  <c r="BC115" i="1" s="1"/>
  <c r="BA116" i="1"/>
  <c r="BB116" i="1" s="1"/>
  <c r="BC116" i="1" s="1"/>
  <c r="BA117" i="1"/>
  <c r="BB117" i="1" s="1"/>
  <c r="BC117" i="1" s="1"/>
  <c r="BA118" i="1"/>
  <c r="BB118" i="1" s="1"/>
  <c r="BC118" i="1" s="1"/>
  <c r="BA119" i="1"/>
  <c r="BB119" i="1" s="1"/>
  <c r="BC119" i="1" s="1"/>
  <c r="BA120" i="1"/>
  <c r="BB120" i="1" s="1"/>
  <c r="BC120" i="1" s="1"/>
  <c r="BA121" i="1"/>
  <c r="BB121" i="1" s="1"/>
  <c r="BA122" i="1"/>
  <c r="BB122" i="1" s="1"/>
  <c r="BC122" i="1" s="1"/>
  <c r="BA123" i="1"/>
  <c r="BB123" i="1" s="1"/>
  <c r="BC123" i="1" s="1"/>
  <c r="BA124" i="1"/>
  <c r="BB124" i="1" s="1"/>
  <c r="BC124" i="1" s="1"/>
  <c r="BA125" i="1"/>
  <c r="BB125" i="1" s="1"/>
  <c r="BC125" i="1" s="1"/>
  <c r="BA126" i="1"/>
  <c r="BB126" i="1" s="1"/>
  <c r="BC126" i="1" s="1"/>
  <c r="BA127" i="1"/>
  <c r="BB127" i="1" s="1"/>
  <c r="BC127" i="1" s="1"/>
  <c r="BA128" i="1"/>
  <c r="BB128" i="1" s="1"/>
  <c r="BC128" i="1" s="1"/>
  <c r="BA129" i="1"/>
  <c r="BB129" i="1" s="1"/>
  <c r="BC129" i="1" s="1"/>
  <c r="BA130" i="1"/>
  <c r="BB130" i="1" s="1"/>
  <c r="BC130" i="1" s="1"/>
  <c r="BA131" i="1"/>
  <c r="BB131" i="1" s="1"/>
  <c r="BC131" i="1" s="1"/>
  <c r="BA132" i="1"/>
  <c r="BB132" i="1" s="1"/>
  <c r="BC132" i="1" s="1"/>
  <c r="BA133" i="1"/>
  <c r="BB133" i="1" s="1"/>
  <c r="BC133" i="1" s="1"/>
  <c r="BA134" i="1"/>
  <c r="BB134" i="1" s="1"/>
  <c r="BC134" i="1" s="1"/>
  <c r="BA135" i="1"/>
  <c r="BB135" i="1" s="1"/>
  <c r="BC135" i="1" s="1"/>
  <c r="BA136" i="1"/>
  <c r="BB136" i="1" s="1"/>
  <c r="BC136" i="1" s="1"/>
  <c r="BA137" i="1"/>
  <c r="BB137" i="1" s="1"/>
  <c r="BC137" i="1" s="1"/>
  <c r="BA138" i="1"/>
  <c r="BB138" i="1" s="1"/>
  <c r="BC138" i="1" s="1"/>
  <c r="BA139" i="1"/>
  <c r="BB139" i="1" s="1"/>
  <c r="BC139" i="1" s="1"/>
  <c r="BA140" i="1"/>
  <c r="BB140" i="1" s="1"/>
  <c r="BC140" i="1" s="1"/>
  <c r="BA141" i="1"/>
  <c r="BB141" i="1" s="1"/>
  <c r="BC141" i="1" s="1"/>
  <c r="BA142" i="1"/>
  <c r="BB142" i="1" s="1"/>
  <c r="BC142" i="1" s="1"/>
  <c r="BA143" i="1"/>
  <c r="BB143" i="1" s="1"/>
  <c r="BC143" i="1" s="1"/>
  <c r="BA144" i="1"/>
  <c r="BB144" i="1" s="1"/>
  <c r="BC144" i="1" s="1"/>
  <c r="BA145" i="1"/>
  <c r="BB145" i="1" s="1"/>
  <c r="BC145" i="1" s="1"/>
  <c r="BA146" i="1"/>
  <c r="BB146" i="1" s="1"/>
  <c r="BC146" i="1" s="1"/>
  <c r="BA147" i="1"/>
  <c r="BB147" i="1" s="1"/>
  <c r="BC147" i="1" s="1"/>
  <c r="BA148" i="1"/>
  <c r="BB148" i="1" s="1"/>
  <c r="BC148" i="1" s="1"/>
  <c r="BA149" i="1"/>
  <c r="BB149" i="1" s="1"/>
  <c r="BC149" i="1" s="1"/>
  <c r="BA150" i="1"/>
  <c r="BB150" i="1" s="1"/>
  <c r="BC150" i="1" s="1"/>
  <c r="BA151" i="1"/>
  <c r="BB151" i="1" s="1"/>
  <c r="BC151" i="1" s="1"/>
  <c r="BA152" i="1"/>
  <c r="BB152" i="1" s="1"/>
  <c r="BC152" i="1" s="1"/>
  <c r="BA153" i="1"/>
  <c r="BC153" i="1" s="1"/>
  <c r="BA154" i="1"/>
  <c r="BC154" i="1" s="1"/>
  <c r="AZ24" i="1"/>
  <c r="BJ24" i="1" s="1"/>
  <c r="AW2" i="1" l="1"/>
  <c r="AW3" i="1"/>
  <c r="AW4" i="1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W114" i="1"/>
  <c r="AW115" i="1"/>
  <c r="AW116" i="1"/>
  <c r="AW117" i="1"/>
  <c r="AW118" i="1"/>
  <c r="AW119" i="1"/>
  <c r="AW120" i="1"/>
  <c r="AW121" i="1"/>
  <c r="AW122" i="1"/>
  <c r="AW123" i="1"/>
  <c r="AW124" i="1"/>
  <c r="AW125" i="1"/>
  <c r="AW126" i="1"/>
  <c r="AW127" i="1"/>
  <c r="AW128" i="1"/>
  <c r="AW129" i="1"/>
  <c r="AW130" i="1"/>
  <c r="AW131" i="1"/>
  <c r="AW132" i="1"/>
  <c r="AW133" i="1"/>
  <c r="AW134" i="1"/>
  <c r="AW135" i="1"/>
  <c r="AW136" i="1"/>
  <c r="AW137" i="1"/>
  <c r="AW138" i="1"/>
  <c r="AW139" i="1"/>
  <c r="AW140" i="1"/>
  <c r="AW141" i="1"/>
  <c r="AW142" i="1"/>
  <c r="AW143" i="1"/>
  <c r="AW144" i="1"/>
  <c r="AW145" i="1"/>
  <c r="AW146" i="1"/>
  <c r="AW147" i="1"/>
  <c r="AW148" i="1"/>
  <c r="AW149" i="1"/>
  <c r="AW150" i="1"/>
  <c r="AW151" i="1"/>
  <c r="AW152" i="1"/>
  <c r="AW153" i="1"/>
  <c r="AW154" i="1"/>
  <c r="AP2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S2" i="1"/>
  <c r="AS3" i="1"/>
  <c r="AS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O154" i="1"/>
  <c r="AO153" i="1"/>
  <c r="AO66" i="1"/>
  <c r="AO40" i="1"/>
  <c r="AO32" i="1"/>
  <c r="AO30" i="1"/>
  <c r="AO25" i="1"/>
  <c r="AO24" i="1"/>
  <c r="AO17" i="1"/>
  <c r="AO15" i="1"/>
  <c r="AO14" i="1"/>
  <c r="AO13" i="1"/>
  <c r="AO12" i="1"/>
  <c r="AO11" i="1"/>
  <c r="AO10" i="1"/>
  <c r="AO9" i="1"/>
  <c r="AO8" i="1"/>
  <c r="AO7" i="1"/>
  <c r="AO6" i="1"/>
  <c r="AO5" i="1"/>
  <c r="AO4" i="1"/>
  <c r="AO3" i="1"/>
  <c r="AO2" i="1"/>
  <c r="AN2" i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M40" i="1"/>
  <c r="AK2" i="1" l="1"/>
  <c r="AK3" i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J2" i="1"/>
  <c r="AJ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G2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AB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S154" i="1"/>
  <c r="R154" i="1"/>
  <c r="S153" i="1"/>
  <c r="R153" i="1"/>
  <c r="L4" i="1"/>
  <c r="AC4" i="1" s="1"/>
  <c r="L5" i="1"/>
  <c r="AC5" i="1" s="1"/>
  <c r="L6" i="1"/>
  <c r="T6" i="1" s="1"/>
  <c r="L7" i="1"/>
  <c r="U7" i="1" s="1"/>
  <c r="L8" i="1"/>
  <c r="AC8" i="1" s="1"/>
  <c r="L9" i="1"/>
  <c r="AC9" i="1" s="1"/>
  <c r="L10" i="1"/>
  <c r="U10" i="1" s="1"/>
  <c r="L11" i="1"/>
  <c r="AC11" i="1" s="1"/>
  <c r="L12" i="1"/>
  <c r="AC12" i="1" s="1"/>
  <c r="L13" i="1"/>
  <c r="AC13" i="1" s="1"/>
  <c r="L14" i="1"/>
  <c r="T14" i="1" s="1"/>
  <c r="L15" i="1"/>
  <c r="U15" i="1" s="1"/>
  <c r="L16" i="1"/>
  <c r="AC16" i="1" s="1"/>
  <c r="L17" i="1"/>
  <c r="AC17" i="1" s="1"/>
  <c r="L18" i="1"/>
  <c r="T18" i="1" s="1"/>
  <c r="L19" i="1"/>
  <c r="AC19" i="1" s="1"/>
  <c r="L20" i="1"/>
  <c r="AC20" i="1" s="1"/>
  <c r="L21" i="1"/>
  <c r="AC21" i="1" s="1"/>
  <c r="L22" i="1"/>
  <c r="U22" i="1" s="1"/>
  <c r="L23" i="1"/>
  <c r="U23" i="1" s="1"/>
  <c r="L24" i="1"/>
  <c r="AC24" i="1" s="1"/>
  <c r="L25" i="1"/>
  <c r="AC25" i="1" s="1"/>
  <c r="L26" i="1"/>
  <c r="T26" i="1" s="1"/>
  <c r="L27" i="1"/>
  <c r="AC27" i="1" s="1"/>
  <c r="L28" i="1"/>
  <c r="U28" i="1" s="1"/>
  <c r="L29" i="1"/>
  <c r="AC29" i="1" s="1"/>
  <c r="L30" i="1"/>
  <c r="U30" i="1" s="1"/>
  <c r="L31" i="1"/>
  <c r="U31" i="1" s="1"/>
  <c r="L32" i="1"/>
  <c r="AC32" i="1" s="1"/>
  <c r="L33" i="1"/>
  <c r="AC33" i="1" s="1"/>
  <c r="L34" i="1"/>
  <c r="U34" i="1" s="1"/>
  <c r="L35" i="1"/>
  <c r="AC35" i="1" s="1"/>
  <c r="L36" i="1"/>
  <c r="AC36" i="1" s="1"/>
  <c r="L37" i="1"/>
  <c r="AC37" i="1" s="1"/>
  <c r="L38" i="1"/>
  <c r="T38" i="1" s="1"/>
  <c r="L39" i="1"/>
  <c r="AC39" i="1" s="1"/>
  <c r="L40" i="1"/>
  <c r="AC40" i="1" s="1"/>
  <c r="L41" i="1"/>
  <c r="AC41" i="1" s="1"/>
  <c r="L42" i="1"/>
  <c r="AC42" i="1" s="1"/>
  <c r="L43" i="1"/>
  <c r="AC43" i="1" s="1"/>
  <c r="L44" i="1"/>
  <c r="AC44" i="1" s="1"/>
  <c r="L45" i="1"/>
  <c r="AC45" i="1" s="1"/>
  <c r="L46" i="1"/>
  <c r="T46" i="1" s="1"/>
  <c r="L47" i="1"/>
  <c r="T47" i="1" s="1"/>
  <c r="L48" i="1"/>
  <c r="AC48" i="1" s="1"/>
  <c r="L49" i="1"/>
  <c r="AC49" i="1" s="1"/>
  <c r="L50" i="1"/>
  <c r="U50" i="1" s="1"/>
  <c r="L51" i="1"/>
  <c r="AC51" i="1" s="1"/>
  <c r="L52" i="1"/>
  <c r="AC52" i="1" s="1"/>
  <c r="L53" i="1"/>
  <c r="AC53" i="1" s="1"/>
  <c r="L54" i="1"/>
  <c r="AC54" i="1" s="1"/>
  <c r="L55" i="1"/>
  <c r="U55" i="1" s="1"/>
  <c r="L56" i="1"/>
  <c r="AC56" i="1" s="1"/>
  <c r="L57" i="1"/>
  <c r="AC57" i="1" s="1"/>
  <c r="L58" i="1"/>
  <c r="AC58" i="1" s="1"/>
  <c r="L59" i="1"/>
  <c r="AC59" i="1" s="1"/>
  <c r="L60" i="1"/>
  <c r="AC60" i="1" s="1"/>
  <c r="L61" i="1"/>
  <c r="AC61" i="1" s="1"/>
  <c r="L62" i="1"/>
  <c r="U62" i="1" s="1"/>
  <c r="L63" i="1"/>
  <c r="U63" i="1" s="1"/>
  <c r="L64" i="1"/>
  <c r="AC64" i="1" s="1"/>
  <c r="L65" i="1"/>
  <c r="AC65" i="1" s="1"/>
  <c r="L66" i="1"/>
  <c r="T66" i="1" s="1"/>
  <c r="L67" i="1"/>
  <c r="AC67" i="1" s="1"/>
  <c r="L68" i="1"/>
  <c r="AC68" i="1" s="1"/>
  <c r="L69" i="1"/>
  <c r="AC69" i="1" s="1"/>
  <c r="L70" i="1"/>
  <c r="AC70" i="1" s="1"/>
  <c r="L71" i="1"/>
  <c r="U71" i="1" s="1"/>
  <c r="L72" i="1"/>
  <c r="AC72" i="1" s="1"/>
  <c r="L73" i="1"/>
  <c r="AC73" i="1" s="1"/>
  <c r="L74" i="1"/>
  <c r="AC74" i="1" s="1"/>
  <c r="L75" i="1"/>
  <c r="AC75" i="1" s="1"/>
  <c r="L76" i="1"/>
  <c r="AC76" i="1" s="1"/>
  <c r="L77" i="1"/>
  <c r="AC77" i="1" s="1"/>
  <c r="L78" i="1"/>
  <c r="T78" i="1" s="1"/>
  <c r="L79" i="1"/>
  <c r="U79" i="1" s="1"/>
  <c r="L80" i="1"/>
  <c r="AC80" i="1" s="1"/>
  <c r="L81" i="1"/>
  <c r="AC81" i="1" s="1"/>
  <c r="L82" i="1"/>
  <c r="U82" i="1" s="1"/>
  <c r="L83" i="1"/>
  <c r="AC83" i="1" s="1"/>
  <c r="L84" i="1"/>
  <c r="AC84" i="1" s="1"/>
  <c r="L85" i="1"/>
  <c r="AC85" i="1" s="1"/>
  <c r="L86" i="1"/>
  <c r="AC86" i="1" s="1"/>
  <c r="L87" i="1"/>
  <c r="U87" i="1" s="1"/>
  <c r="L88" i="1"/>
  <c r="AC88" i="1" s="1"/>
  <c r="L89" i="1"/>
  <c r="AC89" i="1" s="1"/>
  <c r="L90" i="1"/>
  <c r="AC90" i="1" s="1"/>
  <c r="L91" i="1"/>
  <c r="AC91" i="1" s="1"/>
  <c r="L92" i="1"/>
  <c r="U92" i="1" s="1"/>
  <c r="L93" i="1"/>
  <c r="AC93" i="1" s="1"/>
  <c r="L94" i="1"/>
  <c r="U94" i="1" s="1"/>
  <c r="L95" i="1"/>
  <c r="U95" i="1" s="1"/>
  <c r="L96" i="1"/>
  <c r="AC96" i="1" s="1"/>
  <c r="L97" i="1"/>
  <c r="AC97" i="1" s="1"/>
  <c r="L98" i="1"/>
  <c r="T98" i="1" s="1"/>
  <c r="L99" i="1"/>
  <c r="AC99" i="1" s="1"/>
  <c r="L100" i="1"/>
  <c r="AC100" i="1" s="1"/>
  <c r="L101" i="1"/>
  <c r="AC101" i="1" s="1"/>
  <c r="L102" i="1"/>
  <c r="U102" i="1" s="1"/>
  <c r="L103" i="1"/>
  <c r="AC103" i="1" s="1"/>
  <c r="L104" i="1"/>
  <c r="AC104" i="1" s="1"/>
  <c r="L105" i="1"/>
  <c r="AC105" i="1" s="1"/>
  <c r="L106" i="1"/>
  <c r="U106" i="1" s="1"/>
  <c r="L107" i="1"/>
  <c r="AC107" i="1" s="1"/>
  <c r="L108" i="1"/>
  <c r="AC108" i="1" s="1"/>
  <c r="L109" i="1"/>
  <c r="AC109" i="1" s="1"/>
  <c r="L110" i="1"/>
  <c r="T110" i="1" s="1"/>
  <c r="L111" i="1"/>
  <c r="T111" i="1" s="1"/>
  <c r="L112" i="1"/>
  <c r="AC112" i="1" s="1"/>
  <c r="L113" i="1"/>
  <c r="AC113" i="1" s="1"/>
  <c r="L114" i="1"/>
  <c r="T114" i="1" s="1"/>
  <c r="L115" i="1"/>
  <c r="AC115" i="1" s="1"/>
  <c r="L116" i="1"/>
  <c r="AC116" i="1" s="1"/>
  <c r="L117" i="1"/>
  <c r="AC117" i="1" s="1"/>
  <c r="L118" i="1"/>
  <c r="AC118" i="1" s="1"/>
  <c r="L119" i="1"/>
  <c r="U119" i="1" s="1"/>
  <c r="L120" i="1"/>
  <c r="AC120" i="1" s="1"/>
  <c r="L121" i="1"/>
  <c r="AC121" i="1" s="1"/>
  <c r="L122" i="1"/>
  <c r="T122" i="1" s="1"/>
  <c r="L123" i="1"/>
  <c r="AC123" i="1" s="1"/>
  <c r="L124" i="1"/>
  <c r="U124" i="1" s="1"/>
  <c r="L125" i="1"/>
  <c r="AC125" i="1" s="1"/>
  <c r="L126" i="1"/>
  <c r="U126" i="1" s="1"/>
  <c r="L127" i="1"/>
  <c r="U127" i="1" s="1"/>
  <c r="L128" i="1"/>
  <c r="AC128" i="1" s="1"/>
  <c r="L129" i="1"/>
  <c r="AC129" i="1" s="1"/>
  <c r="L130" i="1"/>
  <c r="T130" i="1" s="1"/>
  <c r="L131" i="1"/>
  <c r="AC131" i="1" s="1"/>
  <c r="L132" i="1"/>
  <c r="AC132" i="1" s="1"/>
  <c r="L133" i="1"/>
  <c r="AC133" i="1" s="1"/>
  <c r="L134" i="1"/>
  <c r="U134" i="1" s="1"/>
  <c r="L135" i="1"/>
  <c r="U135" i="1" s="1"/>
  <c r="L136" i="1"/>
  <c r="AC136" i="1" s="1"/>
  <c r="L137" i="1"/>
  <c r="AC137" i="1" s="1"/>
  <c r="L138" i="1"/>
  <c r="U138" i="1" s="1"/>
  <c r="L139" i="1"/>
  <c r="AC139" i="1" s="1"/>
  <c r="L140" i="1"/>
  <c r="AC140" i="1" s="1"/>
  <c r="L141" i="1"/>
  <c r="AC141" i="1" s="1"/>
  <c r="L142" i="1"/>
  <c r="T142" i="1" s="1"/>
  <c r="L143" i="1"/>
  <c r="U143" i="1" s="1"/>
  <c r="L144" i="1"/>
  <c r="AC144" i="1" s="1"/>
  <c r="L145" i="1"/>
  <c r="AC145" i="1" s="1"/>
  <c r="L146" i="1"/>
  <c r="U146" i="1" s="1"/>
  <c r="L147" i="1"/>
  <c r="AC147" i="1" s="1"/>
  <c r="L148" i="1"/>
  <c r="AC148" i="1" s="1"/>
  <c r="L149" i="1"/>
  <c r="AC149" i="1" s="1"/>
  <c r="L150" i="1"/>
  <c r="T150" i="1" s="1"/>
  <c r="L151" i="1"/>
  <c r="U151" i="1" s="1"/>
  <c r="L152" i="1"/>
  <c r="AC152" i="1" s="1"/>
  <c r="L153" i="1"/>
  <c r="AC153" i="1" s="1"/>
  <c r="L154" i="1"/>
  <c r="AC154" i="1" s="1"/>
  <c r="T9" i="1"/>
  <c r="T28" i="1"/>
  <c r="T41" i="1"/>
  <c r="T60" i="1"/>
  <c r="T100" i="1"/>
  <c r="T124" i="1"/>
  <c r="T140" i="1"/>
  <c r="U9" i="1"/>
  <c r="U25" i="1"/>
  <c r="U54" i="1"/>
  <c r="U60" i="1"/>
  <c r="U100" i="1"/>
  <c r="U130" i="1"/>
  <c r="U132" i="1"/>
  <c r="L3" i="1"/>
  <c r="U3" i="1" s="1"/>
  <c r="L2" i="1"/>
  <c r="AC2" i="1" s="1"/>
  <c r="U81" i="1" l="1"/>
  <c r="T81" i="1"/>
  <c r="U17" i="1"/>
  <c r="U57" i="1"/>
  <c r="T138" i="1"/>
  <c r="T32" i="1"/>
  <c r="U145" i="1"/>
  <c r="U41" i="1"/>
  <c r="T121" i="1"/>
  <c r="T25" i="1"/>
  <c r="U33" i="1"/>
  <c r="T113" i="1"/>
  <c r="T17" i="1"/>
  <c r="U98" i="1"/>
  <c r="U18" i="1"/>
  <c r="U26" i="1"/>
  <c r="U154" i="1"/>
  <c r="T10" i="1"/>
  <c r="T42" i="1"/>
  <c r="U122" i="1"/>
  <c r="T34" i="1"/>
  <c r="U16" i="1"/>
  <c r="U120" i="1"/>
  <c r="T57" i="1"/>
  <c r="T136" i="1"/>
  <c r="U153" i="1"/>
  <c r="U152" i="1"/>
  <c r="U38" i="1"/>
  <c r="AC124" i="1"/>
  <c r="T55" i="1"/>
  <c r="U133" i="1"/>
  <c r="T101" i="1"/>
  <c r="U117" i="1"/>
  <c r="U5" i="1"/>
  <c r="U149" i="1"/>
  <c r="U116" i="1"/>
  <c r="U97" i="1"/>
  <c r="U76" i="1"/>
  <c r="U37" i="1"/>
  <c r="U20" i="1"/>
  <c r="U4" i="1"/>
  <c r="T137" i="1"/>
  <c r="T117" i="1"/>
  <c r="T97" i="1"/>
  <c r="T76" i="1"/>
  <c r="T37" i="1"/>
  <c r="T21" i="1"/>
  <c r="T4" i="1"/>
  <c r="U148" i="1"/>
  <c r="U129" i="1"/>
  <c r="U113" i="1"/>
  <c r="U93" i="1"/>
  <c r="U73" i="1"/>
  <c r="U53" i="1"/>
  <c r="U36" i="1"/>
  <c r="T153" i="1"/>
  <c r="T116" i="1"/>
  <c r="T93" i="1"/>
  <c r="T73" i="1"/>
  <c r="T53" i="1"/>
  <c r="T36" i="1"/>
  <c r="T20" i="1"/>
  <c r="AC28" i="1"/>
  <c r="T77" i="1"/>
  <c r="U125" i="1"/>
  <c r="U52" i="1"/>
  <c r="T69" i="1"/>
  <c r="U21" i="1"/>
  <c r="T5" i="1"/>
  <c r="U109" i="1"/>
  <c r="T133" i="1"/>
  <c r="T52" i="1"/>
  <c r="U141" i="1"/>
  <c r="U108" i="1"/>
  <c r="U89" i="1"/>
  <c r="U68" i="1"/>
  <c r="U49" i="1"/>
  <c r="U29" i="1"/>
  <c r="T148" i="1"/>
  <c r="T132" i="1"/>
  <c r="T109" i="1"/>
  <c r="T89" i="1"/>
  <c r="T68" i="1"/>
  <c r="T49" i="1"/>
  <c r="T33" i="1"/>
  <c r="T13" i="1"/>
  <c r="U77" i="1"/>
  <c r="U69" i="1"/>
  <c r="T149" i="1"/>
  <c r="T92" i="1"/>
  <c r="U85" i="1"/>
  <c r="U65" i="1"/>
  <c r="U45" i="1"/>
  <c r="U13" i="1"/>
  <c r="T145" i="1"/>
  <c r="T129" i="1"/>
  <c r="T108" i="1"/>
  <c r="T85" i="1"/>
  <c r="T65" i="1"/>
  <c r="T45" i="1"/>
  <c r="T12" i="1"/>
  <c r="AC92" i="1"/>
  <c r="U140" i="1"/>
  <c r="U105" i="1"/>
  <c r="U137" i="1"/>
  <c r="U121" i="1"/>
  <c r="U101" i="1"/>
  <c r="U84" i="1"/>
  <c r="U61" i="1"/>
  <c r="U44" i="1"/>
  <c r="U12" i="1"/>
  <c r="T141" i="1"/>
  <c r="T125" i="1"/>
  <c r="T105" i="1"/>
  <c r="T84" i="1"/>
  <c r="T61" i="1"/>
  <c r="T44" i="1"/>
  <c r="T29" i="1"/>
  <c r="T70" i="1"/>
  <c r="U150" i="1"/>
  <c r="U118" i="1"/>
  <c r="T102" i="1"/>
  <c r="T86" i="1"/>
  <c r="U46" i="1"/>
  <c r="T118" i="1"/>
  <c r="U78" i="1"/>
  <c r="U14" i="1"/>
  <c r="T134" i="1"/>
  <c r="T146" i="1"/>
  <c r="T62" i="1"/>
  <c r="T94" i="1"/>
  <c r="T30" i="1"/>
  <c r="U86" i="1"/>
  <c r="U70" i="1"/>
  <c r="U144" i="1"/>
  <c r="U112" i="1"/>
  <c r="U8" i="1"/>
  <c r="T128" i="1"/>
  <c r="T24" i="1"/>
  <c r="AC151" i="1"/>
  <c r="AC143" i="1"/>
  <c r="AC135" i="1"/>
  <c r="AC127" i="1"/>
  <c r="AC119" i="1"/>
  <c r="AC111" i="1"/>
  <c r="AC95" i="1"/>
  <c r="AC87" i="1"/>
  <c r="AC79" i="1"/>
  <c r="AC71" i="1"/>
  <c r="AC63" i="1"/>
  <c r="AC55" i="1"/>
  <c r="AC47" i="1"/>
  <c r="AC31" i="1"/>
  <c r="AC23" i="1"/>
  <c r="AC15" i="1"/>
  <c r="AC7" i="1"/>
  <c r="U142" i="1"/>
  <c r="U110" i="1"/>
  <c r="U90" i="1"/>
  <c r="U80" i="1"/>
  <c r="U58" i="1"/>
  <c r="U48" i="1"/>
  <c r="U6" i="1"/>
  <c r="T126" i="1"/>
  <c r="T106" i="1"/>
  <c r="T96" i="1"/>
  <c r="T74" i="1"/>
  <c r="T64" i="1"/>
  <c r="T54" i="1"/>
  <c r="T22" i="1"/>
  <c r="AC150" i="1"/>
  <c r="AC142" i="1"/>
  <c r="AC134" i="1"/>
  <c r="AC126" i="1"/>
  <c r="AC110" i="1"/>
  <c r="AC102" i="1"/>
  <c r="AC94" i="1"/>
  <c r="AC78" i="1"/>
  <c r="AC62" i="1"/>
  <c r="AC46" i="1"/>
  <c r="AC38" i="1"/>
  <c r="AC30" i="1"/>
  <c r="AC22" i="1"/>
  <c r="AC14" i="1"/>
  <c r="AC6" i="1"/>
  <c r="AC3" i="1"/>
  <c r="U66" i="1"/>
  <c r="T104" i="1"/>
  <c r="U96" i="1"/>
  <c r="T154" i="1"/>
  <c r="T40" i="1"/>
  <c r="T8" i="1"/>
  <c r="U74" i="1"/>
  <c r="U64" i="1"/>
  <c r="U42" i="1"/>
  <c r="U32" i="1"/>
  <c r="T112" i="1"/>
  <c r="T90" i="1"/>
  <c r="T80" i="1"/>
  <c r="T58" i="1"/>
  <c r="AC146" i="1"/>
  <c r="AC138" i="1"/>
  <c r="AC130" i="1"/>
  <c r="AC122" i="1"/>
  <c r="AC114" i="1"/>
  <c r="AC106" i="1"/>
  <c r="AC98" i="1"/>
  <c r="AC82" i="1"/>
  <c r="AC66" i="1"/>
  <c r="AC50" i="1"/>
  <c r="AC34" i="1"/>
  <c r="AC26" i="1"/>
  <c r="AC18" i="1"/>
  <c r="AC10" i="1"/>
  <c r="U88" i="1"/>
  <c r="T82" i="1"/>
  <c r="U128" i="1"/>
  <c r="U24" i="1"/>
  <c r="T50" i="1"/>
  <c r="U136" i="1"/>
  <c r="U114" i="1"/>
  <c r="U104" i="1"/>
  <c r="T152" i="1"/>
  <c r="T120" i="1"/>
  <c r="T48" i="1"/>
  <c r="T16" i="1"/>
  <c r="U56" i="1"/>
  <c r="T72" i="1"/>
  <c r="T144" i="1"/>
  <c r="U72" i="1"/>
  <c r="U40" i="1"/>
  <c r="T119" i="1"/>
  <c r="T88" i="1"/>
  <c r="T56" i="1"/>
  <c r="U103" i="1"/>
  <c r="U39" i="1"/>
  <c r="T127" i="1"/>
  <c r="T63" i="1"/>
  <c r="U111" i="1"/>
  <c r="U47" i="1"/>
  <c r="T135" i="1"/>
  <c r="T71" i="1"/>
  <c r="T7" i="1"/>
  <c r="T143" i="1"/>
  <c r="T79" i="1"/>
  <c r="T15" i="1"/>
  <c r="T151" i="1"/>
  <c r="T87" i="1"/>
  <c r="T23" i="1"/>
  <c r="T95" i="1"/>
  <c r="T31" i="1"/>
  <c r="T103" i="1"/>
  <c r="T39" i="1"/>
  <c r="T147" i="1"/>
  <c r="T139" i="1"/>
  <c r="T131" i="1"/>
  <c r="T123" i="1"/>
  <c r="T115" i="1"/>
  <c r="T107" i="1"/>
  <c r="T99" i="1"/>
  <c r="T91" i="1"/>
  <c r="T83" i="1"/>
  <c r="T75" i="1"/>
  <c r="T67" i="1"/>
  <c r="T59" i="1"/>
  <c r="T51" i="1"/>
  <c r="T43" i="1"/>
  <c r="T35" i="1"/>
  <c r="T27" i="1"/>
  <c r="T19" i="1"/>
  <c r="T11" i="1"/>
  <c r="U147" i="1"/>
  <c r="U139" i="1"/>
  <c r="U131" i="1"/>
  <c r="U123" i="1"/>
  <c r="U115" i="1"/>
  <c r="U107" i="1"/>
  <c r="U99" i="1"/>
  <c r="U91" i="1"/>
  <c r="U83" i="1"/>
  <c r="U75" i="1"/>
  <c r="U67" i="1"/>
  <c r="U59" i="1"/>
  <c r="U51" i="1"/>
  <c r="U43" i="1"/>
  <c r="U35" i="1"/>
  <c r="U27" i="1"/>
  <c r="U19" i="1"/>
  <c r="U11" i="1"/>
  <c r="T3" i="1"/>
  <c r="T2" i="1"/>
  <c r="U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BLANDINO</author>
  </authors>
  <commentList>
    <comment ref="S16" authorId="0" shapeId="0" xr:uid="{28025D58-284E-463B-A383-E092FA6B15E2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</commentList>
</comments>
</file>

<file path=xl/sharedStrings.xml><?xml version="1.0" encoding="utf-8"?>
<sst xmlns="http://schemas.openxmlformats.org/spreadsheetml/2006/main" count="1421" uniqueCount="428">
  <si>
    <t>OPERATION</t>
  </si>
  <si>
    <t>COMMUNE</t>
  </si>
  <si>
    <t>BASSIN</t>
  </si>
  <si>
    <t>Prog</t>
  </si>
  <si>
    <t>CODE</t>
  </si>
  <si>
    <t>RO</t>
  </si>
  <si>
    <t>CT</t>
  </si>
  <si>
    <t>ASSISTANTE</t>
  </si>
  <si>
    <t>Avancement</t>
  </si>
  <si>
    <t>DBA</t>
  </si>
  <si>
    <t>Prosp</t>
  </si>
  <si>
    <t>Avirons</t>
  </si>
  <si>
    <t>CA SUD</t>
  </si>
  <si>
    <t>DBE</t>
  </si>
  <si>
    <t>Faisa</t>
  </si>
  <si>
    <t>Cilaos</t>
  </si>
  <si>
    <t>CIREST</t>
  </si>
  <si>
    <t>MCL</t>
  </si>
  <si>
    <t>ECL</t>
  </si>
  <si>
    <t>Etude urbaine</t>
  </si>
  <si>
    <t>Entre-Deux</t>
  </si>
  <si>
    <t>CIVIS</t>
  </si>
  <si>
    <t>OPO</t>
  </si>
  <si>
    <t>MMA</t>
  </si>
  <si>
    <t>ESQ</t>
  </si>
  <si>
    <t>Etang-Salé</t>
  </si>
  <si>
    <t>TCO</t>
  </si>
  <si>
    <t>LCYC</t>
  </si>
  <si>
    <t>NLE</t>
  </si>
  <si>
    <t>APS</t>
  </si>
  <si>
    <t>La Possession</t>
  </si>
  <si>
    <t>SRI</t>
  </si>
  <si>
    <t>PC</t>
  </si>
  <si>
    <t>Petite-Ile</t>
  </si>
  <si>
    <t>YFR</t>
  </si>
  <si>
    <t>DAM</t>
  </si>
  <si>
    <t>APD</t>
  </si>
  <si>
    <t>Plaine des Palmistes</t>
  </si>
  <si>
    <t>GLE</t>
  </si>
  <si>
    <t>A définir</t>
  </si>
  <si>
    <t>PRO</t>
  </si>
  <si>
    <t>St Joseph</t>
  </si>
  <si>
    <t>JPI</t>
  </si>
  <si>
    <t>DCE</t>
  </si>
  <si>
    <t>St Leu</t>
  </si>
  <si>
    <t>LLA</t>
  </si>
  <si>
    <t>AO</t>
  </si>
  <si>
    <t>St Louis</t>
  </si>
  <si>
    <t>Tvx</t>
  </si>
  <si>
    <t>St Paul</t>
  </si>
  <si>
    <t>GPA</t>
  </si>
  <si>
    <t>St Philippe</t>
  </si>
  <si>
    <t>patrimoine</t>
  </si>
  <si>
    <t>St Pierre</t>
  </si>
  <si>
    <t>cloture</t>
  </si>
  <si>
    <t>Tampon</t>
  </si>
  <si>
    <t>stand by</t>
  </si>
  <si>
    <t>Trois Bassins</t>
  </si>
  <si>
    <t>ONGLET</t>
  </si>
  <si>
    <t>INFORMATIONS</t>
  </si>
  <si>
    <t>Evolution des OS</t>
  </si>
  <si>
    <t>OS PAR EPCI</t>
  </si>
  <si>
    <t xml:space="preserve">OS PAR PRODUIT </t>
  </si>
  <si>
    <t>DECOMPOSITION DES OS PAR ANNEE DE PROGRAMMATION</t>
  </si>
  <si>
    <t>Evolution des livraisons</t>
  </si>
  <si>
    <t>LIVRAISONS PAR EPCI</t>
  </si>
  <si>
    <t xml:space="preserve">LIVRAISONS PAR PRODUIT </t>
  </si>
  <si>
    <t>DECOMPOSITION DES LIVRAISONS PAR ANNEE DE PROGRAMMATION</t>
  </si>
  <si>
    <t>Structure plan financement</t>
  </si>
  <si>
    <t>STRUCTURE DU PLAN DE FINANCEMENT PAR ANNEE DE PROGRAMMATION</t>
  </si>
  <si>
    <t>STRUCTURE DU PLAN DE FINANCEMENT PAR ANNEE D'OS</t>
  </si>
  <si>
    <t>STRUCTURE DU PLAN DE FINANCEMENT PAR ANNEE DE LIVRAISON</t>
  </si>
  <si>
    <t>EVOLUTION DE LA STRUCTURE DU PLAN DE FINANCEMENT PAR ANNEE DE PROGRAMMATION</t>
  </si>
  <si>
    <t>Evolution LBU</t>
  </si>
  <si>
    <t>EVOLUTION DE LA PROGRAMMATION PAR ANNEE ET PAR PRODUIT</t>
  </si>
  <si>
    <t>EVOLUTION DE LA CONSOMMATION DE LBU PAR PROGRAMMATION</t>
  </si>
  <si>
    <t>PARCELLE</t>
  </si>
  <si>
    <t>TYPE</t>
  </si>
  <si>
    <t>N</t>
  </si>
  <si>
    <t>N hors REHAB</t>
  </si>
  <si>
    <t>LLS</t>
  </si>
  <si>
    <t>LLTS</t>
  </si>
  <si>
    <t>PLS</t>
  </si>
  <si>
    <t>REHAB</t>
  </si>
  <si>
    <t>SHAB y/c V</t>
  </si>
  <si>
    <t>SF priorisée</t>
  </si>
  <si>
    <t>SHAB / lgt</t>
  </si>
  <si>
    <t>SF / lgt</t>
  </si>
  <si>
    <t>PRLC 0163</t>
  </si>
  <si>
    <t>VEFA Maurice Lebon RPA</t>
  </si>
  <si>
    <t>Ratio SHAB/SF</t>
  </si>
  <si>
    <t>Loyer moyen / lgt</t>
  </si>
  <si>
    <t>VEFA / PROPRE</t>
  </si>
  <si>
    <t>VEFA</t>
  </si>
  <si>
    <t>CREDIT D'IMPOT</t>
  </si>
  <si>
    <t>Prix Achat TTC</t>
  </si>
  <si>
    <t>Prix achat /m² SHAB</t>
  </si>
  <si>
    <t>Prix achat /m² SF</t>
  </si>
  <si>
    <t>Prix achat / lgt</t>
  </si>
  <si>
    <t>Anne Caze (Plaine St Paul)</t>
  </si>
  <si>
    <t>PRLC 0167</t>
  </si>
  <si>
    <t>Christiane - Amata (HE 168) LLTS</t>
  </si>
  <si>
    <t>PRLC 0129</t>
  </si>
  <si>
    <t>HE 168/169</t>
  </si>
  <si>
    <t>Christiane - Amata (HE 168) LLS</t>
  </si>
  <si>
    <t>Lacaussade 3</t>
  </si>
  <si>
    <t>PRLC 0166</t>
  </si>
  <si>
    <t>Hélène TONRU (RPA mixte St Philippe)</t>
  </si>
  <si>
    <t>PRLC 0174</t>
  </si>
  <si>
    <t>Hilaire Fontaine (CD 61 Rue Bertaut LLS)</t>
  </si>
  <si>
    <t>PRLC 0173</t>
  </si>
  <si>
    <t>FANJAN (Ilot 6.2)</t>
  </si>
  <si>
    <t>PRLC 0157</t>
  </si>
  <si>
    <r>
      <rPr>
        <sz val="11"/>
        <color rgb="FFFF0000"/>
        <rFont val="Calibri"/>
        <family val="2"/>
        <scheme val="minor"/>
      </rPr>
      <t>VEFA</t>
    </r>
    <r>
      <rPr>
        <sz val="11"/>
        <rFont val="Calibri"/>
        <family val="2"/>
        <scheme val="minor"/>
      </rPr>
      <t xml:space="preserve"> Paule &amp; Gaston RPA</t>
    </r>
  </si>
  <si>
    <t>PRLC 0191</t>
  </si>
  <si>
    <t>AS 473/1384</t>
  </si>
  <si>
    <t>FAHAM (Ilôt 5.6)</t>
  </si>
  <si>
    <t>PRLC 0156</t>
  </si>
  <si>
    <t>Kakis</t>
  </si>
  <si>
    <t>PRLC 0181</t>
  </si>
  <si>
    <t>AO 433</t>
  </si>
  <si>
    <t xml:space="preserve">Les Platanes </t>
  </si>
  <si>
    <t>PRLC 0179</t>
  </si>
  <si>
    <t>AH 449 à 451</t>
  </si>
  <si>
    <t>Hilaire Fontaine (CD 61 Rue Bertaut LLTS)</t>
  </si>
  <si>
    <t>RPA DU PARC</t>
  </si>
  <si>
    <t>PRLC 0176</t>
  </si>
  <si>
    <t>BO 206-352</t>
  </si>
  <si>
    <t>Julien Hoarau (Palissandre)</t>
  </si>
  <si>
    <t>PRLC 0110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</si>
  <si>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Raisins Marines (Hopital) RPA</t>
    </r>
  </si>
  <si>
    <t>PRLC 0195</t>
  </si>
  <si>
    <t>ET 909 / 1256</t>
  </si>
  <si>
    <t>Hubert Delisle</t>
  </si>
  <si>
    <t>BR 1091</t>
  </si>
  <si>
    <t>Citronnelles</t>
  </si>
  <si>
    <t>BK 1082</t>
  </si>
  <si>
    <t>100 Marches</t>
  </si>
  <si>
    <t>BR 617</t>
  </si>
  <si>
    <t>Bougainvillées</t>
  </si>
  <si>
    <t>BT 607</t>
  </si>
  <si>
    <t>Bras des Etangs</t>
  </si>
  <si>
    <t>AI 1718</t>
  </si>
  <si>
    <t>Caramboles</t>
  </si>
  <si>
    <t>AP 1375</t>
  </si>
  <si>
    <t>Charles Emmanuel GRONDIN (Fourragères)</t>
  </si>
  <si>
    <t>PRLC 0184</t>
  </si>
  <si>
    <t>AD 133 / 132</t>
  </si>
  <si>
    <t>Jean Marc HOARAU (Californie)</t>
  </si>
  <si>
    <t>PRLC 0186</t>
  </si>
  <si>
    <t>EK 286</t>
  </si>
  <si>
    <t>INDIGO Tranche 1</t>
  </si>
  <si>
    <t>PRLC 0185</t>
  </si>
  <si>
    <t>DD783 / 1298</t>
  </si>
  <si>
    <t>Bellevue A-B-C</t>
  </si>
  <si>
    <t>BW 2862</t>
  </si>
  <si>
    <t>Poinsétias</t>
  </si>
  <si>
    <t>AS 1450</t>
  </si>
  <si>
    <t>Canal Lilis</t>
  </si>
  <si>
    <t>JER</t>
  </si>
  <si>
    <t>BN 1004</t>
  </si>
  <si>
    <t xml:space="preserve">Opale </t>
  </si>
  <si>
    <t>PRLC 0197</t>
  </si>
  <si>
    <t>La Cure</t>
  </si>
  <si>
    <t>BN 781</t>
  </si>
  <si>
    <t>COCO TURPIN</t>
  </si>
  <si>
    <t>PRLC 0198</t>
  </si>
  <si>
    <t>EM 628 p</t>
  </si>
  <si>
    <t>INDIGO Tranche 2 LLS</t>
  </si>
  <si>
    <t>PRLC 0192</t>
  </si>
  <si>
    <t>INDIGO Tranche 2 LLTS</t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</si>
  <si>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>Roland Garros LLS</t>
    </r>
  </si>
  <si>
    <t>PRLC 0207</t>
  </si>
  <si>
    <t>BZ 90</t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</si>
  <si>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>Roland Garros PLS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</si>
  <si>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Jean PAYET (BERGAMOTE TROIS MARES LLS)</t>
    </r>
  </si>
  <si>
    <t>PRLC 0210</t>
  </si>
  <si>
    <t>En 339/343/568/570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</si>
  <si>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Jean PAYET (BERGAMOTE TROIS MARES LLTS)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</si>
  <si>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Miami</t>
    </r>
  </si>
  <si>
    <t>PRLC 0205</t>
  </si>
  <si>
    <t xml:space="preserve">AP 1270 / 1274 / 1280 </t>
  </si>
  <si>
    <r>
      <rPr>
        <sz val="11"/>
        <color rgb="FFFF0000"/>
        <rFont val="Calibri"/>
        <family val="2"/>
        <scheme val="minor"/>
      </rPr>
      <t>VEFA</t>
    </r>
    <r>
      <rPr>
        <sz val="11"/>
        <rFont val="Calibri"/>
        <family val="2"/>
        <scheme val="minor"/>
      </rPr>
      <t xml:space="preserve"> SENARDIERE (</t>
    </r>
    <r>
      <rPr>
        <sz val="11"/>
        <color theme="1"/>
        <rFont val="Calibri"/>
        <family val="2"/>
        <scheme val="minor"/>
      </rPr>
      <t>JARDINS DE MONTAIGNE)</t>
    </r>
  </si>
  <si>
    <t>PRLC 0221</t>
  </si>
  <si>
    <t>BP 593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</si>
  <si>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LAURE FONTAINE (Ex Alverdy)</t>
    </r>
  </si>
  <si>
    <t>PRLC 0224</t>
  </si>
  <si>
    <t>BX 1134</t>
  </si>
  <si>
    <t>Casabianca</t>
  </si>
  <si>
    <t>AP 1535</t>
  </si>
  <si>
    <t>La Cure 2</t>
  </si>
  <si>
    <t>Bras de la Plaine LLS</t>
  </si>
  <si>
    <t>PRLC 0180</t>
  </si>
  <si>
    <t>Bras de la Plaine LLTS</t>
  </si>
  <si>
    <t>AS 603</t>
  </si>
  <si>
    <t>Choka Bleu</t>
  </si>
  <si>
    <t>BN 813 / 812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</si>
  <si>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Résidence BERTAUT LLS RPA</t>
    </r>
  </si>
  <si>
    <t>PRLC 0219</t>
  </si>
  <si>
    <t>BX 176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</si>
  <si>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Résidence BERTAUT PLS</t>
    </r>
  </si>
  <si>
    <t>Chemin Galet 1</t>
  </si>
  <si>
    <t>BY 1388 - 1385</t>
  </si>
  <si>
    <t>Chemin Galet 2</t>
  </si>
  <si>
    <t>BY 1380 – 1381 – 1382 – 1394 – 1396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</si>
  <si>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Frantz SANASSAMA (Ex ADJIBI LLS)</t>
    </r>
  </si>
  <si>
    <t>PRLC 0218</t>
  </si>
  <si>
    <r>
      <rPr>
        <b/>
        <sz val="11"/>
        <color rgb="FFFF0000"/>
        <rFont val="Calibri"/>
        <family val="2"/>
        <scheme val="minor"/>
      </rPr>
      <t xml:space="preserve">VEFA </t>
    </r>
    <r>
      <rPr>
        <b/>
        <sz val="11"/>
        <rFont val="Calibri"/>
        <family val="2"/>
        <scheme val="minor"/>
      </rPr>
      <t>Frantz SANASSAMA (Ex ADJIBI LLTS)</t>
    </r>
  </si>
  <si>
    <t>AK 931</t>
  </si>
  <si>
    <t>La Chapelle</t>
  </si>
  <si>
    <t>CN 286</t>
  </si>
  <si>
    <t>BOULANGER LLS</t>
  </si>
  <si>
    <t>PRLC 0212</t>
  </si>
  <si>
    <t>BD 1427p/1428p</t>
  </si>
  <si>
    <t>BOULANGER LLTS</t>
  </si>
  <si>
    <t>Orchidées 1</t>
  </si>
  <si>
    <t>BW 2395 – 2397 – 2399 - 2400</t>
  </si>
  <si>
    <t>IKARIA LLTS</t>
  </si>
  <si>
    <t>PRLC 0214</t>
  </si>
  <si>
    <t>BW 1397</t>
  </si>
  <si>
    <t>IKARIA LLS</t>
  </si>
  <si>
    <t>GINGKO &amp; BILOBA LLS</t>
  </si>
  <si>
    <t>PRLC 0213</t>
  </si>
  <si>
    <t>AT 183</t>
  </si>
  <si>
    <t>GINGKO &amp; BILOBA LLTS</t>
  </si>
  <si>
    <t>AT 184/200 p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</si>
  <si>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MAZEAU ROUSSEL  6a - 10 LLTS</t>
    </r>
  </si>
  <si>
    <t>PRLC 0217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</si>
  <si>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MAZEAU ROUSSEL  7a - 9 LLTS</t>
    </r>
  </si>
  <si>
    <t>PRLC 0226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</si>
  <si>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HORUS</t>
    </r>
  </si>
  <si>
    <t>PRLC 0228</t>
  </si>
  <si>
    <t>BZ 273</t>
  </si>
  <si>
    <t>Lacaussade 1</t>
  </si>
  <si>
    <t>BN 176 – 1176 – 773 – 772</t>
  </si>
  <si>
    <t>La Forêt</t>
  </si>
  <si>
    <t>AE 157-158</t>
  </si>
  <si>
    <t>Le Ruisseau</t>
  </si>
  <si>
    <t>AM 124</t>
  </si>
  <si>
    <t>Cazala</t>
  </si>
  <si>
    <t>BO 423 – 416 – 437 – 411</t>
  </si>
  <si>
    <t>Cœur de village 40</t>
  </si>
  <si>
    <t>CV 589 - 650</t>
  </si>
  <si>
    <t>Orchidées 2</t>
  </si>
  <si>
    <t>BW 2757 – 2187 - 2180</t>
  </si>
  <si>
    <t>GORBATCHEV</t>
  </si>
  <si>
    <t>PRLC 0206</t>
  </si>
  <si>
    <t>BY 284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</si>
  <si>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E - 5 LLTS </t>
    </r>
  </si>
  <si>
    <t>PRLC 0234</t>
  </si>
  <si>
    <t>EN 563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</si>
  <si>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E - 34 LLS 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</si>
  <si>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I 40 LLS </t>
    </r>
  </si>
  <si>
    <t>PRLC 0233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</si>
  <si>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K - 5 LLTS </t>
    </r>
  </si>
  <si>
    <t>PRLC 0236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</si>
  <si>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F - 48 LLS </t>
    </r>
  </si>
  <si>
    <t>PRLC 0237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</si>
  <si>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K - 17 LLS 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</si>
  <si>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T2 Bat H - 48 LLTS RPA</t>
    </r>
  </si>
  <si>
    <t>PRLC 0235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</si>
  <si>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MAZEAU ROUSSEL  6a - 24 LLS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</si>
  <si>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MAZEAU ROUSSEL  8/9 - 70 LLTS RPA</t>
    </r>
  </si>
  <si>
    <t>PRLC 0223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</si>
  <si>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MAZEAU ROUSSEL  7a - 13 LLS</t>
    </r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</si>
  <si>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MAZEAU ROUSSEL </t>
    </r>
    <r>
      <rPr>
        <sz val="11"/>
        <color theme="1"/>
        <rFont val="Calibri"/>
        <family val="2"/>
        <scheme val="minor"/>
      </rPr>
      <t>6 - 8 LLTS</t>
    </r>
  </si>
  <si>
    <t>PRLC 0227</t>
  </si>
  <si>
    <r>
      <rPr>
        <sz val="11"/>
        <color rgb="FFFF0000"/>
        <rFont val="Calibri"/>
        <family val="2"/>
        <scheme val="minor"/>
      </rPr>
      <t xml:space="preserve">VEFA </t>
    </r>
    <r>
      <rPr>
        <sz val="11"/>
        <rFont val="Calibri"/>
        <family val="2"/>
        <scheme val="minor"/>
      </rPr>
      <t xml:space="preserve">MAZEAU ROUSSEL </t>
    </r>
    <r>
      <rPr>
        <sz val="11"/>
        <color theme="1"/>
        <rFont val="Calibri"/>
        <family val="2"/>
        <scheme val="minor"/>
      </rPr>
      <t>6 - 7 LLS</t>
    </r>
  </si>
  <si>
    <t>Les Benjoins 1</t>
  </si>
  <si>
    <t>AP 1675</t>
  </si>
  <si>
    <t>Usine à Vetyver</t>
  </si>
  <si>
    <t>BN 704-929</t>
  </si>
  <si>
    <t>BERIVE</t>
  </si>
  <si>
    <t>CS 1027, 1025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</si>
  <si>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T1 Bat J - 40 PLS </t>
    </r>
  </si>
  <si>
    <t>PRLC 0220</t>
  </si>
  <si>
    <t>DESIRE 3</t>
  </si>
  <si>
    <t>PRLC 0231</t>
  </si>
  <si>
    <t>AK 661 - 770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</si>
  <si>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T2 Bat G - 34 PLS </t>
    </r>
  </si>
  <si>
    <t>PRLC 0222</t>
  </si>
  <si>
    <t>CALISTA (ex ACACIAS) LLS</t>
  </si>
  <si>
    <t>PRLC 0230</t>
  </si>
  <si>
    <t>CALISTA (ex ACACIAS) LLTS</t>
  </si>
  <si>
    <t>CI 7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</si>
  <si>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T2 Bat C - 36 PLS </t>
    </r>
  </si>
  <si>
    <t>PRLC 0239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</si>
  <si>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T2 Bat A/B - 48 LLS </t>
    </r>
  </si>
  <si>
    <t>PRLC 0238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</si>
  <si>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JARDINS PARTAGES T2 Bat A/B - 18 LLTS </t>
    </r>
  </si>
  <si>
    <t>BAOBAB</t>
  </si>
  <si>
    <t>PRLC 0225</t>
  </si>
  <si>
    <t>EK 250</t>
  </si>
  <si>
    <t>Les Brandes Verts (Ex Les Bastides d’opaline)</t>
  </si>
  <si>
    <t>PRLC 0243</t>
  </si>
  <si>
    <t>AT 125</t>
  </si>
  <si>
    <t>Les Zoizos Verts (Ex Les Pins Verts)</t>
  </si>
  <si>
    <t>PRLC 0242</t>
  </si>
  <si>
    <t>AE 247-249</t>
  </si>
  <si>
    <r>
      <rPr>
        <sz val="11"/>
        <color rgb="FFFF0000"/>
        <rFont val="Calibri"/>
        <family val="2"/>
        <scheme val="minor"/>
      </rPr>
      <t>VEFA</t>
    </r>
    <r>
      <rPr>
        <sz val="11"/>
        <rFont val="Calibri"/>
        <family val="2"/>
        <scheme val="minor"/>
      </rPr>
      <t xml:space="preserve"> Abbé BRUGUIERES LLS</t>
    </r>
  </si>
  <si>
    <t>PRLC 0246</t>
  </si>
  <si>
    <t>AI 411-412</t>
  </si>
  <si>
    <r>
      <rPr>
        <sz val="11"/>
        <color rgb="FFFF0000"/>
        <rFont val="Calibri"/>
        <family val="2"/>
        <scheme val="minor"/>
      </rPr>
      <t>VEFA</t>
    </r>
    <r>
      <rPr>
        <sz val="11"/>
        <rFont val="Calibri"/>
        <family val="2"/>
        <scheme val="minor"/>
      </rPr>
      <t xml:space="preserve"> Abbé BRUGUIERES LLTS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</si>
  <si>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BERIVE LLS</t>
    </r>
  </si>
  <si>
    <t>PRLC 0247</t>
  </si>
  <si>
    <t>CS 1526 - 0682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</si>
  <si>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BERIVE LLTS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</si>
  <si>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BERIVE PLS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</si>
  <si>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SILOE LLTS</t>
    </r>
  </si>
  <si>
    <t>PRLC 0240</t>
  </si>
  <si>
    <t>CH 223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</si>
  <si>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SILOE PLS</t>
    </r>
  </si>
  <si>
    <t>Fabrique Allumettes 1</t>
  </si>
  <si>
    <t>DE 1449
DE 1451
DE 1452
DE 1453
DE 1455</t>
  </si>
  <si>
    <t>La Cressoniere</t>
  </si>
  <si>
    <t>Rempart à Cheval</t>
  </si>
  <si>
    <t>Les Quais</t>
  </si>
  <si>
    <t>Les Remparts</t>
  </si>
  <si>
    <t>Les Lataniers (AX 47 …) LLS</t>
  </si>
  <si>
    <t>AX 47 - 625 - 50</t>
  </si>
  <si>
    <t>LOLA &amp; JULIA PLS</t>
  </si>
  <si>
    <t>AT 558 - AT 561</t>
  </si>
  <si>
    <t>DURANTA - OPERATION 1</t>
  </si>
  <si>
    <t>AT 272 273 et 276</t>
  </si>
  <si>
    <t>BEGONIA - OPERATION 2</t>
  </si>
  <si>
    <t>AT 276 p</t>
  </si>
  <si>
    <t>KALOUPILE - OPERATION 3</t>
  </si>
  <si>
    <t>AT 266 541 542 270 273 et 272</t>
  </si>
  <si>
    <t>Les Lataniers (AX 47 …) LLTS</t>
  </si>
  <si>
    <t>LOLA &amp; JULIA LLS</t>
  </si>
  <si>
    <t>MAMOSA</t>
  </si>
  <si>
    <t xml:space="preserve">BP 554 – 644 – 643 </t>
  </si>
  <si>
    <t xml:space="preserve">PAPYRUS </t>
  </si>
  <si>
    <t>PRLC 0199</t>
  </si>
  <si>
    <t xml:space="preserve">CANNELLE </t>
  </si>
  <si>
    <t>PRLC 0200</t>
  </si>
  <si>
    <t>AT 222/223/224</t>
  </si>
  <si>
    <t>Cœur de Village 45</t>
  </si>
  <si>
    <t>Lacaussade 2</t>
  </si>
  <si>
    <t>Molière</t>
  </si>
  <si>
    <t>Sentier Belda</t>
  </si>
  <si>
    <t>Vincendo Bras Panon</t>
  </si>
  <si>
    <t>BENJAMIN HOAREAU</t>
  </si>
  <si>
    <t>BX 1057,1055,1053,950</t>
  </si>
  <si>
    <t>Eucher Pothin (CESARIA LLS)</t>
  </si>
  <si>
    <t>BD 2997</t>
  </si>
  <si>
    <t>Eucher Pothin (CESARIA LLTS)</t>
  </si>
  <si>
    <t>ETUDE URBAINE DU 23e KM - CHATAIGNERS</t>
  </si>
  <si>
    <t>DE 22,407,408,265</t>
  </si>
  <si>
    <t>Benjoins 2</t>
  </si>
  <si>
    <t>Concession Dijoux</t>
  </si>
  <si>
    <t>Les Lianes Ecole</t>
  </si>
  <si>
    <t>Lotrobor 1</t>
  </si>
  <si>
    <t>Tourterelles</t>
  </si>
  <si>
    <t>Usine à Vetyver 2</t>
  </si>
  <si>
    <t>Kerbel</t>
  </si>
  <si>
    <t>Les Ombrières</t>
  </si>
  <si>
    <t>Santolines</t>
  </si>
  <si>
    <t>Sentier de la vierge</t>
  </si>
  <si>
    <t>Troubadours</t>
  </si>
  <si>
    <t>Abdoul Hay Patel</t>
  </si>
  <si>
    <t>Source Marcel 1</t>
  </si>
  <si>
    <t>Baies Roses</t>
  </si>
  <si>
    <t>Don Juan 2</t>
  </si>
  <si>
    <t>RESIDENCE SOCIALE EL 1163</t>
  </si>
  <si>
    <t>2023 p2</t>
  </si>
  <si>
    <t>EL 1163</t>
  </si>
  <si>
    <t>RESIDENCE SOCIALE EW 317</t>
  </si>
  <si>
    <t>EW 317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</si>
  <si>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L'AVENTURIER LLTS</t>
    </r>
  </si>
  <si>
    <t>BY 8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</si>
  <si>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L'AVENTURIER PLS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</si>
  <si>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PETIT NATTE LLS</t>
    </r>
  </si>
  <si>
    <t>BH1361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</si>
  <si>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PETIT NATTE LLTS</t>
    </r>
  </si>
  <si>
    <t>GALLIEN</t>
  </si>
  <si>
    <t>non inscrit</t>
  </si>
  <si>
    <t>AT 72</t>
  </si>
  <si>
    <t>EK 235</t>
  </si>
  <si>
    <t>AV 120 - 124</t>
  </si>
  <si>
    <t>AV 120</t>
  </si>
  <si>
    <t>BT 920 3 MARES</t>
  </si>
  <si>
    <t>BT 920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</si>
  <si>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CROUS St Pierre</t>
    </r>
  </si>
  <si>
    <t>PRLC 0193</t>
  </si>
  <si>
    <t>EN 1337 p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</si>
  <si>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CROUS Tampon</t>
    </r>
  </si>
  <si>
    <t>PRLC 0194</t>
  </si>
  <si>
    <t>BW 683 p et suivants</t>
  </si>
  <si>
    <t>Rehab</t>
  </si>
  <si>
    <t>propre</t>
  </si>
  <si>
    <t>Propre</t>
  </si>
  <si>
    <t>x</t>
  </si>
  <si>
    <t>Demande LBU</t>
  </si>
  <si>
    <t>Arrêté LBU</t>
  </si>
  <si>
    <t>Transmission à DAF</t>
  </si>
  <si>
    <t>Délai obtention LBU</t>
  </si>
  <si>
    <t>Dde édition prêt</t>
  </si>
  <si>
    <t>Contrat de prêt</t>
  </si>
  <si>
    <t>Délai obtention prêt</t>
  </si>
  <si>
    <t>Limite validité Ct prêt - Prise d'effet du contrat (1e j du mois suivant la signature)</t>
  </si>
  <si>
    <t>Transmission contrat prêt DAF</t>
  </si>
  <si>
    <t>OK</t>
  </si>
  <si>
    <t>Début préfinancement (1e jour du mois suivant la prise d'effet du contrat)</t>
  </si>
  <si>
    <t>1e échéance de prêt (24 mois préfi + 12 mois différé = 36 mois)</t>
  </si>
  <si>
    <t>Montant échéance annuelle</t>
  </si>
  <si>
    <t>PROBLEME</t>
  </si>
  <si>
    <t>Mois de loyers avant 1e échéance</t>
  </si>
  <si>
    <t>Montant des loyers perçus avant 1e échéance</t>
  </si>
  <si>
    <t>Coût réel 1e annuité</t>
  </si>
  <si>
    <t>Loyers manquants</t>
  </si>
  <si>
    <t>OS démarrage</t>
  </si>
  <si>
    <t>ANNEE DEMARRAGE</t>
  </si>
  <si>
    <t>ECART Arrêté DEAL / OS</t>
  </si>
  <si>
    <t>Délai chantier initial</t>
  </si>
  <si>
    <t>Délai chantier réel</t>
  </si>
  <si>
    <t>Achèvement fondations</t>
  </si>
  <si>
    <t>Date réception entreprise prévue initialement</t>
  </si>
  <si>
    <t>Date réception entreprise recalée</t>
  </si>
  <si>
    <t>Retard de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</si>
  <si>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</si>
  <si>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</si>
  <si>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</si>
  <si>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</si>
  <si>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</si>
  <si>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</si>
  <si>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DATE LIMITE DAACT CREDIT IMPOT (Fondations + 24 mois)</t>
  </si>
  <si>
    <t>SI([@TYPE]="Rehab";"";DATE(ANNEE([@[Achèvement fondations]])+2;MOIS([@[Achèvement fondations]]);JOUR([@[Achèvement fondations]])))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</si>
</sst>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6" formatCode="dd/mm/yy;@"/>
    <numFmt numFmtId="168" formatCode="[$-40C]mmm\-yy;@"/>
    <numFmt numFmtId="169" formatCode="[$-40C]m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rgb="FFFF505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n">
        <color theme="1"/>
      </bottom>
      <diagonal/>
    </border>
    <border>
      <left style="medium">
        <color rgb="FF7030A0"/>
      </left>
      <right style="medium">
        <color rgb="FF7030A0"/>
      </right>
      <top style="thin">
        <color theme="1"/>
      </top>
      <bottom style="thin">
        <color theme="1"/>
      </bottom>
      <diagonal/>
    </border>
    <border>
      <left style="medium">
        <color rgb="FF7030A0"/>
      </left>
      <right style="medium">
        <color rgb="FF7030A0"/>
      </right>
      <top style="thin">
        <color theme="1"/>
      </top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2" fillId="0" borderId="0"/>
  </cellStyleXfs>
  <cellXfs count="144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9" fontId="0" fillId="4" borderId="1" xfId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3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4" fillId="8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4" fillId="5" borderId="1" xfId="0" applyNumberFormat="1" applyFont="1" applyFill="1" applyBorder="1" applyAlignment="1">
      <alignment horizontal="center" vertical="center"/>
    </xf>
    <xf numFmtId="4" fontId="0" fillId="0" borderId="1" xfId="2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2" applyNumberFormat="1" applyFont="1" applyFill="1" applyBorder="1" applyAlignment="1">
      <alignment horizontal="center" vertical="center"/>
    </xf>
    <xf numFmtId="4" fontId="0" fillId="4" borderId="1" xfId="2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" fontId="0" fillId="0" borderId="1" xfId="2" applyNumberFormat="1" applyFont="1" applyFill="1" applyBorder="1" applyAlignment="1">
      <alignment horizontal="center" vertical="center"/>
    </xf>
    <xf numFmtId="43" fontId="0" fillId="7" borderId="1" xfId="2" applyFont="1" applyFill="1" applyBorder="1" applyAlignment="1">
      <alignment horizontal="center" vertical="center"/>
    </xf>
    <xf numFmtId="4" fontId="0" fillId="9" borderId="1" xfId="0" applyNumberFormat="1" applyFill="1" applyBorder="1" applyAlignment="1">
      <alignment horizontal="center" vertical="center"/>
    </xf>
    <xf numFmtId="4" fontId="4" fillId="9" borderId="1" xfId="0" applyNumberFormat="1" applyFont="1" applyFill="1" applyBorder="1" applyAlignment="1">
      <alignment horizontal="center" vertical="center"/>
    </xf>
    <xf numFmtId="14" fontId="4" fillId="4" borderId="1" xfId="3" applyNumberFormat="1" applyFont="1" applyFill="1" applyBorder="1" applyAlignment="1">
      <alignment horizontal="center" vertical="center"/>
    </xf>
    <xf numFmtId="14" fontId="4" fillId="5" borderId="1" xfId="3" applyNumberFormat="1" applyFont="1" applyFill="1" applyBorder="1" applyAlignment="1">
      <alignment horizontal="center" vertical="center"/>
    </xf>
    <xf numFmtId="14" fontId="4" fillId="10" borderId="1" xfId="3" applyNumberFormat="1" applyFont="1" applyFill="1" applyBorder="1" applyAlignment="1">
      <alignment horizontal="center" vertical="center"/>
    </xf>
    <xf numFmtId="3" fontId="0" fillId="4" borderId="1" xfId="0" applyNumberFormat="1" applyFill="1" applyBorder="1" applyAlignment="1">
      <alignment horizontal="center" vertical="center"/>
    </xf>
    <xf numFmtId="3" fontId="4" fillId="4" borderId="1" xfId="2" applyNumberFormat="1" applyFont="1" applyFill="1" applyBorder="1" applyAlignment="1">
      <alignment horizontal="center" vertical="center"/>
    </xf>
    <xf numFmtId="3" fontId="4" fillId="5" borderId="1" xfId="2" applyNumberFormat="1" applyFont="1" applyFill="1" applyBorder="1" applyAlignment="1">
      <alignment horizontal="center" vertical="center"/>
    </xf>
    <xf numFmtId="3" fontId="0" fillId="4" borderId="1" xfId="2" applyNumberFormat="1" applyFont="1" applyFill="1" applyBorder="1" applyAlignment="1">
      <alignment horizontal="center" vertical="center"/>
    </xf>
    <xf numFmtId="3" fontId="4" fillId="4" borderId="1" xfId="0" applyNumberFormat="1" applyFont="1" applyFill="1" applyBorder="1" applyAlignment="1">
      <alignment horizontal="center" vertical="center" wrapText="1"/>
    </xf>
    <xf numFmtId="3" fontId="0" fillId="5" borderId="1" xfId="0" applyNumberFormat="1" applyFill="1" applyBorder="1" applyAlignment="1">
      <alignment horizontal="center" vertical="center"/>
    </xf>
    <xf numFmtId="3" fontId="0" fillId="5" borderId="1" xfId="2" applyNumberFormat="1" applyFont="1" applyFill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0" fontId="9" fillId="0" borderId="0" xfId="0" applyFont="1" applyAlignment="1">
      <alignment horizontal="center" vertical="center"/>
    </xf>
    <xf numFmtId="166" fontId="4" fillId="0" borderId="1" xfId="3" applyNumberFormat="1" applyFont="1" applyFill="1" applyBorder="1" applyAlignment="1">
      <alignment horizontal="center" vertical="center"/>
    </xf>
    <xf numFmtId="166" fontId="4" fillId="0" borderId="3" xfId="3" applyNumberFormat="1" applyFont="1" applyFill="1" applyBorder="1" applyAlignment="1">
      <alignment horizontal="center" vertical="center"/>
    </xf>
    <xf numFmtId="166" fontId="1" fillId="0" borderId="1" xfId="3" applyNumberFormat="1" applyFill="1" applyBorder="1" applyAlignment="1">
      <alignment horizontal="center" vertical="center"/>
    </xf>
    <xf numFmtId="166" fontId="4" fillId="0" borderId="2" xfId="3" applyNumberFormat="1" applyFont="1" applyFill="1" applyBorder="1" applyAlignment="1">
      <alignment horizontal="center" vertical="center"/>
    </xf>
    <xf numFmtId="166" fontId="4" fillId="0" borderId="6" xfId="3" applyNumberFormat="1" applyFont="1" applyFill="1" applyBorder="1" applyAlignment="1">
      <alignment horizontal="center" vertical="center"/>
    </xf>
    <xf numFmtId="0" fontId="9" fillId="0" borderId="1" xfId="4" applyFont="1" applyFill="1" applyBorder="1" applyAlignment="1">
      <alignment horizontal="center" vertical="center"/>
    </xf>
    <xf numFmtId="166" fontId="4" fillId="0" borderId="1" xfId="4" applyNumberFormat="1" applyFont="1" applyFill="1" applyBorder="1" applyAlignment="1">
      <alignment horizontal="center" vertical="center"/>
    </xf>
    <xf numFmtId="166" fontId="4" fillId="0" borderId="2" xfId="4" applyNumberFormat="1" applyFont="1" applyFill="1" applyBorder="1" applyAlignment="1">
      <alignment horizontal="center" vertical="center"/>
    </xf>
    <xf numFmtId="166" fontId="3" fillId="0" borderId="1" xfId="4" applyNumberFormat="1" applyFont="1" applyFill="1" applyBorder="1" applyAlignment="1">
      <alignment horizontal="center" vertical="center"/>
    </xf>
    <xf numFmtId="166" fontId="1" fillId="0" borderId="1" xfId="4" applyNumberFormat="1" applyFill="1" applyBorder="1" applyAlignment="1">
      <alignment horizontal="center" vertical="center"/>
    </xf>
    <xf numFmtId="166" fontId="4" fillId="0" borderId="6" xfId="4" applyNumberFormat="1" applyFont="1" applyFill="1" applyBorder="1" applyAlignment="1">
      <alignment horizontal="center" vertical="center"/>
    </xf>
    <xf numFmtId="1" fontId="5" fillId="0" borderId="1" xfId="4" applyNumberFormat="1" applyFont="1" applyFill="1" applyBorder="1" applyAlignment="1">
      <alignment horizontal="center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11" fillId="0" borderId="1" xfId="4" applyFont="1" applyFill="1" applyBorder="1" applyAlignment="1">
      <alignment horizontal="center" vertical="center"/>
    </xf>
    <xf numFmtId="166" fontId="4" fillId="0" borderId="1" xfId="4" applyNumberFormat="1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1" xfId="4" applyFont="1" applyFill="1" applyBorder="1" applyAlignment="1">
      <alignment horizontal="center" vertical="center" wrapText="1"/>
    </xf>
    <xf numFmtId="3" fontId="4" fillId="0" borderId="1" xfId="4" applyNumberFormat="1" applyFont="1" applyFill="1" applyBorder="1" applyAlignment="1">
      <alignment horizontal="center" vertical="center" wrapText="1"/>
    </xf>
    <xf numFmtId="3" fontId="1" fillId="0" borderId="1" xfId="4" applyNumberFormat="1" applyFill="1" applyBorder="1" applyAlignment="1">
      <alignment horizontal="center" vertical="center" wrapText="1"/>
    </xf>
    <xf numFmtId="3" fontId="4" fillId="0" borderId="2" xfId="4" applyNumberFormat="1" applyFont="1" applyFill="1" applyBorder="1" applyAlignment="1">
      <alignment horizontal="center" vertical="center" wrapText="1"/>
    </xf>
    <xf numFmtId="3" fontId="4" fillId="0" borderId="6" xfId="4" applyNumberFormat="1" applyFont="1" applyFill="1" applyBorder="1" applyAlignment="1">
      <alignment horizontal="center" vertical="center" wrapText="1"/>
    </xf>
    <xf numFmtId="166" fontId="4" fillId="0" borderId="9" xfId="0" applyNumberFormat="1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168" fontId="3" fillId="0" borderId="9" xfId="0" applyNumberFormat="1" applyFont="1" applyFill="1" applyBorder="1" applyAlignment="1">
      <alignment horizontal="center" vertical="center"/>
    </xf>
    <xf numFmtId="169" fontId="3" fillId="0" borderId="9" xfId="0" applyNumberFormat="1" applyFont="1" applyFill="1" applyBorder="1" applyAlignment="1">
      <alignment horizontal="center" vertical="center"/>
    </xf>
    <xf numFmtId="0" fontId="0" fillId="0" borderId="0" xfId="0" applyFill="1"/>
    <xf numFmtId="0" fontId="9" fillId="0" borderId="5" xfId="4" applyFont="1" applyFill="1" applyBorder="1" applyAlignment="1">
      <alignment horizontal="center" vertical="center" wrapText="1"/>
    </xf>
    <xf numFmtId="0" fontId="9" fillId="0" borderId="3" xfId="4" applyFont="1" applyFill="1" applyBorder="1" applyAlignment="1">
      <alignment horizontal="center" vertical="center" wrapText="1"/>
    </xf>
    <xf numFmtId="0" fontId="9" fillId="0" borderId="10" xfId="4" applyFont="1" applyFill="1" applyBorder="1" applyAlignment="1">
      <alignment horizontal="center" vertical="center" wrapText="1"/>
    </xf>
    <xf numFmtId="166" fontId="4" fillId="0" borderId="11" xfId="0" applyNumberFormat="1" applyFont="1" applyFill="1" applyBorder="1" applyAlignment="1">
      <alignment horizontal="center" vertical="center"/>
    </xf>
    <xf numFmtId="0" fontId="4" fillId="0" borderId="3" xfId="2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" fontId="13" fillId="0" borderId="3" xfId="0" applyNumberFormat="1" applyFont="1" applyFill="1" applyBorder="1" applyAlignment="1">
      <alignment horizontal="center" vertical="center"/>
    </xf>
    <xf numFmtId="1" fontId="9" fillId="0" borderId="1" xfId="2" applyNumberFormat="1" applyFont="1" applyFill="1" applyBorder="1" applyAlignment="1">
      <alignment horizontal="center" vertical="center"/>
    </xf>
    <xf numFmtId="1" fontId="4" fillId="5" borderId="1" xfId="0" applyNumberFormat="1" applyFont="1" applyFill="1" applyBorder="1" applyAlignment="1">
      <alignment horizontal="center" vertical="center"/>
    </xf>
    <xf numFmtId="1" fontId="4" fillId="11" borderId="1" xfId="0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" fontId="4" fillId="11" borderId="1" xfId="2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0" fontId="9" fillId="0" borderId="5" xfId="2" applyNumberFormat="1" applyFont="1" applyFill="1" applyBorder="1" applyAlignment="1">
      <alignment horizontal="center" vertical="center"/>
    </xf>
    <xf numFmtId="0" fontId="0" fillId="0" borderId="5" xfId="0" applyBorder="1"/>
    <xf numFmtId="0" fontId="0" fillId="0" borderId="5" xfId="0" applyFill="1" applyBorder="1"/>
    <xf numFmtId="0" fontId="9" fillId="0" borderId="1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6" fontId="4" fillId="0" borderId="9" xfId="2" applyNumberFormat="1" applyFont="1" applyFill="1" applyBorder="1" applyAlignment="1">
      <alignment horizontal="center" vertical="center"/>
    </xf>
    <xf numFmtId="166" fontId="4" fillId="0" borderId="9" xfId="2" applyNumberFormat="1" applyFont="1" applyFill="1" applyBorder="1" applyAlignment="1">
      <alignment horizontal="center" vertical="center" wrapText="1"/>
    </xf>
    <xf numFmtId="0" fontId="9" fillId="0" borderId="13" xfId="2" applyNumberFormat="1" applyFon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/>
    </xf>
    <xf numFmtId="166" fontId="10" fillId="12" borderId="14" xfId="5" applyNumberFormat="1" applyFont="1" applyFill="1" applyBorder="1" applyAlignment="1">
      <alignment horizontal="center" vertical="center" wrapText="1"/>
    </xf>
    <xf numFmtId="166" fontId="1" fillId="0" borderId="18" xfId="0" applyNumberFormat="1" applyFont="1" applyFill="1" applyBorder="1" applyAlignment="1">
      <alignment horizontal="center" vertical="center"/>
    </xf>
    <xf numFmtId="166" fontId="4" fillId="0" borderId="18" xfId="2" applyNumberFormat="1" applyFont="1" applyFill="1" applyBorder="1" applyAlignment="1">
      <alignment horizontal="center" vertical="center"/>
    </xf>
    <xf numFmtId="166" fontId="4" fillId="0" borderId="18" xfId="0" applyNumberFormat="1" applyFont="1" applyFill="1" applyBorder="1" applyAlignment="1">
      <alignment horizontal="center" vertical="center"/>
    </xf>
    <xf numFmtId="166" fontId="3" fillId="0" borderId="18" xfId="2" applyNumberFormat="1" applyFont="1" applyFill="1" applyBorder="1" applyAlignment="1">
      <alignment horizontal="center" vertical="center"/>
    </xf>
    <xf numFmtId="166" fontId="3" fillId="0" borderId="19" xfId="2" applyNumberFormat="1" applyFont="1" applyFill="1" applyBorder="1" applyAlignment="1">
      <alignment horizontal="center" vertical="center"/>
    </xf>
    <xf numFmtId="1" fontId="4" fillId="0" borderId="18" xfId="2" applyNumberFormat="1" applyFont="1" applyFill="1" applyBorder="1" applyAlignment="1">
      <alignment horizontal="center" vertical="center"/>
    </xf>
    <xf numFmtId="166" fontId="4" fillId="0" borderId="19" xfId="2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Fill="1"/>
    <xf numFmtId="166" fontId="4" fillId="0" borderId="8" xfId="2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1" fontId="9" fillId="13" borderId="15" xfId="2" applyNumberFormat="1" applyFont="1" applyFill="1" applyBorder="1" applyAlignment="1">
      <alignment horizontal="center" vertical="center" wrapText="1"/>
    </xf>
    <xf numFmtId="0" fontId="9" fillId="13" borderId="15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13" borderId="16" xfId="0" applyNumberFormat="1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14" fontId="0" fillId="13" borderId="16" xfId="0" applyNumberFormat="1" applyFill="1" applyBorder="1" applyAlignment="1">
      <alignment horizontal="center" vertical="center"/>
    </xf>
    <xf numFmtId="14" fontId="0" fillId="13" borderId="16" xfId="0" applyNumberFormat="1" applyFill="1" applyBorder="1" applyAlignment="1">
      <alignment horizontal="center"/>
    </xf>
    <xf numFmtId="1" fontId="0" fillId="13" borderId="17" xfId="0" applyNumberFormat="1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14" fontId="0" fillId="13" borderId="17" xfId="0" applyNumberFormat="1" applyFill="1" applyBorder="1" applyAlignment="1">
      <alignment horizontal="center"/>
    </xf>
  </cellXfs>
  <cellStyles count="6">
    <cellStyle name="60 % - Accent1" xfId="3" builtinId="32"/>
    <cellStyle name="60 % - Accent2" xfId="4" builtinId="36"/>
    <cellStyle name="Milliers" xfId="2" builtinId="3"/>
    <cellStyle name="Normal" xfId="0" builtinId="0"/>
    <cellStyle name="Normal 2" xfId="5" xr:uid="{B8AC98C5-3D09-4734-A1B0-A6689FEFF077}"/>
    <cellStyle name="Pourcentage" xfId="1" builtinId="5"/>
  </cellStyles>
  <dxfs count="75">
    <dxf>
      <numFmt numFmtId="19" formatCode="dd/mm/yyyy"/>
      <fill>
        <patternFill patternType="solid">
          <fgColor indexed="64"/>
          <bgColor rgb="FFCC99FF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auto="1"/>
        </left>
        <right style="medium">
          <color rgb="FFFF0000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color rgb="FFFF0000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" formatCode="0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[$-40C]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alignment horizontal="center" textRotation="0" indent="0" justifyLastLine="0" shrinkToFit="0" readingOrder="0"/>
      <border outline="0">
        <left style="thin">
          <color indexed="64"/>
        </left>
      </border>
    </dxf>
    <dxf>
      <font>
        <color auto="1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m" TargetMode="External"/><Relationship Id="rId1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résorerie"/>
      <sheetName val="SYNTHESE"/>
      <sheetName val="Données initiales"/>
      <sheetName val="Plan de charge"/>
      <sheetName val="Structure PRP"/>
      <sheetName val="PROG par type"/>
      <sheetName val="Evolution des OS"/>
      <sheetName val="Evolution des livraisons réelle"/>
      <sheetName val="Prix VEFA"/>
      <sheetName val="Analyse rapide par année"/>
      <sheetName val="Evolution LBU"/>
      <sheetName val="CGLLS"/>
      <sheetName val="EVOLUTION GLOBALE"/>
      <sheetName val="Etude foncier"/>
      <sheetName val="STAT REHAB SILOGIA"/>
      <sheetName val="REHAB"/>
      <sheetName val="Structure plan financement"/>
      <sheetName val="OBJECTIFS 2023"/>
      <sheetName val="STAT NEUF SILOGIA"/>
      <sheetName val="Listes"/>
      <sheetName val="PROG par bassin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24B174-193E-4BC0-A7E1-008E10573B04}" name="Tableau3" displayName="Tableau3" ref="A1:BJ154" totalsRowShown="0" headerRowDxfId="45">
  <autoFilter ref="A1:BJ154" xr:uid="{AA24B174-193E-4BC0-A7E1-008E10573B04}"/>
  <tableColumns count="62">
    <tableColumn id="1" xr3:uid="{466A83A5-52BE-4986-B43D-4F706D7F3BFC}" name="OPERATION" dataDxfId="74"/>
    <tableColumn id="2" xr3:uid="{211EBE68-C318-4B45-BA22-92AA9BCC4473}" name="COMMUNE" dataDxfId="73"/>
    <tableColumn id="3" xr3:uid="{341D5251-3D0E-4E69-860E-7287595E6B6F}" name="BASSIN" dataDxfId="72"/>
    <tableColumn id="4" xr3:uid="{D0D0E887-41C1-4F75-9A2D-76C891E0B799}" name="Prog" dataDxfId="71"/>
    <tableColumn id="5" xr3:uid="{C021FCD0-E4CB-4C8A-B424-D7B106299593}" name="CODE" dataDxfId="70"/>
    <tableColumn id="6" xr3:uid="{6BE98899-9912-432A-AE11-7EFEDF7FB05E}" name="RO" dataDxfId="69"/>
    <tableColumn id="7" xr3:uid="{C4C296B4-C058-47EA-913B-430E4E210067}" name="CT" dataDxfId="68"/>
    <tableColumn id="8" xr3:uid="{A96A5C4D-1D03-4B60-A534-D56C5280C2E1}" name="ASSISTANTE" dataDxfId="67"/>
    <tableColumn id="9" xr3:uid="{5E964757-29BF-491D-8532-D3B52A2369AF}" name="Avancement" dataDxfId="66"/>
    <tableColumn id="10" xr3:uid="{B3F8A9B6-796B-45BE-843D-DDA5E0D4A558}" name="PARCELLE" dataDxfId="65"/>
    <tableColumn id="11" xr3:uid="{0710D964-0311-4FFB-8587-9EC7EB6684E4}" name="TYPE" dataDxfId="64"/>
    <tableColumn id="12" xr3:uid="{E3A7B28D-F46C-4166-97F8-F1BEE5797795}" name="N" dataDxfId="63">
      <calculatedColumnFormula>Tableau3[[#This Row],[LLS]]+Tableau3[[#This Row],[LLTS]]+Tableau3[[#This Row],[PLS]]+Tableau3[[#This Row],[REHAB]]</calculatedColumnFormula>
    </tableColumn>
    <tableColumn id="13" xr3:uid="{371D66CF-0720-4366-83D4-21E0FFB0524B}" name="N hors REHAB" dataDxfId="62">
      <calculatedColumnFormula>IFERROR(Tableau3[[#This Row],[LLS]]+Tableau3[[#This Row],[LLTS]]+Tableau3[[#This Row],[PLS]],"-")</calculatedColumnFormula>
    </tableColumn>
    <tableColumn id="14" xr3:uid="{A10385DF-1EBC-4E57-82EF-72AFF91B85C2}" name="LLS" dataDxfId="61"/>
    <tableColumn id="15" xr3:uid="{4105675E-CFBD-4346-8745-4D798DBD886F}" name="LLTS" dataDxfId="60"/>
    <tableColumn id="16" xr3:uid="{28C4D4AF-A6B3-4160-ADB8-E2AE4441936B}" name="PLS" dataDxfId="59"/>
    <tableColumn id="17" xr3:uid="{6FA4F961-7256-4B23-A846-310130CCBE2B}" name="REHAB" dataDxfId="58"/>
    <tableColumn id="18" xr3:uid="{26A6F1CE-A315-4228-9A07-B6E0DBFAFAA4}" name="SHAB y/c V" dataDxfId="57"/>
    <tableColumn id="19" xr3:uid="{22616844-EB22-431A-BD5F-4E175552D635}" name="SF priorisée" dataDxfId="56"/>
    <tableColumn id="20" xr3:uid="{F49E8706-688F-4775-9305-4B726033B76E}" name="SHAB / lgt" dataDxfId="55">
      <calculatedColumnFormula>Tableau3[[#This Row],[SHAB y/c V]]/Tableau3[[#This Row],[N]]</calculatedColumnFormula>
    </tableColumn>
    <tableColumn id="21" xr3:uid="{C14979E8-FF82-4696-84C8-97D6523B6560}" name="SF / lgt" dataDxfId="54">
      <calculatedColumnFormula>Tableau3[[#This Row],[SF priorisée]]/Tableau3[[#This Row],[N]]</calculatedColumnFormula>
    </tableColumn>
    <tableColumn id="22" xr3:uid="{F41B38E6-251D-4F02-9522-021C4DFAA7AF}" name="Ratio SHAB/SF" dataDxfId="53" dataCellStyle="Pourcentage">
      <calculatedColumnFormula>IFERROR(Tableau3[[#This Row],[SHAB y/c V]]/Tableau3[[#This Row],[SF priorisée]],"-")</calculatedColumnFormula>
    </tableColumn>
    <tableColumn id="23" xr3:uid="{709CE145-4293-4566-B570-EA4F8ED68B1D}" name="Loyer moyen / lgt" dataDxfId="52"/>
    <tableColumn id="24" xr3:uid="{246B4E19-0C13-4538-9886-D96BE899C072}" name="VEFA / PROPRE" dataDxfId="51"/>
    <tableColumn id="25" xr3:uid="{1A60EF09-4170-4A8B-BC9B-5C5D583CACD7}" name="CREDIT D'IMPOT" dataDxfId="50"/>
    <tableColumn id="26" xr3:uid="{D66B27F1-F87D-4011-AF8F-9FDE2A802413}" name="Prix Achat TTC" dataDxfId="49"/>
    <tableColumn id="27" xr3:uid="{7088206F-B8B8-40C3-B2D8-D2906A841DE2}" name="Prix achat /m² SHAB" dataDxfId="48">
      <calculatedColumnFormula>IFERROR(Tableau3[[#This Row],[Prix Achat TTC]]/Tableau3[[#This Row],[SHAB y/c V]],"-")</calculatedColumnFormula>
    </tableColumn>
    <tableColumn id="28" xr3:uid="{B94C3FF2-C52A-41C8-8664-FACAEDC38DFF}" name="Prix achat /m² SF" dataDxfId="47">
      <calculatedColumnFormula>IFERROR(Tableau3[[#This Row],[Prix Achat TTC]]/Tableau3[[#This Row],[SF priorisée]],"-")</calculatedColumnFormula>
    </tableColumn>
    <tableColumn id="29" xr3:uid="{634BE7C3-2A7F-4633-BE57-5EDA0FBA2D6F}" name="Prix achat / lgt" dataDxfId="46">
      <calculatedColumnFormula>IFERROR(Tableau3[[#This Row],[Prix Achat TTC]]/Tableau3[[#This Row],[N]],"-")</calculatedColumnFormula>
    </tableColumn>
    <tableColumn id="30" xr3:uid="{52664F75-E7A4-40CC-83C2-57FA0BF76645}" name="Demande LBU" dataDxfId="44" dataCellStyle="60 % - Accent1"/>
    <tableColumn id="31" xr3:uid="{3392345D-0749-4687-B72E-E516895B733B}" name="Arrêté LBU" dataDxfId="43" dataCellStyle="60 % - Accent1"/>
    <tableColumn id="32" xr3:uid="{65929AE0-DA55-4DB5-A8EF-C6B8EDEA3C26}" name="Transmission à DAF" dataDxfId="42" dataCellStyle="60 % - Accent1"/>
    <tableColumn id="33" xr3:uid="{64D06D42-E5B8-4530-9F2B-3500E83693D1}" name="Délai obtention LBU" dataDxfId="41">
      <calculatedColumnFormula>IFERROR((DATEDIF(Tableau3[[#This Row],[Demande LBU]],Tableau3[[#This Row],[Arrêté LBU]],"d"))/30,0)</calculatedColumnFormula>
    </tableColumn>
    <tableColumn id="34" xr3:uid="{F20C1E57-D6C0-4B15-A9CD-6E2A33F3B663}" name="Dde édition prêt" dataDxfId="40" dataCellStyle="60 % - Accent2"/>
    <tableColumn id="35" xr3:uid="{423261DC-154E-49BE-B1C7-0745F246743B}" name="Contrat de prêt" dataDxfId="38" dataCellStyle="60 % - Accent2"/>
    <tableColumn id="36" xr3:uid="{0087D9F8-1DAF-478E-99E1-9867CB41062F}" name="Délai obtention prêt" dataDxfId="39" dataCellStyle="60 % - Accent1">
      <calculatedColumnFormula>IFERROR((DATEDIF(Tableau3[[#This Row],[Dde édition prêt]],Tableau3[[#This Row],[Contrat de prêt]],"d"))/30,"-")</calculatedColumnFormula>
    </tableColumn>
    <tableColumn id="37" xr3:uid="{DA66ED85-42F2-40ED-ABA3-96A0A9943BF4}" name="Limite validité Ct prêt - Prise d'effet du contrat (1e j du mois suivant la signature)" dataDxfId="37" dataCellStyle="60 % - Accent2">
      <calculatedColumnFormula>EOMONTH(Tableau3[[#This Row],[Contrat de prêt]],0)+1</calculatedColumnFormula>
    </tableColumn>
    <tableColumn id="38" xr3:uid="{FAB28F3C-D98F-4767-B251-BE2146E933CC}" name="Transmission contrat prêt DAF" dataDxfId="36" dataCellStyle="60 % - Accent2"/>
    <tableColumn id="39" xr3:uid="{576AA071-5E73-4ADA-AF8E-31C1D23F4C54}" name="Début préfinancement (1e jour du mois suivant la prise d'effet du contrat)" dataDxfId="35" dataCellStyle="60 % - Accent2"/>
    <tableColumn id="40" xr3:uid="{55BAEA70-87BE-46EC-8031-FF6DC61CA7DC}" name="1e échéance de prêt (24 mois préfi + 12 mois différé = 36 mois)" dataDxfId="34" dataCellStyle="60 % - Accent2">
      <calculatedColumnFormula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calculatedColumnFormula>
    </tableColumn>
    <tableColumn id="41" xr3:uid="{4CE45E39-2574-4434-A676-1C63062BEE4B}" name="Montant échéance annuelle" dataDxfId="33" dataCellStyle="60 % - Accent2"/>
    <tableColumn id="42" xr3:uid="{8EF388E1-6733-471D-B531-9635FBAEEA22}" name="PROBLEME" dataDxfId="31">
      <calculatedColumnFormula>IF(Tableau3[[#This Row],[Montant des loyers perçus avant 1e échéance]]&lt;Tableau3[[#This Row],[Montant échéance annuelle]],"oui","non")</calculatedColumnFormula>
    </tableColumn>
    <tableColumn id="43" xr3:uid="{321BA1DE-E251-4C5D-8155-535AACC24B24}" name="Mois de loyers avant 1e échéance"/>
    <tableColumn id="44" xr3:uid="{A06FD9D4-F8C5-4986-8745-6B93E5FA3BAE}" name="Montant des loyers perçus avant 1e échéance"/>
    <tableColumn id="45" xr3:uid="{ED7B8151-10E0-4904-BB54-B29640CA961B}" name="Coût réel 1e annuité" dataDxfId="32" dataCellStyle="60 % - Accent2">
      <calculatedColumnFormula>Tableau3[[#This Row],[Mois de loyers avant 1e échéance]]-Tableau3[[#This Row],[Montant échéance annuelle]]</calculatedColumnFormula>
    </tableColumn>
    <tableColumn id="46" xr3:uid="{68515FA8-AB06-4C5F-B1B1-FF79730F9752}" name="Loyers manquants"/>
    <tableColumn id="47" xr3:uid="{1720A3E8-8FFC-46F6-B47E-673359E82295}" name="OS démarrage" dataDxfId="30"/>
    <tableColumn id="48" xr3:uid="{2ED508E8-C52A-45B8-822C-B52C499789A5}" name="ANNEE DEMARRAGE" dataDxfId="29"/>
    <tableColumn id="49" xr3:uid="{11957682-33D1-40E6-883D-7329D4643F04}" name="ECART Arrêté DEAL / OS" dataDxfId="27">
      <calculatedColumnFormula>IFERROR((DATEDIF(Tableau3[[#This Row],[Arrêté LBU]],Tableau3[[#This Row],[OS démarrage]],"d"))/30,0)</calculatedColumnFormula>
    </tableColumn>
    <tableColumn id="50" xr3:uid="{D77E2519-2D2E-4451-8377-9BAA709060CA}" name="Délai chantier initial" dataDxfId="28"/>
    <tableColumn id="51" xr3:uid="{44DD2D0E-E150-49D6-B32F-B93D47FA60B7}" name="Délai chantier réel" dataDxfId="26"/>
    <tableColumn id="52" xr3:uid="{75D50758-3F06-496D-B893-1F00F84F4180}" name="Achèvement fondations" dataDxfId="25"/>
    <tableColumn id="53" xr3:uid="{8568BB8F-25C5-43E9-B938-D7F0E18CF6A7}" name="Date réception entreprise prévue initialement" dataDxfId="21">
      <calculatedColumnFormula>DATE(YEAR(Tableau3[[#This Row],[OS démarrage]]),MONTH(Tableau3[[#This Row],[OS démarrage]])+Tableau3[[#This Row],[Délai chantier initial]],DAY(Tableau3[[#This Row],[OS démarrage]]))</calculatedColumnFormula>
    </tableColumn>
    <tableColumn id="54" xr3:uid="{0A2C08CE-E40A-4330-BD43-E784EDBE2D5D}" name="Date réception entreprise recalée" dataDxfId="19" dataCellStyle="Milliers"/>
    <tableColumn id="55" xr3:uid="{681F96D5-58A5-47C2-BAAA-96D08F731395}" name="Retard de réception" dataDxfId="20">
      <calculatedColumnFormula>(Tableau3[[#This Row],[Date réception entreprise recalée]]-Tableau3[[#This Row],[Date réception entreprise prévue initialement]])/30</calculatedColumnFormula>
    </tableColumn>
    <tableColumn id="56" xr3:uid="{437FAFF8-454B-4458-A7FE-4876F3551758}" name="Date achèvement VEFA" dataDxfId="24" dataCellStyle="Milliers"/>
    <tableColumn id="57" xr3:uid="{BB97E13D-6399-498C-BBB2-2B711F0D13CE}" name="Date Livraison initiale VEFA" dataDxfId="23" dataCellStyle="Milliers"/>
    <tableColumn id="58" xr3:uid="{A2A3014E-B978-4F83-957C-D13E8A81A801}" name="Date livraison contractuelle y/c avenant" dataDxfId="22" dataCellStyle="Milliers"/>
    <tableColumn id="59" xr3:uid="{38C8788B-1F1F-4195-BC3D-C23C2C3DF03C}" name="Date Livraison VEFA estimée avec retards constatés" dataDxfId="3" dataCellStyle="Milliers"/>
    <tableColumn id="60" xr3:uid="{9BBBF6C6-7F7F-4B33-A1A3-BAE1EB27AD25}" name="Retard livraison VEFA (mois)" dataDxfId="2">
      <calculatedColumnFormula>IFERROR((Tableau3[[#This Row],[Date Livraison VEFA estimée avec retards constatés]]-Tableau3[[#This Row],[Date livraison contractuelle y/c avenant]])/30,"-")</calculatedColumnFormula>
    </tableColumn>
    <tableColumn id="61" xr3:uid="{7B3C77C8-5A15-4794-B4CB-455FEFBE4F9F}" name="Retard livraison VEFA (jour)" dataDxfId="1">
      <calculatedColumnFormula>Tableau3[[#This Row],[Date Livraison VEFA estimée avec retards constatés]]-Tableau3[[#This Row],[Date livraison contractuelle y/c avenant]]</calculatedColumnFormula>
    </tableColumn>
    <tableColumn id="62" xr3:uid="{904E43C3-6D99-4438-96A6-AC3C3140C9EB}" name="DATE LIMITE DAACT CREDIT IMPOT (Fondations + 24 mois)" dataDxfId="0">
      <calculatedColumnFormula>IF(Tableau3[[#This Row],[TYPE]]="Rehab","",DATE(YEAR(Tableau3[[#This Row],[Achèvement fondations]])+2,MONTH(Tableau3[[#This Row],[Achèvement fondations]]),DAY(Tableau3[[#This Row],[Achèvement fondations]])))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81629-80F7-4024-808B-2EAB7C20D68C}">
  <dimension ref="A1:BN154"/>
  <sheetViews>
    <sheetView tabSelected="1" view="pageBreakPreview" zoomScaleNormal="100" zoomScaleSheetLayoutView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1" sqref="J1:J1048576"/>
    </sheetView>
  </sheetViews>
  <sheetFormatPr baseColWidth="10" defaultRowHeight="14.4" x14ac:dyDescent="0.3"/>
  <cols>
    <col min="1" max="1" width="47.5546875" style="2" bestFit="1" customWidth="1"/>
    <col min="2" max="2" width="21.5546875" bestFit="1" customWidth="1"/>
    <col min="3" max="3" width="18.109375" bestFit="1" customWidth="1"/>
    <col min="4" max="4" width="14.33203125" bestFit="1" customWidth="1"/>
    <col min="5" max="5" width="15.88671875" bestFit="1" customWidth="1"/>
    <col min="6" max="6" width="12.5546875" bestFit="1" customWidth="1"/>
    <col min="7" max="7" width="5.21875" customWidth="1"/>
    <col min="8" max="8" width="13.88671875" customWidth="1"/>
    <col min="9" max="9" width="22.88671875" bestFit="1" customWidth="1"/>
    <col min="10" max="10" width="42" bestFit="1" customWidth="1"/>
    <col min="13" max="13" width="15.88671875" customWidth="1"/>
    <col min="18" max="18" width="14.33203125" customWidth="1"/>
    <col min="19" max="19" width="13.6640625" customWidth="1"/>
    <col min="20" max="20" width="12.33203125" customWidth="1"/>
    <col min="22" max="22" width="16.33203125" customWidth="1"/>
    <col min="23" max="23" width="19.21875" customWidth="1"/>
    <col min="24" max="24" width="27.88671875" customWidth="1"/>
    <col min="25" max="25" width="18.44140625" customWidth="1"/>
    <col min="26" max="26" width="26.77734375" bestFit="1" customWidth="1"/>
    <col min="27" max="27" width="21.77734375" customWidth="1"/>
    <col min="28" max="28" width="18.77734375" customWidth="1"/>
    <col min="29" max="29" width="25.6640625" bestFit="1" customWidth="1"/>
    <col min="30" max="30" width="25.109375" bestFit="1" customWidth="1"/>
    <col min="31" max="31" width="21.21875" bestFit="1" customWidth="1"/>
    <col min="32" max="32" width="32.33203125" bestFit="1" customWidth="1"/>
    <col min="33" max="33" width="31.77734375" bestFit="1" customWidth="1"/>
    <col min="34" max="34" width="21" bestFit="1" customWidth="1"/>
    <col min="35" max="35" width="19.88671875" style="77" bestFit="1" customWidth="1"/>
    <col min="36" max="36" width="24.6640625" bestFit="1" customWidth="1"/>
    <col min="37" max="38" width="19.88671875" style="77" bestFit="1" customWidth="1"/>
    <col min="39" max="40" width="15.33203125" bestFit="1" customWidth="1"/>
    <col min="42" max="42" width="11.5546875" style="2"/>
    <col min="46" max="46" width="16" bestFit="1" customWidth="1"/>
    <col min="47" max="47" width="18.5546875" style="88" bestFit="1" customWidth="1"/>
    <col min="48" max="48" width="24.6640625" bestFit="1" customWidth="1"/>
    <col min="49" max="49" width="28.109375" style="2" bestFit="1" customWidth="1"/>
    <col min="50" max="50" width="24.44140625" bestFit="1" customWidth="1"/>
    <col min="51" max="51" width="22.6640625" bestFit="1" customWidth="1"/>
    <col min="52" max="52" width="27.88671875" style="54" bestFit="1" customWidth="1"/>
    <col min="53" max="53" width="27.77734375" style="117" customWidth="1"/>
    <col min="54" max="54" width="24.6640625" style="131" customWidth="1"/>
    <col min="55" max="55" width="24.109375" style="2" bestFit="1" customWidth="1"/>
    <col min="56" max="56" width="18.77734375" customWidth="1"/>
    <col min="57" max="57" width="18.109375" style="131" customWidth="1"/>
    <col min="58" max="58" width="19.21875" style="130" customWidth="1"/>
    <col min="59" max="59" width="21.44140625" customWidth="1"/>
    <col min="60" max="60" width="32.109375" style="136" bestFit="1" customWidth="1"/>
    <col min="61" max="61" width="11.5546875" style="136"/>
    <col min="62" max="62" width="24.21875" customWidth="1"/>
  </cols>
  <sheetData>
    <row r="1" spans="1:66" s="61" customFormat="1" ht="91.8" customHeight="1" x14ac:dyDescent="0.3">
      <c r="A1" s="61" t="s">
        <v>0</v>
      </c>
      <c r="B1" s="61" t="s">
        <v>1</v>
      </c>
      <c r="C1" s="61" t="s">
        <v>2</v>
      </c>
      <c r="D1" s="61" t="s">
        <v>3</v>
      </c>
      <c r="E1" s="61" t="s">
        <v>4</v>
      </c>
      <c r="F1" s="61" t="s">
        <v>5</v>
      </c>
      <c r="G1" s="61" t="s">
        <v>6</v>
      </c>
      <c r="H1" s="61" t="s">
        <v>7</v>
      </c>
      <c r="I1" s="61" t="s">
        <v>8</v>
      </c>
      <c r="J1" s="61" t="s">
        <v>76</v>
      </c>
      <c r="K1" s="61" t="s">
        <v>77</v>
      </c>
      <c r="L1" s="61" t="s">
        <v>78</v>
      </c>
      <c r="M1" s="61" t="s">
        <v>79</v>
      </c>
      <c r="N1" s="61" t="s">
        <v>80</v>
      </c>
      <c r="O1" s="61" t="s">
        <v>81</v>
      </c>
      <c r="P1" s="61" t="s">
        <v>82</v>
      </c>
      <c r="Q1" s="61" t="s">
        <v>83</v>
      </c>
      <c r="R1" s="61" t="s">
        <v>84</v>
      </c>
      <c r="S1" s="61" t="s">
        <v>85</v>
      </c>
      <c r="T1" s="61" t="s">
        <v>86</v>
      </c>
      <c r="U1" s="61" t="s">
        <v>87</v>
      </c>
      <c r="V1" s="61" t="s">
        <v>90</v>
      </c>
      <c r="W1" s="61" t="s">
        <v>91</v>
      </c>
      <c r="X1" s="61" t="s">
        <v>92</v>
      </c>
      <c r="Y1" s="61" t="s">
        <v>94</v>
      </c>
      <c r="Z1" s="61" t="s">
        <v>95</v>
      </c>
      <c r="AA1" s="61" t="s">
        <v>96</v>
      </c>
      <c r="AB1" s="61" t="s">
        <v>97</v>
      </c>
      <c r="AC1" s="61" t="s">
        <v>98</v>
      </c>
      <c r="AD1" s="61" t="s">
        <v>393</v>
      </c>
      <c r="AE1" s="61" t="s">
        <v>394</v>
      </c>
      <c r="AF1" s="61" t="s">
        <v>395</v>
      </c>
      <c r="AG1" s="61" t="s">
        <v>396</v>
      </c>
      <c r="AH1" s="67" t="s">
        <v>397</v>
      </c>
      <c r="AI1" s="75" t="s">
        <v>398</v>
      </c>
      <c r="AJ1" s="67" t="s">
        <v>399</v>
      </c>
      <c r="AK1" s="78" t="s">
        <v>400</v>
      </c>
      <c r="AL1" s="78" t="s">
        <v>401</v>
      </c>
      <c r="AM1" s="74" t="s">
        <v>403</v>
      </c>
      <c r="AN1" s="74" t="s">
        <v>404</v>
      </c>
      <c r="AO1" s="74" t="s">
        <v>405</v>
      </c>
      <c r="AP1" s="74" t="s">
        <v>406</v>
      </c>
      <c r="AQ1" s="74" t="s">
        <v>407</v>
      </c>
      <c r="AR1" s="74" t="s">
        <v>408</v>
      </c>
      <c r="AS1" s="74" t="s">
        <v>409</v>
      </c>
      <c r="AT1" s="89" t="s">
        <v>410</v>
      </c>
      <c r="AU1" s="91" t="s">
        <v>411</v>
      </c>
      <c r="AV1" s="90" t="s">
        <v>412</v>
      </c>
      <c r="AW1" s="74" t="s">
        <v>413</v>
      </c>
      <c r="AX1" s="101" t="s">
        <v>414</v>
      </c>
      <c r="AY1" s="111" t="s">
        <v>415</v>
      </c>
      <c r="AZ1" s="114" t="s">
        <v>416</v>
      </c>
      <c r="BA1" s="115" t="s">
        <v>417</v>
      </c>
      <c r="BB1" s="115" t="s">
        <v>418</v>
      </c>
      <c r="BC1" s="120" t="s">
        <v>419</v>
      </c>
      <c r="BD1" s="122" t="s">
        <v>420</v>
      </c>
      <c r="BE1" s="122" t="s">
        <v>421</v>
      </c>
      <c r="BF1" s="122" t="s">
        <v>422</v>
      </c>
      <c r="BG1" s="122" t="s">
        <v>423</v>
      </c>
      <c r="BH1" s="134" t="s">
        <v>424</v>
      </c>
      <c r="BI1" s="134" t="s">
        <v>425</v>
      </c>
      <c r="BJ1" s="135" t="s">
        <v>426</v>
      </c>
    </row>
    <row r="2" spans="1:66" x14ac:dyDescent="0.3">
      <c r="A2" s="23" t="s">
        <v>89</v>
      </c>
      <c r="B2" s="23" t="s">
        <v>41</v>
      </c>
      <c r="C2" s="23" t="s">
        <v>12</v>
      </c>
      <c r="D2" s="23">
        <v>2015</v>
      </c>
      <c r="E2" s="23" t="s">
        <v>88</v>
      </c>
      <c r="F2" s="54"/>
      <c r="G2" s="54"/>
      <c r="H2" s="23" t="s">
        <v>35</v>
      </c>
      <c r="I2" s="23" t="s">
        <v>52</v>
      </c>
      <c r="J2" s="54"/>
      <c r="K2" s="8" t="s">
        <v>81</v>
      </c>
      <c r="L2" s="24">
        <f>Tableau3[[#This Row],[LLS]]+Tableau3[[#This Row],[LLTS]]+Tableau3[[#This Row],[PLS]]+Tableau3[[#This Row],[REHAB]]</f>
        <v>55</v>
      </c>
      <c r="M2" s="23">
        <f>IFERROR(Tableau3[[#This Row],[LLS]]+Tableau3[[#This Row],[LLTS]]+Tableau3[[#This Row],[PLS]],"-")</f>
        <v>55</v>
      </c>
      <c r="N2" s="25"/>
      <c r="O2" s="23">
        <v>55</v>
      </c>
      <c r="P2" s="25"/>
      <c r="Q2" s="25"/>
      <c r="R2" s="55">
        <v>3155.3</v>
      </c>
      <c r="S2" s="55">
        <v>3234.2999999999997</v>
      </c>
      <c r="T2" s="56">
        <f>Tableau3[[#This Row],[SHAB y/c V]]/Tableau3[[#This Row],[N]]</f>
        <v>57.369090909090914</v>
      </c>
      <c r="U2" s="56">
        <f>Tableau3[[#This Row],[SF priorisée]]/Tableau3[[#This Row],[N]]</f>
        <v>58.805454545454538</v>
      </c>
      <c r="V2" s="57">
        <f>IFERROR(Tableau3[[#This Row],[SHAB y/c V]]/Tableau3[[#This Row],[SF priorisée]],"-")</f>
        <v>0.9755743128343074</v>
      </c>
      <c r="W2" s="56">
        <v>340.06</v>
      </c>
      <c r="X2" s="23" t="s">
        <v>93</v>
      </c>
      <c r="Y2" s="54"/>
      <c r="Z2" s="58">
        <v>6373285</v>
      </c>
      <c r="AA2" s="58">
        <f>IFERROR(Tableau3[[#This Row],[Prix Achat TTC]]/Tableau3[[#This Row],[SHAB y/c V]],"-")</f>
        <v>2019.8665737013912</v>
      </c>
      <c r="AB2" s="58">
        <f>IFERROR(Tableau3[[#This Row],[Prix Achat TTC]]/Tableau3[[#This Row],[SF priorisée]],"-")</f>
        <v>1970.5299446557217</v>
      </c>
      <c r="AC2" s="58">
        <f>IFERROR(Tableau3[[#This Row],[Prix Achat TTC]]/Tableau3[[#This Row],[N]],"-")</f>
        <v>115877.90909090909</v>
      </c>
      <c r="AD2" s="62">
        <v>42093</v>
      </c>
      <c r="AE2" s="62">
        <v>42320</v>
      </c>
      <c r="AF2" s="62"/>
      <c r="AG2" s="59">
        <f>IFERROR((DATEDIF(Tableau3[[#This Row],[Demande LBU]],Tableau3[[#This Row],[Arrêté LBU]],"d"))/30,0)</f>
        <v>7.5666666666666664</v>
      </c>
      <c r="AH2" s="68">
        <v>42697</v>
      </c>
      <c r="AI2" s="68">
        <v>42719</v>
      </c>
      <c r="AJ2" s="73">
        <f>IFERROR((DATEDIF(Tableau3[[#This Row],[Dde édition prêt]],Tableau3[[#This Row],[Contrat de prêt]],"d"))/30,"-")</f>
        <v>0.73333333333333328</v>
      </c>
      <c r="AK2" s="68">
        <f>EOMONTH(Tableau3[[#This Row],[Contrat de prêt]],0)+1</f>
        <v>42736</v>
      </c>
      <c r="AL2" s="68">
        <v>42727</v>
      </c>
      <c r="AM2" s="68">
        <v>42826</v>
      </c>
      <c r="AN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43922</v>
      </c>
      <c r="AO2" s="79">
        <f>88358+17044</f>
        <v>105402</v>
      </c>
      <c r="AP2" s="2" t="str">
        <f>IF(Tableau3[[#This Row],[Montant des loyers perçus avant 1e échéance]]&lt;Tableau3[[#This Row],[Montant échéance annuelle]],"oui","non")</f>
        <v>oui</v>
      </c>
      <c r="AS2" s="79">
        <f>Tableau3[[#This Row],[Mois de loyers avant 1e échéance]]-Tableau3[[#This Row],[Montant échéance annuelle]]</f>
        <v>-105402</v>
      </c>
      <c r="AU2" s="83">
        <v>42767</v>
      </c>
      <c r="AV2" s="93">
        <v>2017</v>
      </c>
      <c r="AW2" s="56">
        <f>IFERROR((DATEDIF(Tableau3[[#This Row],[Arrêté LBU]],Tableau3[[#This Row],[OS démarrage]],"d"))/30,0)</f>
        <v>14.9</v>
      </c>
      <c r="AX2" s="102">
        <v>22</v>
      </c>
      <c r="AY2" s="112"/>
      <c r="AZ2" s="110">
        <v>42895</v>
      </c>
      <c r="BA2" s="116">
        <f>DATE(YEAR(Tableau3[[#This Row],[OS démarrage]]),MONTH(Tableau3[[#This Row],[OS démarrage]])+Tableau3[[#This Row],[Délai chantier initial]],DAY(Tableau3[[#This Row],[OS démarrage]]))</f>
        <v>43435</v>
      </c>
      <c r="BB2" s="132">
        <v>43524</v>
      </c>
      <c r="BC2" s="121">
        <f>(Tableau3[[#This Row],[Date réception entreprise recalée]]-Tableau3[[#This Row],[Date réception entreprise prévue initialement]])/30</f>
        <v>2.9666666666666668</v>
      </c>
      <c r="BD2" s="123">
        <v>43457</v>
      </c>
      <c r="BE2" s="124">
        <v>43457</v>
      </c>
      <c r="BF2" s="124">
        <v>43457</v>
      </c>
      <c r="BG2" s="124">
        <v>43457</v>
      </c>
      <c r="BH2" s="137">
        <f>IFERROR((Tableau3[[#This Row],[Date Livraison VEFA estimée avec retards constatés]]-Tableau3[[#This Row],[Date livraison contractuelle y/c avenant]])/30,"-")</f>
        <v>0</v>
      </c>
      <c r="BI2" s="138">
        <f>Tableau3[[#This Row],[Date Livraison VEFA estimée avec retards constatés]]-Tableau3[[#This Row],[Date livraison contractuelle y/c avenant]]</f>
        <v>0</v>
      </c>
      <c r="BJ2" s="139">
        <f>IF(Tableau3[[#This Row],[TYPE]]="Rehab","",DATE(YEAR(Tableau3[[#This Row],[Achèvement fondations]])+2,MONTH(Tableau3[[#This Row],[Achèvement fondations]]),DAY(Tableau3[[#This Row],[Achèvement fondations]])))</f>
        <v>43625</v>
      </c>
      <c r="BN2" t="s">
        <v>427</v>
      </c>
    </row>
    <row r="3" spans="1:66" x14ac:dyDescent="0.3">
      <c r="A3" s="3" t="s">
        <v>99</v>
      </c>
      <c r="B3" s="4" t="s">
        <v>49</v>
      </c>
      <c r="C3" s="4" t="s">
        <v>26</v>
      </c>
      <c r="D3" s="4">
        <v>2015</v>
      </c>
      <c r="E3" s="4" t="s">
        <v>100</v>
      </c>
      <c r="F3" s="4"/>
      <c r="G3" s="4"/>
      <c r="H3" s="5" t="s">
        <v>13</v>
      </c>
      <c r="I3" s="4" t="s">
        <v>52</v>
      </c>
      <c r="J3" s="4"/>
      <c r="K3" s="8" t="s">
        <v>81</v>
      </c>
      <c r="L3" s="24">
        <f>Tableau3[[#This Row],[LLS]]+Tableau3[[#This Row],[LLTS]]+Tableau3[[#This Row],[PLS]]+Tableau3[[#This Row],[REHAB]]</f>
        <v>18</v>
      </c>
      <c r="M3" s="23">
        <f>IFERROR(Tableau3[[#This Row],[LLS]]+Tableau3[[#This Row],[LLTS]]+Tableau3[[#This Row],[PLS]],"-")</f>
        <v>18</v>
      </c>
      <c r="N3" s="25"/>
      <c r="O3" s="4">
        <v>18</v>
      </c>
      <c r="P3" s="25"/>
      <c r="Q3" s="25"/>
      <c r="R3" s="26">
        <v>1480.6299999999999</v>
      </c>
      <c r="S3" s="27">
        <v>1708.71</v>
      </c>
      <c r="T3" s="56">
        <f>Tableau3[[#This Row],[SHAB y/c V]]/Tableau3[[#This Row],[N]]</f>
        <v>82.257222222222211</v>
      </c>
      <c r="U3" s="56">
        <f>Tableau3[[#This Row],[SF priorisée]]/Tableau3[[#This Row],[N]]</f>
        <v>94.928333333333342</v>
      </c>
      <c r="V3" s="57">
        <f>IFERROR(Tableau3[[#This Row],[SHAB y/c V]]/Tableau3[[#This Row],[SF priorisée]],"-")</f>
        <v>0.86651918698901498</v>
      </c>
      <c r="W3" s="56">
        <v>476.85</v>
      </c>
      <c r="X3" s="43" t="s">
        <v>390</v>
      </c>
      <c r="Y3" s="43"/>
      <c r="Z3" s="5"/>
      <c r="AA3" s="58">
        <f>IFERROR(Tableau3[[#This Row],[Prix Achat TTC]]/Tableau3[[#This Row],[SHAB y/c V]],"-")</f>
        <v>0</v>
      </c>
      <c r="AB3" s="58">
        <f>IFERROR(Tableau3[[#This Row],[Prix Achat TTC]]/Tableau3[[#This Row],[SF priorisée]],"-")</f>
        <v>0</v>
      </c>
      <c r="AC3" s="58">
        <f>IFERROR(Tableau3[[#This Row],[Prix Achat TTC]]/Tableau3[[#This Row],[N]],"-")</f>
        <v>0</v>
      </c>
      <c r="AD3" s="62">
        <v>42093</v>
      </c>
      <c r="AE3" s="62">
        <v>42320</v>
      </c>
      <c r="AF3" s="62"/>
      <c r="AG3" s="58">
        <f>IFERROR((DATEDIF(Tableau3[[#This Row],[Demande LBU]],Tableau3[[#This Row],[Arrêté LBU]],"d"))/30,0)</f>
        <v>7.5666666666666664</v>
      </c>
      <c r="AH3" s="68">
        <v>42608</v>
      </c>
      <c r="AI3" s="68">
        <v>42620</v>
      </c>
      <c r="AJ3" s="73">
        <f>IFERROR((DATEDIF(Tableau3[[#This Row],[Dde édition prêt]],Tableau3[[#This Row],[Contrat de prêt]],"d"))/30,"-")</f>
        <v>0.4</v>
      </c>
      <c r="AK3" s="68">
        <f>EOMONTH(Tableau3[[#This Row],[Contrat de prêt]],0)+1</f>
        <v>42644</v>
      </c>
      <c r="AL3" s="68">
        <v>42648</v>
      </c>
      <c r="AM3" s="68">
        <v>42736</v>
      </c>
      <c r="AN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43831</v>
      </c>
      <c r="AO3" s="79">
        <f>47718.4+7748.48</f>
        <v>55466.880000000005</v>
      </c>
      <c r="AP3" s="2" t="str">
        <f>IF(Tableau3[[#This Row],[Montant des loyers perçus avant 1e échéance]]&lt;Tableau3[[#This Row],[Montant échéance annuelle]],"oui","non")</f>
        <v>oui</v>
      </c>
      <c r="AS3" s="79">
        <f>Tableau3[[#This Row],[Mois de loyers avant 1e échéance]]-Tableau3[[#This Row],[Montant échéance annuelle]]</f>
        <v>-55466.880000000005</v>
      </c>
      <c r="AU3" s="83">
        <v>42772</v>
      </c>
      <c r="AV3" s="93">
        <v>2017</v>
      </c>
      <c r="AW3" s="56">
        <f>IFERROR((DATEDIF(Tableau3[[#This Row],[Arrêté LBU]],Tableau3[[#This Row],[OS démarrage]],"d"))/30,0)</f>
        <v>15.066666666666666</v>
      </c>
      <c r="AX3" s="102">
        <v>16</v>
      </c>
      <c r="AY3" s="112"/>
      <c r="AZ3" s="84">
        <v>42923</v>
      </c>
      <c r="BA3" s="116">
        <f>DATE(YEAR(Tableau3[[#This Row],[OS démarrage]]),MONTH(Tableau3[[#This Row],[OS démarrage]])+Tableau3[[#This Row],[Délai chantier initial]],DAY(Tableau3[[#This Row],[OS démarrage]]))</f>
        <v>43257</v>
      </c>
      <c r="BB3" s="118">
        <v>43346</v>
      </c>
      <c r="BC3" s="121">
        <f>(Tableau3[[#This Row],[Date réception entreprise recalée]]-Tableau3[[#This Row],[Date réception entreprise prévue initialement]])/30</f>
        <v>2.9666666666666668</v>
      </c>
      <c r="BD3" s="124"/>
      <c r="BE3" s="124"/>
      <c r="BF3" s="124"/>
      <c r="BG3" s="124"/>
      <c r="BH3" s="137">
        <f>IFERROR((Tableau3[[#This Row],[Date Livraison VEFA estimée avec retards constatés]]-Tableau3[[#This Row],[Date livraison contractuelle y/c avenant]])/30,"-")</f>
        <v>0</v>
      </c>
      <c r="BI3" s="138">
        <f>Tableau3[[#This Row],[Date Livraison VEFA estimée avec retards constatés]]-Tableau3[[#This Row],[Date livraison contractuelle y/c avenant]]</f>
        <v>0</v>
      </c>
      <c r="BJ3" s="140">
        <f>IF(Tableau3[[#This Row],[TYPE]]="Rehab","",DATE(YEAR(Tableau3[[#This Row],[Achèvement fondations]])+2,MONTH(Tableau3[[#This Row],[Achèvement fondations]]),DAY(Tableau3[[#This Row],[Achèvement fondations]])))</f>
        <v>43653</v>
      </c>
    </row>
    <row r="4" spans="1:66" x14ac:dyDescent="0.3">
      <c r="A4" s="7" t="s">
        <v>101</v>
      </c>
      <c r="B4" s="4" t="s">
        <v>47</v>
      </c>
      <c r="C4" s="4" t="s">
        <v>21</v>
      </c>
      <c r="D4" s="4">
        <v>2015</v>
      </c>
      <c r="E4" s="4" t="s">
        <v>102</v>
      </c>
      <c r="F4" s="5"/>
      <c r="G4" s="5"/>
      <c r="H4" s="5"/>
      <c r="I4" s="5"/>
      <c r="J4" s="4" t="s">
        <v>103</v>
      </c>
      <c r="K4" s="8" t="s">
        <v>81</v>
      </c>
      <c r="L4" s="24">
        <f>Tableau3[[#This Row],[LLS]]+Tableau3[[#This Row],[LLTS]]+Tableau3[[#This Row],[PLS]]+Tableau3[[#This Row],[REHAB]]</f>
        <v>12</v>
      </c>
      <c r="M4" s="23">
        <f>IFERROR(Tableau3[[#This Row],[LLS]]+Tableau3[[#This Row],[LLTS]]+Tableau3[[#This Row],[PLS]],"-")</f>
        <v>12</v>
      </c>
      <c r="N4" s="25"/>
      <c r="O4" s="4">
        <v>12</v>
      </c>
      <c r="P4" s="25"/>
      <c r="Q4" s="25"/>
      <c r="R4" s="26">
        <v>677.26</v>
      </c>
      <c r="S4" s="27">
        <v>677.26</v>
      </c>
      <c r="T4" s="56">
        <f>Tableau3[[#This Row],[SHAB y/c V]]/Tableau3[[#This Row],[N]]</f>
        <v>56.438333333333333</v>
      </c>
      <c r="U4" s="56">
        <f>Tableau3[[#This Row],[SF priorisée]]/Tableau3[[#This Row],[N]]</f>
        <v>56.438333333333333</v>
      </c>
      <c r="V4" s="57">
        <f>IFERROR(Tableau3[[#This Row],[SHAB y/c V]]/Tableau3[[#This Row],[SF priorisée]],"-")</f>
        <v>1</v>
      </c>
      <c r="W4" s="56">
        <v>331.1</v>
      </c>
      <c r="X4" s="43" t="s">
        <v>390</v>
      </c>
      <c r="Y4" s="43"/>
      <c r="Z4" s="5"/>
      <c r="AA4" s="58">
        <f>IFERROR(Tableau3[[#This Row],[Prix Achat TTC]]/Tableau3[[#This Row],[SHAB y/c V]],"-")</f>
        <v>0</v>
      </c>
      <c r="AB4" s="58">
        <f>IFERROR(Tableau3[[#This Row],[Prix Achat TTC]]/Tableau3[[#This Row],[SF priorisée]],"-")</f>
        <v>0</v>
      </c>
      <c r="AC4" s="58">
        <f>IFERROR(Tableau3[[#This Row],[Prix Achat TTC]]/Tableau3[[#This Row],[N]],"-")</f>
        <v>0</v>
      </c>
      <c r="AD4" s="62">
        <v>42093</v>
      </c>
      <c r="AE4" s="62">
        <v>42306</v>
      </c>
      <c r="AF4" s="62">
        <v>42335</v>
      </c>
      <c r="AG4" s="58">
        <f>IFERROR((DATEDIF(Tableau3[[#This Row],[Demande LBU]],Tableau3[[#This Row],[Arrêté LBU]],"d"))/30,0)</f>
        <v>7.1</v>
      </c>
      <c r="AH4" s="68">
        <v>42614</v>
      </c>
      <c r="AI4" s="68">
        <v>42622</v>
      </c>
      <c r="AJ4" s="73">
        <f>IFERROR((DATEDIF(Tableau3[[#This Row],[Dde édition prêt]],Tableau3[[#This Row],[Contrat de prêt]],"d"))/30,"-")</f>
        <v>0.26666666666666666</v>
      </c>
      <c r="AK4" s="68">
        <f>EOMONTH(Tableau3[[#This Row],[Contrat de prêt]],0)+1</f>
        <v>42644</v>
      </c>
      <c r="AL4" s="68"/>
      <c r="AM4" s="68">
        <v>42736</v>
      </c>
      <c r="AN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43831</v>
      </c>
      <c r="AO4" s="79">
        <f>16897+4009</f>
        <v>20906</v>
      </c>
      <c r="AP4" s="2" t="str">
        <f>IF(Tableau3[[#This Row],[Montant des loyers perçus avant 1e échéance]]&lt;Tableau3[[#This Row],[Montant échéance annuelle]],"oui","non")</f>
        <v>oui</v>
      </c>
      <c r="AS4" s="79">
        <f>Tableau3[[#This Row],[Mois de loyers avant 1e échéance]]-Tableau3[[#This Row],[Montant échéance annuelle]]</f>
        <v>-20906</v>
      </c>
      <c r="AU4" s="83">
        <v>42782</v>
      </c>
      <c r="AV4" s="93">
        <v>2017</v>
      </c>
      <c r="AW4" s="56">
        <f>IFERROR((DATEDIF(Tableau3[[#This Row],[Arrêté LBU]],Tableau3[[#This Row],[OS démarrage]],"d"))/30,0)</f>
        <v>15.866666666666667</v>
      </c>
      <c r="AX4" s="103">
        <v>18</v>
      </c>
      <c r="AY4" s="112"/>
      <c r="AZ4" s="84">
        <v>43160</v>
      </c>
      <c r="BA4" s="116">
        <f>DATE(YEAR(Tableau3[[#This Row],[OS démarrage]]),MONTH(Tableau3[[#This Row],[OS démarrage]])+Tableau3[[#This Row],[Délai chantier initial]],DAY(Tableau3[[#This Row],[OS démarrage]]))</f>
        <v>43328</v>
      </c>
      <c r="BB4" s="118">
        <v>43503</v>
      </c>
      <c r="BC4" s="121">
        <f>(Tableau3[[#This Row],[Date réception entreprise recalée]]-Tableau3[[#This Row],[Date réception entreprise prévue initialement]])/30</f>
        <v>5.833333333333333</v>
      </c>
      <c r="BD4" s="124"/>
      <c r="BE4" s="124"/>
      <c r="BF4" s="124"/>
      <c r="BG4" s="124"/>
      <c r="BH4" s="137">
        <f>IFERROR((Tableau3[[#This Row],[Date Livraison VEFA estimée avec retards constatés]]-Tableau3[[#This Row],[Date livraison contractuelle y/c avenant]])/30,"-")</f>
        <v>0</v>
      </c>
      <c r="BI4" s="138">
        <f>Tableau3[[#This Row],[Date Livraison VEFA estimée avec retards constatés]]-Tableau3[[#This Row],[Date livraison contractuelle y/c avenant]]</f>
        <v>0</v>
      </c>
      <c r="BJ4" s="140">
        <f>IF(Tableau3[[#This Row],[TYPE]]="Rehab","",DATE(YEAR(Tableau3[[#This Row],[Achèvement fondations]])+2,MONTH(Tableau3[[#This Row],[Achèvement fondations]]),DAY(Tableau3[[#This Row],[Achèvement fondations]])))</f>
        <v>43891</v>
      </c>
    </row>
    <row r="5" spans="1:66" x14ac:dyDescent="0.3">
      <c r="A5" s="7" t="s">
        <v>104</v>
      </c>
      <c r="B5" s="4" t="s">
        <v>47</v>
      </c>
      <c r="C5" s="4" t="s">
        <v>21</v>
      </c>
      <c r="D5" s="4">
        <v>2015</v>
      </c>
      <c r="E5" s="4" t="s">
        <v>102</v>
      </c>
      <c r="F5" s="4" t="s">
        <v>17</v>
      </c>
      <c r="G5" s="4"/>
      <c r="H5" s="8" t="s">
        <v>35</v>
      </c>
      <c r="I5" s="4" t="s">
        <v>52</v>
      </c>
      <c r="J5" s="5"/>
      <c r="K5" s="8" t="s">
        <v>80</v>
      </c>
      <c r="L5" s="24">
        <f>Tableau3[[#This Row],[LLS]]+Tableau3[[#This Row],[LLTS]]+Tableau3[[#This Row],[PLS]]+Tableau3[[#This Row],[REHAB]]</f>
        <v>46</v>
      </c>
      <c r="M5" s="23">
        <f>IFERROR(Tableau3[[#This Row],[LLS]]+Tableau3[[#This Row],[LLTS]]+Tableau3[[#This Row],[PLS]],"-")</f>
        <v>46</v>
      </c>
      <c r="N5" s="4">
        <v>46</v>
      </c>
      <c r="O5" s="25"/>
      <c r="P5" s="25"/>
      <c r="Q5" s="25"/>
      <c r="R5" s="26">
        <v>3586.65</v>
      </c>
      <c r="S5" s="27">
        <v>4035.6650000000013</v>
      </c>
      <c r="T5" s="56">
        <f>Tableau3[[#This Row],[SHAB y/c V]]/Tableau3[[#This Row],[N]]</f>
        <v>77.970652173913052</v>
      </c>
      <c r="U5" s="56">
        <f>Tableau3[[#This Row],[SF priorisée]]/Tableau3[[#This Row],[N]]</f>
        <v>87.731847826086991</v>
      </c>
      <c r="V5" s="57">
        <f>IFERROR(Tableau3[[#This Row],[SHAB y/c V]]/Tableau3[[#This Row],[SF priorisée]],"-")</f>
        <v>0.88873828724633952</v>
      </c>
      <c r="W5" s="56">
        <v>562</v>
      </c>
      <c r="X5" s="43" t="s">
        <v>390</v>
      </c>
      <c r="Y5" s="43"/>
      <c r="Z5" s="5"/>
      <c r="AA5" s="58">
        <f>IFERROR(Tableau3[[#This Row],[Prix Achat TTC]]/Tableau3[[#This Row],[SHAB y/c V]],"-")</f>
        <v>0</v>
      </c>
      <c r="AB5" s="58">
        <f>IFERROR(Tableau3[[#This Row],[Prix Achat TTC]]/Tableau3[[#This Row],[SF priorisée]],"-")</f>
        <v>0</v>
      </c>
      <c r="AC5" s="58">
        <f>IFERROR(Tableau3[[#This Row],[Prix Achat TTC]]/Tableau3[[#This Row],[N]],"-")</f>
        <v>0</v>
      </c>
      <c r="AD5" s="62">
        <v>42093</v>
      </c>
      <c r="AE5" s="62">
        <v>42304</v>
      </c>
      <c r="AF5" s="62">
        <v>42335</v>
      </c>
      <c r="AG5" s="58">
        <f>IFERROR((DATEDIF(Tableau3[[#This Row],[Demande LBU]],Tableau3[[#This Row],[Arrêté LBU]],"d"))/30,0)</f>
        <v>7.0333333333333332</v>
      </c>
      <c r="AH5" s="68">
        <v>42614</v>
      </c>
      <c r="AI5" s="68">
        <v>42620</v>
      </c>
      <c r="AJ5" s="73">
        <f>IFERROR((DATEDIF(Tableau3[[#This Row],[Dde édition prêt]],Tableau3[[#This Row],[Contrat de prêt]],"d"))/30,"-")</f>
        <v>0.2</v>
      </c>
      <c r="AK5" s="68">
        <f>EOMONTH(Tableau3[[#This Row],[Contrat de prêt]],0)+1</f>
        <v>42644</v>
      </c>
      <c r="AL5" s="68"/>
      <c r="AM5" s="68">
        <v>42736</v>
      </c>
      <c r="AN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43831</v>
      </c>
      <c r="AO5" s="79">
        <f>35712+134537</f>
        <v>170249</v>
      </c>
      <c r="AP5" s="2" t="str">
        <f>IF(Tableau3[[#This Row],[Montant des loyers perçus avant 1e échéance]]&lt;Tableau3[[#This Row],[Montant échéance annuelle]],"oui","non")</f>
        <v>oui</v>
      </c>
      <c r="AS5" s="79">
        <f>Tableau3[[#This Row],[Mois de loyers avant 1e échéance]]-Tableau3[[#This Row],[Montant échéance annuelle]]</f>
        <v>-170249</v>
      </c>
      <c r="AU5" s="83">
        <v>42782</v>
      </c>
      <c r="AV5" s="93">
        <v>2017</v>
      </c>
      <c r="AW5" s="56">
        <f>IFERROR((DATEDIF(Tableau3[[#This Row],[Arrêté LBU]],Tableau3[[#This Row],[OS démarrage]],"d"))/30,0)</f>
        <v>15.933333333333334</v>
      </c>
      <c r="AX5" s="102">
        <v>18</v>
      </c>
      <c r="AY5" s="112"/>
      <c r="AZ5" s="84">
        <v>43160</v>
      </c>
      <c r="BA5" s="116">
        <f>DATE(YEAR(Tableau3[[#This Row],[OS démarrage]]),MONTH(Tableau3[[#This Row],[OS démarrage]])+Tableau3[[#This Row],[Délai chantier initial]],DAY(Tableau3[[#This Row],[OS démarrage]]))</f>
        <v>43328</v>
      </c>
      <c r="BB5" s="118">
        <v>43503</v>
      </c>
      <c r="BC5" s="121">
        <f>(Tableau3[[#This Row],[Date réception entreprise recalée]]-Tableau3[[#This Row],[Date réception entreprise prévue initialement]])/30</f>
        <v>5.833333333333333</v>
      </c>
      <c r="BD5" s="124"/>
      <c r="BE5" s="124"/>
      <c r="BF5" s="124"/>
      <c r="BG5" s="124"/>
      <c r="BH5" s="137">
        <f>IFERROR((Tableau3[[#This Row],[Date Livraison VEFA estimée avec retards constatés]]-Tableau3[[#This Row],[Date livraison contractuelle y/c avenant]])/30,"-")</f>
        <v>0</v>
      </c>
      <c r="BI5" s="138">
        <f>Tableau3[[#This Row],[Date Livraison VEFA estimée avec retards constatés]]-Tableau3[[#This Row],[Date livraison contractuelle y/c avenant]]</f>
        <v>0</v>
      </c>
      <c r="BJ5" s="140">
        <f>IF(Tableau3[[#This Row],[TYPE]]="Rehab","",DATE(YEAR(Tableau3[[#This Row],[Achèvement fondations]])+2,MONTH(Tableau3[[#This Row],[Achèvement fondations]]),DAY(Tableau3[[#This Row],[Achèvement fondations]])))</f>
        <v>43891</v>
      </c>
    </row>
    <row r="6" spans="1:66" x14ac:dyDescent="0.3">
      <c r="A6" s="7" t="s">
        <v>105</v>
      </c>
      <c r="B6" s="4" t="s">
        <v>41</v>
      </c>
      <c r="C6" s="4" t="s">
        <v>12</v>
      </c>
      <c r="D6" s="4">
        <v>2015</v>
      </c>
      <c r="E6" s="4" t="s">
        <v>106</v>
      </c>
      <c r="F6" s="4"/>
      <c r="G6" s="4"/>
      <c r="H6" s="4" t="s">
        <v>18</v>
      </c>
      <c r="I6" s="4" t="s">
        <v>52</v>
      </c>
      <c r="J6" s="4"/>
      <c r="K6" s="8" t="s">
        <v>81</v>
      </c>
      <c r="L6" s="24">
        <f>Tableau3[[#This Row],[LLS]]+Tableau3[[#This Row],[LLTS]]+Tableau3[[#This Row],[PLS]]+Tableau3[[#This Row],[REHAB]]</f>
        <v>20</v>
      </c>
      <c r="M6" s="23">
        <f>IFERROR(Tableau3[[#This Row],[LLS]]+Tableau3[[#This Row],[LLTS]]+Tableau3[[#This Row],[PLS]],"-")</f>
        <v>20</v>
      </c>
      <c r="N6" s="25"/>
      <c r="O6" s="4">
        <v>20</v>
      </c>
      <c r="P6" s="25"/>
      <c r="Q6" s="25"/>
      <c r="R6" s="26">
        <v>1299.51</v>
      </c>
      <c r="S6" s="27">
        <v>1299.51</v>
      </c>
      <c r="T6" s="56">
        <f>Tableau3[[#This Row],[SHAB y/c V]]/Tableau3[[#This Row],[N]]</f>
        <v>64.975499999999997</v>
      </c>
      <c r="U6" s="56">
        <f>Tableau3[[#This Row],[SF priorisée]]/Tableau3[[#This Row],[N]]</f>
        <v>64.975499999999997</v>
      </c>
      <c r="V6" s="57">
        <f>IFERROR(Tableau3[[#This Row],[SHAB y/c V]]/Tableau3[[#This Row],[SF priorisée]],"-")</f>
        <v>1</v>
      </c>
      <c r="W6" s="56">
        <v>363.43</v>
      </c>
      <c r="X6" s="43" t="s">
        <v>390</v>
      </c>
      <c r="Y6" s="43"/>
      <c r="Z6" s="5"/>
      <c r="AA6" s="58">
        <f>IFERROR(Tableau3[[#This Row],[Prix Achat TTC]]/Tableau3[[#This Row],[SHAB y/c V]],"-")</f>
        <v>0</v>
      </c>
      <c r="AB6" s="58">
        <f>IFERROR(Tableau3[[#This Row],[Prix Achat TTC]]/Tableau3[[#This Row],[SF priorisée]],"-")</f>
        <v>0</v>
      </c>
      <c r="AC6" s="58">
        <f>IFERROR(Tableau3[[#This Row],[Prix Achat TTC]]/Tableau3[[#This Row],[N]],"-")</f>
        <v>0</v>
      </c>
      <c r="AD6" s="62">
        <v>42093</v>
      </c>
      <c r="AE6" s="62">
        <v>42249</v>
      </c>
      <c r="AF6" s="62"/>
      <c r="AG6" s="58">
        <f>IFERROR((DATEDIF(Tableau3[[#This Row],[Demande LBU]],Tableau3[[#This Row],[Arrêté LBU]],"d"))/30,0)</f>
        <v>5.2</v>
      </c>
      <c r="AH6" s="68">
        <v>42606</v>
      </c>
      <c r="AI6" s="68">
        <v>42620</v>
      </c>
      <c r="AJ6" s="73">
        <f>IFERROR((DATEDIF(Tableau3[[#This Row],[Dde édition prêt]],Tableau3[[#This Row],[Contrat de prêt]],"d"))/30,"-")</f>
        <v>0.46666666666666667</v>
      </c>
      <c r="AK6" s="68">
        <f>EOMONTH(Tableau3[[#This Row],[Contrat de prêt]],0)+1</f>
        <v>42644</v>
      </c>
      <c r="AL6" s="68">
        <v>42646</v>
      </c>
      <c r="AM6" s="68">
        <v>42736</v>
      </c>
      <c r="AN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43831</v>
      </c>
      <c r="AO6" s="79">
        <f>34022+7868</f>
        <v>41890</v>
      </c>
      <c r="AP6" s="2" t="str">
        <f>IF(Tableau3[[#This Row],[Montant des loyers perçus avant 1e échéance]]&lt;Tableau3[[#This Row],[Montant échéance annuelle]],"oui","non")</f>
        <v>oui</v>
      </c>
      <c r="AS6" s="79">
        <f>Tableau3[[#This Row],[Mois de loyers avant 1e échéance]]-Tableau3[[#This Row],[Montant échéance annuelle]]</f>
        <v>-41890</v>
      </c>
      <c r="AU6" s="83">
        <v>42786</v>
      </c>
      <c r="AV6" s="93">
        <v>2017</v>
      </c>
      <c r="AW6" s="56">
        <f>IFERROR((DATEDIF(Tableau3[[#This Row],[Arrêté LBU]],Tableau3[[#This Row],[OS démarrage]],"d"))/30,0)</f>
        <v>17.899999999999999</v>
      </c>
      <c r="AX6" s="103">
        <v>14</v>
      </c>
      <c r="AY6" s="112"/>
      <c r="AZ6" s="110">
        <v>42978</v>
      </c>
      <c r="BA6" s="116">
        <f>DATE(YEAR(Tableau3[[#This Row],[OS démarrage]]),MONTH(Tableau3[[#This Row],[OS démarrage]])+Tableau3[[#This Row],[Délai chantier initial]],DAY(Tableau3[[#This Row],[OS démarrage]]))</f>
        <v>43210</v>
      </c>
      <c r="BB6" s="118">
        <v>43326</v>
      </c>
      <c r="BC6" s="121">
        <f>(Tableau3[[#This Row],[Date réception entreprise recalée]]-Tableau3[[#This Row],[Date réception entreprise prévue initialement]])/30</f>
        <v>3.8666666666666667</v>
      </c>
      <c r="BD6" s="124"/>
      <c r="BE6" s="124"/>
      <c r="BF6" s="124"/>
      <c r="BG6" s="124"/>
      <c r="BH6" s="137">
        <f>IFERROR((Tableau3[[#This Row],[Date Livraison VEFA estimée avec retards constatés]]-Tableau3[[#This Row],[Date livraison contractuelle y/c avenant]])/30,"-")</f>
        <v>0</v>
      </c>
      <c r="BI6" s="138">
        <f>Tableau3[[#This Row],[Date Livraison VEFA estimée avec retards constatés]]-Tableau3[[#This Row],[Date livraison contractuelle y/c avenant]]</f>
        <v>0</v>
      </c>
      <c r="BJ6" s="140">
        <f>IF(Tableau3[[#This Row],[TYPE]]="Rehab","",DATE(YEAR(Tableau3[[#This Row],[Achèvement fondations]])+2,MONTH(Tableau3[[#This Row],[Achèvement fondations]]),DAY(Tableau3[[#This Row],[Achèvement fondations]])))</f>
        <v>43708</v>
      </c>
    </row>
    <row r="7" spans="1:66" x14ac:dyDescent="0.3">
      <c r="A7" s="9" t="s">
        <v>107</v>
      </c>
      <c r="B7" s="8" t="s">
        <v>51</v>
      </c>
      <c r="C7" s="8" t="s">
        <v>12</v>
      </c>
      <c r="D7" s="8">
        <v>2015</v>
      </c>
      <c r="E7" s="8" t="s">
        <v>108</v>
      </c>
      <c r="F7" s="8" t="s">
        <v>22</v>
      </c>
      <c r="G7" s="8"/>
      <c r="H7" s="10" t="s">
        <v>23</v>
      </c>
      <c r="I7" s="4" t="s">
        <v>52</v>
      </c>
      <c r="J7" s="8"/>
      <c r="K7" s="8" t="s">
        <v>81</v>
      </c>
      <c r="L7" s="24">
        <f>Tableau3[[#This Row],[LLS]]+Tableau3[[#This Row],[LLTS]]+Tableau3[[#This Row],[PLS]]+Tableau3[[#This Row],[REHAB]]</f>
        <v>19</v>
      </c>
      <c r="M7" s="23">
        <f>IFERROR(Tableau3[[#This Row],[LLS]]+Tableau3[[#This Row],[LLTS]]+Tableau3[[#This Row],[PLS]],"-")</f>
        <v>19</v>
      </c>
      <c r="N7" s="28"/>
      <c r="O7" s="8">
        <v>19</v>
      </c>
      <c r="P7" s="25"/>
      <c r="Q7" s="25"/>
      <c r="R7" s="26">
        <v>1201.58</v>
      </c>
      <c r="S7" s="27">
        <v>1201.58</v>
      </c>
      <c r="T7" s="56">
        <f>Tableau3[[#This Row],[SHAB y/c V]]/Tableau3[[#This Row],[N]]</f>
        <v>63.241052631578945</v>
      </c>
      <c r="U7" s="56">
        <f>Tableau3[[#This Row],[SF priorisée]]/Tableau3[[#This Row],[N]]</f>
        <v>63.241052631578945</v>
      </c>
      <c r="V7" s="57">
        <f>IFERROR(Tableau3[[#This Row],[SHAB y/c V]]/Tableau3[[#This Row],[SF priorisée]],"-")</f>
        <v>1</v>
      </c>
      <c r="W7" s="56">
        <v>357.37715014736841</v>
      </c>
      <c r="X7" s="43" t="s">
        <v>390</v>
      </c>
      <c r="Y7" s="43"/>
      <c r="Z7" s="10"/>
      <c r="AA7" s="58">
        <f>IFERROR(Tableau3[[#This Row],[Prix Achat TTC]]/Tableau3[[#This Row],[SHAB y/c V]],"-")</f>
        <v>0</v>
      </c>
      <c r="AB7" s="58">
        <f>IFERROR(Tableau3[[#This Row],[Prix Achat TTC]]/Tableau3[[#This Row],[SF priorisée]],"-")</f>
        <v>0</v>
      </c>
      <c r="AC7" s="58">
        <f>IFERROR(Tableau3[[#This Row],[Prix Achat TTC]]/Tableau3[[#This Row],[N]],"-")</f>
        <v>0</v>
      </c>
      <c r="AD7" s="62">
        <v>42093</v>
      </c>
      <c r="AE7" s="62">
        <v>42248</v>
      </c>
      <c r="AF7" s="62"/>
      <c r="AG7" s="58">
        <f>IFERROR((DATEDIF(Tableau3[[#This Row],[Demande LBU]],Tableau3[[#This Row],[Arrêté LBU]],"d"))/30,0)</f>
        <v>5.166666666666667</v>
      </c>
      <c r="AH7" s="68">
        <v>42548</v>
      </c>
      <c r="AI7" s="68">
        <v>42559</v>
      </c>
      <c r="AJ7" s="73">
        <f>IFERROR((DATEDIF(Tableau3[[#This Row],[Dde édition prêt]],Tableau3[[#This Row],[Contrat de prêt]],"d"))/30,"-")</f>
        <v>0.36666666666666664</v>
      </c>
      <c r="AK7" s="68">
        <f>EOMONTH(Tableau3[[#This Row],[Contrat de prêt]],0)+1</f>
        <v>42583</v>
      </c>
      <c r="AL7" s="68"/>
      <c r="AM7" s="68">
        <v>42675</v>
      </c>
      <c r="AN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43770</v>
      </c>
      <c r="AO7" s="79">
        <f>7745+28940</f>
        <v>36685</v>
      </c>
      <c r="AP7" s="2" t="str">
        <f>IF(Tableau3[[#This Row],[Montant des loyers perçus avant 1e échéance]]&lt;Tableau3[[#This Row],[Montant échéance annuelle]],"oui","non")</f>
        <v>oui</v>
      </c>
      <c r="AS7" s="79">
        <f>Tableau3[[#This Row],[Mois de loyers avant 1e échéance]]-Tableau3[[#This Row],[Montant échéance annuelle]]</f>
        <v>-36685</v>
      </c>
      <c r="AU7" s="83">
        <v>42947</v>
      </c>
      <c r="AV7" s="93">
        <v>2017</v>
      </c>
      <c r="AW7" s="56">
        <f>IFERROR((DATEDIF(Tableau3[[#This Row],[Arrêté LBU]],Tableau3[[#This Row],[OS démarrage]],"d"))/30,0)</f>
        <v>23.3</v>
      </c>
      <c r="AX7" s="102">
        <v>15</v>
      </c>
      <c r="AY7" s="112"/>
      <c r="AZ7" s="110">
        <v>43144</v>
      </c>
      <c r="BA7" s="116">
        <f>DATE(YEAR(Tableau3[[#This Row],[OS démarrage]]),MONTH(Tableau3[[#This Row],[OS démarrage]])+Tableau3[[#This Row],[Délai chantier initial]],DAY(Tableau3[[#This Row],[OS démarrage]]))</f>
        <v>43404</v>
      </c>
      <c r="BB7" s="118">
        <v>43634</v>
      </c>
      <c r="BC7" s="121">
        <f>(Tableau3[[#This Row],[Date réception entreprise recalée]]-Tableau3[[#This Row],[Date réception entreprise prévue initialement]])/30</f>
        <v>7.666666666666667</v>
      </c>
      <c r="BD7" s="124"/>
      <c r="BE7" s="124"/>
      <c r="BF7" s="124"/>
      <c r="BG7" s="124"/>
      <c r="BH7" s="137">
        <f>IFERROR((Tableau3[[#This Row],[Date Livraison VEFA estimée avec retards constatés]]-Tableau3[[#This Row],[Date livraison contractuelle y/c avenant]])/30,"-")</f>
        <v>0</v>
      </c>
      <c r="BI7" s="138">
        <f>Tableau3[[#This Row],[Date Livraison VEFA estimée avec retards constatés]]-Tableau3[[#This Row],[Date livraison contractuelle y/c avenant]]</f>
        <v>0</v>
      </c>
      <c r="BJ7" s="140">
        <f>IF(Tableau3[[#This Row],[TYPE]]="Rehab","",DATE(YEAR(Tableau3[[#This Row],[Achèvement fondations]])+2,MONTH(Tableau3[[#This Row],[Achèvement fondations]]),DAY(Tableau3[[#This Row],[Achèvement fondations]])))</f>
        <v>43874</v>
      </c>
    </row>
    <row r="8" spans="1:66" x14ac:dyDescent="0.3">
      <c r="A8" s="7" t="s">
        <v>109</v>
      </c>
      <c r="B8" s="4" t="s">
        <v>55</v>
      </c>
      <c r="C8" s="4" t="s">
        <v>12</v>
      </c>
      <c r="D8" s="4">
        <v>2015</v>
      </c>
      <c r="E8" s="4" t="s">
        <v>110</v>
      </c>
      <c r="F8" s="4" t="s">
        <v>22</v>
      </c>
      <c r="G8" s="4"/>
      <c r="H8" s="5" t="s">
        <v>31</v>
      </c>
      <c r="I8" s="4" t="s">
        <v>52</v>
      </c>
      <c r="J8" s="4"/>
      <c r="K8" s="8" t="s">
        <v>80</v>
      </c>
      <c r="L8" s="24">
        <f>Tableau3[[#This Row],[LLS]]+Tableau3[[#This Row],[LLTS]]+Tableau3[[#This Row],[PLS]]+Tableau3[[#This Row],[REHAB]]</f>
        <v>20</v>
      </c>
      <c r="M8" s="23">
        <f>IFERROR(Tableau3[[#This Row],[LLS]]+Tableau3[[#This Row],[LLTS]]+Tableau3[[#This Row],[PLS]],"-")</f>
        <v>20</v>
      </c>
      <c r="N8" s="4">
        <v>20</v>
      </c>
      <c r="O8" s="25"/>
      <c r="P8" s="25"/>
      <c r="Q8" s="25"/>
      <c r="R8" s="26">
        <v>1765.6399999999996</v>
      </c>
      <c r="S8" s="27">
        <v>1940.6399999999996</v>
      </c>
      <c r="T8" s="56">
        <f>Tableau3[[#This Row],[SHAB y/c V]]/Tableau3[[#This Row],[N]]</f>
        <v>88.281999999999982</v>
      </c>
      <c r="U8" s="56">
        <f>Tableau3[[#This Row],[SF priorisée]]/Tableau3[[#This Row],[N]]</f>
        <v>97.031999999999982</v>
      </c>
      <c r="V8" s="57">
        <f>IFERROR(Tableau3[[#This Row],[SHAB y/c V]]/Tableau3[[#This Row],[SF priorisée]],"-")</f>
        <v>0.90982356336054082</v>
      </c>
      <c r="W8" s="56">
        <v>606.02026719999992</v>
      </c>
      <c r="X8" s="43" t="s">
        <v>390</v>
      </c>
      <c r="Y8" s="43" t="s">
        <v>392</v>
      </c>
      <c r="Z8" s="5"/>
      <c r="AA8" s="58">
        <f>IFERROR(Tableau3[[#This Row],[Prix Achat TTC]]/Tableau3[[#This Row],[SHAB y/c V]],"-")</f>
        <v>0</v>
      </c>
      <c r="AB8" s="58">
        <f>IFERROR(Tableau3[[#This Row],[Prix Achat TTC]]/Tableau3[[#This Row],[SF priorisée]],"-")</f>
        <v>0</v>
      </c>
      <c r="AC8" s="58">
        <f>IFERROR(Tableau3[[#This Row],[Prix Achat TTC]]/Tableau3[[#This Row],[N]],"-")</f>
        <v>0</v>
      </c>
      <c r="AD8" s="62">
        <v>42093</v>
      </c>
      <c r="AE8" s="62">
        <v>42354</v>
      </c>
      <c r="AF8" s="62">
        <v>42380</v>
      </c>
      <c r="AG8" s="58">
        <f>IFERROR((DATEDIF(Tableau3[[#This Row],[Demande LBU]],Tableau3[[#This Row],[Arrêté LBU]],"d"))/30,0)</f>
        <v>8.6999999999999993</v>
      </c>
      <c r="AH8" s="68">
        <v>42899</v>
      </c>
      <c r="AI8" s="68">
        <v>42929</v>
      </c>
      <c r="AJ8" s="73">
        <f>IFERROR((DATEDIF(Tableau3[[#This Row],[Dde édition prêt]],Tableau3[[#This Row],[Contrat de prêt]],"d"))/30,"-")</f>
        <v>1</v>
      </c>
      <c r="AK8" s="68">
        <f>EOMONTH(Tableau3[[#This Row],[Contrat de prêt]],0)+1</f>
        <v>42948</v>
      </c>
      <c r="AL8" s="68"/>
      <c r="AM8" s="68">
        <v>43040</v>
      </c>
      <c r="AN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44136</v>
      </c>
      <c r="AO8" s="79">
        <f>82893+7312.94</f>
        <v>90205.94</v>
      </c>
      <c r="AP8" s="2" t="str">
        <f>IF(Tableau3[[#This Row],[Montant des loyers perçus avant 1e échéance]]&lt;Tableau3[[#This Row],[Montant échéance annuelle]],"oui","non")</f>
        <v>oui</v>
      </c>
      <c r="AS8" s="79">
        <f>Tableau3[[#This Row],[Mois de loyers avant 1e échéance]]-Tableau3[[#This Row],[Montant échéance annuelle]]</f>
        <v>-90205.94</v>
      </c>
      <c r="AU8" s="83">
        <v>43129</v>
      </c>
      <c r="AV8" s="94">
        <v>2018</v>
      </c>
      <c r="AW8" s="56">
        <f>IFERROR((DATEDIF(Tableau3[[#This Row],[Arrêté LBU]],Tableau3[[#This Row],[OS démarrage]],"d"))/30,0)</f>
        <v>25.833333333333332</v>
      </c>
      <c r="AX8" s="102">
        <v>21</v>
      </c>
      <c r="AY8" s="112"/>
      <c r="AZ8" s="84">
        <v>43446</v>
      </c>
      <c r="BA8" s="116">
        <f>DATE(YEAR(Tableau3[[#This Row],[OS démarrage]]),MONTH(Tableau3[[#This Row],[OS démarrage]])+Tableau3[[#This Row],[Délai chantier initial]],DAY(Tableau3[[#This Row],[OS démarrage]]))</f>
        <v>43767</v>
      </c>
      <c r="BB8" s="118">
        <v>44150</v>
      </c>
      <c r="BC8" s="121">
        <f>(Tableau3[[#This Row],[Date réception entreprise recalée]]-Tableau3[[#This Row],[Date réception entreprise prévue initialement]])/30</f>
        <v>12.766666666666667</v>
      </c>
      <c r="BD8" s="124"/>
      <c r="BE8" s="124"/>
      <c r="BF8" s="124"/>
      <c r="BG8" s="124"/>
      <c r="BH8" s="137">
        <f>IFERROR((Tableau3[[#This Row],[Date Livraison VEFA estimée avec retards constatés]]-Tableau3[[#This Row],[Date livraison contractuelle y/c avenant]])/30,"-")</f>
        <v>0</v>
      </c>
      <c r="BI8" s="138">
        <f>Tableau3[[#This Row],[Date Livraison VEFA estimée avec retards constatés]]-Tableau3[[#This Row],[Date livraison contractuelle y/c avenant]]</f>
        <v>0</v>
      </c>
      <c r="BJ8" s="140">
        <f>IF(Tableau3[[#This Row],[TYPE]]="Rehab","",DATE(YEAR(Tableau3[[#This Row],[Achèvement fondations]])+2,MONTH(Tableau3[[#This Row],[Achèvement fondations]]),DAY(Tableau3[[#This Row],[Achèvement fondations]])))</f>
        <v>44177</v>
      </c>
    </row>
    <row r="9" spans="1:66" x14ac:dyDescent="0.3">
      <c r="A9" s="7" t="s">
        <v>111</v>
      </c>
      <c r="B9" s="4" t="s">
        <v>25</v>
      </c>
      <c r="C9" s="4" t="s">
        <v>21</v>
      </c>
      <c r="D9" s="4">
        <v>2015</v>
      </c>
      <c r="E9" s="4" t="s">
        <v>112</v>
      </c>
      <c r="F9" s="4"/>
      <c r="G9" s="4"/>
      <c r="H9" s="4" t="s">
        <v>13</v>
      </c>
      <c r="I9" s="4" t="s">
        <v>52</v>
      </c>
      <c r="J9" s="4"/>
      <c r="K9" s="8" t="s">
        <v>81</v>
      </c>
      <c r="L9" s="24">
        <f>Tableau3[[#This Row],[LLS]]+Tableau3[[#This Row],[LLTS]]+Tableau3[[#This Row],[PLS]]+Tableau3[[#This Row],[REHAB]]</f>
        <v>18</v>
      </c>
      <c r="M9" s="23">
        <f>IFERROR(Tableau3[[#This Row],[LLS]]+Tableau3[[#This Row],[LLTS]]+Tableau3[[#This Row],[PLS]],"-")</f>
        <v>18</v>
      </c>
      <c r="N9" s="25"/>
      <c r="O9" s="4">
        <v>18</v>
      </c>
      <c r="P9" s="25"/>
      <c r="Q9" s="25"/>
      <c r="R9" s="26">
        <v>1306.4099999999999</v>
      </c>
      <c r="S9" s="27">
        <v>1463.16</v>
      </c>
      <c r="T9" s="56">
        <f>Tableau3[[#This Row],[SHAB y/c V]]/Tableau3[[#This Row],[N]]</f>
        <v>72.578333333333319</v>
      </c>
      <c r="U9" s="56">
        <f>Tableau3[[#This Row],[SF priorisée]]/Tableau3[[#This Row],[N]]</f>
        <v>81.286666666666676</v>
      </c>
      <c r="V9" s="57">
        <f>IFERROR(Tableau3[[#This Row],[SHAB y/c V]]/Tableau3[[#This Row],[SF priorisée]],"-")</f>
        <v>0.89286885918149739</v>
      </c>
      <c r="W9" s="56">
        <v>425.19</v>
      </c>
      <c r="X9" s="43" t="s">
        <v>390</v>
      </c>
      <c r="Y9" s="43" t="s">
        <v>392</v>
      </c>
      <c r="Z9" s="5"/>
      <c r="AA9" s="58">
        <f>IFERROR(Tableau3[[#This Row],[Prix Achat TTC]]/Tableau3[[#This Row],[SHAB y/c V]],"-")</f>
        <v>0</v>
      </c>
      <c r="AB9" s="58">
        <f>IFERROR(Tableau3[[#This Row],[Prix Achat TTC]]/Tableau3[[#This Row],[SF priorisée]],"-")</f>
        <v>0</v>
      </c>
      <c r="AC9" s="58">
        <f>IFERROR(Tableau3[[#This Row],[Prix Achat TTC]]/Tableau3[[#This Row],[N]],"-")</f>
        <v>0</v>
      </c>
      <c r="AD9" s="62">
        <v>42093</v>
      </c>
      <c r="AE9" s="62">
        <v>42298</v>
      </c>
      <c r="AF9" s="62"/>
      <c r="AG9" s="58">
        <f>IFERROR((DATEDIF(Tableau3[[#This Row],[Demande LBU]],Tableau3[[#This Row],[Arrêté LBU]],"d"))/30,0)</f>
        <v>6.833333333333333</v>
      </c>
      <c r="AH9" s="68">
        <v>42885</v>
      </c>
      <c r="AI9" s="68">
        <v>42929</v>
      </c>
      <c r="AJ9" s="73">
        <f>IFERROR((DATEDIF(Tableau3[[#This Row],[Dde édition prêt]],Tableau3[[#This Row],[Contrat de prêt]],"d"))/30,"-")</f>
        <v>1.4666666666666666</v>
      </c>
      <c r="AK9" s="68">
        <f>EOMONTH(Tableau3[[#This Row],[Contrat de prêt]],0)+1</f>
        <v>42948</v>
      </c>
      <c r="AL9" s="68">
        <v>42957</v>
      </c>
      <c r="AM9" s="68">
        <v>43040</v>
      </c>
      <c r="AN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44136</v>
      </c>
      <c r="AO9" s="79">
        <f>63863+6067</f>
        <v>69930</v>
      </c>
      <c r="AP9" s="2" t="str">
        <f>IF(Tableau3[[#This Row],[Montant des loyers perçus avant 1e échéance]]&lt;Tableau3[[#This Row],[Montant échéance annuelle]],"oui","non")</f>
        <v>oui</v>
      </c>
      <c r="AS9" s="79">
        <f>Tableau3[[#This Row],[Mois de loyers avant 1e échéance]]-Tableau3[[#This Row],[Montant échéance annuelle]]</f>
        <v>-69930</v>
      </c>
      <c r="AU9" s="83">
        <v>43122</v>
      </c>
      <c r="AV9" s="94">
        <v>2018</v>
      </c>
      <c r="AW9" s="56">
        <f>IFERROR((DATEDIF(Tableau3[[#This Row],[Arrêté LBU]],Tableau3[[#This Row],[OS démarrage]],"d"))/30,0)</f>
        <v>27.466666666666665</v>
      </c>
      <c r="AX9" s="102">
        <v>15</v>
      </c>
      <c r="AY9" s="112"/>
      <c r="AZ9" s="84">
        <v>43222</v>
      </c>
      <c r="BA9" s="116">
        <f>DATE(YEAR(Tableau3[[#This Row],[OS démarrage]]),MONTH(Tableau3[[#This Row],[OS démarrage]])+Tableau3[[#This Row],[Délai chantier initial]],DAY(Tableau3[[#This Row],[OS démarrage]]))</f>
        <v>43577</v>
      </c>
      <c r="BB9" s="118">
        <v>43642</v>
      </c>
      <c r="BC9" s="121">
        <f>(Tableau3[[#This Row],[Date réception entreprise recalée]]-Tableau3[[#This Row],[Date réception entreprise prévue initialement]])/30</f>
        <v>2.1666666666666665</v>
      </c>
      <c r="BD9" s="124"/>
      <c r="BE9" s="124"/>
      <c r="BF9" s="124"/>
      <c r="BG9" s="124"/>
      <c r="BH9" s="137">
        <f>IFERROR((Tableau3[[#This Row],[Date Livraison VEFA estimée avec retards constatés]]-Tableau3[[#This Row],[Date livraison contractuelle y/c avenant]])/30,"-")</f>
        <v>0</v>
      </c>
      <c r="BI9" s="138">
        <f>Tableau3[[#This Row],[Date Livraison VEFA estimée avec retards constatés]]-Tableau3[[#This Row],[Date livraison contractuelle y/c avenant]]</f>
        <v>0</v>
      </c>
      <c r="BJ9" s="140">
        <f>IF(Tableau3[[#This Row],[TYPE]]="Rehab","",DATE(YEAR(Tableau3[[#This Row],[Achèvement fondations]])+2,MONTH(Tableau3[[#This Row],[Achèvement fondations]]),DAY(Tableau3[[#This Row],[Achèvement fondations]])))</f>
        <v>43953</v>
      </c>
    </row>
    <row r="10" spans="1:66" x14ac:dyDescent="0.3">
      <c r="A10" s="11" t="s">
        <v>113</v>
      </c>
      <c r="B10" s="4" t="s">
        <v>11</v>
      </c>
      <c r="C10" s="4" t="s">
        <v>21</v>
      </c>
      <c r="D10" s="4">
        <v>2016</v>
      </c>
      <c r="E10" s="4" t="s">
        <v>114</v>
      </c>
      <c r="F10" s="4" t="s">
        <v>34</v>
      </c>
      <c r="G10" s="4"/>
      <c r="H10" s="4" t="s">
        <v>18</v>
      </c>
      <c r="I10" s="4" t="s">
        <v>52</v>
      </c>
      <c r="J10" s="4" t="s">
        <v>115</v>
      </c>
      <c r="K10" s="4" t="s">
        <v>81</v>
      </c>
      <c r="L10" s="24">
        <f>Tableau3[[#This Row],[LLS]]+Tableau3[[#This Row],[LLTS]]+Tableau3[[#This Row],[PLS]]+Tableau3[[#This Row],[REHAB]]</f>
        <v>23</v>
      </c>
      <c r="M10" s="23">
        <f>IFERROR(Tableau3[[#This Row],[LLS]]+Tableau3[[#This Row],[LLTS]]+Tableau3[[#This Row],[PLS]],"-")</f>
        <v>23</v>
      </c>
      <c r="N10" s="25"/>
      <c r="O10" s="4">
        <v>23</v>
      </c>
      <c r="P10" s="25"/>
      <c r="Q10" s="25"/>
      <c r="R10" s="26">
        <v>1332.5</v>
      </c>
      <c r="S10" s="27">
        <v>1536.11</v>
      </c>
      <c r="T10" s="56">
        <f>Tableau3[[#This Row],[SHAB y/c V]]/Tableau3[[#This Row],[N]]</f>
        <v>57.934782608695649</v>
      </c>
      <c r="U10" s="56">
        <f>Tableau3[[#This Row],[SF priorisée]]/Tableau3[[#This Row],[N]]</f>
        <v>66.787391304347821</v>
      </c>
      <c r="V10" s="57">
        <f>IFERROR(Tableau3[[#This Row],[SHAB y/c V]]/Tableau3[[#This Row],[SF priorisée]],"-")</f>
        <v>0.86745089869866099</v>
      </c>
      <c r="W10" s="56">
        <v>370.82</v>
      </c>
      <c r="X10" s="43" t="s">
        <v>93</v>
      </c>
      <c r="Y10" s="43"/>
      <c r="Z10" s="46">
        <v>2973918</v>
      </c>
      <c r="AA10" s="58">
        <f>IFERROR(Tableau3[[#This Row],[Prix Achat TTC]]/Tableau3[[#This Row],[SHAB y/c V]],"-")</f>
        <v>2231.8333958724202</v>
      </c>
      <c r="AB10" s="58">
        <f>IFERROR(Tableau3[[#This Row],[Prix Achat TTC]]/Tableau3[[#This Row],[SF priorisée]],"-")</f>
        <v>1936.0058849952154</v>
      </c>
      <c r="AC10" s="58">
        <f>IFERROR(Tableau3[[#This Row],[Prix Achat TTC]]/Tableau3[[#This Row],[N]],"-")</f>
        <v>129300.78260869565</v>
      </c>
      <c r="AD10" s="62">
        <v>42459</v>
      </c>
      <c r="AE10" s="62">
        <v>42543</v>
      </c>
      <c r="AF10" s="62"/>
      <c r="AG10" s="58">
        <f>IFERROR((DATEDIF(Tableau3[[#This Row],[Demande LBU]],Tableau3[[#This Row],[Arrêté LBU]],"d"))/30,0)</f>
        <v>2.8</v>
      </c>
      <c r="AH10" s="68">
        <v>42606</v>
      </c>
      <c r="AI10" s="68">
        <v>42620</v>
      </c>
      <c r="AJ10" s="73">
        <f>IFERROR((DATEDIF(Tableau3[[#This Row],[Dde édition prêt]],Tableau3[[#This Row],[Contrat de prêt]],"d"))/30,"-")</f>
        <v>0.46666666666666667</v>
      </c>
      <c r="AK10" s="68">
        <f>EOMONTH(Tableau3[[#This Row],[Contrat de prêt]],0)+1</f>
        <v>42644</v>
      </c>
      <c r="AL10" s="68">
        <v>42654</v>
      </c>
      <c r="AM10" s="68">
        <v>42736</v>
      </c>
      <c r="AN1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43831</v>
      </c>
      <c r="AO10" s="79">
        <f>41656+6870</f>
        <v>48526</v>
      </c>
      <c r="AP10" s="2" t="str">
        <f>IF(Tableau3[[#This Row],[Montant des loyers perçus avant 1e échéance]]&lt;Tableau3[[#This Row],[Montant échéance annuelle]],"oui","non")</f>
        <v>oui</v>
      </c>
      <c r="AS10" s="79">
        <f>Tableau3[[#This Row],[Mois de loyers avant 1e échéance]]-Tableau3[[#This Row],[Montant échéance annuelle]]</f>
        <v>-48526</v>
      </c>
      <c r="AU10" s="83">
        <v>42583</v>
      </c>
      <c r="AV10" s="94">
        <v>2016</v>
      </c>
      <c r="AW10" s="56">
        <f>IFERROR((DATEDIF(Tableau3[[#This Row],[Arrêté LBU]],Tableau3[[#This Row],[OS démarrage]],"d"))/30,0)</f>
        <v>1.3333333333333333</v>
      </c>
      <c r="AX10" s="106">
        <v>18</v>
      </c>
      <c r="AY10" s="112"/>
      <c r="AZ10" s="110">
        <v>42712</v>
      </c>
      <c r="BA10" s="116">
        <f>DATE(YEAR(Tableau3[[#This Row],[OS démarrage]]),MONTH(Tableau3[[#This Row],[OS démarrage]])+Tableau3[[#This Row],[Délai chantier initial]],DAY(Tableau3[[#This Row],[OS démarrage]]))</f>
        <v>43132</v>
      </c>
      <c r="BB10" s="118">
        <v>43210</v>
      </c>
      <c r="BC10" s="121">
        <f>(Tableau3[[#This Row],[Date réception entreprise recalée]]-Tableau3[[#This Row],[Date réception entreprise prévue initialement]])/30</f>
        <v>2.6</v>
      </c>
      <c r="BD10" s="125">
        <v>43396</v>
      </c>
      <c r="BE10" s="124">
        <v>43396</v>
      </c>
      <c r="BF10" s="124">
        <v>43396</v>
      </c>
      <c r="BG10" s="124">
        <v>43396</v>
      </c>
      <c r="BH10" s="137">
        <f>IFERROR((Tableau3[[#This Row],[Date Livraison VEFA estimée avec retards constatés]]-Tableau3[[#This Row],[Date livraison contractuelle y/c avenant]])/30,"-")</f>
        <v>0</v>
      </c>
      <c r="BI10" s="138">
        <f>Tableau3[[#This Row],[Date Livraison VEFA estimée avec retards constatés]]-Tableau3[[#This Row],[Date livraison contractuelle y/c avenant]]</f>
        <v>0</v>
      </c>
      <c r="BJ10" s="140">
        <f>IF(Tableau3[[#This Row],[TYPE]]="Rehab","",DATE(YEAR(Tableau3[[#This Row],[Achèvement fondations]])+2,MONTH(Tableau3[[#This Row],[Achèvement fondations]]),DAY(Tableau3[[#This Row],[Achèvement fondations]])))</f>
        <v>43442</v>
      </c>
    </row>
    <row r="11" spans="1:66" x14ac:dyDescent="0.3">
      <c r="A11" s="9" t="s">
        <v>116</v>
      </c>
      <c r="B11" s="8" t="s">
        <v>25</v>
      </c>
      <c r="C11" s="8" t="s">
        <v>21</v>
      </c>
      <c r="D11" s="8">
        <v>2016</v>
      </c>
      <c r="E11" s="8" t="s">
        <v>117</v>
      </c>
      <c r="F11" s="8"/>
      <c r="G11" s="8"/>
      <c r="H11" s="10" t="s">
        <v>23</v>
      </c>
      <c r="I11" s="4" t="s">
        <v>52</v>
      </c>
      <c r="J11" s="8"/>
      <c r="K11" s="8" t="s">
        <v>80</v>
      </c>
      <c r="L11" s="24">
        <f>Tableau3[[#This Row],[LLS]]+Tableau3[[#This Row],[LLTS]]+Tableau3[[#This Row],[PLS]]+Tableau3[[#This Row],[REHAB]]</f>
        <v>30</v>
      </c>
      <c r="M11" s="23">
        <f>IFERROR(Tableau3[[#This Row],[LLS]]+Tableau3[[#This Row],[LLTS]]+Tableau3[[#This Row],[PLS]],"-")</f>
        <v>30</v>
      </c>
      <c r="N11" s="8">
        <v>30</v>
      </c>
      <c r="O11" s="28"/>
      <c r="P11" s="25"/>
      <c r="Q11" s="25"/>
      <c r="R11" s="26">
        <v>2366.15</v>
      </c>
      <c r="S11" s="27">
        <v>2678.39</v>
      </c>
      <c r="T11" s="56">
        <f>Tableau3[[#This Row],[SHAB y/c V]]/Tableau3[[#This Row],[N]]</f>
        <v>78.87166666666667</v>
      </c>
      <c r="U11" s="56">
        <f>Tableau3[[#This Row],[SF priorisée]]/Tableau3[[#This Row],[N]]</f>
        <v>89.279666666666657</v>
      </c>
      <c r="V11" s="57">
        <f>IFERROR(Tableau3[[#This Row],[SHAB y/c V]]/Tableau3[[#This Row],[SF priorisée]],"-")</f>
        <v>0.88342250381759202</v>
      </c>
      <c r="W11" s="56">
        <v>570.15</v>
      </c>
      <c r="X11" s="43" t="s">
        <v>390</v>
      </c>
      <c r="Y11" s="43"/>
      <c r="Z11" s="10"/>
      <c r="AA11" s="58">
        <f>IFERROR(Tableau3[[#This Row],[Prix Achat TTC]]/Tableau3[[#This Row],[SHAB y/c V]],"-")</f>
        <v>0</v>
      </c>
      <c r="AB11" s="58">
        <f>IFERROR(Tableau3[[#This Row],[Prix Achat TTC]]/Tableau3[[#This Row],[SF priorisée]],"-")</f>
        <v>0</v>
      </c>
      <c r="AC11" s="58">
        <f>IFERROR(Tableau3[[#This Row],[Prix Achat TTC]]/Tableau3[[#This Row],[N]],"-")</f>
        <v>0</v>
      </c>
      <c r="AD11" s="62">
        <v>42459</v>
      </c>
      <c r="AE11" s="62">
        <v>42601</v>
      </c>
      <c r="AF11" s="62">
        <v>42626</v>
      </c>
      <c r="AG11" s="58">
        <f>IFERROR((DATEDIF(Tableau3[[#This Row],[Demande LBU]],Tableau3[[#This Row],[Arrêté LBU]],"d"))/30,0)</f>
        <v>4.7333333333333334</v>
      </c>
      <c r="AH11" s="68">
        <v>41932</v>
      </c>
      <c r="AI11" s="76">
        <v>42027</v>
      </c>
      <c r="AJ11" s="73">
        <f>IFERROR((DATEDIF(Tableau3[[#This Row],[Dde édition prêt]],Tableau3[[#This Row],[Contrat de prêt]],"d"))/30,"-")</f>
        <v>3.1666666666666665</v>
      </c>
      <c r="AK11" s="76">
        <f>EOMONTH(Tableau3[[#This Row],[Contrat de prêt]],0)+1</f>
        <v>42036</v>
      </c>
      <c r="AL11" s="76">
        <v>42074</v>
      </c>
      <c r="AM11" s="76">
        <v>42125</v>
      </c>
      <c r="AN11" s="76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43221</v>
      </c>
      <c r="AO11" s="79">
        <f>18650+94096</f>
        <v>112746</v>
      </c>
      <c r="AP11" s="2" t="str">
        <f>IF(Tableau3[[#This Row],[Montant des loyers perçus avant 1e échéance]]&lt;Tableau3[[#This Row],[Montant échéance annuelle]],"oui","non")</f>
        <v>oui</v>
      </c>
      <c r="AS11" s="79">
        <f>Tableau3[[#This Row],[Mois de loyers avant 1e échéance]]-Tableau3[[#This Row],[Montant échéance annuelle]]</f>
        <v>-112746</v>
      </c>
      <c r="AU11" s="83">
        <v>42780</v>
      </c>
      <c r="AV11" s="93">
        <v>2017</v>
      </c>
      <c r="AW11" s="56">
        <f>IFERROR((DATEDIF(Tableau3[[#This Row],[Arrêté LBU]],Tableau3[[#This Row],[OS démarrage]],"d"))/30,0)</f>
        <v>5.9666666666666668</v>
      </c>
      <c r="AX11" s="102">
        <v>16</v>
      </c>
      <c r="AY11" s="112"/>
      <c r="AZ11" s="110">
        <v>42936</v>
      </c>
      <c r="BA11" s="116">
        <f>DATE(YEAR(Tableau3[[#This Row],[OS démarrage]]),MONTH(Tableau3[[#This Row],[OS démarrage]])+Tableau3[[#This Row],[Délai chantier initial]],DAY(Tableau3[[#This Row],[OS démarrage]]))</f>
        <v>43265</v>
      </c>
      <c r="BB11" s="118">
        <v>43320</v>
      </c>
      <c r="BC11" s="121">
        <f>(Tableau3[[#This Row],[Date réception entreprise recalée]]-Tableau3[[#This Row],[Date réception entreprise prévue initialement]])/30</f>
        <v>1.8333333333333333</v>
      </c>
      <c r="BD11" s="124"/>
      <c r="BE11" s="124"/>
      <c r="BF11" s="124"/>
      <c r="BG11" s="124"/>
      <c r="BH11" s="137">
        <f>IFERROR((Tableau3[[#This Row],[Date Livraison VEFA estimée avec retards constatés]]-Tableau3[[#This Row],[Date livraison contractuelle y/c avenant]])/30,"-")</f>
        <v>0</v>
      </c>
      <c r="BI11" s="138">
        <f>Tableau3[[#This Row],[Date Livraison VEFA estimée avec retards constatés]]-Tableau3[[#This Row],[Date livraison contractuelle y/c avenant]]</f>
        <v>0</v>
      </c>
      <c r="BJ11" s="140">
        <f>IF(Tableau3[[#This Row],[TYPE]]="Rehab","",DATE(YEAR(Tableau3[[#This Row],[Achèvement fondations]])+2,MONTH(Tableau3[[#This Row],[Achèvement fondations]]),DAY(Tableau3[[#This Row],[Achèvement fondations]])))</f>
        <v>43666</v>
      </c>
    </row>
    <row r="12" spans="1:66" x14ac:dyDescent="0.3">
      <c r="A12" s="11" t="s">
        <v>118</v>
      </c>
      <c r="B12" s="4" t="s">
        <v>20</v>
      </c>
      <c r="C12" s="4" t="s">
        <v>12</v>
      </c>
      <c r="D12" s="4">
        <v>2016</v>
      </c>
      <c r="E12" s="4" t="s">
        <v>119</v>
      </c>
      <c r="F12" s="4"/>
      <c r="G12" s="4"/>
      <c r="H12" s="4" t="s">
        <v>13</v>
      </c>
      <c r="I12" s="4" t="s">
        <v>52</v>
      </c>
      <c r="J12" s="4" t="s">
        <v>120</v>
      </c>
      <c r="K12" s="4" t="s">
        <v>81</v>
      </c>
      <c r="L12" s="24">
        <f>Tableau3[[#This Row],[LLS]]+Tableau3[[#This Row],[LLTS]]+Tableau3[[#This Row],[PLS]]+Tableau3[[#This Row],[REHAB]]</f>
        <v>35</v>
      </c>
      <c r="M12" s="23">
        <f>IFERROR(Tableau3[[#This Row],[LLS]]+Tableau3[[#This Row],[LLTS]]+Tableau3[[#This Row],[PLS]],"-")</f>
        <v>35</v>
      </c>
      <c r="N12" s="25"/>
      <c r="O12" s="4">
        <v>35</v>
      </c>
      <c r="P12" s="25"/>
      <c r="Q12" s="25"/>
      <c r="R12" s="26">
        <v>2317.34</v>
      </c>
      <c r="S12" s="27">
        <v>2317.34</v>
      </c>
      <c r="T12" s="56">
        <f>Tableau3[[#This Row],[SHAB y/c V]]/Tableau3[[#This Row],[N]]</f>
        <v>66.209714285714284</v>
      </c>
      <c r="U12" s="56">
        <f>Tableau3[[#This Row],[SF priorisée]]/Tableau3[[#This Row],[N]]</f>
        <v>66.209714285714284</v>
      </c>
      <c r="V12" s="57">
        <f>IFERROR(Tableau3[[#This Row],[SHAB y/c V]]/Tableau3[[#This Row],[SF priorisée]],"-")</f>
        <v>1</v>
      </c>
      <c r="W12" s="56">
        <v>368.79</v>
      </c>
      <c r="X12" s="43" t="s">
        <v>390</v>
      </c>
      <c r="Y12" s="43" t="s">
        <v>392</v>
      </c>
      <c r="Z12" s="5"/>
      <c r="AA12" s="58">
        <f>IFERROR(Tableau3[[#This Row],[Prix Achat TTC]]/Tableau3[[#This Row],[SHAB y/c V]],"-")</f>
        <v>0</v>
      </c>
      <c r="AB12" s="58">
        <f>IFERROR(Tableau3[[#This Row],[Prix Achat TTC]]/Tableau3[[#This Row],[SF priorisée]],"-")</f>
        <v>0</v>
      </c>
      <c r="AC12" s="58">
        <f>IFERROR(Tableau3[[#This Row],[Prix Achat TTC]]/Tableau3[[#This Row],[N]],"-")</f>
        <v>0</v>
      </c>
      <c r="AD12" s="62">
        <v>42459</v>
      </c>
      <c r="AE12" s="62">
        <v>42660</v>
      </c>
      <c r="AF12" s="62"/>
      <c r="AG12" s="58">
        <f>IFERROR((DATEDIF(Tableau3[[#This Row],[Demande LBU]],Tableau3[[#This Row],[Arrêté LBU]],"d"))/30,0)</f>
        <v>6.7</v>
      </c>
      <c r="AH12" s="68">
        <v>42886</v>
      </c>
      <c r="AI12" s="68">
        <v>42929</v>
      </c>
      <c r="AJ12" s="73">
        <f>IFERROR((DATEDIF(Tableau3[[#This Row],[Dde édition prêt]],Tableau3[[#This Row],[Contrat de prêt]],"d"))/30,"-")</f>
        <v>1.4333333333333333</v>
      </c>
      <c r="AK12" s="68">
        <f>EOMONTH(Tableau3[[#This Row],[Contrat de prêt]],0)+1</f>
        <v>42948</v>
      </c>
      <c r="AL12" s="68">
        <v>42957</v>
      </c>
      <c r="AM12" s="68">
        <v>43040</v>
      </c>
      <c r="AN1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44136</v>
      </c>
      <c r="AO12" s="79">
        <f>103063+17127</f>
        <v>120190</v>
      </c>
      <c r="AP12" s="2" t="str">
        <f>IF(Tableau3[[#This Row],[Montant des loyers perçus avant 1e échéance]]&lt;Tableau3[[#This Row],[Montant échéance annuelle]],"oui","non")</f>
        <v>oui</v>
      </c>
      <c r="AS12" s="79">
        <f>Tableau3[[#This Row],[Mois de loyers avant 1e échéance]]-Tableau3[[#This Row],[Montant échéance annuelle]]</f>
        <v>-120190</v>
      </c>
      <c r="AU12" s="83">
        <v>43164</v>
      </c>
      <c r="AV12" s="94">
        <v>2018</v>
      </c>
      <c r="AW12" s="56">
        <f>IFERROR((DATEDIF(Tableau3[[#This Row],[Arrêté LBU]],Tableau3[[#This Row],[OS démarrage]],"d"))/30,0)</f>
        <v>16.8</v>
      </c>
      <c r="AX12" s="102">
        <v>14</v>
      </c>
      <c r="AY12" s="112"/>
      <c r="AZ12" s="84">
        <v>43355</v>
      </c>
      <c r="BA12" s="116">
        <f>DATE(YEAR(Tableau3[[#This Row],[OS démarrage]]),MONTH(Tableau3[[#This Row],[OS démarrage]])+Tableau3[[#This Row],[Délai chantier initial]],DAY(Tableau3[[#This Row],[OS démarrage]]))</f>
        <v>43590</v>
      </c>
      <c r="BB12" s="118">
        <v>43732</v>
      </c>
      <c r="BC12" s="121">
        <f>(Tableau3[[#This Row],[Date réception entreprise recalée]]-Tableau3[[#This Row],[Date réception entreprise prévue initialement]])/30</f>
        <v>4.7333333333333334</v>
      </c>
      <c r="BD12" s="124"/>
      <c r="BE12" s="124"/>
      <c r="BF12" s="124"/>
      <c r="BG12" s="124"/>
      <c r="BH12" s="137">
        <f>IFERROR((Tableau3[[#This Row],[Date Livraison VEFA estimée avec retards constatés]]-Tableau3[[#This Row],[Date livraison contractuelle y/c avenant]])/30,"-")</f>
        <v>0</v>
      </c>
      <c r="BI12" s="138">
        <f>Tableau3[[#This Row],[Date Livraison VEFA estimée avec retards constatés]]-Tableau3[[#This Row],[Date livraison contractuelle y/c avenant]]</f>
        <v>0</v>
      </c>
      <c r="BJ12" s="140">
        <f>IF(Tableau3[[#This Row],[TYPE]]="Rehab","",DATE(YEAR(Tableau3[[#This Row],[Achèvement fondations]])+2,MONTH(Tableau3[[#This Row],[Achèvement fondations]]),DAY(Tableau3[[#This Row],[Achèvement fondations]])))</f>
        <v>44086</v>
      </c>
    </row>
    <row r="13" spans="1:66" x14ac:dyDescent="0.3">
      <c r="A13" s="11" t="s">
        <v>121</v>
      </c>
      <c r="B13" s="4" t="s">
        <v>33</v>
      </c>
      <c r="C13" s="4" t="s">
        <v>21</v>
      </c>
      <c r="D13" s="4">
        <v>2016</v>
      </c>
      <c r="E13" s="4" t="s">
        <v>122</v>
      </c>
      <c r="F13" s="4" t="s">
        <v>22</v>
      </c>
      <c r="G13" s="4"/>
      <c r="H13" s="8" t="s">
        <v>35</v>
      </c>
      <c r="I13" s="4" t="s">
        <v>52</v>
      </c>
      <c r="J13" s="4" t="s">
        <v>123</v>
      </c>
      <c r="K13" s="4" t="s">
        <v>81</v>
      </c>
      <c r="L13" s="24">
        <f>Tableau3[[#This Row],[LLS]]+Tableau3[[#This Row],[LLTS]]+Tableau3[[#This Row],[PLS]]+Tableau3[[#This Row],[REHAB]]</f>
        <v>28</v>
      </c>
      <c r="M13" s="23">
        <f>IFERROR(Tableau3[[#This Row],[LLS]]+Tableau3[[#This Row],[LLTS]]+Tableau3[[#This Row],[PLS]],"-")</f>
        <v>28</v>
      </c>
      <c r="N13" s="25"/>
      <c r="O13" s="4">
        <v>28</v>
      </c>
      <c r="P13" s="25"/>
      <c r="Q13" s="25"/>
      <c r="R13" s="26">
        <v>1885.87</v>
      </c>
      <c r="S13" s="27">
        <v>1885.87</v>
      </c>
      <c r="T13" s="56">
        <f>Tableau3[[#This Row],[SHAB y/c V]]/Tableau3[[#This Row],[N]]</f>
        <v>67.352499999999992</v>
      </c>
      <c r="U13" s="56">
        <f>Tableau3[[#This Row],[SF priorisée]]/Tableau3[[#This Row],[N]]</f>
        <v>67.352499999999992</v>
      </c>
      <c r="V13" s="57">
        <f>IFERROR(Tableau3[[#This Row],[SHAB y/c V]]/Tableau3[[#This Row],[SF priorisée]],"-")</f>
        <v>1</v>
      </c>
      <c r="W13" s="56">
        <v>372.96841640000031</v>
      </c>
      <c r="X13" s="43" t="s">
        <v>390</v>
      </c>
      <c r="Y13" s="43" t="s">
        <v>392</v>
      </c>
      <c r="Z13" s="5"/>
      <c r="AA13" s="58">
        <f>IFERROR(Tableau3[[#This Row],[Prix Achat TTC]]/Tableau3[[#This Row],[SHAB y/c V]],"-")</f>
        <v>0</v>
      </c>
      <c r="AB13" s="58">
        <f>IFERROR(Tableau3[[#This Row],[Prix Achat TTC]]/Tableau3[[#This Row],[SF priorisée]],"-")</f>
        <v>0</v>
      </c>
      <c r="AC13" s="58">
        <f>IFERROR(Tableau3[[#This Row],[Prix Achat TTC]]/Tableau3[[#This Row],[N]],"-")</f>
        <v>0</v>
      </c>
      <c r="AD13" s="62">
        <v>42459</v>
      </c>
      <c r="AE13" s="62">
        <v>42604</v>
      </c>
      <c r="AF13" s="62">
        <v>42646</v>
      </c>
      <c r="AG13" s="58">
        <f>IFERROR((DATEDIF(Tableau3[[#This Row],[Demande LBU]],Tableau3[[#This Row],[Arrêté LBU]],"d"))/30,0)</f>
        <v>4.833333333333333</v>
      </c>
      <c r="AH13" s="68">
        <v>42877</v>
      </c>
      <c r="AI13" s="68">
        <v>42929</v>
      </c>
      <c r="AJ13" s="73">
        <f>IFERROR((DATEDIF(Tableau3[[#This Row],[Dde édition prêt]],Tableau3[[#This Row],[Contrat de prêt]],"d"))/30,"-")</f>
        <v>1.7333333333333334</v>
      </c>
      <c r="AK13" s="68">
        <f>EOMONTH(Tableau3[[#This Row],[Contrat de prêt]],0)+1</f>
        <v>42948</v>
      </c>
      <c r="AL13" s="68"/>
      <c r="AM13" s="68">
        <v>42948</v>
      </c>
      <c r="AN1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44044</v>
      </c>
      <c r="AO13" s="79">
        <f>9404+83662</f>
        <v>93066</v>
      </c>
      <c r="AP13" s="2" t="str">
        <f>IF(Tableau3[[#This Row],[Montant des loyers perçus avant 1e échéance]]&lt;Tableau3[[#This Row],[Montant échéance annuelle]],"oui","non")</f>
        <v>oui</v>
      </c>
      <c r="AS13" s="79">
        <f>Tableau3[[#This Row],[Mois de loyers avant 1e échéance]]-Tableau3[[#This Row],[Montant échéance annuelle]]</f>
        <v>-93066</v>
      </c>
      <c r="AU13" s="83">
        <v>43263</v>
      </c>
      <c r="AV13" s="95">
        <v>2018</v>
      </c>
      <c r="AW13" s="56">
        <f>IFERROR((DATEDIF(Tableau3[[#This Row],[Arrêté LBU]],Tableau3[[#This Row],[OS démarrage]],"d"))/30,0)</f>
        <v>21.966666666666665</v>
      </c>
      <c r="AX13" s="102">
        <v>16</v>
      </c>
      <c r="AY13" s="112"/>
      <c r="AZ13" s="84">
        <v>43453</v>
      </c>
      <c r="BA13" s="116">
        <f>DATE(YEAR(Tableau3[[#This Row],[OS démarrage]]),MONTH(Tableau3[[#This Row],[OS démarrage]])+Tableau3[[#This Row],[Délai chantier initial]],DAY(Tableau3[[#This Row],[OS démarrage]]))</f>
        <v>43750</v>
      </c>
      <c r="BB13" s="118">
        <v>43850</v>
      </c>
      <c r="BC13" s="121">
        <f>(Tableau3[[#This Row],[Date réception entreprise recalée]]-Tableau3[[#This Row],[Date réception entreprise prévue initialement]])/30</f>
        <v>3.3333333333333335</v>
      </c>
      <c r="BD13" s="124"/>
      <c r="BE13" s="124"/>
      <c r="BF13" s="124"/>
      <c r="BG13" s="124"/>
      <c r="BH13" s="137">
        <f>IFERROR((Tableau3[[#This Row],[Date Livraison VEFA estimée avec retards constatés]]-Tableau3[[#This Row],[Date livraison contractuelle y/c avenant]])/30,"-")</f>
        <v>0</v>
      </c>
      <c r="BI13" s="138">
        <f>Tableau3[[#This Row],[Date Livraison VEFA estimée avec retards constatés]]-Tableau3[[#This Row],[Date livraison contractuelle y/c avenant]]</f>
        <v>0</v>
      </c>
      <c r="BJ13" s="140">
        <f>IF(Tableau3[[#This Row],[TYPE]]="Rehab","",DATE(YEAR(Tableau3[[#This Row],[Achèvement fondations]])+2,MONTH(Tableau3[[#This Row],[Achèvement fondations]]),DAY(Tableau3[[#This Row],[Achèvement fondations]])))</f>
        <v>44184</v>
      </c>
    </row>
    <row r="14" spans="1:66" x14ac:dyDescent="0.3">
      <c r="A14" s="7" t="s">
        <v>124</v>
      </c>
      <c r="B14" s="4" t="s">
        <v>55</v>
      </c>
      <c r="C14" s="4" t="s">
        <v>12</v>
      </c>
      <c r="D14" s="4">
        <v>2016</v>
      </c>
      <c r="E14" s="4" t="s">
        <v>110</v>
      </c>
      <c r="F14" s="5"/>
      <c r="G14" s="5"/>
      <c r="H14" s="12"/>
      <c r="I14" s="5"/>
      <c r="J14" s="4"/>
      <c r="K14" s="8" t="s">
        <v>81</v>
      </c>
      <c r="L14" s="24">
        <f>Tableau3[[#This Row],[LLS]]+Tableau3[[#This Row],[LLTS]]+Tableau3[[#This Row],[PLS]]+Tableau3[[#This Row],[REHAB]]</f>
        <v>69</v>
      </c>
      <c r="M14" s="23">
        <f>IFERROR(Tableau3[[#This Row],[LLS]]+Tableau3[[#This Row],[LLTS]]+Tableau3[[#This Row],[PLS]],"-")</f>
        <v>69</v>
      </c>
      <c r="N14" s="25"/>
      <c r="O14" s="4">
        <v>69</v>
      </c>
      <c r="P14" s="25"/>
      <c r="Q14" s="25"/>
      <c r="R14" s="26">
        <v>4096.6099999999997</v>
      </c>
      <c r="S14" s="27">
        <v>4990.08</v>
      </c>
      <c r="T14" s="56">
        <f>Tableau3[[#This Row],[SHAB y/c V]]/Tableau3[[#This Row],[N]]</f>
        <v>59.37115942028985</v>
      </c>
      <c r="U14" s="56">
        <f>Tableau3[[#This Row],[SF priorisée]]/Tableau3[[#This Row],[N]]</f>
        <v>72.319999999999993</v>
      </c>
      <c r="V14" s="57">
        <f>IFERROR(Tableau3[[#This Row],[SHAB y/c V]]/Tableau3[[#This Row],[SF priorisée]],"-")</f>
        <v>0.82095076632037955</v>
      </c>
      <c r="W14" s="56">
        <v>428.50409507760696</v>
      </c>
      <c r="X14" s="43" t="s">
        <v>390</v>
      </c>
      <c r="Y14" s="43" t="s">
        <v>392</v>
      </c>
      <c r="Z14" s="5"/>
      <c r="AA14" s="58">
        <f>IFERROR(Tableau3[[#This Row],[Prix Achat TTC]]/Tableau3[[#This Row],[SHAB y/c V]],"-")</f>
        <v>0</v>
      </c>
      <c r="AB14" s="58">
        <f>IFERROR(Tableau3[[#This Row],[Prix Achat TTC]]/Tableau3[[#This Row],[SF priorisée]],"-")</f>
        <v>0</v>
      </c>
      <c r="AC14" s="58">
        <f>IFERROR(Tableau3[[#This Row],[Prix Achat TTC]]/Tableau3[[#This Row],[N]],"-")</f>
        <v>0</v>
      </c>
      <c r="AD14" s="62">
        <v>42459</v>
      </c>
      <c r="AE14" s="62">
        <v>42462</v>
      </c>
      <c r="AF14" s="62">
        <v>42510</v>
      </c>
      <c r="AG14" s="58">
        <f>IFERROR((DATEDIF(Tableau3[[#This Row],[Demande LBU]],Tableau3[[#This Row],[Arrêté LBU]],"d"))/30,0)</f>
        <v>0.1</v>
      </c>
      <c r="AH14" s="68">
        <v>42899</v>
      </c>
      <c r="AI14" s="68">
        <v>42929</v>
      </c>
      <c r="AJ14" s="73">
        <f>IFERROR((DATEDIF(Tableau3[[#This Row],[Dde édition prêt]],Tableau3[[#This Row],[Contrat de prêt]],"d"))/30,"-")</f>
        <v>1</v>
      </c>
      <c r="AK14" s="68">
        <f>EOMONTH(Tableau3[[#This Row],[Contrat de prêt]],0)+1</f>
        <v>42948</v>
      </c>
      <c r="AL14" s="68"/>
      <c r="AM14" s="68">
        <v>42948</v>
      </c>
      <c r="AN1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44044</v>
      </c>
      <c r="AO14" s="79">
        <f>17610.41+217516</f>
        <v>235126.41</v>
      </c>
      <c r="AP14" s="2" t="str">
        <f>IF(Tableau3[[#This Row],[Montant des loyers perçus avant 1e échéance]]&lt;Tableau3[[#This Row],[Montant échéance annuelle]],"oui","non")</f>
        <v>oui</v>
      </c>
      <c r="AS14" s="79">
        <f>Tableau3[[#This Row],[Mois de loyers avant 1e échéance]]-Tableau3[[#This Row],[Montant échéance annuelle]]</f>
        <v>-235126.41</v>
      </c>
      <c r="AU14" s="83">
        <v>43129</v>
      </c>
      <c r="AV14" s="94">
        <v>2018</v>
      </c>
      <c r="AW14" s="56">
        <f>IFERROR((DATEDIF(Tableau3[[#This Row],[Arrêté LBU]],Tableau3[[#This Row],[OS démarrage]],"d"))/30,0)</f>
        <v>22.233333333333334</v>
      </c>
      <c r="AX14" s="102">
        <v>21</v>
      </c>
      <c r="AY14" s="112"/>
      <c r="AZ14" s="84">
        <v>43446</v>
      </c>
      <c r="BA14" s="116">
        <f>DATE(YEAR(Tableau3[[#This Row],[OS démarrage]]),MONTH(Tableau3[[#This Row],[OS démarrage]])+Tableau3[[#This Row],[Délai chantier initial]],DAY(Tableau3[[#This Row],[OS démarrage]]))</f>
        <v>43767</v>
      </c>
      <c r="BB14" s="118">
        <v>44150</v>
      </c>
      <c r="BC14" s="121">
        <f>(Tableau3[[#This Row],[Date réception entreprise recalée]]-Tableau3[[#This Row],[Date réception entreprise prévue initialement]])/30</f>
        <v>12.766666666666667</v>
      </c>
      <c r="BD14" s="124"/>
      <c r="BE14" s="124"/>
      <c r="BF14" s="124"/>
      <c r="BG14" s="124"/>
      <c r="BH14" s="137">
        <f>IFERROR((Tableau3[[#This Row],[Date Livraison VEFA estimée avec retards constatés]]-Tableau3[[#This Row],[Date livraison contractuelle y/c avenant]])/30,"-")</f>
        <v>0</v>
      </c>
      <c r="BI14" s="138">
        <f>Tableau3[[#This Row],[Date Livraison VEFA estimée avec retards constatés]]-Tableau3[[#This Row],[Date livraison contractuelle y/c avenant]]</f>
        <v>0</v>
      </c>
      <c r="BJ14" s="140">
        <f>IF(Tableau3[[#This Row],[TYPE]]="Rehab","",DATE(YEAR(Tableau3[[#This Row],[Achèvement fondations]])+2,MONTH(Tableau3[[#This Row],[Achèvement fondations]]),DAY(Tableau3[[#This Row],[Achèvement fondations]])))</f>
        <v>44177</v>
      </c>
    </row>
    <row r="15" spans="1:66" x14ac:dyDescent="0.3">
      <c r="A15" s="7" t="s">
        <v>125</v>
      </c>
      <c r="B15" s="4" t="s">
        <v>41</v>
      </c>
      <c r="C15" s="4" t="s">
        <v>12</v>
      </c>
      <c r="D15" s="4">
        <v>2016</v>
      </c>
      <c r="E15" s="4" t="s">
        <v>126</v>
      </c>
      <c r="F15" s="4" t="s">
        <v>22</v>
      </c>
      <c r="G15" s="4"/>
      <c r="H15" s="5" t="s">
        <v>31</v>
      </c>
      <c r="I15" s="4" t="s">
        <v>52</v>
      </c>
      <c r="J15" s="4" t="s">
        <v>127</v>
      </c>
      <c r="K15" s="4" t="s">
        <v>81</v>
      </c>
      <c r="L15" s="24">
        <f>Tableau3[[#This Row],[LLS]]+Tableau3[[#This Row],[LLTS]]+Tableau3[[#This Row],[PLS]]+Tableau3[[#This Row],[REHAB]]</f>
        <v>40</v>
      </c>
      <c r="M15" s="23">
        <f>IFERROR(Tableau3[[#This Row],[LLS]]+Tableau3[[#This Row],[LLTS]]+Tableau3[[#This Row],[PLS]],"-")</f>
        <v>40</v>
      </c>
      <c r="N15" s="25"/>
      <c r="O15" s="4">
        <v>40</v>
      </c>
      <c r="P15" s="25"/>
      <c r="Q15" s="25"/>
      <c r="R15" s="26">
        <v>2318.6500000000005</v>
      </c>
      <c r="S15" s="27">
        <v>2342.34</v>
      </c>
      <c r="T15" s="56">
        <f>Tableau3[[#This Row],[SHAB y/c V]]/Tableau3[[#This Row],[N]]</f>
        <v>57.966250000000016</v>
      </c>
      <c r="U15" s="56">
        <f>Tableau3[[#This Row],[SF priorisée]]/Tableau3[[#This Row],[N]]</f>
        <v>58.558500000000002</v>
      </c>
      <c r="V15" s="57">
        <f>IFERROR(Tableau3[[#This Row],[SHAB y/c V]]/Tableau3[[#This Row],[SF priorisée]],"-")</f>
        <v>0.9898861821938747</v>
      </c>
      <c r="W15" s="56">
        <v>339.25</v>
      </c>
      <c r="X15" s="43" t="s">
        <v>390</v>
      </c>
      <c r="Y15" s="43" t="s">
        <v>392</v>
      </c>
      <c r="Z15" s="5"/>
      <c r="AA15" s="58">
        <f>IFERROR(Tableau3[[#This Row],[Prix Achat TTC]]/Tableau3[[#This Row],[SHAB y/c V]],"-")</f>
        <v>0</v>
      </c>
      <c r="AB15" s="58">
        <f>IFERROR(Tableau3[[#This Row],[Prix Achat TTC]]/Tableau3[[#This Row],[SF priorisée]],"-")</f>
        <v>0</v>
      </c>
      <c r="AC15" s="58">
        <f>IFERROR(Tableau3[[#This Row],[Prix Achat TTC]]/Tableau3[[#This Row],[N]],"-")</f>
        <v>0</v>
      </c>
      <c r="AD15" s="62">
        <v>42459</v>
      </c>
      <c r="AE15" s="62">
        <v>42629</v>
      </c>
      <c r="AF15" s="62">
        <v>42657</v>
      </c>
      <c r="AG15" s="58">
        <f>IFERROR((DATEDIF(Tableau3[[#This Row],[Demande LBU]],Tableau3[[#This Row],[Arrêté LBU]],"d"))/30,0)</f>
        <v>5.666666666666667</v>
      </c>
      <c r="AH15" s="68">
        <v>43241</v>
      </c>
      <c r="AI15" s="68">
        <v>43368</v>
      </c>
      <c r="AJ15" s="73">
        <f>IFERROR((DATEDIF(Tableau3[[#This Row],[Dde édition prêt]],Tableau3[[#This Row],[Contrat de prêt]],"d"))/30,"-")</f>
        <v>4.2333333333333334</v>
      </c>
      <c r="AK15" s="68">
        <f>EOMONTH(Tableau3[[#This Row],[Contrat de prêt]],0)+1</f>
        <v>43374</v>
      </c>
      <c r="AL15" s="68"/>
      <c r="AM15" s="68">
        <v>43466</v>
      </c>
      <c r="AN1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44562</v>
      </c>
      <c r="AO15" s="79">
        <f>14168+62195</f>
        <v>76363</v>
      </c>
      <c r="AP15" s="2" t="str">
        <f>IF(Tableau3[[#This Row],[Montant des loyers perçus avant 1e échéance]]&lt;Tableau3[[#This Row],[Montant échéance annuelle]],"oui","non")</f>
        <v>oui</v>
      </c>
      <c r="AS15" s="79">
        <f>Tableau3[[#This Row],[Mois de loyers avant 1e échéance]]-Tableau3[[#This Row],[Montant échéance annuelle]]</f>
        <v>-76363</v>
      </c>
      <c r="AU15" s="83">
        <v>43738</v>
      </c>
      <c r="AV15" s="94">
        <v>2019</v>
      </c>
      <c r="AW15" s="56">
        <f>IFERROR((DATEDIF(Tableau3[[#This Row],[Arrêté LBU]],Tableau3[[#This Row],[OS démarrage]],"d"))/30,0)</f>
        <v>36.966666666666669</v>
      </c>
      <c r="AX15" s="102">
        <v>16</v>
      </c>
      <c r="AY15" s="112"/>
      <c r="AZ15" s="84">
        <v>43902</v>
      </c>
      <c r="BA15" s="116">
        <f>DATE(YEAR(Tableau3[[#This Row],[OS démarrage]]),MONTH(Tableau3[[#This Row],[OS démarrage]])+Tableau3[[#This Row],[Délai chantier initial]],DAY(Tableau3[[#This Row],[OS démarrage]]))</f>
        <v>44226</v>
      </c>
      <c r="BB15" s="118">
        <v>44333</v>
      </c>
      <c r="BC15" s="121">
        <f>(Tableau3[[#This Row],[Date réception entreprise recalée]]-Tableau3[[#This Row],[Date réception entreprise prévue initialement]])/30</f>
        <v>3.5666666666666669</v>
      </c>
      <c r="BD15" s="124"/>
      <c r="BE15" s="124"/>
      <c r="BF15" s="124"/>
      <c r="BG15" s="124"/>
      <c r="BH15" s="137">
        <f>IFERROR((Tableau3[[#This Row],[Date Livraison VEFA estimée avec retards constatés]]-Tableau3[[#This Row],[Date livraison contractuelle y/c avenant]])/30,"-")</f>
        <v>0</v>
      </c>
      <c r="BI15" s="138">
        <f>Tableau3[[#This Row],[Date Livraison VEFA estimée avec retards constatés]]-Tableau3[[#This Row],[Date livraison contractuelle y/c avenant]]</f>
        <v>0</v>
      </c>
      <c r="BJ15" s="140">
        <f>IF(Tableau3[[#This Row],[TYPE]]="Rehab","",DATE(YEAR(Tableau3[[#This Row],[Achèvement fondations]])+2,MONTH(Tableau3[[#This Row],[Achèvement fondations]]),DAY(Tableau3[[#This Row],[Achèvement fondations]])))</f>
        <v>44632</v>
      </c>
    </row>
    <row r="16" spans="1:66" x14ac:dyDescent="0.3">
      <c r="A16" s="11" t="s">
        <v>128</v>
      </c>
      <c r="B16" s="4" t="s">
        <v>55</v>
      </c>
      <c r="C16" s="4" t="s">
        <v>12</v>
      </c>
      <c r="D16" s="4">
        <v>2016</v>
      </c>
      <c r="E16" s="4" t="s">
        <v>129</v>
      </c>
      <c r="F16" s="4" t="s">
        <v>34</v>
      </c>
      <c r="G16" s="4"/>
      <c r="H16" s="13" t="s">
        <v>9</v>
      </c>
      <c r="I16" s="6" t="s">
        <v>50</v>
      </c>
      <c r="J16" s="4"/>
      <c r="K16" s="4" t="s">
        <v>80</v>
      </c>
      <c r="L16" s="24">
        <f>Tableau3[[#This Row],[LLS]]+Tableau3[[#This Row],[LLTS]]+Tableau3[[#This Row],[PLS]]+Tableau3[[#This Row],[REHAB]]</f>
        <v>30</v>
      </c>
      <c r="M16" s="23">
        <f>IFERROR(Tableau3[[#This Row],[LLS]]+Tableau3[[#This Row],[LLTS]]+Tableau3[[#This Row],[PLS]],"-")</f>
        <v>30</v>
      </c>
      <c r="N16" s="4">
        <v>30</v>
      </c>
      <c r="O16" s="25"/>
      <c r="P16" s="25"/>
      <c r="Q16" s="25"/>
      <c r="R16" s="26">
        <v>2141.6999999999998</v>
      </c>
      <c r="S16" s="27">
        <v>2544.34</v>
      </c>
      <c r="T16" s="56">
        <f>Tableau3[[#This Row],[SHAB y/c V]]/Tableau3[[#This Row],[N]]</f>
        <v>71.39</v>
      </c>
      <c r="U16" s="56">
        <f>Tableau3[[#This Row],[SF priorisée]]/Tableau3[[#This Row],[N]]</f>
        <v>84.811333333333337</v>
      </c>
      <c r="V16" s="57">
        <f>IFERROR(Tableau3[[#This Row],[SHAB y/c V]]/Tableau3[[#This Row],[SF priorisée]],"-")</f>
        <v>0.84175070941776642</v>
      </c>
      <c r="W16" s="56">
        <v>548.97</v>
      </c>
      <c r="X16" s="43" t="s">
        <v>390</v>
      </c>
      <c r="Y16" s="43" t="s">
        <v>392</v>
      </c>
      <c r="Z16" s="5"/>
      <c r="AA16" s="58">
        <f>IFERROR(Tableau3[[#This Row],[Prix Achat TTC]]/Tableau3[[#This Row],[SHAB y/c V]],"-")</f>
        <v>0</v>
      </c>
      <c r="AB16" s="58">
        <f>IFERROR(Tableau3[[#This Row],[Prix Achat TTC]]/Tableau3[[#This Row],[SF priorisée]],"-")</f>
        <v>0</v>
      </c>
      <c r="AC16" s="58">
        <f>IFERROR(Tableau3[[#This Row],[Prix Achat TTC]]/Tableau3[[#This Row],[N]],"-")</f>
        <v>0</v>
      </c>
      <c r="AD16" s="62">
        <v>42459</v>
      </c>
      <c r="AE16" s="62">
        <v>42618</v>
      </c>
      <c r="AF16" s="62">
        <v>42646</v>
      </c>
      <c r="AG16" s="58">
        <f>IFERROR((DATEDIF(Tableau3[[#This Row],[Demande LBU]],Tableau3[[#This Row],[Arrêté LBU]],"d"))/30,0)</f>
        <v>5.3</v>
      </c>
      <c r="AH16" s="68">
        <v>44147</v>
      </c>
      <c r="AI16" s="68">
        <v>44174</v>
      </c>
      <c r="AJ16" s="73">
        <f>IFERROR((DATEDIF(Tableau3[[#This Row],[Dde édition prêt]],Tableau3[[#This Row],[Contrat de prêt]],"d"))/30,"-")</f>
        <v>0.9</v>
      </c>
      <c r="AK16" s="68">
        <f>EOMONTH(Tableau3[[#This Row],[Contrat de prêt]],0)+1</f>
        <v>44197</v>
      </c>
      <c r="AL16" s="68"/>
      <c r="AM16" s="68">
        <v>44197</v>
      </c>
      <c r="AN1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45292</v>
      </c>
      <c r="AO16" s="79"/>
      <c r="AP16" s="2" t="str">
        <f>IF(Tableau3[[#This Row],[Montant des loyers perçus avant 1e échéance]]&lt;Tableau3[[#This Row],[Montant échéance annuelle]],"oui","non")</f>
        <v>non</v>
      </c>
      <c r="AS16" s="79">
        <f>Tableau3[[#This Row],[Mois de loyers avant 1e échéance]]-Tableau3[[#This Row],[Montant échéance annuelle]]</f>
        <v>0</v>
      </c>
      <c r="AU16" s="83">
        <v>44231</v>
      </c>
      <c r="AV16" s="94">
        <v>2021</v>
      </c>
      <c r="AW16" s="56">
        <f>IFERROR((DATEDIF(Tableau3[[#This Row],[Arrêté LBU]],Tableau3[[#This Row],[OS démarrage]],"d"))/30,0)</f>
        <v>53.766666666666666</v>
      </c>
      <c r="AX16" s="104">
        <v>17</v>
      </c>
      <c r="AY16" s="112"/>
      <c r="AZ16" s="84">
        <v>44449</v>
      </c>
      <c r="BA16" s="116">
        <f>DATE(YEAR(Tableau3[[#This Row],[OS démarrage]]),MONTH(Tableau3[[#This Row],[OS démarrage]])+Tableau3[[#This Row],[Délai chantier initial]],DAY(Tableau3[[#This Row],[OS démarrage]]))</f>
        <v>44746</v>
      </c>
      <c r="BB16" s="118">
        <v>44874</v>
      </c>
      <c r="BC16" s="121">
        <f>(Tableau3[[#This Row],[Date réception entreprise recalée]]-Tableau3[[#This Row],[Date réception entreprise prévue initialement]])/30</f>
        <v>4.2666666666666666</v>
      </c>
      <c r="BD16" s="126"/>
      <c r="BE16" s="124"/>
      <c r="BF16" s="128"/>
      <c r="BG16" s="128"/>
      <c r="BH16" s="137">
        <f>IFERROR((Tableau3[[#This Row],[Date Livraison VEFA estimée avec retards constatés]]-Tableau3[[#This Row],[Date livraison contractuelle y/c avenant]])/30,"-")</f>
        <v>0</v>
      </c>
      <c r="BI16" s="138">
        <f>Tableau3[[#This Row],[Date Livraison VEFA estimée avec retards constatés]]-Tableau3[[#This Row],[Date livraison contractuelle y/c avenant]]</f>
        <v>0</v>
      </c>
      <c r="BJ16" s="140">
        <f>IF(Tableau3[[#This Row],[TYPE]]="Rehab","",DATE(YEAR(Tableau3[[#This Row],[Achèvement fondations]])+2,MONTH(Tableau3[[#This Row],[Achèvement fondations]]),DAY(Tableau3[[#This Row],[Achèvement fondations]])))</f>
        <v>45179</v>
      </c>
    </row>
    <row r="17" spans="1:62" x14ac:dyDescent="0.3">
      <c r="A17" s="3" t="s">
        <v>130</v>
      </c>
      <c r="B17" s="4" t="s">
        <v>53</v>
      </c>
      <c r="C17" s="4" t="s">
        <v>21</v>
      </c>
      <c r="D17" s="4">
        <v>2017</v>
      </c>
      <c r="E17" s="4" t="s">
        <v>131</v>
      </c>
      <c r="F17" s="4" t="s">
        <v>34</v>
      </c>
      <c r="G17" s="4"/>
      <c r="H17" s="8" t="s">
        <v>35</v>
      </c>
      <c r="I17" s="4" t="s">
        <v>52</v>
      </c>
      <c r="J17" s="4" t="s">
        <v>132</v>
      </c>
      <c r="K17" s="4" t="s">
        <v>81</v>
      </c>
      <c r="L17" s="24">
        <f>Tableau3[[#This Row],[LLS]]+Tableau3[[#This Row],[LLTS]]+Tableau3[[#This Row],[PLS]]+Tableau3[[#This Row],[REHAB]]</f>
        <v>30</v>
      </c>
      <c r="M17" s="23">
        <f>IFERROR(Tableau3[[#This Row],[LLS]]+Tableau3[[#This Row],[LLTS]]+Tableau3[[#This Row],[PLS]],"-")</f>
        <v>30</v>
      </c>
      <c r="N17" s="25"/>
      <c r="O17" s="4">
        <v>30</v>
      </c>
      <c r="P17" s="25"/>
      <c r="Q17" s="25"/>
      <c r="R17" s="26">
        <v>1699.31</v>
      </c>
      <c r="S17" s="27">
        <v>1708.31</v>
      </c>
      <c r="T17" s="56">
        <f>Tableau3[[#This Row],[SHAB y/c V]]/Tableau3[[#This Row],[N]]</f>
        <v>56.643666666666668</v>
      </c>
      <c r="U17" s="56">
        <f>Tableau3[[#This Row],[SF priorisée]]/Tableau3[[#This Row],[N]]</f>
        <v>56.943666666666665</v>
      </c>
      <c r="V17" s="57">
        <f>IFERROR(Tableau3[[#This Row],[SHAB y/c V]]/Tableau3[[#This Row],[SF priorisée]],"-")</f>
        <v>0.99473163535892195</v>
      </c>
      <c r="W17" s="56">
        <v>333.5</v>
      </c>
      <c r="X17" s="43" t="s">
        <v>93</v>
      </c>
      <c r="Y17" s="43" t="s">
        <v>392</v>
      </c>
      <c r="Z17" s="46">
        <v>3564776</v>
      </c>
      <c r="AA17" s="58">
        <f>IFERROR(Tableau3[[#This Row],[Prix Achat TTC]]/Tableau3[[#This Row],[SHAB y/c V]],"-")</f>
        <v>2097.7785101011586</v>
      </c>
      <c r="AB17" s="58">
        <f>IFERROR(Tableau3[[#This Row],[Prix Achat TTC]]/Tableau3[[#This Row],[SF priorisée]],"-")</f>
        <v>2086.7266479737286</v>
      </c>
      <c r="AC17" s="58">
        <f>IFERROR(Tableau3[[#This Row],[Prix Achat TTC]]/Tableau3[[#This Row],[N]],"-")</f>
        <v>118825.86666666667</v>
      </c>
      <c r="AD17" s="62">
        <v>42824</v>
      </c>
      <c r="AE17" s="62">
        <v>42909</v>
      </c>
      <c r="AF17" s="62"/>
      <c r="AG17" s="58">
        <f>IFERROR((DATEDIF(Tableau3[[#This Row],[Demande LBU]],Tableau3[[#This Row],[Arrêté LBU]],"d"))/30,0)</f>
        <v>2.8333333333333335</v>
      </c>
      <c r="AH17" s="68">
        <v>42967</v>
      </c>
      <c r="AI17" s="68">
        <v>43017</v>
      </c>
      <c r="AJ17" s="73">
        <f>IFERROR((DATEDIF(Tableau3[[#This Row],[Dde édition prêt]],Tableau3[[#This Row],[Contrat de prêt]],"d"))/30,"-")</f>
        <v>1.6666666666666667</v>
      </c>
      <c r="AK17" s="68">
        <f>EOMONTH(Tableau3[[#This Row],[Contrat de prêt]],0)+1</f>
        <v>43040</v>
      </c>
      <c r="AL17" s="68" t="s">
        <v>402</v>
      </c>
      <c r="AM17" s="68">
        <v>43045</v>
      </c>
      <c r="AN1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44141</v>
      </c>
      <c r="AO17" s="79">
        <f>10647+79675</f>
        <v>90322</v>
      </c>
      <c r="AP17" s="2" t="str">
        <f>IF(Tableau3[[#This Row],[Montant des loyers perçus avant 1e échéance]]&lt;Tableau3[[#This Row],[Montant échéance annuelle]],"oui","non")</f>
        <v>oui</v>
      </c>
      <c r="AS17" s="79">
        <f>Tableau3[[#This Row],[Mois de loyers avant 1e échéance]]-Tableau3[[#This Row],[Montant échéance annuelle]]</f>
        <v>-90322</v>
      </c>
      <c r="AU17" s="83">
        <v>43101</v>
      </c>
      <c r="AV17" s="94">
        <v>2018</v>
      </c>
      <c r="AW17" s="56">
        <f>IFERROR((DATEDIF(Tableau3[[#This Row],[Arrêté LBU]],Tableau3[[#This Row],[OS démarrage]],"d"))/30,0)</f>
        <v>6.4</v>
      </c>
      <c r="AX17" s="102">
        <v>15</v>
      </c>
      <c r="AY17" s="112"/>
      <c r="AZ17" s="84">
        <v>43145</v>
      </c>
      <c r="BA17" s="116">
        <f>DATE(YEAR(Tableau3[[#This Row],[OS démarrage]]),MONTH(Tableau3[[#This Row],[OS démarrage]])+Tableau3[[#This Row],[Délai chantier initial]],DAY(Tableau3[[#This Row],[OS démarrage]]))</f>
        <v>43556</v>
      </c>
      <c r="BB17" s="118">
        <v>43965</v>
      </c>
      <c r="BC17" s="121">
        <f>(Tableau3[[#This Row],[Date réception entreprise recalée]]-Tableau3[[#This Row],[Date réception entreprise prévue initialement]])/30</f>
        <v>13.633333333333333</v>
      </c>
      <c r="BD17" s="124">
        <v>43769</v>
      </c>
      <c r="BE17" s="124">
        <v>43769</v>
      </c>
      <c r="BF17" s="124">
        <v>43769</v>
      </c>
      <c r="BG17" s="124">
        <v>43769</v>
      </c>
      <c r="BH17" s="137">
        <f>IFERROR((Tableau3[[#This Row],[Date Livraison VEFA estimée avec retards constatés]]-Tableau3[[#This Row],[Date livraison contractuelle y/c avenant]])/30,"-")</f>
        <v>0</v>
      </c>
      <c r="BI17" s="138">
        <f>Tableau3[[#This Row],[Date Livraison VEFA estimée avec retards constatés]]-Tableau3[[#This Row],[Date livraison contractuelle y/c avenant]]</f>
        <v>0</v>
      </c>
      <c r="BJ17" s="140">
        <f>IF(Tableau3[[#This Row],[TYPE]]="Rehab","",DATE(YEAR(Tableau3[[#This Row],[Achèvement fondations]])+2,MONTH(Tableau3[[#This Row],[Achèvement fondations]]),DAY(Tableau3[[#This Row],[Achèvement fondations]])))</f>
        <v>43875</v>
      </c>
    </row>
    <row r="18" spans="1:62" x14ac:dyDescent="0.3">
      <c r="A18" s="14" t="s">
        <v>133</v>
      </c>
      <c r="B18" s="4" t="s">
        <v>55</v>
      </c>
      <c r="C18" s="4" t="s">
        <v>12</v>
      </c>
      <c r="D18" s="4">
        <v>2017</v>
      </c>
      <c r="E18" s="4"/>
      <c r="F18" s="4" t="s">
        <v>17</v>
      </c>
      <c r="G18" s="4"/>
      <c r="H18" s="4" t="s">
        <v>28</v>
      </c>
      <c r="I18" s="4" t="s">
        <v>52</v>
      </c>
      <c r="J18" s="4" t="s">
        <v>134</v>
      </c>
      <c r="K18" s="4" t="s">
        <v>389</v>
      </c>
      <c r="L18" s="24">
        <f>Tableau3[[#This Row],[LLS]]+Tableau3[[#This Row],[LLTS]]+Tableau3[[#This Row],[PLS]]+Tableau3[[#This Row],[REHAB]]</f>
        <v>74</v>
      </c>
      <c r="M18" s="23">
        <f>IFERROR(Tableau3[[#This Row],[LLS]]+Tableau3[[#This Row],[LLTS]]+Tableau3[[#This Row],[PLS]],"-")</f>
        <v>0</v>
      </c>
      <c r="N18" s="25"/>
      <c r="O18" s="25"/>
      <c r="P18" s="25"/>
      <c r="Q18" s="29">
        <v>74</v>
      </c>
      <c r="R18" s="30"/>
      <c r="S18" s="31"/>
      <c r="T18" s="56">
        <f>Tableau3[[#This Row],[SHAB y/c V]]/Tableau3[[#This Row],[N]]</f>
        <v>0</v>
      </c>
      <c r="U18" s="56">
        <f>Tableau3[[#This Row],[SF priorisée]]/Tableau3[[#This Row],[N]]</f>
        <v>0</v>
      </c>
      <c r="V18" s="57" t="str">
        <f>IFERROR(Tableau3[[#This Row],[SHAB y/c V]]/Tableau3[[#This Row],[SF priorisée]],"-")</f>
        <v>-</v>
      </c>
      <c r="W18" s="56"/>
      <c r="X18" s="44"/>
      <c r="Y18" s="43"/>
      <c r="Z18" s="5"/>
      <c r="AA18" s="58" t="str">
        <f>IFERROR(Tableau3[[#This Row],[Prix Achat TTC]]/Tableau3[[#This Row],[SHAB y/c V]],"-")</f>
        <v>-</v>
      </c>
      <c r="AB18" s="58" t="str">
        <f>IFERROR(Tableau3[[#This Row],[Prix Achat TTC]]/Tableau3[[#This Row],[SF priorisée]],"-")</f>
        <v>-</v>
      </c>
      <c r="AC18" s="58">
        <f>IFERROR(Tableau3[[#This Row],[Prix Achat TTC]]/Tableau3[[#This Row],[N]],"-")</f>
        <v>0</v>
      </c>
      <c r="AD18" s="62">
        <v>42824</v>
      </c>
      <c r="AE18" s="62">
        <v>43039</v>
      </c>
      <c r="AF18" s="62"/>
      <c r="AG18" s="58">
        <f>IFERROR((DATEDIF(Tableau3[[#This Row],[Demande LBU]],Tableau3[[#This Row],[Arrêté LBU]],"d"))/30,0)</f>
        <v>7.166666666666667</v>
      </c>
      <c r="AH18" s="68">
        <v>43081</v>
      </c>
      <c r="AI18" s="68">
        <v>43235</v>
      </c>
      <c r="AJ18" s="73">
        <f>IFERROR((DATEDIF(Tableau3[[#This Row],[Dde édition prêt]],Tableau3[[#This Row],[Contrat de prêt]],"d"))/30,"-")</f>
        <v>5.1333333333333337</v>
      </c>
      <c r="AK18" s="68">
        <f>EOMONTH(Tableau3[[#This Row],[Contrat de prêt]],0)+1</f>
        <v>43252</v>
      </c>
      <c r="AL18" s="68"/>
      <c r="AM18" s="68">
        <v>43344</v>
      </c>
      <c r="AN1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18" s="79"/>
      <c r="AP18" s="2" t="str">
        <f>IF(Tableau3[[#This Row],[Montant des loyers perçus avant 1e échéance]]&lt;Tableau3[[#This Row],[Montant échéance annuelle]],"oui","non")</f>
        <v>non</v>
      </c>
      <c r="AS18" s="79">
        <f>Tableau3[[#This Row],[Mois de loyers avant 1e échéance]]-Tableau3[[#This Row],[Montant échéance annuelle]]</f>
        <v>0</v>
      </c>
      <c r="AU18" s="83">
        <v>43355</v>
      </c>
      <c r="AV18" s="94">
        <v>2018</v>
      </c>
      <c r="AW18" s="56">
        <f>IFERROR((DATEDIF(Tableau3[[#This Row],[Arrêté LBU]],Tableau3[[#This Row],[OS démarrage]],"d"))/30,0)</f>
        <v>10.533333333333333</v>
      </c>
      <c r="AX18" s="102">
        <v>12</v>
      </c>
      <c r="AY18" s="112"/>
      <c r="AZ18" s="84"/>
      <c r="BA18" s="116">
        <f>DATE(YEAR(Tableau3[[#This Row],[OS démarrage]]),MONTH(Tableau3[[#This Row],[OS démarrage]])+Tableau3[[#This Row],[Délai chantier initial]],DAY(Tableau3[[#This Row],[OS démarrage]]))</f>
        <v>43720</v>
      </c>
      <c r="BB18" s="118">
        <v>44173</v>
      </c>
      <c r="BC18" s="121">
        <f>(Tableau3[[#This Row],[Date réception entreprise recalée]]-Tableau3[[#This Row],[Date réception entreprise prévue initialement]])/30</f>
        <v>15.1</v>
      </c>
      <c r="BD18" s="124"/>
      <c r="BE18" s="124"/>
      <c r="BF18" s="124"/>
      <c r="BG18" s="124"/>
      <c r="BH18" s="137">
        <f>IFERROR((Tableau3[[#This Row],[Date Livraison VEFA estimée avec retards constatés]]-Tableau3[[#This Row],[Date livraison contractuelle y/c avenant]])/30,"-")</f>
        <v>0</v>
      </c>
      <c r="BI18" s="138">
        <f>Tableau3[[#This Row],[Date Livraison VEFA estimée avec retards constatés]]-Tableau3[[#This Row],[Date livraison contractuelle y/c avenant]]</f>
        <v>0</v>
      </c>
      <c r="BJ1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9" spans="1:62" x14ac:dyDescent="0.3">
      <c r="A19" s="14" t="s">
        <v>135</v>
      </c>
      <c r="B19" s="4" t="s">
        <v>55</v>
      </c>
      <c r="C19" s="4" t="s">
        <v>12</v>
      </c>
      <c r="D19" s="4">
        <v>2017</v>
      </c>
      <c r="E19" s="4"/>
      <c r="F19" s="4" t="s">
        <v>17</v>
      </c>
      <c r="G19" s="4"/>
      <c r="H19" s="4" t="s">
        <v>28</v>
      </c>
      <c r="I19" s="4" t="s">
        <v>52</v>
      </c>
      <c r="J19" s="4" t="s">
        <v>136</v>
      </c>
      <c r="K19" s="4" t="s">
        <v>389</v>
      </c>
      <c r="L19" s="24">
        <f>Tableau3[[#This Row],[LLS]]+Tableau3[[#This Row],[LLTS]]+Tableau3[[#This Row],[PLS]]+Tableau3[[#This Row],[REHAB]]</f>
        <v>45</v>
      </c>
      <c r="M19" s="23">
        <f>IFERROR(Tableau3[[#This Row],[LLS]]+Tableau3[[#This Row],[LLTS]]+Tableau3[[#This Row],[PLS]],"-")</f>
        <v>0</v>
      </c>
      <c r="N19" s="25"/>
      <c r="O19" s="25"/>
      <c r="P19" s="25"/>
      <c r="Q19" s="29">
        <v>45</v>
      </c>
      <c r="R19" s="30"/>
      <c r="S19" s="31"/>
      <c r="T19" s="56">
        <f>Tableau3[[#This Row],[SHAB y/c V]]/Tableau3[[#This Row],[N]]</f>
        <v>0</v>
      </c>
      <c r="U19" s="56">
        <f>Tableau3[[#This Row],[SF priorisée]]/Tableau3[[#This Row],[N]]</f>
        <v>0</v>
      </c>
      <c r="V19" s="57" t="str">
        <f>IFERROR(Tableau3[[#This Row],[SHAB y/c V]]/Tableau3[[#This Row],[SF priorisée]],"-")</f>
        <v>-</v>
      </c>
      <c r="W19" s="56"/>
      <c r="X19" s="44"/>
      <c r="Y19" s="43"/>
      <c r="Z19" s="5"/>
      <c r="AA19" s="58" t="str">
        <f>IFERROR(Tableau3[[#This Row],[Prix Achat TTC]]/Tableau3[[#This Row],[SHAB y/c V]],"-")</f>
        <v>-</v>
      </c>
      <c r="AB19" s="58" t="str">
        <f>IFERROR(Tableau3[[#This Row],[Prix Achat TTC]]/Tableau3[[#This Row],[SF priorisée]],"-")</f>
        <v>-</v>
      </c>
      <c r="AC19" s="58">
        <f>IFERROR(Tableau3[[#This Row],[Prix Achat TTC]]/Tableau3[[#This Row],[N]],"-")</f>
        <v>0</v>
      </c>
      <c r="AD19" s="62">
        <v>42824</v>
      </c>
      <c r="AE19" s="62">
        <v>43032</v>
      </c>
      <c r="AF19" s="62"/>
      <c r="AG19" s="58">
        <f>IFERROR((DATEDIF(Tableau3[[#This Row],[Demande LBU]],Tableau3[[#This Row],[Arrêté LBU]],"d"))/30,0)</f>
        <v>6.9333333333333336</v>
      </c>
      <c r="AH19" s="68">
        <v>43081</v>
      </c>
      <c r="AI19" s="68">
        <v>43235</v>
      </c>
      <c r="AJ19" s="73">
        <f>IFERROR((DATEDIF(Tableau3[[#This Row],[Dde édition prêt]],Tableau3[[#This Row],[Contrat de prêt]],"d"))/30,"-")</f>
        <v>5.1333333333333337</v>
      </c>
      <c r="AK19" s="68">
        <f>EOMONTH(Tableau3[[#This Row],[Contrat de prêt]],0)+1</f>
        <v>43252</v>
      </c>
      <c r="AL19" s="68"/>
      <c r="AM19" s="68">
        <v>43344</v>
      </c>
      <c r="AN1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19" s="79"/>
      <c r="AP19" s="2" t="str">
        <f>IF(Tableau3[[#This Row],[Montant des loyers perçus avant 1e échéance]]&lt;Tableau3[[#This Row],[Montant échéance annuelle]],"oui","non")</f>
        <v>non</v>
      </c>
      <c r="AS19" s="79">
        <f>Tableau3[[#This Row],[Mois de loyers avant 1e échéance]]-Tableau3[[#This Row],[Montant échéance annuelle]]</f>
        <v>0</v>
      </c>
      <c r="AU19" s="83">
        <v>43362</v>
      </c>
      <c r="AV19" s="94">
        <v>2018</v>
      </c>
      <c r="AW19" s="56">
        <f>IFERROR((DATEDIF(Tableau3[[#This Row],[Arrêté LBU]],Tableau3[[#This Row],[OS démarrage]],"d"))/30,0)</f>
        <v>11</v>
      </c>
      <c r="AX19" s="102">
        <v>12</v>
      </c>
      <c r="AY19" s="112"/>
      <c r="AZ19" s="84"/>
      <c r="BA19" s="116">
        <f>DATE(YEAR(Tableau3[[#This Row],[OS démarrage]]),MONTH(Tableau3[[#This Row],[OS démarrage]])+Tableau3[[#This Row],[Délai chantier initial]],DAY(Tableau3[[#This Row],[OS démarrage]]))</f>
        <v>43727</v>
      </c>
      <c r="BB19" s="118">
        <v>44180</v>
      </c>
      <c r="BC19" s="121">
        <f>(Tableau3[[#This Row],[Date réception entreprise recalée]]-Tableau3[[#This Row],[Date réception entreprise prévue initialement]])/30</f>
        <v>15.1</v>
      </c>
      <c r="BD19" s="124"/>
      <c r="BE19" s="124"/>
      <c r="BF19" s="124"/>
      <c r="BG19" s="124"/>
      <c r="BH19" s="137">
        <f>IFERROR((Tableau3[[#This Row],[Date Livraison VEFA estimée avec retards constatés]]-Tableau3[[#This Row],[Date livraison contractuelle y/c avenant]])/30,"-")</f>
        <v>0</v>
      </c>
      <c r="BI19" s="138">
        <f>Tableau3[[#This Row],[Date Livraison VEFA estimée avec retards constatés]]-Tableau3[[#This Row],[Date livraison contractuelle y/c avenant]]</f>
        <v>0</v>
      </c>
      <c r="BJ1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0" spans="1:62" x14ac:dyDescent="0.3">
      <c r="A20" s="14" t="s">
        <v>137</v>
      </c>
      <c r="B20" s="4" t="s">
        <v>41</v>
      </c>
      <c r="C20" s="4" t="s">
        <v>12</v>
      </c>
      <c r="D20" s="4">
        <v>2017</v>
      </c>
      <c r="E20" s="4"/>
      <c r="F20" s="4" t="s">
        <v>17</v>
      </c>
      <c r="G20" s="4"/>
      <c r="H20" s="4" t="s">
        <v>9</v>
      </c>
      <c r="I20" s="4" t="s">
        <v>52</v>
      </c>
      <c r="J20" s="4" t="s">
        <v>138</v>
      </c>
      <c r="K20" s="4" t="s">
        <v>389</v>
      </c>
      <c r="L20" s="24">
        <f>Tableau3[[#This Row],[LLS]]+Tableau3[[#This Row],[LLTS]]+Tableau3[[#This Row],[PLS]]+Tableau3[[#This Row],[REHAB]]</f>
        <v>10</v>
      </c>
      <c r="M20" s="23">
        <f>IFERROR(Tableau3[[#This Row],[LLS]]+Tableau3[[#This Row],[LLTS]]+Tableau3[[#This Row],[PLS]],"-")</f>
        <v>0</v>
      </c>
      <c r="N20" s="25"/>
      <c r="O20" s="25"/>
      <c r="P20" s="25"/>
      <c r="Q20" s="29">
        <v>10</v>
      </c>
      <c r="R20" s="30"/>
      <c r="S20" s="31"/>
      <c r="T20" s="56">
        <f>Tableau3[[#This Row],[SHAB y/c V]]/Tableau3[[#This Row],[N]]</f>
        <v>0</v>
      </c>
      <c r="U20" s="56">
        <f>Tableau3[[#This Row],[SF priorisée]]/Tableau3[[#This Row],[N]]</f>
        <v>0</v>
      </c>
      <c r="V20" s="57" t="str">
        <f>IFERROR(Tableau3[[#This Row],[SHAB y/c V]]/Tableau3[[#This Row],[SF priorisée]],"-")</f>
        <v>-</v>
      </c>
      <c r="W20" s="56"/>
      <c r="X20" s="44"/>
      <c r="Y20" s="45"/>
      <c r="Z20" s="5"/>
      <c r="AA20" s="58" t="str">
        <f>IFERROR(Tableau3[[#This Row],[Prix Achat TTC]]/Tableau3[[#This Row],[SHAB y/c V]],"-")</f>
        <v>-</v>
      </c>
      <c r="AB20" s="58" t="str">
        <f>IFERROR(Tableau3[[#This Row],[Prix Achat TTC]]/Tableau3[[#This Row],[SF priorisée]],"-")</f>
        <v>-</v>
      </c>
      <c r="AC20" s="58">
        <f>IFERROR(Tableau3[[#This Row],[Prix Achat TTC]]/Tableau3[[#This Row],[N]],"-")</f>
        <v>0</v>
      </c>
      <c r="AD20" s="62">
        <v>42824</v>
      </c>
      <c r="AE20" s="62">
        <v>43005</v>
      </c>
      <c r="AF20" s="62"/>
      <c r="AG20" s="58">
        <f>IFERROR((DATEDIF(Tableau3[[#This Row],[Demande LBU]],Tableau3[[#This Row],[Arrêté LBU]],"d"))/30,0)</f>
        <v>6.0333333333333332</v>
      </c>
      <c r="AH20" s="68">
        <v>43081</v>
      </c>
      <c r="AI20" s="68">
        <v>43235</v>
      </c>
      <c r="AJ20" s="73">
        <f>IFERROR((DATEDIF(Tableau3[[#This Row],[Dde édition prêt]],Tableau3[[#This Row],[Contrat de prêt]],"d"))/30,"-")</f>
        <v>5.1333333333333337</v>
      </c>
      <c r="AK20" s="68">
        <f>EOMONTH(Tableau3[[#This Row],[Contrat de prêt]],0)+1</f>
        <v>43252</v>
      </c>
      <c r="AL20" s="68"/>
      <c r="AM20" s="68">
        <v>43344</v>
      </c>
      <c r="AN2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20" s="79"/>
      <c r="AP20" s="2" t="str">
        <f>IF(Tableau3[[#This Row],[Montant des loyers perçus avant 1e échéance]]&lt;Tableau3[[#This Row],[Montant échéance annuelle]],"oui","non")</f>
        <v>non</v>
      </c>
      <c r="AS20" s="79">
        <f>Tableau3[[#This Row],[Mois de loyers avant 1e échéance]]-Tableau3[[#This Row],[Montant échéance annuelle]]</f>
        <v>0</v>
      </c>
      <c r="AU20" s="83">
        <v>43362</v>
      </c>
      <c r="AV20" s="94">
        <v>2018</v>
      </c>
      <c r="AW20" s="56">
        <f>IFERROR((DATEDIF(Tableau3[[#This Row],[Arrêté LBU]],Tableau3[[#This Row],[OS démarrage]],"d"))/30,0)</f>
        <v>11.9</v>
      </c>
      <c r="AX20" s="102">
        <v>12</v>
      </c>
      <c r="AY20" s="112"/>
      <c r="AZ20" s="84"/>
      <c r="BA20" s="116">
        <f>DATE(YEAR(Tableau3[[#This Row],[OS démarrage]]),MONTH(Tableau3[[#This Row],[OS démarrage]])+Tableau3[[#This Row],[Délai chantier initial]],DAY(Tableau3[[#This Row],[OS démarrage]]))</f>
        <v>43727</v>
      </c>
      <c r="BB20" s="118">
        <v>43621</v>
      </c>
      <c r="BC20" s="121">
        <f>(Tableau3[[#This Row],[Date réception entreprise recalée]]-Tableau3[[#This Row],[Date réception entreprise prévue initialement]])/30</f>
        <v>-3.5333333333333332</v>
      </c>
      <c r="BD20" s="124"/>
      <c r="BE20" s="124"/>
      <c r="BF20" s="124"/>
      <c r="BG20" s="124"/>
      <c r="BH20" s="137">
        <f>IFERROR((Tableau3[[#This Row],[Date Livraison VEFA estimée avec retards constatés]]-Tableau3[[#This Row],[Date livraison contractuelle y/c avenant]])/30,"-")</f>
        <v>0</v>
      </c>
      <c r="BI20" s="138">
        <f>Tableau3[[#This Row],[Date Livraison VEFA estimée avec retards constatés]]-Tableau3[[#This Row],[Date livraison contractuelle y/c avenant]]</f>
        <v>0</v>
      </c>
      <c r="BJ20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1" spans="1:62" x14ac:dyDescent="0.3">
      <c r="A21" s="14" t="s">
        <v>139</v>
      </c>
      <c r="B21" s="4" t="s">
        <v>41</v>
      </c>
      <c r="C21" s="4" t="s">
        <v>12</v>
      </c>
      <c r="D21" s="4">
        <v>2017</v>
      </c>
      <c r="E21" s="4"/>
      <c r="F21" s="4" t="s">
        <v>17</v>
      </c>
      <c r="G21" s="4"/>
      <c r="H21" s="4" t="s">
        <v>18</v>
      </c>
      <c r="I21" s="4" t="s">
        <v>52</v>
      </c>
      <c r="J21" s="4" t="s">
        <v>140</v>
      </c>
      <c r="K21" s="4" t="s">
        <v>389</v>
      </c>
      <c r="L21" s="24">
        <f>Tableau3[[#This Row],[LLS]]+Tableau3[[#This Row],[LLTS]]+Tableau3[[#This Row],[PLS]]+Tableau3[[#This Row],[REHAB]]</f>
        <v>26</v>
      </c>
      <c r="M21" s="23">
        <f>IFERROR(Tableau3[[#This Row],[LLS]]+Tableau3[[#This Row],[LLTS]]+Tableau3[[#This Row],[PLS]],"-")</f>
        <v>0</v>
      </c>
      <c r="N21" s="25"/>
      <c r="O21" s="25"/>
      <c r="P21" s="25"/>
      <c r="Q21" s="29">
        <v>26</v>
      </c>
      <c r="R21" s="30"/>
      <c r="S21" s="31"/>
      <c r="T21" s="56">
        <f>Tableau3[[#This Row],[SHAB y/c V]]/Tableau3[[#This Row],[N]]</f>
        <v>0</v>
      </c>
      <c r="U21" s="56">
        <f>Tableau3[[#This Row],[SF priorisée]]/Tableau3[[#This Row],[N]]</f>
        <v>0</v>
      </c>
      <c r="V21" s="57" t="str">
        <f>IFERROR(Tableau3[[#This Row],[SHAB y/c V]]/Tableau3[[#This Row],[SF priorisée]],"-")</f>
        <v>-</v>
      </c>
      <c r="W21" s="56"/>
      <c r="X21" s="44"/>
      <c r="Y21" s="43"/>
      <c r="Z21" s="5"/>
      <c r="AA21" s="58" t="str">
        <f>IFERROR(Tableau3[[#This Row],[Prix Achat TTC]]/Tableau3[[#This Row],[SHAB y/c V]],"-")</f>
        <v>-</v>
      </c>
      <c r="AB21" s="58" t="str">
        <f>IFERROR(Tableau3[[#This Row],[Prix Achat TTC]]/Tableau3[[#This Row],[SF priorisée]],"-")</f>
        <v>-</v>
      </c>
      <c r="AC21" s="58">
        <f>IFERROR(Tableau3[[#This Row],[Prix Achat TTC]]/Tableau3[[#This Row],[N]],"-")</f>
        <v>0</v>
      </c>
      <c r="AD21" s="62">
        <v>42824</v>
      </c>
      <c r="AE21" s="62">
        <v>43005</v>
      </c>
      <c r="AF21" s="62"/>
      <c r="AG21" s="58">
        <f>IFERROR((DATEDIF(Tableau3[[#This Row],[Demande LBU]],Tableau3[[#This Row],[Arrêté LBU]],"d"))/30,0)</f>
        <v>6.0333333333333332</v>
      </c>
      <c r="AH21" s="68">
        <v>43081</v>
      </c>
      <c r="AI21" s="68">
        <v>43235</v>
      </c>
      <c r="AJ21" s="73">
        <f>IFERROR((DATEDIF(Tableau3[[#This Row],[Dde édition prêt]],Tableau3[[#This Row],[Contrat de prêt]],"d"))/30,"-")</f>
        <v>5.1333333333333337</v>
      </c>
      <c r="AK21" s="68">
        <f>EOMONTH(Tableau3[[#This Row],[Contrat de prêt]],0)+1</f>
        <v>43252</v>
      </c>
      <c r="AL21" s="68"/>
      <c r="AM21" s="68">
        <v>43344</v>
      </c>
      <c r="AN2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21" s="79"/>
      <c r="AP21" s="2" t="str">
        <f>IF(Tableau3[[#This Row],[Montant des loyers perçus avant 1e échéance]]&lt;Tableau3[[#This Row],[Montant échéance annuelle]],"oui","non")</f>
        <v>non</v>
      </c>
      <c r="AS21" s="79">
        <f>Tableau3[[#This Row],[Mois de loyers avant 1e échéance]]-Tableau3[[#This Row],[Montant échéance annuelle]]</f>
        <v>0</v>
      </c>
      <c r="AU21" s="85">
        <v>43363</v>
      </c>
      <c r="AV21" s="95">
        <v>2018</v>
      </c>
      <c r="AW21" s="56">
        <f>IFERROR((DATEDIF(Tableau3[[#This Row],[Arrêté LBU]],Tableau3[[#This Row],[OS démarrage]],"d"))/30,0)</f>
        <v>11.933333333333334</v>
      </c>
      <c r="AX21" s="102">
        <v>12</v>
      </c>
      <c r="AY21" s="112"/>
      <c r="AZ21" s="84"/>
      <c r="BA21" s="116">
        <f>DATE(YEAR(Tableau3[[#This Row],[OS démarrage]]),MONTH(Tableau3[[#This Row],[OS démarrage]])+Tableau3[[#This Row],[Délai chantier initial]],DAY(Tableau3[[#This Row],[OS démarrage]]))</f>
        <v>43728</v>
      </c>
      <c r="BB21" s="118">
        <v>44174</v>
      </c>
      <c r="BC21" s="121">
        <f>(Tableau3[[#This Row],[Date réception entreprise recalée]]-Tableau3[[#This Row],[Date réception entreprise prévue initialement]])/30</f>
        <v>14.866666666666667</v>
      </c>
      <c r="BD21" s="124"/>
      <c r="BE21" s="124"/>
      <c r="BF21" s="124"/>
      <c r="BG21" s="124"/>
      <c r="BH21" s="137">
        <f>IFERROR((Tableau3[[#This Row],[Date Livraison VEFA estimée avec retards constatés]]-Tableau3[[#This Row],[Date livraison contractuelle y/c avenant]])/30,"-")</f>
        <v>0</v>
      </c>
      <c r="BI21" s="138">
        <f>Tableau3[[#This Row],[Date Livraison VEFA estimée avec retards constatés]]-Tableau3[[#This Row],[Date livraison contractuelle y/c avenant]]</f>
        <v>0</v>
      </c>
      <c r="BJ21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2" spans="1:62" x14ac:dyDescent="0.3">
      <c r="A22" s="14" t="s">
        <v>141</v>
      </c>
      <c r="B22" s="4" t="s">
        <v>15</v>
      </c>
      <c r="C22" s="4" t="s">
        <v>21</v>
      </c>
      <c r="D22" s="4">
        <v>2017</v>
      </c>
      <c r="E22" s="4"/>
      <c r="F22" s="4" t="s">
        <v>17</v>
      </c>
      <c r="G22" s="4"/>
      <c r="H22" s="4" t="s">
        <v>28</v>
      </c>
      <c r="I22" s="4" t="s">
        <v>52</v>
      </c>
      <c r="J22" s="4" t="s">
        <v>142</v>
      </c>
      <c r="K22" s="4" t="s">
        <v>389</v>
      </c>
      <c r="L22" s="24">
        <f>Tableau3[[#This Row],[LLS]]+Tableau3[[#This Row],[LLTS]]+Tableau3[[#This Row],[PLS]]+Tableau3[[#This Row],[REHAB]]</f>
        <v>31</v>
      </c>
      <c r="M22" s="23">
        <f>IFERROR(Tableau3[[#This Row],[LLS]]+Tableau3[[#This Row],[LLTS]]+Tableau3[[#This Row],[PLS]],"-")</f>
        <v>0</v>
      </c>
      <c r="N22" s="25"/>
      <c r="O22" s="25"/>
      <c r="P22" s="25"/>
      <c r="Q22" s="29">
        <v>31</v>
      </c>
      <c r="R22" s="30"/>
      <c r="S22" s="31"/>
      <c r="T22" s="56">
        <f>Tableau3[[#This Row],[SHAB y/c V]]/Tableau3[[#This Row],[N]]</f>
        <v>0</v>
      </c>
      <c r="U22" s="56">
        <f>Tableau3[[#This Row],[SF priorisée]]/Tableau3[[#This Row],[N]]</f>
        <v>0</v>
      </c>
      <c r="V22" s="57" t="str">
        <f>IFERROR(Tableau3[[#This Row],[SHAB y/c V]]/Tableau3[[#This Row],[SF priorisée]],"-")</f>
        <v>-</v>
      </c>
      <c r="W22" s="56"/>
      <c r="X22" s="44"/>
      <c r="Y22" s="43"/>
      <c r="Z22" s="5"/>
      <c r="AA22" s="58" t="str">
        <f>IFERROR(Tableau3[[#This Row],[Prix Achat TTC]]/Tableau3[[#This Row],[SHAB y/c V]],"-")</f>
        <v>-</v>
      </c>
      <c r="AB22" s="58" t="str">
        <f>IFERROR(Tableau3[[#This Row],[Prix Achat TTC]]/Tableau3[[#This Row],[SF priorisée]],"-")</f>
        <v>-</v>
      </c>
      <c r="AC22" s="58">
        <f>IFERROR(Tableau3[[#This Row],[Prix Achat TTC]]/Tableau3[[#This Row],[N]],"-")</f>
        <v>0</v>
      </c>
      <c r="AD22" s="62">
        <v>42824</v>
      </c>
      <c r="AE22" s="62">
        <v>43039</v>
      </c>
      <c r="AF22" s="62"/>
      <c r="AG22" s="58">
        <f>IFERROR((DATEDIF(Tableau3[[#This Row],[Demande LBU]],Tableau3[[#This Row],[Arrêté LBU]],"d"))/30,0)</f>
        <v>7.166666666666667</v>
      </c>
      <c r="AH22" s="68">
        <v>43081</v>
      </c>
      <c r="AI22" s="68">
        <v>43234</v>
      </c>
      <c r="AJ22" s="73">
        <f>IFERROR((DATEDIF(Tableau3[[#This Row],[Dde édition prêt]],Tableau3[[#This Row],[Contrat de prêt]],"d"))/30,"-")</f>
        <v>5.0999999999999996</v>
      </c>
      <c r="AK22" s="68">
        <f>EOMONTH(Tableau3[[#This Row],[Contrat de prêt]],0)+1</f>
        <v>43252</v>
      </c>
      <c r="AL22" s="68"/>
      <c r="AM22" s="68">
        <v>43344</v>
      </c>
      <c r="AN2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22" s="79"/>
      <c r="AP22" s="2" t="str">
        <f>IF(Tableau3[[#This Row],[Montant des loyers perçus avant 1e échéance]]&lt;Tableau3[[#This Row],[Montant échéance annuelle]],"oui","non")</f>
        <v>non</v>
      </c>
      <c r="AS22" s="79">
        <f>Tableau3[[#This Row],[Mois de loyers avant 1e échéance]]-Tableau3[[#This Row],[Montant échéance annuelle]]</f>
        <v>0</v>
      </c>
      <c r="AU22" s="83">
        <v>43441</v>
      </c>
      <c r="AV22" s="94">
        <v>2018</v>
      </c>
      <c r="AW22" s="56">
        <f>IFERROR((DATEDIF(Tableau3[[#This Row],[Arrêté LBU]],Tableau3[[#This Row],[OS démarrage]],"d"))/30,0)</f>
        <v>13.4</v>
      </c>
      <c r="AX22" s="102">
        <v>12</v>
      </c>
      <c r="AY22" s="112"/>
      <c r="AZ22" s="84"/>
      <c r="BA22" s="116">
        <f>DATE(YEAR(Tableau3[[#This Row],[OS démarrage]]),MONTH(Tableau3[[#This Row],[OS démarrage]])+Tableau3[[#This Row],[Délai chantier initial]],DAY(Tableau3[[#This Row],[OS démarrage]]))</f>
        <v>43806</v>
      </c>
      <c r="BB22" s="118">
        <v>44175</v>
      </c>
      <c r="BC22" s="121">
        <f>(Tableau3[[#This Row],[Date réception entreprise recalée]]-Tableau3[[#This Row],[Date réception entreprise prévue initialement]])/30</f>
        <v>12.3</v>
      </c>
      <c r="BD22" s="124"/>
      <c r="BE22" s="124"/>
      <c r="BF22" s="124"/>
      <c r="BG22" s="124"/>
      <c r="BH22" s="137">
        <f>IFERROR((Tableau3[[#This Row],[Date Livraison VEFA estimée avec retards constatés]]-Tableau3[[#This Row],[Date livraison contractuelle y/c avenant]])/30,"-")</f>
        <v>0</v>
      </c>
      <c r="BI22" s="138">
        <f>Tableau3[[#This Row],[Date Livraison VEFA estimée avec retards constatés]]-Tableau3[[#This Row],[Date livraison contractuelle y/c avenant]]</f>
        <v>0</v>
      </c>
      <c r="BJ22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3" spans="1:62" x14ac:dyDescent="0.3">
      <c r="A23" s="14" t="s">
        <v>143</v>
      </c>
      <c r="B23" s="4" t="s">
        <v>20</v>
      </c>
      <c r="C23" s="4" t="s">
        <v>12</v>
      </c>
      <c r="D23" s="4">
        <v>2017</v>
      </c>
      <c r="E23" s="4"/>
      <c r="F23" s="4" t="s">
        <v>17</v>
      </c>
      <c r="G23" s="4"/>
      <c r="H23" s="8" t="s">
        <v>35</v>
      </c>
      <c r="I23" s="4" t="s">
        <v>52</v>
      </c>
      <c r="J23" s="4" t="s">
        <v>144</v>
      </c>
      <c r="K23" s="4" t="s">
        <v>389</v>
      </c>
      <c r="L23" s="24">
        <f>Tableau3[[#This Row],[LLS]]+Tableau3[[#This Row],[LLTS]]+Tableau3[[#This Row],[PLS]]+Tableau3[[#This Row],[REHAB]]</f>
        <v>6</v>
      </c>
      <c r="M23" s="23">
        <f>IFERROR(Tableau3[[#This Row],[LLS]]+Tableau3[[#This Row],[LLTS]]+Tableau3[[#This Row],[PLS]],"-")</f>
        <v>0</v>
      </c>
      <c r="N23" s="25"/>
      <c r="O23" s="25"/>
      <c r="P23" s="25"/>
      <c r="Q23" s="29">
        <v>6</v>
      </c>
      <c r="R23" s="30"/>
      <c r="S23" s="31"/>
      <c r="T23" s="56">
        <f>Tableau3[[#This Row],[SHAB y/c V]]/Tableau3[[#This Row],[N]]</f>
        <v>0</v>
      </c>
      <c r="U23" s="56">
        <f>Tableau3[[#This Row],[SF priorisée]]/Tableau3[[#This Row],[N]]</f>
        <v>0</v>
      </c>
      <c r="V23" s="57" t="str">
        <f>IFERROR(Tableau3[[#This Row],[SHAB y/c V]]/Tableau3[[#This Row],[SF priorisée]],"-")</f>
        <v>-</v>
      </c>
      <c r="W23" s="56"/>
      <c r="X23" s="44"/>
      <c r="Y23" s="43"/>
      <c r="Z23" s="5"/>
      <c r="AA23" s="58" t="str">
        <f>IFERROR(Tableau3[[#This Row],[Prix Achat TTC]]/Tableau3[[#This Row],[SHAB y/c V]],"-")</f>
        <v>-</v>
      </c>
      <c r="AB23" s="58" t="str">
        <f>IFERROR(Tableau3[[#This Row],[Prix Achat TTC]]/Tableau3[[#This Row],[SF priorisée]],"-")</f>
        <v>-</v>
      </c>
      <c r="AC23" s="58">
        <f>IFERROR(Tableau3[[#This Row],[Prix Achat TTC]]/Tableau3[[#This Row],[N]],"-")</f>
        <v>0</v>
      </c>
      <c r="AD23" s="62">
        <v>42824</v>
      </c>
      <c r="AE23" s="62">
        <v>43005</v>
      </c>
      <c r="AF23" s="62"/>
      <c r="AG23" s="58">
        <f>IFERROR((DATEDIF(Tableau3[[#This Row],[Demande LBU]],Tableau3[[#This Row],[Arrêté LBU]],"d"))/30,0)</f>
        <v>6.0333333333333332</v>
      </c>
      <c r="AH23" s="68">
        <v>43081</v>
      </c>
      <c r="AI23" s="68">
        <v>43234</v>
      </c>
      <c r="AJ23" s="73">
        <f>IFERROR((DATEDIF(Tableau3[[#This Row],[Dde édition prêt]],Tableau3[[#This Row],[Contrat de prêt]],"d"))/30,"-")</f>
        <v>5.0999999999999996</v>
      </c>
      <c r="AK23" s="68">
        <f>EOMONTH(Tableau3[[#This Row],[Contrat de prêt]],0)+1</f>
        <v>43252</v>
      </c>
      <c r="AL23" s="68"/>
      <c r="AM23" s="68">
        <v>43344</v>
      </c>
      <c r="AN2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23" s="79"/>
      <c r="AP23" s="2" t="str">
        <f>IF(Tableau3[[#This Row],[Montant des loyers perçus avant 1e échéance]]&lt;Tableau3[[#This Row],[Montant échéance annuelle]],"oui","non")</f>
        <v>non</v>
      </c>
      <c r="AS23" s="79">
        <f>Tableau3[[#This Row],[Mois de loyers avant 1e échéance]]-Tableau3[[#This Row],[Montant échéance annuelle]]</f>
        <v>0</v>
      </c>
      <c r="AU23" s="83">
        <v>43452</v>
      </c>
      <c r="AV23" s="94">
        <v>2018</v>
      </c>
      <c r="AW23" s="56">
        <f>IFERROR((DATEDIF(Tableau3[[#This Row],[Arrêté LBU]],Tableau3[[#This Row],[OS démarrage]],"d"))/30,0)</f>
        <v>14.9</v>
      </c>
      <c r="AX23" s="102">
        <v>7</v>
      </c>
      <c r="AY23" s="112"/>
      <c r="AZ23" s="84"/>
      <c r="BA23" s="116">
        <f>DATE(YEAR(Tableau3[[#This Row],[OS démarrage]]),MONTH(Tableau3[[#This Row],[OS démarrage]])+Tableau3[[#This Row],[Délai chantier initial]],DAY(Tableau3[[#This Row],[OS démarrage]]))</f>
        <v>43664</v>
      </c>
      <c r="BB23" s="118">
        <v>44167</v>
      </c>
      <c r="BC23" s="121">
        <f>(Tableau3[[#This Row],[Date réception entreprise recalée]]-Tableau3[[#This Row],[Date réception entreprise prévue initialement]])/30</f>
        <v>16.766666666666666</v>
      </c>
      <c r="BD23" s="124"/>
      <c r="BE23" s="124"/>
      <c r="BF23" s="124"/>
      <c r="BG23" s="124"/>
      <c r="BH23" s="137">
        <f>IFERROR((Tableau3[[#This Row],[Date Livraison VEFA estimée avec retards constatés]]-Tableau3[[#This Row],[Date livraison contractuelle y/c avenant]])/30,"-")</f>
        <v>0</v>
      </c>
      <c r="BI23" s="138">
        <f>Tableau3[[#This Row],[Date Livraison VEFA estimée avec retards constatés]]-Tableau3[[#This Row],[Date livraison contractuelle y/c avenant]]</f>
        <v>0</v>
      </c>
      <c r="BJ2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4" spans="1:62" x14ac:dyDescent="0.3">
      <c r="A24" s="7" t="s">
        <v>145</v>
      </c>
      <c r="B24" s="4" t="s">
        <v>11</v>
      </c>
      <c r="C24" s="4" t="s">
        <v>21</v>
      </c>
      <c r="D24" s="4">
        <v>2017</v>
      </c>
      <c r="E24" s="4" t="s">
        <v>146</v>
      </c>
      <c r="F24" s="4"/>
      <c r="G24" s="4" t="s">
        <v>42</v>
      </c>
      <c r="H24" s="4" t="s">
        <v>23</v>
      </c>
      <c r="I24" s="4" t="s">
        <v>52</v>
      </c>
      <c r="J24" s="4" t="s">
        <v>147</v>
      </c>
      <c r="K24" s="4" t="s">
        <v>81</v>
      </c>
      <c r="L24" s="24">
        <f>Tableau3[[#This Row],[LLS]]+Tableau3[[#This Row],[LLTS]]+Tableau3[[#This Row],[PLS]]+Tableau3[[#This Row],[REHAB]]</f>
        <v>21</v>
      </c>
      <c r="M24" s="23">
        <f>IFERROR(Tableau3[[#This Row],[LLS]]+Tableau3[[#This Row],[LLTS]]+Tableau3[[#This Row],[PLS]],"-")</f>
        <v>21</v>
      </c>
      <c r="N24" s="25"/>
      <c r="O24" s="4">
        <v>21</v>
      </c>
      <c r="P24" s="25"/>
      <c r="Q24" s="25"/>
      <c r="R24" s="26">
        <v>1596.04</v>
      </c>
      <c r="S24" s="27">
        <v>1596.04</v>
      </c>
      <c r="T24" s="56">
        <f>Tableau3[[#This Row],[SHAB y/c V]]/Tableau3[[#This Row],[N]]</f>
        <v>76.001904761904754</v>
      </c>
      <c r="U24" s="56">
        <f>Tableau3[[#This Row],[SF priorisée]]/Tableau3[[#This Row],[N]]</f>
        <v>76.001904761904754</v>
      </c>
      <c r="V24" s="57">
        <f>IFERROR(Tableau3[[#This Row],[SHAB y/c V]]/Tableau3[[#This Row],[SF priorisée]],"-")</f>
        <v>1</v>
      </c>
      <c r="W24" s="56">
        <v>406.06</v>
      </c>
      <c r="X24" s="43" t="s">
        <v>390</v>
      </c>
      <c r="Y24" s="43" t="s">
        <v>392</v>
      </c>
      <c r="Z24" s="5"/>
      <c r="AA24" s="58">
        <f>IFERROR(Tableau3[[#This Row],[Prix Achat TTC]]/Tableau3[[#This Row],[SHAB y/c V]],"-")</f>
        <v>0</v>
      </c>
      <c r="AB24" s="58">
        <f>IFERROR(Tableau3[[#This Row],[Prix Achat TTC]]/Tableau3[[#This Row],[SF priorisée]],"-")</f>
        <v>0</v>
      </c>
      <c r="AC24" s="58">
        <f>IFERROR(Tableau3[[#This Row],[Prix Achat TTC]]/Tableau3[[#This Row],[N]],"-")</f>
        <v>0</v>
      </c>
      <c r="AD24" s="62">
        <v>42824</v>
      </c>
      <c r="AE24" s="62">
        <v>43017</v>
      </c>
      <c r="AF24" s="63">
        <v>43045</v>
      </c>
      <c r="AG24" s="58">
        <f>IFERROR((DATEDIF(Tableau3[[#This Row],[Demande LBU]],Tableau3[[#This Row],[Arrêté LBU]],"d"))/30,0)</f>
        <v>6.4333333333333336</v>
      </c>
      <c r="AH24" s="68">
        <v>43168</v>
      </c>
      <c r="AI24" s="68">
        <v>43249</v>
      </c>
      <c r="AJ24" s="73">
        <f>IFERROR((DATEDIF(Tableau3[[#This Row],[Dde édition prêt]],Tableau3[[#This Row],[Contrat de prêt]],"d"))/30,"-")</f>
        <v>2.7</v>
      </c>
      <c r="AK24" s="68">
        <f>EOMONTH(Tableau3[[#This Row],[Contrat de prêt]],0)+1</f>
        <v>43252</v>
      </c>
      <c r="AL24" s="68"/>
      <c r="AM24" s="68">
        <v>43344</v>
      </c>
      <c r="AN2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44440</v>
      </c>
      <c r="AO24" s="79">
        <f>13884+73092</f>
        <v>86976</v>
      </c>
      <c r="AP24" s="2" t="str">
        <f>IF(Tableau3[[#This Row],[Montant des loyers perçus avant 1e échéance]]&lt;Tableau3[[#This Row],[Montant échéance annuelle]],"oui","non")</f>
        <v>oui</v>
      </c>
      <c r="AS24" s="79">
        <f>Tableau3[[#This Row],[Mois de loyers avant 1e échéance]]-Tableau3[[#This Row],[Montant échéance annuelle]]</f>
        <v>-86976</v>
      </c>
      <c r="AU24" s="83">
        <v>43556</v>
      </c>
      <c r="AV24" s="96">
        <v>2019</v>
      </c>
      <c r="AW24" s="56">
        <f>IFERROR((DATEDIF(Tableau3[[#This Row],[Arrêté LBU]],Tableau3[[#This Row],[OS démarrage]],"d"))/30,0)</f>
        <v>17.966666666666665</v>
      </c>
      <c r="AX24" s="102">
        <v>17</v>
      </c>
      <c r="AY24" s="112"/>
      <c r="AZ24" s="84">
        <f ca="1">IF(AY24&lt;TODAY(),TODAY(),AY24)</f>
        <v>45034</v>
      </c>
      <c r="BA24" s="116">
        <f>DATE(YEAR(Tableau3[[#This Row],[OS démarrage]]),MONTH(Tableau3[[#This Row],[OS démarrage]])+Tableau3[[#This Row],[Délai chantier initial]],DAY(Tableau3[[#This Row],[OS démarrage]]))</f>
        <v>44075</v>
      </c>
      <c r="BB24" s="118">
        <v>44277</v>
      </c>
      <c r="BC24" s="121">
        <f>(Tableau3[[#This Row],[Date réception entreprise recalée]]-Tableau3[[#This Row],[Date réception entreprise prévue initialement]])/30</f>
        <v>6.7333333333333334</v>
      </c>
      <c r="BD24" s="124"/>
      <c r="BE24" s="124"/>
      <c r="BF24" s="124"/>
      <c r="BG24" s="124"/>
      <c r="BH24" s="137">
        <f>IFERROR((Tableau3[[#This Row],[Date Livraison VEFA estimée avec retards constatés]]-Tableau3[[#This Row],[Date livraison contractuelle y/c avenant]])/30,"-")</f>
        <v>0</v>
      </c>
      <c r="BI24" s="138">
        <f>Tableau3[[#This Row],[Date Livraison VEFA estimée avec retards constatés]]-Tableau3[[#This Row],[Date livraison contractuelle y/c avenant]]</f>
        <v>0</v>
      </c>
      <c r="BJ24" s="140">
        <f ca="1">IF(Tableau3[[#This Row],[TYPE]]="Rehab","",DATE(YEAR(Tableau3[[#This Row],[Achèvement fondations]])+2,MONTH(Tableau3[[#This Row],[Achèvement fondations]]),DAY(Tableau3[[#This Row],[Achèvement fondations]])))</f>
        <v>45765</v>
      </c>
    </row>
    <row r="25" spans="1:62" x14ac:dyDescent="0.3">
      <c r="A25" s="7" t="s">
        <v>148</v>
      </c>
      <c r="B25" s="4" t="s">
        <v>55</v>
      </c>
      <c r="C25" s="4" t="s">
        <v>12</v>
      </c>
      <c r="D25" s="4">
        <v>2017</v>
      </c>
      <c r="E25" s="4" t="s">
        <v>149</v>
      </c>
      <c r="F25" s="4" t="s">
        <v>34</v>
      </c>
      <c r="G25" s="4"/>
      <c r="H25" s="4" t="s">
        <v>9</v>
      </c>
      <c r="I25" s="4" t="s">
        <v>52</v>
      </c>
      <c r="J25" s="4" t="s">
        <v>150</v>
      </c>
      <c r="K25" s="4" t="s">
        <v>81</v>
      </c>
      <c r="L25" s="24">
        <f>Tableau3[[#This Row],[LLS]]+Tableau3[[#This Row],[LLTS]]+Tableau3[[#This Row],[PLS]]+Tableau3[[#This Row],[REHAB]]</f>
        <v>24</v>
      </c>
      <c r="M25" s="23">
        <f>IFERROR(Tableau3[[#This Row],[LLS]]+Tableau3[[#This Row],[LLTS]]+Tableau3[[#This Row],[PLS]],"-")</f>
        <v>24</v>
      </c>
      <c r="N25" s="25"/>
      <c r="O25" s="4">
        <v>24</v>
      </c>
      <c r="P25" s="25"/>
      <c r="Q25" s="25"/>
      <c r="R25" s="26">
        <v>1539.6699999999996</v>
      </c>
      <c r="S25" s="27">
        <v>1796.56</v>
      </c>
      <c r="T25" s="56">
        <f>Tableau3[[#This Row],[SHAB y/c V]]/Tableau3[[#This Row],[N]]</f>
        <v>64.152916666666655</v>
      </c>
      <c r="U25" s="56">
        <f>Tableau3[[#This Row],[SF priorisée]]/Tableau3[[#This Row],[N]]</f>
        <v>74.856666666666669</v>
      </c>
      <c r="V25" s="57">
        <f>IFERROR(Tableau3[[#This Row],[SHAB y/c V]]/Tableau3[[#This Row],[SF priorisée]],"-")</f>
        <v>0.85701006367724963</v>
      </c>
      <c r="W25" s="56">
        <v>404.62</v>
      </c>
      <c r="X25" s="43" t="s">
        <v>390</v>
      </c>
      <c r="Y25" s="43" t="s">
        <v>392</v>
      </c>
      <c r="Z25" s="5"/>
      <c r="AA25" s="58">
        <f>IFERROR(Tableau3[[#This Row],[Prix Achat TTC]]/Tableau3[[#This Row],[SHAB y/c V]],"-")</f>
        <v>0</v>
      </c>
      <c r="AB25" s="58">
        <f>IFERROR(Tableau3[[#This Row],[Prix Achat TTC]]/Tableau3[[#This Row],[SF priorisée]],"-")</f>
        <v>0</v>
      </c>
      <c r="AC25" s="58">
        <f>IFERROR(Tableau3[[#This Row],[Prix Achat TTC]]/Tableau3[[#This Row],[N]],"-")</f>
        <v>0</v>
      </c>
      <c r="AD25" s="62">
        <v>42824</v>
      </c>
      <c r="AE25" s="62">
        <v>42916</v>
      </c>
      <c r="AF25" s="62">
        <v>43010</v>
      </c>
      <c r="AG25" s="58">
        <f>IFERROR((DATEDIF(Tableau3[[#This Row],[Demande LBU]],Tableau3[[#This Row],[Arrêté LBU]],"d"))/30,0)</f>
        <v>3.0666666666666669</v>
      </c>
      <c r="AH25" s="68">
        <v>43279</v>
      </c>
      <c r="AI25" s="68">
        <v>43356</v>
      </c>
      <c r="AJ25" s="73">
        <f>IFERROR((DATEDIF(Tableau3[[#This Row],[Dde édition prêt]],Tableau3[[#This Row],[Contrat de prêt]],"d"))/30,"-")</f>
        <v>2.5666666666666669</v>
      </c>
      <c r="AK25" s="68">
        <f>EOMONTH(Tableau3[[#This Row],[Contrat de prêt]],0)+1</f>
        <v>43374</v>
      </c>
      <c r="AL25" s="68">
        <v>43385</v>
      </c>
      <c r="AM25" s="68">
        <v>43466</v>
      </c>
      <c r="AN2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44562</v>
      </c>
      <c r="AO25" s="79">
        <f>10589+49826</f>
        <v>60415</v>
      </c>
      <c r="AP25" s="2" t="str">
        <f>IF(Tableau3[[#This Row],[Montant des loyers perçus avant 1e échéance]]&lt;Tableau3[[#This Row],[Montant échéance annuelle]],"oui","non")</f>
        <v>oui</v>
      </c>
      <c r="AS25" s="79">
        <f>Tableau3[[#This Row],[Mois de loyers avant 1e échéance]]-Tableau3[[#This Row],[Montant échéance annuelle]]</f>
        <v>-60415</v>
      </c>
      <c r="AU25" s="83">
        <v>43585</v>
      </c>
      <c r="AV25" s="94">
        <v>2019</v>
      </c>
      <c r="AW25" s="56">
        <f>IFERROR((DATEDIF(Tableau3[[#This Row],[Arrêté LBU]],Tableau3[[#This Row],[OS démarrage]],"d"))/30,0)</f>
        <v>22.3</v>
      </c>
      <c r="AX25" s="102">
        <v>16</v>
      </c>
      <c r="AY25" s="112"/>
      <c r="AZ25" s="84">
        <v>43739</v>
      </c>
      <c r="BA25" s="116">
        <f>DATE(YEAR(Tableau3[[#This Row],[OS démarrage]]),MONTH(Tableau3[[#This Row],[OS démarrage]])+Tableau3[[#This Row],[Délai chantier initial]],DAY(Tableau3[[#This Row],[OS démarrage]]))</f>
        <v>44073</v>
      </c>
      <c r="BB25" s="83">
        <v>44147</v>
      </c>
      <c r="BC25" s="121">
        <f>(Tableau3[[#This Row],[Date réception entreprise recalée]]-Tableau3[[#This Row],[Date réception entreprise prévue initialement]])/30</f>
        <v>2.4666666666666668</v>
      </c>
      <c r="BD25" s="125"/>
      <c r="BE25" s="125"/>
      <c r="BF25" s="125"/>
      <c r="BG25" s="125"/>
      <c r="BH25" s="137">
        <f>IFERROR((Tableau3[[#This Row],[Date Livraison VEFA estimée avec retards constatés]]-Tableau3[[#This Row],[Date livraison contractuelle y/c avenant]])/30,"-")</f>
        <v>0</v>
      </c>
      <c r="BI25" s="138">
        <f>Tableau3[[#This Row],[Date Livraison VEFA estimée avec retards constatés]]-Tableau3[[#This Row],[Date livraison contractuelle y/c avenant]]</f>
        <v>0</v>
      </c>
      <c r="BJ25" s="140">
        <f>IF(Tableau3[[#This Row],[TYPE]]="Rehab","",DATE(YEAR(Tableau3[[#This Row],[Achèvement fondations]])+2,MONTH(Tableau3[[#This Row],[Achèvement fondations]]),DAY(Tableau3[[#This Row],[Achèvement fondations]])))</f>
        <v>44470</v>
      </c>
    </row>
    <row r="26" spans="1:62" x14ac:dyDescent="0.3">
      <c r="A26" s="15" t="s">
        <v>151</v>
      </c>
      <c r="B26" s="4" t="s">
        <v>44</v>
      </c>
      <c r="C26" s="4" t="s">
        <v>26</v>
      </c>
      <c r="D26" s="4">
        <v>2017</v>
      </c>
      <c r="E26" s="7" t="s">
        <v>152</v>
      </c>
      <c r="F26" s="4" t="s">
        <v>22</v>
      </c>
      <c r="G26" s="4"/>
      <c r="H26" s="4" t="s">
        <v>13</v>
      </c>
      <c r="I26" s="6" t="s">
        <v>48</v>
      </c>
      <c r="J26" s="4" t="s">
        <v>153</v>
      </c>
      <c r="K26" s="4" t="s">
        <v>81</v>
      </c>
      <c r="L26" s="24">
        <f>Tableau3[[#This Row],[LLS]]+Tableau3[[#This Row],[LLTS]]+Tableau3[[#This Row],[PLS]]+Tableau3[[#This Row],[REHAB]]</f>
        <v>84</v>
      </c>
      <c r="M26" s="23">
        <f>IFERROR(Tableau3[[#This Row],[LLS]]+Tableau3[[#This Row],[LLTS]]+Tableau3[[#This Row],[PLS]],"-")</f>
        <v>84</v>
      </c>
      <c r="N26" s="25"/>
      <c r="O26" s="4">
        <v>84</v>
      </c>
      <c r="P26" s="25"/>
      <c r="Q26" s="25"/>
      <c r="R26" s="26">
        <v>5759.1800000000012</v>
      </c>
      <c r="S26" s="27">
        <v>6451.5850000000009</v>
      </c>
      <c r="T26" s="56">
        <f>Tableau3[[#This Row],[SHAB y/c V]]/Tableau3[[#This Row],[N]]</f>
        <v>68.561666666666682</v>
      </c>
      <c r="U26" s="56">
        <f>Tableau3[[#This Row],[SF priorisée]]/Tableau3[[#This Row],[N]]</f>
        <v>76.804583333333341</v>
      </c>
      <c r="V26" s="57">
        <f>IFERROR(Tableau3[[#This Row],[SHAB y/c V]]/Tableau3[[#This Row],[SF priorisée]],"-")</f>
        <v>0.89267676082699066</v>
      </c>
      <c r="W26" s="56">
        <v>412.03</v>
      </c>
      <c r="X26" s="43" t="s">
        <v>390</v>
      </c>
      <c r="Y26" s="43" t="s">
        <v>392</v>
      </c>
      <c r="Z26" s="5"/>
      <c r="AA26" s="58">
        <f>IFERROR(Tableau3[[#This Row],[Prix Achat TTC]]/Tableau3[[#This Row],[SHAB y/c V]],"-")</f>
        <v>0</v>
      </c>
      <c r="AB26" s="58">
        <f>IFERROR(Tableau3[[#This Row],[Prix Achat TTC]]/Tableau3[[#This Row],[SF priorisée]],"-")</f>
        <v>0</v>
      </c>
      <c r="AC26" s="58">
        <f>IFERROR(Tableau3[[#This Row],[Prix Achat TTC]]/Tableau3[[#This Row],[N]],"-")</f>
        <v>0</v>
      </c>
      <c r="AD26" s="62">
        <v>42824</v>
      </c>
      <c r="AE26" s="62">
        <v>42929</v>
      </c>
      <c r="AF26" s="62">
        <v>43010</v>
      </c>
      <c r="AG26" s="58">
        <f>IFERROR((DATEDIF(Tableau3[[#This Row],[Demande LBU]],Tableau3[[#This Row],[Arrêté LBU]],"d"))/30,0)</f>
        <v>3.5</v>
      </c>
      <c r="AH26" s="68">
        <v>44074</v>
      </c>
      <c r="AI26" s="68">
        <v>44126</v>
      </c>
      <c r="AJ26" s="73">
        <f>IFERROR((DATEDIF(Tableau3[[#This Row],[Dde édition prêt]],Tableau3[[#This Row],[Contrat de prêt]],"d"))/30,"-")</f>
        <v>1.7333333333333334</v>
      </c>
      <c r="AK26" s="68">
        <f>EOMONTH(Tableau3[[#This Row],[Contrat de prêt]],0)+1</f>
        <v>44136</v>
      </c>
      <c r="AL26" s="68"/>
      <c r="AM26" s="68">
        <v>44136</v>
      </c>
      <c r="AN2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45231</v>
      </c>
      <c r="AO26" s="79"/>
      <c r="AP26" s="2" t="str">
        <f>IF(Tableau3[[#This Row],[Montant des loyers perçus avant 1e échéance]]&lt;Tableau3[[#This Row],[Montant échéance annuelle]],"oui","non")</f>
        <v>non</v>
      </c>
      <c r="AS26" s="79">
        <f>Tableau3[[#This Row],[Mois de loyers avant 1e échéance]]-Tableau3[[#This Row],[Montant échéance annuelle]]</f>
        <v>0</v>
      </c>
      <c r="AU26" s="83">
        <v>44148</v>
      </c>
      <c r="AV26" s="94">
        <v>2020</v>
      </c>
      <c r="AW26" s="56">
        <f>IFERROR((DATEDIF(Tableau3[[#This Row],[Arrêté LBU]],Tableau3[[#This Row],[OS démarrage]],"d"))/30,0)</f>
        <v>40.633333333333333</v>
      </c>
      <c r="AX26" s="102">
        <v>26</v>
      </c>
      <c r="AY26" s="112"/>
      <c r="AZ26" s="110">
        <v>44509</v>
      </c>
      <c r="BA26" s="116">
        <f>DATE(YEAR(Tableau3[[#This Row],[OS démarrage]]),MONTH(Tableau3[[#This Row],[OS démarrage]])+Tableau3[[#This Row],[Délai chantier initial]],DAY(Tableau3[[#This Row],[OS démarrage]]))</f>
        <v>44939</v>
      </c>
      <c r="BB26" s="118">
        <v>45168</v>
      </c>
      <c r="BC26" s="121">
        <f>(Tableau3[[#This Row],[Date réception entreprise recalée]]-Tableau3[[#This Row],[Date réception entreprise prévue initialement]])/30</f>
        <v>7.6333333333333337</v>
      </c>
      <c r="BD26" s="126"/>
      <c r="BE26" s="124"/>
      <c r="BF26" s="124"/>
      <c r="BG26" s="124"/>
      <c r="BH26" s="137">
        <f>IFERROR((Tableau3[[#This Row],[Date Livraison VEFA estimée avec retards constatés]]-Tableau3[[#This Row],[Date livraison contractuelle y/c avenant]])/30,"-")</f>
        <v>0</v>
      </c>
      <c r="BI26" s="138">
        <f>Tableau3[[#This Row],[Date Livraison VEFA estimée avec retards constatés]]-Tableau3[[#This Row],[Date livraison contractuelle y/c avenant]]</f>
        <v>0</v>
      </c>
      <c r="BJ26" s="140">
        <f>IF(Tableau3[[#This Row],[TYPE]]="Rehab","",DATE(YEAR(Tableau3[[#This Row],[Achèvement fondations]])+2,MONTH(Tableau3[[#This Row],[Achèvement fondations]]),DAY(Tableau3[[#This Row],[Achèvement fondations]])))</f>
        <v>45239</v>
      </c>
    </row>
    <row r="27" spans="1:62" x14ac:dyDescent="0.3">
      <c r="A27" s="14" t="s">
        <v>154</v>
      </c>
      <c r="B27" s="4" t="s">
        <v>55</v>
      </c>
      <c r="C27" s="4" t="s">
        <v>12</v>
      </c>
      <c r="D27" s="4">
        <v>2018</v>
      </c>
      <c r="E27" s="4"/>
      <c r="F27" s="4" t="s">
        <v>17</v>
      </c>
      <c r="G27" s="4"/>
      <c r="H27" s="4" t="s">
        <v>28</v>
      </c>
      <c r="I27" s="4" t="s">
        <v>52</v>
      </c>
      <c r="J27" s="4" t="s">
        <v>155</v>
      </c>
      <c r="K27" s="4" t="s">
        <v>389</v>
      </c>
      <c r="L27" s="24">
        <f>Tableau3[[#This Row],[LLS]]+Tableau3[[#This Row],[LLTS]]+Tableau3[[#This Row],[PLS]]+Tableau3[[#This Row],[REHAB]]</f>
        <v>128</v>
      </c>
      <c r="M27" s="23">
        <f>IFERROR(Tableau3[[#This Row],[LLS]]+Tableau3[[#This Row],[LLTS]]+Tableau3[[#This Row],[PLS]],"-")</f>
        <v>0</v>
      </c>
      <c r="N27" s="25"/>
      <c r="O27" s="25"/>
      <c r="P27" s="25"/>
      <c r="Q27" s="29">
        <v>128</v>
      </c>
      <c r="R27" s="30"/>
      <c r="S27" s="31"/>
      <c r="T27" s="56">
        <f>Tableau3[[#This Row],[SHAB y/c V]]/Tableau3[[#This Row],[N]]</f>
        <v>0</v>
      </c>
      <c r="U27" s="56">
        <f>Tableau3[[#This Row],[SF priorisée]]/Tableau3[[#This Row],[N]]</f>
        <v>0</v>
      </c>
      <c r="V27" s="57" t="str">
        <f>IFERROR(Tableau3[[#This Row],[SHAB y/c V]]/Tableau3[[#This Row],[SF priorisée]],"-")</f>
        <v>-</v>
      </c>
      <c r="W27" s="56"/>
      <c r="X27" s="44"/>
      <c r="Y27" s="43"/>
      <c r="Z27" s="5"/>
      <c r="AA27" s="58" t="str">
        <f>IFERROR(Tableau3[[#This Row],[Prix Achat TTC]]/Tableau3[[#This Row],[SHAB y/c V]],"-")</f>
        <v>-</v>
      </c>
      <c r="AB27" s="58" t="str">
        <f>IFERROR(Tableau3[[#This Row],[Prix Achat TTC]]/Tableau3[[#This Row],[SF priorisée]],"-")</f>
        <v>-</v>
      </c>
      <c r="AC27" s="58">
        <f>IFERROR(Tableau3[[#This Row],[Prix Achat TTC]]/Tableau3[[#This Row],[N]],"-")</f>
        <v>0</v>
      </c>
      <c r="AD27" s="62">
        <v>43189</v>
      </c>
      <c r="AE27" s="62">
        <v>43434</v>
      </c>
      <c r="AF27" s="62">
        <v>43502</v>
      </c>
      <c r="AG27" s="58">
        <f>IFERROR((DATEDIF(Tableau3[[#This Row],[Demande LBU]],Tableau3[[#This Row],[Arrêté LBU]],"d"))/30,0)</f>
        <v>8.1666666666666661</v>
      </c>
      <c r="AH27" s="68">
        <v>43311</v>
      </c>
      <c r="AI27" s="68">
        <v>43608</v>
      </c>
      <c r="AJ27" s="73">
        <f>IFERROR((DATEDIF(Tableau3[[#This Row],[Dde édition prêt]],Tableau3[[#This Row],[Contrat de prêt]],"d"))/30,"-")</f>
        <v>9.9</v>
      </c>
      <c r="AK27" s="68">
        <f>EOMONTH(Tableau3[[#This Row],[Contrat de prêt]],0)+1</f>
        <v>43617</v>
      </c>
      <c r="AL27" s="68">
        <v>43608</v>
      </c>
      <c r="AM27" s="68">
        <v>43608</v>
      </c>
      <c r="AN2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44704</v>
      </c>
      <c r="AO27" s="79"/>
      <c r="AP27" s="2" t="str">
        <f>IF(Tableau3[[#This Row],[Montant des loyers perçus avant 1e échéance]]&lt;Tableau3[[#This Row],[Montant échéance annuelle]],"oui","non")</f>
        <v>non</v>
      </c>
      <c r="AS27" s="79">
        <f>Tableau3[[#This Row],[Mois de loyers avant 1e échéance]]-Tableau3[[#This Row],[Montant échéance annuelle]]</f>
        <v>0</v>
      </c>
      <c r="AU27" s="83">
        <v>43668</v>
      </c>
      <c r="AV27" s="94">
        <v>2019</v>
      </c>
      <c r="AW27" s="56">
        <f>IFERROR((DATEDIF(Tableau3[[#This Row],[Arrêté LBU]],Tableau3[[#This Row],[OS démarrage]],"d"))/30,0)</f>
        <v>7.8</v>
      </c>
      <c r="AX27" s="102">
        <v>12</v>
      </c>
      <c r="AY27" s="112"/>
      <c r="AZ27" s="84"/>
      <c r="BA27" s="116">
        <f>DATE(YEAR(Tableau3[[#This Row],[OS démarrage]]),MONTH(Tableau3[[#This Row],[OS démarrage]])+Tableau3[[#This Row],[Délai chantier initial]],DAY(Tableau3[[#This Row],[OS démarrage]]))</f>
        <v>44034</v>
      </c>
      <c r="BB27" s="118">
        <v>44427</v>
      </c>
      <c r="BC27" s="121">
        <f>(Tableau3[[#This Row],[Date réception entreprise recalée]]-Tableau3[[#This Row],[Date réception entreprise prévue initialement]])/30</f>
        <v>13.1</v>
      </c>
      <c r="BD27" s="124"/>
      <c r="BE27" s="124"/>
      <c r="BF27" s="124"/>
      <c r="BG27" s="124"/>
      <c r="BH27" s="137">
        <f>IFERROR((Tableau3[[#This Row],[Date Livraison VEFA estimée avec retards constatés]]-Tableau3[[#This Row],[Date livraison contractuelle y/c avenant]])/30,"-")</f>
        <v>0</v>
      </c>
      <c r="BI27" s="138">
        <f>Tableau3[[#This Row],[Date Livraison VEFA estimée avec retards constatés]]-Tableau3[[#This Row],[Date livraison contractuelle y/c avenant]]</f>
        <v>0</v>
      </c>
      <c r="BJ27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8" spans="1:62" x14ac:dyDescent="0.3">
      <c r="A28" s="14" t="s">
        <v>156</v>
      </c>
      <c r="B28" s="4" t="s">
        <v>20</v>
      </c>
      <c r="C28" s="4" t="s">
        <v>12</v>
      </c>
      <c r="D28" s="4">
        <v>2018</v>
      </c>
      <c r="E28" s="4"/>
      <c r="F28" s="4" t="s">
        <v>17</v>
      </c>
      <c r="G28" s="4"/>
      <c r="H28" s="4" t="s">
        <v>28</v>
      </c>
      <c r="I28" s="4" t="s">
        <v>52</v>
      </c>
      <c r="J28" s="4" t="s">
        <v>157</v>
      </c>
      <c r="K28" s="4" t="s">
        <v>389</v>
      </c>
      <c r="L28" s="24">
        <f>Tableau3[[#This Row],[LLS]]+Tableau3[[#This Row],[LLTS]]+Tableau3[[#This Row],[PLS]]+Tableau3[[#This Row],[REHAB]]</f>
        <v>34</v>
      </c>
      <c r="M28" s="23">
        <f>IFERROR(Tableau3[[#This Row],[LLS]]+Tableau3[[#This Row],[LLTS]]+Tableau3[[#This Row],[PLS]],"-")</f>
        <v>0</v>
      </c>
      <c r="N28" s="25"/>
      <c r="O28" s="25"/>
      <c r="P28" s="25"/>
      <c r="Q28" s="29">
        <v>34</v>
      </c>
      <c r="R28" s="30"/>
      <c r="S28" s="31"/>
      <c r="T28" s="56">
        <f>Tableau3[[#This Row],[SHAB y/c V]]/Tableau3[[#This Row],[N]]</f>
        <v>0</v>
      </c>
      <c r="U28" s="56">
        <f>Tableau3[[#This Row],[SF priorisée]]/Tableau3[[#This Row],[N]]</f>
        <v>0</v>
      </c>
      <c r="V28" s="57" t="str">
        <f>IFERROR(Tableau3[[#This Row],[SHAB y/c V]]/Tableau3[[#This Row],[SF priorisée]],"-")</f>
        <v>-</v>
      </c>
      <c r="W28" s="56"/>
      <c r="X28" s="44"/>
      <c r="Y28" s="43"/>
      <c r="Z28" s="5"/>
      <c r="AA28" s="58" t="str">
        <f>IFERROR(Tableau3[[#This Row],[Prix Achat TTC]]/Tableau3[[#This Row],[SHAB y/c V]],"-")</f>
        <v>-</v>
      </c>
      <c r="AB28" s="58" t="str">
        <f>IFERROR(Tableau3[[#This Row],[Prix Achat TTC]]/Tableau3[[#This Row],[SF priorisée]],"-")</f>
        <v>-</v>
      </c>
      <c r="AC28" s="58">
        <f>IFERROR(Tableau3[[#This Row],[Prix Achat TTC]]/Tableau3[[#This Row],[N]],"-")</f>
        <v>0</v>
      </c>
      <c r="AD28" s="62">
        <v>43189</v>
      </c>
      <c r="AE28" s="62">
        <v>43335</v>
      </c>
      <c r="AF28" s="62">
        <v>43502</v>
      </c>
      <c r="AG28" s="58">
        <f>IFERROR((DATEDIF(Tableau3[[#This Row],[Demande LBU]],Tableau3[[#This Row],[Arrêté LBU]],"d"))/30,0)</f>
        <v>4.8666666666666663</v>
      </c>
      <c r="AH28" s="68">
        <v>43396</v>
      </c>
      <c r="AI28" s="68">
        <v>43487</v>
      </c>
      <c r="AJ28" s="73">
        <f>IFERROR((DATEDIF(Tableau3[[#This Row],[Dde édition prêt]],Tableau3[[#This Row],[Contrat de prêt]],"d"))/30,"-")</f>
        <v>3.0333333333333332</v>
      </c>
      <c r="AK28" s="68">
        <f>EOMONTH(Tableau3[[#This Row],[Contrat de prêt]],0)+1</f>
        <v>43497</v>
      </c>
      <c r="AL28" s="68">
        <v>43501</v>
      </c>
      <c r="AM28" s="68">
        <v>43525</v>
      </c>
      <c r="AN2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44621</v>
      </c>
      <c r="AO28" s="79">
        <v>27026</v>
      </c>
      <c r="AP28" s="2" t="str">
        <f>IF(Tableau3[[#This Row],[Montant des loyers perçus avant 1e échéance]]&lt;Tableau3[[#This Row],[Montant échéance annuelle]],"oui","non")</f>
        <v>oui</v>
      </c>
      <c r="AS28" s="79">
        <f>Tableau3[[#This Row],[Mois de loyers avant 1e échéance]]-Tableau3[[#This Row],[Montant échéance annuelle]]</f>
        <v>-27026</v>
      </c>
      <c r="AU28" s="83">
        <v>43650</v>
      </c>
      <c r="AV28" s="94">
        <v>2019</v>
      </c>
      <c r="AW28" s="56">
        <f>IFERROR((DATEDIF(Tableau3[[#This Row],[Arrêté LBU]],Tableau3[[#This Row],[OS démarrage]],"d"))/30,0)</f>
        <v>10.5</v>
      </c>
      <c r="AX28" s="102">
        <v>10</v>
      </c>
      <c r="AY28" s="112"/>
      <c r="AZ28" s="84"/>
      <c r="BA28" s="116">
        <f>DATE(YEAR(Tableau3[[#This Row],[OS démarrage]]),MONTH(Tableau3[[#This Row],[OS démarrage]])+Tableau3[[#This Row],[Délai chantier initial]],DAY(Tableau3[[#This Row],[OS démarrage]]))</f>
        <v>43955</v>
      </c>
      <c r="BB28" s="118">
        <v>44172</v>
      </c>
      <c r="BC28" s="121">
        <f>(Tableau3[[#This Row],[Date réception entreprise recalée]]-Tableau3[[#This Row],[Date réception entreprise prévue initialement]])/30</f>
        <v>7.2333333333333334</v>
      </c>
      <c r="BD28" s="124"/>
      <c r="BE28" s="124"/>
      <c r="BF28" s="124"/>
      <c r="BG28" s="124"/>
      <c r="BH28" s="137">
        <f>IFERROR((Tableau3[[#This Row],[Date Livraison VEFA estimée avec retards constatés]]-Tableau3[[#This Row],[Date livraison contractuelle y/c avenant]])/30,"-")</f>
        <v>0</v>
      </c>
      <c r="BI28" s="138">
        <f>Tableau3[[#This Row],[Date Livraison VEFA estimée avec retards constatés]]-Tableau3[[#This Row],[Date livraison contractuelle y/c avenant]]</f>
        <v>0</v>
      </c>
      <c r="BJ2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29" spans="1:62" x14ac:dyDescent="0.3">
      <c r="A29" s="14" t="s">
        <v>158</v>
      </c>
      <c r="B29" s="4" t="s">
        <v>41</v>
      </c>
      <c r="C29" s="4" t="s">
        <v>12</v>
      </c>
      <c r="D29" s="4">
        <v>2018</v>
      </c>
      <c r="E29" s="4"/>
      <c r="F29" s="4" t="s">
        <v>159</v>
      </c>
      <c r="G29" s="4"/>
      <c r="H29" s="4" t="s">
        <v>13</v>
      </c>
      <c r="I29" s="4" t="s">
        <v>52</v>
      </c>
      <c r="J29" s="4" t="s">
        <v>160</v>
      </c>
      <c r="K29" s="4" t="s">
        <v>389</v>
      </c>
      <c r="L29" s="24">
        <f>Tableau3[[#This Row],[LLS]]+Tableau3[[#This Row],[LLTS]]+Tableau3[[#This Row],[PLS]]+Tableau3[[#This Row],[REHAB]]</f>
        <v>23</v>
      </c>
      <c r="M29" s="23">
        <f>IFERROR(Tableau3[[#This Row],[LLS]]+Tableau3[[#This Row],[LLTS]]+Tableau3[[#This Row],[PLS]],"-")</f>
        <v>0</v>
      </c>
      <c r="N29" s="25"/>
      <c r="O29" s="25"/>
      <c r="P29" s="25"/>
      <c r="Q29" s="29">
        <v>23</v>
      </c>
      <c r="R29" s="30"/>
      <c r="S29" s="31"/>
      <c r="T29" s="56">
        <f>Tableau3[[#This Row],[SHAB y/c V]]/Tableau3[[#This Row],[N]]</f>
        <v>0</v>
      </c>
      <c r="U29" s="56">
        <f>Tableau3[[#This Row],[SF priorisée]]/Tableau3[[#This Row],[N]]</f>
        <v>0</v>
      </c>
      <c r="V29" s="57" t="str">
        <f>IFERROR(Tableau3[[#This Row],[SHAB y/c V]]/Tableau3[[#This Row],[SF priorisée]],"-")</f>
        <v>-</v>
      </c>
      <c r="W29" s="56"/>
      <c r="X29" s="44"/>
      <c r="Y29" s="43"/>
      <c r="Z29" s="5"/>
      <c r="AA29" s="58" t="str">
        <f>IFERROR(Tableau3[[#This Row],[Prix Achat TTC]]/Tableau3[[#This Row],[SHAB y/c V]],"-")</f>
        <v>-</v>
      </c>
      <c r="AB29" s="58" t="str">
        <f>IFERROR(Tableau3[[#This Row],[Prix Achat TTC]]/Tableau3[[#This Row],[SF priorisée]],"-")</f>
        <v>-</v>
      </c>
      <c r="AC29" s="58">
        <f>IFERROR(Tableau3[[#This Row],[Prix Achat TTC]]/Tableau3[[#This Row],[N]],"-")</f>
        <v>0</v>
      </c>
      <c r="AD29" s="62">
        <v>43189</v>
      </c>
      <c r="AE29" s="62">
        <v>43335</v>
      </c>
      <c r="AF29" s="62">
        <v>43502</v>
      </c>
      <c r="AG29" s="58">
        <f>IFERROR((DATEDIF(Tableau3[[#This Row],[Demande LBU]],Tableau3[[#This Row],[Arrêté LBU]],"d"))/30,0)</f>
        <v>4.8666666666666663</v>
      </c>
      <c r="AH29" s="68">
        <v>43396</v>
      </c>
      <c r="AI29" s="68">
        <v>43487</v>
      </c>
      <c r="AJ29" s="73">
        <f>IFERROR((DATEDIF(Tableau3[[#This Row],[Dde édition prêt]],Tableau3[[#This Row],[Contrat de prêt]],"d"))/30,"-")</f>
        <v>3.0333333333333332</v>
      </c>
      <c r="AK29" s="68">
        <f>EOMONTH(Tableau3[[#This Row],[Contrat de prêt]],0)+1</f>
        <v>43497</v>
      </c>
      <c r="AL29" s="68">
        <v>43501</v>
      </c>
      <c r="AM29" s="68">
        <v>43586</v>
      </c>
      <c r="AN2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44682</v>
      </c>
      <c r="AO29" s="79">
        <v>38208.400000000001</v>
      </c>
      <c r="AP29" s="2" t="str">
        <f>IF(Tableau3[[#This Row],[Montant des loyers perçus avant 1e échéance]]&lt;Tableau3[[#This Row],[Montant échéance annuelle]],"oui","non")</f>
        <v>oui</v>
      </c>
      <c r="AS29" s="79">
        <f>Tableau3[[#This Row],[Mois de loyers avant 1e échéance]]-Tableau3[[#This Row],[Montant échéance annuelle]]</f>
        <v>-38208.400000000001</v>
      </c>
      <c r="AU29" s="83">
        <v>43665</v>
      </c>
      <c r="AV29" s="94">
        <v>2019</v>
      </c>
      <c r="AW29" s="56">
        <f>IFERROR((DATEDIF(Tableau3[[#This Row],[Arrêté LBU]],Tableau3[[#This Row],[OS démarrage]],"d"))/30,0)</f>
        <v>11</v>
      </c>
      <c r="AX29" s="102">
        <v>8</v>
      </c>
      <c r="AY29" s="112"/>
      <c r="AZ29" s="84"/>
      <c r="BA29" s="116">
        <f>DATE(YEAR(Tableau3[[#This Row],[OS démarrage]]),MONTH(Tableau3[[#This Row],[OS démarrage]])+Tableau3[[#This Row],[Délai chantier initial]],DAY(Tableau3[[#This Row],[OS démarrage]]))</f>
        <v>43909</v>
      </c>
      <c r="BB29" s="118">
        <v>44181</v>
      </c>
      <c r="BC29" s="121">
        <f>(Tableau3[[#This Row],[Date réception entreprise recalée]]-Tableau3[[#This Row],[Date réception entreprise prévue initialement]])/30</f>
        <v>9.0666666666666664</v>
      </c>
      <c r="BD29" s="124"/>
      <c r="BE29" s="124"/>
      <c r="BF29" s="124"/>
      <c r="BG29" s="124"/>
      <c r="BH29" s="137">
        <f>IFERROR((Tableau3[[#This Row],[Date Livraison VEFA estimée avec retards constatés]]-Tableau3[[#This Row],[Date livraison contractuelle y/c avenant]])/30,"-")</f>
        <v>0</v>
      </c>
      <c r="BI29" s="138">
        <f>Tableau3[[#This Row],[Date Livraison VEFA estimée avec retards constatés]]-Tableau3[[#This Row],[Date livraison contractuelle y/c avenant]]</f>
        <v>0</v>
      </c>
      <c r="BJ2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30" spans="1:62" x14ac:dyDescent="0.3">
      <c r="A30" s="7" t="s">
        <v>161</v>
      </c>
      <c r="B30" s="4" t="s">
        <v>25</v>
      </c>
      <c r="C30" s="4" t="s">
        <v>21</v>
      </c>
      <c r="D30" s="4">
        <v>2018</v>
      </c>
      <c r="E30" s="4" t="s">
        <v>162</v>
      </c>
      <c r="F30" s="4" t="s">
        <v>22</v>
      </c>
      <c r="G30" s="4"/>
      <c r="H30" s="4" t="s">
        <v>13</v>
      </c>
      <c r="I30" s="4" t="s">
        <v>52</v>
      </c>
      <c r="J30" s="4"/>
      <c r="K30" s="4" t="s">
        <v>80</v>
      </c>
      <c r="L30" s="24">
        <f>Tableau3[[#This Row],[LLS]]+Tableau3[[#This Row],[LLTS]]+Tableau3[[#This Row],[PLS]]+Tableau3[[#This Row],[REHAB]]</f>
        <v>17</v>
      </c>
      <c r="M30" s="23">
        <f>IFERROR(Tableau3[[#This Row],[LLS]]+Tableau3[[#This Row],[LLTS]]+Tableau3[[#This Row],[PLS]],"-")</f>
        <v>17</v>
      </c>
      <c r="N30" s="4">
        <v>17</v>
      </c>
      <c r="O30" s="25"/>
      <c r="P30" s="25"/>
      <c r="Q30" s="25"/>
      <c r="R30" s="26">
        <v>1353.27</v>
      </c>
      <c r="S30" s="27">
        <v>1559.645</v>
      </c>
      <c r="T30" s="56">
        <f>Tableau3[[#This Row],[SHAB y/c V]]/Tableau3[[#This Row],[N]]</f>
        <v>79.604117647058828</v>
      </c>
      <c r="U30" s="56">
        <f>Tableau3[[#This Row],[SF priorisée]]/Tableau3[[#This Row],[N]]</f>
        <v>91.74382352941177</v>
      </c>
      <c r="V30" s="57">
        <f>IFERROR(Tableau3[[#This Row],[SHAB y/c V]]/Tableau3[[#This Row],[SF priorisée]],"-")</f>
        <v>0.8676782216465927</v>
      </c>
      <c r="W30" s="56">
        <v>586.03</v>
      </c>
      <c r="X30" s="43" t="s">
        <v>391</v>
      </c>
      <c r="Y30" s="43" t="s">
        <v>392</v>
      </c>
      <c r="Z30" s="5"/>
      <c r="AA30" s="58">
        <f>IFERROR(Tableau3[[#This Row],[Prix Achat TTC]]/Tableau3[[#This Row],[SHAB y/c V]],"-")</f>
        <v>0</v>
      </c>
      <c r="AB30" s="58">
        <f>IFERROR(Tableau3[[#This Row],[Prix Achat TTC]]/Tableau3[[#This Row],[SF priorisée]],"-")</f>
        <v>0</v>
      </c>
      <c r="AC30" s="58">
        <f>IFERROR(Tableau3[[#This Row],[Prix Achat TTC]]/Tableau3[[#This Row],[N]],"-")</f>
        <v>0</v>
      </c>
      <c r="AD30" s="62">
        <v>43189</v>
      </c>
      <c r="AE30" s="62">
        <v>43334</v>
      </c>
      <c r="AF30" s="62"/>
      <c r="AG30" s="58">
        <f>IFERROR((DATEDIF(Tableau3[[#This Row],[Demande LBU]],Tableau3[[#This Row],[Arrêté LBU]],"d"))/30,0)</f>
        <v>4.833333333333333</v>
      </c>
      <c r="AH30" s="68">
        <v>43347</v>
      </c>
      <c r="AI30" s="68">
        <v>43487</v>
      </c>
      <c r="AJ30" s="73">
        <f>IFERROR((DATEDIF(Tableau3[[#This Row],[Dde édition prêt]],Tableau3[[#This Row],[Contrat de prêt]],"d"))/30,"-")</f>
        <v>4.666666666666667</v>
      </c>
      <c r="AK30" s="68">
        <f>EOMONTH(Tableau3[[#This Row],[Contrat de prêt]],0)+1</f>
        <v>43497</v>
      </c>
      <c r="AL30" s="68"/>
      <c r="AM30" s="68">
        <v>43586</v>
      </c>
      <c r="AN3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44682</v>
      </c>
      <c r="AO30" s="79">
        <f>83410.57+7587.49</f>
        <v>90998.060000000012</v>
      </c>
      <c r="AP30" s="2" t="str">
        <f>IF(Tableau3[[#This Row],[Montant des loyers perçus avant 1e échéance]]&lt;Tableau3[[#This Row],[Montant échéance annuelle]],"oui","non")</f>
        <v>oui</v>
      </c>
      <c r="AS30" s="79">
        <f>Tableau3[[#This Row],[Mois de loyers avant 1e échéance]]-Tableau3[[#This Row],[Montant échéance annuelle]]</f>
        <v>-90998.060000000012</v>
      </c>
      <c r="AU30" s="83">
        <v>43738</v>
      </c>
      <c r="AV30" s="94">
        <v>2019</v>
      </c>
      <c r="AW30" s="56">
        <f>IFERROR((DATEDIF(Tableau3[[#This Row],[Arrêté LBU]],Tableau3[[#This Row],[OS démarrage]],"d"))/30,0)</f>
        <v>13.466666666666667</v>
      </c>
      <c r="AX30" s="107">
        <v>14</v>
      </c>
      <c r="AY30" s="112"/>
      <c r="AZ30" s="84">
        <v>44165</v>
      </c>
      <c r="BA30" s="116">
        <f>DATE(YEAR(Tableau3[[#This Row],[OS démarrage]]),MONTH(Tableau3[[#This Row],[OS démarrage]])+Tableau3[[#This Row],[Délai chantier initial]],DAY(Tableau3[[#This Row],[OS démarrage]]))</f>
        <v>44165</v>
      </c>
      <c r="BB30" s="118">
        <v>44377</v>
      </c>
      <c r="BC30" s="121">
        <f>(Tableau3[[#This Row],[Date réception entreprise recalée]]-Tableau3[[#This Row],[Date réception entreprise prévue initialement]])/30</f>
        <v>7.0666666666666664</v>
      </c>
      <c r="BD30" s="124"/>
      <c r="BE30" s="124"/>
      <c r="BF30" s="124"/>
      <c r="BG30" s="124"/>
      <c r="BH30" s="137">
        <f>IFERROR((Tableau3[[#This Row],[Date Livraison VEFA estimée avec retards constatés]]-Tableau3[[#This Row],[Date livraison contractuelle y/c avenant]])/30,"-")</f>
        <v>0</v>
      </c>
      <c r="BI30" s="138">
        <f>Tableau3[[#This Row],[Date Livraison VEFA estimée avec retards constatés]]-Tableau3[[#This Row],[Date livraison contractuelle y/c avenant]]</f>
        <v>0</v>
      </c>
      <c r="BJ30" s="140">
        <f>IF(Tableau3[[#This Row],[TYPE]]="Rehab","",DATE(YEAR(Tableau3[[#This Row],[Achèvement fondations]])+2,MONTH(Tableau3[[#This Row],[Achèvement fondations]]),DAY(Tableau3[[#This Row],[Achèvement fondations]])))</f>
        <v>44895</v>
      </c>
    </row>
    <row r="31" spans="1:62" x14ac:dyDescent="0.3">
      <c r="A31" s="14" t="s">
        <v>163</v>
      </c>
      <c r="B31" s="4" t="s">
        <v>41</v>
      </c>
      <c r="C31" s="4" t="s">
        <v>12</v>
      </c>
      <c r="D31" s="4">
        <v>2018</v>
      </c>
      <c r="E31" s="4"/>
      <c r="F31" s="4" t="s">
        <v>38</v>
      </c>
      <c r="G31" s="4"/>
      <c r="H31" s="4" t="s">
        <v>28</v>
      </c>
      <c r="I31" s="4" t="s">
        <v>52</v>
      </c>
      <c r="J31" s="4" t="s">
        <v>164</v>
      </c>
      <c r="K31" s="4" t="s">
        <v>389</v>
      </c>
      <c r="L31" s="24">
        <f>Tableau3[[#This Row],[LLS]]+Tableau3[[#This Row],[LLTS]]+Tableau3[[#This Row],[PLS]]+Tableau3[[#This Row],[REHAB]]</f>
        <v>30</v>
      </c>
      <c r="M31" s="23">
        <f>IFERROR(Tableau3[[#This Row],[LLS]]+Tableau3[[#This Row],[LLTS]]+Tableau3[[#This Row],[PLS]],"-")</f>
        <v>0</v>
      </c>
      <c r="N31" s="25"/>
      <c r="O31" s="25"/>
      <c r="P31" s="25"/>
      <c r="Q31" s="29">
        <v>30</v>
      </c>
      <c r="R31" s="30"/>
      <c r="S31" s="31"/>
      <c r="T31" s="56">
        <f>Tableau3[[#This Row],[SHAB y/c V]]/Tableau3[[#This Row],[N]]</f>
        <v>0</v>
      </c>
      <c r="U31" s="56">
        <f>Tableau3[[#This Row],[SF priorisée]]/Tableau3[[#This Row],[N]]</f>
        <v>0</v>
      </c>
      <c r="V31" s="57" t="str">
        <f>IFERROR(Tableau3[[#This Row],[SHAB y/c V]]/Tableau3[[#This Row],[SF priorisée]],"-")</f>
        <v>-</v>
      </c>
      <c r="W31" s="56"/>
      <c r="X31" s="44"/>
      <c r="Y31" s="43"/>
      <c r="Z31" s="5"/>
      <c r="AA31" s="58" t="str">
        <f>IFERROR(Tableau3[[#This Row],[Prix Achat TTC]]/Tableau3[[#This Row],[SHAB y/c V]],"-")</f>
        <v>-</v>
      </c>
      <c r="AB31" s="58" t="str">
        <f>IFERROR(Tableau3[[#This Row],[Prix Achat TTC]]/Tableau3[[#This Row],[SF priorisée]],"-")</f>
        <v>-</v>
      </c>
      <c r="AC31" s="58">
        <f>IFERROR(Tableau3[[#This Row],[Prix Achat TTC]]/Tableau3[[#This Row],[N]],"-")</f>
        <v>0</v>
      </c>
      <c r="AD31" s="62">
        <v>43189</v>
      </c>
      <c r="AE31" s="62">
        <v>43335</v>
      </c>
      <c r="AF31" s="62">
        <v>43502</v>
      </c>
      <c r="AG31" s="58">
        <f>IFERROR((DATEDIF(Tableau3[[#This Row],[Demande LBU]],Tableau3[[#This Row],[Arrêté LBU]],"d"))/30,0)</f>
        <v>4.8666666666666663</v>
      </c>
      <c r="AH31" s="68">
        <v>43396</v>
      </c>
      <c r="AI31" s="68">
        <v>43487</v>
      </c>
      <c r="AJ31" s="73">
        <f>IFERROR((DATEDIF(Tableau3[[#This Row],[Dde édition prêt]],Tableau3[[#This Row],[Contrat de prêt]],"d"))/30,"-")</f>
        <v>3.0333333333333332</v>
      </c>
      <c r="AK31" s="68">
        <f>EOMONTH(Tableau3[[#This Row],[Contrat de prêt]],0)+1</f>
        <v>43497</v>
      </c>
      <c r="AL31" s="68">
        <v>43501</v>
      </c>
      <c r="AM31" s="68">
        <v>43586</v>
      </c>
      <c r="AN3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44682</v>
      </c>
      <c r="AO31" s="79">
        <v>31121.89</v>
      </c>
      <c r="AP31" s="2" t="str">
        <f>IF(Tableau3[[#This Row],[Montant des loyers perçus avant 1e échéance]]&lt;Tableau3[[#This Row],[Montant échéance annuelle]],"oui","non")</f>
        <v>oui</v>
      </c>
      <c r="AS31" s="79">
        <f>Tableau3[[#This Row],[Mois de loyers avant 1e échéance]]-Tableau3[[#This Row],[Montant échéance annuelle]]</f>
        <v>-31121.89</v>
      </c>
      <c r="AU31" s="83">
        <v>43873</v>
      </c>
      <c r="AV31" s="94">
        <v>2020</v>
      </c>
      <c r="AW31" s="56">
        <f>IFERROR((DATEDIF(Tableau3[[#This Row],[Arrêté LBU]],Tableau3[[#This Row],[OS démarrage]],"d"))/30,0)</f>
        <v>17.933333333333334</v>
      </c>
      <c r="AX31" s="102">
        <v>10</v>
      </c>
      <c r="AY31" s="112"/>
      <c r="AZ31" s="84"/>
      <c r="BA31" s="116">
        <f>DATE(YEAR(Tableau3[[#This Row],[OS démarrage]]),MONTH(Tableau3[[#This Row],[OS démarrage]])+Tableau3[[#This Row],[Délai chantier initial]],DAY(Tableau3[[#This Row],[OS démarrage]]))</f>
        <v>44177</v>
      </c>
      <c r="BB31" s="118">
        <v>44384</v>
      </c>
      <c r="BC31" s="121">
        <f>(Tableau3[[#This Row],[Date réception entreprise recalée]]-Tableau3[[#This Row],[Date réception entreprise prévue initialement]])/30</f>
        <v>6.9</v>
      </c>
      <c r="BD31" s="124"/>
      <c r="BE31" s="124"/>
      <c r="BF31" s="124"/>
      <c r="BG31" s="124"/>
      <c r="BH31" s="137">
        <f>IFERROR((Tableau3[[#This Row],[Date Livraison VEFA estimée avec retards constatés]]-Tableau3[[#This Row],[Date livraison contractuelle y/c avenant]])/30,"-")</f>
        <v>0</v>
      </c>
      <c r="BI31" s="138">
        <f>Tableau3[[#This Row],[Date Livraison VEFA estimée avec retards constatés]]-Tableau3[[#This Row],[Date livraison contractuelle y/c avenant]]</f>
        <v>0</v>
      </c>
      <c r="BJ31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32" spans="1:62" x14ac:dyDescent="0.3">
      <c r="A32" s="7" t="s">
        <v>165</v>
      </c>
      <c r="B32" s="4" t="s">
        <v>47</v>
      </c>
      <c r="C32" s="4" t="s">
        <v>21</v>
      </c>
      <c r="D32" s="4">
        <v>2018</v>
      </c>
      <c r="E32" s="4" t="s">
        <v>166</v>
      </c>
      <c r="F32" s="4" t="s">
        <v>34</v>
      </c>
      <c r="G32" s="4"/>
      <c r="H32" s="4" t="s">
        <v>23</v>
      </c>
      <c r="I32" s="6" t="s">
        <v>50</v>
      </c>
      <c r="J32" s="4" t="s">
        <v>167</v>
      </c>
      <c r="K32" s="4" t="s">
        <v>80</v>
      </c>
      <c r="L32" s="24">
        <f>Tableau3[[#This Row],[LLS]]+Tableau3[[#This Row],[LLTS]]+Tableau3[[#This Row],[PLS]]+Tableau3[[#This Row],[REHAB]]</f>
        <v>39</v>
      </c>
      <c r="M32" s="23">
        <f>IFERROR(Tableau3[[#This Row],[LLS]]+Tableau3[[#This Row],[LLTS]]+Tableau3[[#This Row],[PLS]],"-")</f>
        <v>39</v>
      </c>
      <c r="N32" s="4">
        <v>39</v>
      </c>
      <c r="O32" s="25"/>
      <c r="P32" s="25"/>
      <c r="Q32" s="25"/>
      <c r="R32" s="26">
        <v>2870.9</v>
      </c>
      <c r="S32" s="27">
        <v>2870.9</v>
      </c>
      <c r="T32" s="56">
        <f>Tableau3[[#This Row],[SHAB y/c V]]/Tableau3[[#This Row],[N]]</f>
        <v>73.61282051282052</v>
      </c>
      <c r="U32" s="56">
        <f>Tableau3[[#This Row],[SF priorisée]]/Tableau3[[#This Row],[N]]</f>
        <v>73.61282051282052</v>
      </c>
      <c r="V32" s="57">
        <f>IFERROR(Tableau3[[#This Row],[SHAB y/c V]]/Tableau3[[#This Row],[SF priorisée]],"-")</f>
        <v>1</v>
      </c>
      <c r="W32" s="56">
        <v>497.46</v>
      </c>
      <c r="X32" s="43" t="s">
        <v>390</v>
      </c>
      <c r="Y32" s="43" t="s">
        <v>392</v>
      </c>
      <c r="Z32" s="5"/>
      <c r="AA32" s="58">
        <f>IFERROR(Tableau3[[#This Row],[Prix Achat TTC]]/Tableau3[[#This Row],[SHAB y/c V]],"-")</f>
        <v>0</v>
      </c>
      <c r="AB32" s="58">
        <f>IFERROR(Tableau3[[#This Row],[Prix Achat TTC]]/Tableau3[[#This Row],[SF priorisée]],"-")</f>
        <v>0</v>
      </c>
      <c r="AC32" s="58">
        <f>IFERROR(Tableau3[[#This Row],[Prix Achat TTC]]/Tableau3[[#This Row],[N]],"-")</f>
        <v>0</v>
      </c>
      <c r="AD32" s="62">
        <v>43189</v>
      </c>
      <c r="AE32" s="62">
        <v>43371</v>
      </c>
      <c r="AF32" s="62"/>
      <c r="AG32" s="58">
        <f>IFERROR((DATEDIF(Tableau3[[#This Row],[Demande LBU]],Tableau3[[#This Row],[Arrêté LBU]],"d"))/30,0)</f>
        <v>6.0666666666666664</v>
      </c>
      <c r="AH32" s="68">
        <v>44084</v>
      </c>
      <c r="AI32" s="68">
        <v>44162</v>
      </c>
      <c r="AJ32" s="73">
        <f>IFERROR((DATEDIF(Tableau3[[#This Row],[Dde édition prêt]],Tableau3[[#This Row],[Contrat de prêt]],"d"))/30,"-")</f>
        <v>2.6</v>
      </c>
      <c r="AK32" s="68">
        <f>EOMONTH(Tableau3[[#This Row],[Contrat de prêt]],0)+1</f>
        <v>44166</v>
      </c>
      <c r="AL32" s="68">
        <v>44245</v>
      </c>
      <c r="AM32" s="68">
        <v>44166</v>
      </c>
      <c r="AN3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45261</v>
      </c>
      <c r="AO32" s="79">
        <f>14905+159473+28078</f>
        <v>202456</v>
      </c>
      <c r="AP32" s="2" t="str">
        <f>IF(Tableau3[[#This Row],[Montant des loyers perçus avant 1e échéance]]&lt;Tableau3[[#This Row],[Montant échéance annuelle]],"oui","non")</f>
        <v>oui</v>
      </c>
      <c r="AS32" s="79">
        <f>Tableau3[[#This Row],[Mois de loyers avant 1e échéance]]-Tableau3[[#This Row],[Montant échéance annuelle]]</f>
        <v>-202456</v>
      </c>
      <c r="AU32" s="83">
        <v>44242</v>
      </c>
      <c r="AV32" s="94">
        <v>2021</v>
      </c>
      <c r="AW32" s="56">
        <f>IFERROR((DATEDIF(Tableau3[[#This Row],[Arrêté LBU]],Tableau3[[#This Row],[OS démarrage]],"d"))/30,0)</f>
        <v>29.033333333333335</v>
      </c>
      <c r="AX32" s="102">
        <v>18</v>
      </c>
      <c r="AY32" s="112"/>
      <c r="AZ32" s="84">
        <v>44424</v>
      </c>
      <c r="BA32" s="116">
        <f>DATE(YEAR(Tableau3[[#This Row],[OS démarrage]]),MONTH(Tableau3[[#This Row],[OS démarrage]])+Tableau3[[#This Row],[Délai chantier initial]],DAY(Tableau3[[#This Row],[OS démarrage]]))</f>
        <v>44788</v>
      </c>
      <c r="BB32" s="119">
        <v>44874</v>
      </c>
      <c r="BC32" s="121">
        <f>(Tableau3[[#This Row],[Date réception entreprise recalée]]-Tableau3[[#This Row],[Date réception entreprise prévue initialement]])/30</f>
        <v>2.8666666666666667</v>
      </c>
      <c r="BD32" s="126"/>
      <c r="BE32" s="124"/>
      <c r="BF32" s="124"/>
      <c r="BG32" s="124"/>
      <c r="BH32" s="137">
        <f>IFERROR((Tableau3[[#This Row],[Date Livraison VEFA estimée avec retards constatés]]-Tableau3[[#This Row],[Date livraison contractuelle y/c avenant]])/30,"-")</f>
        <v>0</v>
      </c>
      <c r="BI32" s="138">
        <f>Tableau3[[#This Row],[Date Livraison VEFA estimée avec retards constatés]]-Tableau3[[#This Row],[Date livraison contractuelle y/c avenant]]</f>
        <v>0</v>
      </c>
      <c r="BJ32" s="140">
        <f>IF(Tableau3[[#This Row],[TYPE]]="Rehab","",DATE(YEAR(Tableau3[[#This Row],[Achèvement fondations]])+2,MONTH(Tableau3[[#This Row],[Achèvement fondations]]),DAY(Tableau3[[#This Row],[Achèvement fondations]])))</f>
        <v>45154</v>
      </c>
    </row>
    <row r="33" spans="1:62" x14ac:dyDescent="0.3">
      <c r="A33" s="16" t="s">
        <v>168</v>
      </c>
      <c r="B33" s="4" t="s">
        <v>44</v>
      </c>
      <c r="C33" s="4" t="s">
        <v>26</v>
      </c>
      <c r="D33" s="4">
        <v>2018</v>
      </c>
      <c r="E33" s="4" t="s">
        <v>169</v>
      </c>
      <c r="F33" s="4" t="s">
        <v>22</v>
      </c>
      <c r="G33" s="4"/>
      <c r="H33" s="4" t="s">
        <v>13</v>
      </c>
      <c r="I33" s="6" t="s">
        <v>48</v>
      </c>
      <c r="J33" s="4" t="s">
        <v>153</v>
      </c>
      <c r="K33" s="4" t="s">
        <v>80</v>
      </c>
      <c r="L33" s="24">
        <f>Tableau3[[#This Row],[LLS]]+Tableau3[[#This Row],[LLTS]]+Tableau3[[#This Row],[PLS]]+Tableau3[[#This Row],[REHAB]]</f>
        <v>22</v>
      </c>
      <c r="M33" s="23">
        <f>IFERROR(Tableau3[[#This Row],[LLS]]+Tableau3[[#This Row],[LLTS]]+Tableau3[[#This Row],[PLS]],"-")</f>
        <v>22</v>
      </c>
      <c r="N33" s="4">
        <v>22</v>
      </c>
      <c r="O33" s="25"/>
      <c r="P33" s="25"/>
      <c r="Q33" s="25"/>
      <c r="R33" s="26">
        <v>2034.59</v>
      </c>
      <c r="S33" s="27">
        <v>2079.59</v>
      </c>
      <c r="T33" s="56">
        <f>Tableau3[[#This Row],[SHAB y/c V]]/Tableau3[[#This Row],[N]]</f>
        <v>92.481363636363639</v>
      </c>
      <c r="U33" s="56">
        <f>Tableau3[[#This Row],[SF priorisée]]/Tableau3[[#This Row],[N]]</f>
        <v>94.526818181818186</v>
      </c>
      <c r="V33" s="57">
        <f>IFERROR(Tableau3[[#This Row],[SHAB y/c V]]/Tableau3[[#This Row],[SF priorisée]],"-")</f>
        <v>0.97836111925908464</v>
      </c>
      <c r="W33" s="56">
        <v>599.32000000000005</v>
      </c>
      <c r="X33" s="43" t="s">
        <v>390</v>
      </c>
      <c r="Y33" s="43" t="s">
        <v>392</v>
      </c>
      <c r="Z33" s="5"/>
      <c r="AA33" s="58">
        <f>IFERROR(Tableau3[[#This Row],[Prix Achat TTC]]/Tableau3[[#This Row],[SHAB y/c V]],"-")</f>
        <v>0</v>
      </c>
      <c r="AB33" s="58">
        <f>IFERROR(Tableau3[[#This Row],[Prix Achat TTC]]/Tableau3[[#This Row],[SF priorisée]],"-")</f>
        <v>0</v>
      </c>
      <c r="AC33" s="58">
        <f>IFERROR(Tableau3[[#This Row],[Prix Achat TTC]]/Tableau3[[#This Row],[N]],"-")</f>
        <v>0</v>
      </c>
      <c r="AD33" s="62">
        <v>43189</v>
      </c>
      <c r="AE33" s="62">
        <v>43334</v>
      </c>
      <c r="AF33" s="62"/>
      <c r="AG33" s="58">
        <f>IFERROR((DATEDIF(Tableau3[[#This Row],[Demande LBU]],Tableau3[[#This Row],[Arrêté LBU]],"d"))/30,0)</f>
        <v>4.833333333333333</v>
      </c>
      <c r="AH33" s="69">
        <v>44074</v>
      </c>
      <c r="AI33" s="68">
        <v>44126</v>
      </c>
      <c r="AJ33" s="73">
        <f>IFERROR((DATEDIF(Tableau3[[#This Row],[Dde édition prêt]],Tableau3[[#This Row],[Contrat de prêt]],"d"))/30,"-")</f>
        <v>1.7333333333333334</v>
      </c>
      <c r="AK33" s="68">
        <f>EOMONTH(Tableau3[[#This Row],[Contrat de prêt]],0)+1</f>
        <v>44136</v>
      </c>
      <c r="AL33" s="68"/>
      <c r="AM33" s="68">
        <v>44136</v>
      </c>
      <c r="AN3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45231</v>
      </c>
      <c r="AO33" s="79"/>
      <c r="AP33" s="2" t="str">
        <f>IF(Tableau3[[#This Row],[Montant des loyers perçus avant 1e échéance]]&lt;Tableau3[[#This Row],[Montant échéance annuelle]],"oui","non")</f>
        <v>non</v>
      </c>
      <c r="AS33" s="79">
        <f>Tableau3[[#This Row],[Mois de loyers avant 1e échéance]]-Tableau3[[#This Row],[Montant échéance annuelle]]</f>
        <v>0</v>
      </c>
      <c r="AU33" s="83">
        <v>44148</v>
      </c>
      <c r="AV33" s="94">
        <v>2020</v>
      </c>
      <c r="AW33" s="56">
        <f>IFERROR((DATEDIF(Tableau3[[#This Row],[Arrêté LBU]],Tableau3[[#This Row],[OS démarrage]],"d"))/30,0)</f>
        <v>27.133333333333333</v>
      </c>
      <c r="AX33" s="102">
        <v>26</v>
      </c>
      <c r="AY33" s="112"/>
      <c r="AZ33" s="110"/>
      <c r="BA33" s="116">
        <f>DATE(YEAR(Tableau3[[#This Row],[OS démarrage]]),MONTH(Tableau3[[#This Row],[OS démarrage]])+Tableau3[[#This Row],[Délai chantier initial]],DAY(Tableau3[[#This Row],[OS démarrage]]))</f>
        <v>44939</v>
      </c>
      <c r="BB33" s="118">
        <v>45211</v>
      </c>
      <c r="BC33" s="121">
        <f>(Tableau3[[#This Row],[Date réception entreprise recalée]]-Tableau3[[#This Row],[Date réception entreprise prévue initialement]])/30</f>
        <v>9.0666666666666664</v>
      </c>
      <c r="BD33" s="126"/>
      <c r="BE33" s="124"/>
      <c r="BF33" s="124"/>
      <c r="BG33" s="124"/>
      <c r="BH33" s="137">
        <f>IFERROR((Tableau3[[#This Row],[Date Livraison VEFA estimée avec retards constatés]]-Tableau3[[#This Row],[Date livraison contractuelle y/c avenant]])/30,"-")</f>
        <v>0</v>
      </c>
      <c r="BI33" s="138">
        <f>Tableau3[[#This Row],[Date Livraison VEFA estimée avec retards constatés]]-Tableau3[[#This Row],[Date livraison contractuelle y/c avenant]]</f>
        <v>0</v>
      </c>
      <c r="BJ3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34" spans="1:62" x14ac:dyDescent="0.3">
      <c r="A34" s="16" t="s">
        <v>170</v>
      </c>
      <c r="B34" s="4" t="s">
        <v>44</v>
      </c>
      <c r="C34" s="4" t="s">
        <v>26</v>
      </c>
      <c r="D34" s="4">
        <v>2018</v>
      </c>
      <c r="E34" s="5"/>
      <c r="F34" s="5"/>
      <c r="G34" s="5"/>
      <c r="H34" s="5"/>
      <c r="I34" s="17"/>
      <c r="J34" s="4" t="s">
        <v>153</v>
      </c>
      <c r="K34" s="4" t="s">
        <v>81</v>
      </c>
      <c r="L34" s="24">
        <f>Tableau3[[#This Row],[LLS]]+Tableau3[[#This Row],[LLTS]]+Tableau3[[#This Row],[PLS]]+Tableau3[[#This Row],[REHAB]]</f>
        <v>34</v>
      </c>
      <c r="M34" s="23">
        <f>IFERROR(Tableau3[[#This Row],[LLS]]+Tableau3[[#This Row],[LLTS]]+Tableau3[[#This Row],[PLS]],"-")</f>
        <v>34</v>
      </c>
      <c r="N34" s="25"/>
      <c r="O34" s="4">
        <v>34</v>
      </c>
      <c r="P34" s="25"/>
      <c r="Q34" s="25"/>
      <c r="R34" s="26">
        <v>2357.27</v>
      </c>
      <c r="S34" s="27">
        <v>2623.27</v>
      </c>
      <c r="T34" s="56">
        <f>Tableau3[[#This Row],[SHAB y/c V]]/Tableau3[[#This Row],[N]]</f>
        <v>69.331470588235291</v>
      </c>
      <c r="U34" s="56">
        <f>Tableau3[[#This Row],[SF priorisée]]/Tableau3[[#This Row],[N]]</f>
        <v>77.155000000000001</v>
      </c>
      <c r="V34" s="57">
        <f>IFERROR(Tableau3[[#This Row],[SHAB y/c V]]/Tableau3[[#This Row],[SF priorisée]],"-")</f>
        <v>0.89859983913207564</v>
      </c>
      <c r="W34" s="56">
        <v>413.12</v>
      </c>
      <c r="X34" s="43" t="s">
        <v>390</v>
      </c>
      <c r="Y34" s="43" t="s">
        <v>392</v>
      </c>
      <c r="Z34" s="5"/>
      <c r="AA34" s="58">
        <f>IFERROR(Tableau3[[#This Row],[Prix Achat TTC]]/Tableau3[[#This Row],[SHAB y/c V]],"-")</f>
        <v>0</v>
      </c>
      <c r="AB34" s="58">
        <f>IFERROR(Tableau3[[#This Row],[Prix Achat TTC]]/Tableau3[[#This Row],[SF priorisée]],"-")</f>
        <v>0</v>
      </c>
      <c r="AC34" s="58">
        <f>IFERROR(Tableau3[[#This Row],[Prix Achat TTC]]/Tableau3[[#This Row],[N]],"-")</f>
        <v>0</v>
      </c>
      <c r="AD34" s="62">
        <v>43189</v>
      </c>
      <c r="AE34" s="62">
        <v>43334</v>
      </c>
      <c r="AF34" s="62"/>
      <c r="AG34" s="58">
        <f>IFERROR((DATEDIF(Tableau3[[#This Row],[Demande LBU]],Tableau3[[#This Row],[Arrêté LBU]],"d"))/30,0)</f>
        <v>4.833333333333333</v>
      </c>
      <c r="AH34" s="68">
        <v>44074</v>
      </c>
      <c r="AI34" s="68">
        <v>44126</v>
      </c>
      <c r="AJ34" s="73">
        <f>IFERROR((DATEDIF(Tableau3[[#This Row],[Dde édition prêt]],Tableau3[[#This Row],[Contrat de prêt]],"d"))/30,"-")</f>
        <v>1.7333333333333334</v>
      </c>
      <c r="AK34" s="68">
        <f>EOMONTH(Tableau3[[#This Row],[Contrat de prêt]],0)+1</f>
        <v>44136</v>
      </c>
      <c r="AL34" s="68"/>
      <c r="AM34" s="68">
        <v>44136</v>
      </c>
      <c r="AN3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45231</v>
      </c>
      <c r="AO34" s="79"/>
      <c r="AP34" s="2" t="str">
        <f>IF(Tableau3[[#This Row],[Montant des loyers perçus avant 1e échéance]]&lt;Tableau3[[#This Row],[Montant échéance annuelle]],"oui","non")</f>
        <v>non</v>
      </c>
      <c r="AS34" s="79">
        <f>Tableau3[[#This Row],[Mois de loyers avant 1e échéance]]-Tableau3[[#This Row],[Montant échéance annuelle]]</f>
        <v>0</v>
      </c>
      <c r="AU34" s="83">
        <v>44148</v>
      </c>
      <c r="AV34" s="94">
        <v>2020</v>
      </c>
      <c r="AW34" s="56">
        <f>IFERROR((DATEDIF(Tableau3[[#This Row],[Arrêté LBU]],Tableau3[[#This Row],[OS démarrage]],"d"))/30,0)</f>
        <v>27.133333333333333</v>
      </c>
      <c r="AX34" s="102">
        <v>26</v>
      </c>
      <c r="AY34" s="112"/>
      <c r="AZ34" s="110"/>
      <c r="BA34" s="116">
        <f>DATE(YEAR(Tableau3[[#This Row],[OS démarrage]]),MONTH(Tableau3[[#This Row],[OS démarrage]])+Tableau3[[#This Row],[Délai chantier initial]],DAY(Tableau3[[#This Row],[OS démarrage]]))</f>
        <v>44939</v>
      </c>
      <c r="BB34" s="118">
        <v>45211</v>
      </c>
      <c r="BC34" s="121">
        <f>(Tableau3[[#This Row],[Date réception entreprise recalée]]-Tableau3[[#This Row],[Date réception entreprise prévue initialement]])/30</f>
        <v>9.0666666666666664</v>
      </c>
      <c r="BD34" s="126"/>
      <c r="BE34" s="124"/>
      <c r="BF34" s="124"/>
      <c r="BG34" s="124"/>
      <c r="BH34" s="137">
        <f>IFERROR((Tableau3[[#This Row],[Date Livraison VEFA estimée avec retards constatés]]-Tableau3[[#This Row],[Date livraison contractuelle y/c avenant]])/30,"-")</f>
        <v>0</v>
      </c>
      <c r="BI34" s="138">
        <f>Tableau3[[#This Row],[Date Livraison VEFA estimée avec retards constatés]]-Tableau3[[#This Row],[Date livraison contractuelle y/c avenant]]</f>
        <v>0</v>
      </c>
      <c r="BJ3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35" spans="1:62" x14ac:dyDescent="0.3">
      <c r="A35" s="9" t="s">
        <v>171</v>
      </c>
      <c r="B35" s="4" t="s">
        <v>55</v>
      </c>
      <c r="C35" s="4" t="s">
        <v>12</v>
      </c>
      <c r="D35" s="4">
        <v>2019</v>
      </c>
      <c r="E35" s="4" t="s">
        <v>172</v>
      </c>
      <c r="F35" s="5"/>
      <c r="G35" s="5"/>
      <c r="H35" s="5"/>
      <c r="I35" s="17"/>
      <c r="J35" s="4" t="s">
        <v>173</v>
      </c>
      <c r="K35" s="4" t="s">
        <v>80</v>
      </c>
      <c r="L35" s="24">
        <f>Tableau3[[#This Row],[LLS]]+Tableau3[[#This Row],[LLTS]]+Tableau3[[#This Row],[PLS]]+Tableau3[[#This Row],[REHAB]]</f>
        <v>34</v>
      </c>
      <c r="M35" s="23">
        <f>IFERROR(Tableau3[[#This Row],[LLS]]+Tableau3[[#This Row],[LLTS]]+Tableau3[[#This Row],[PLS]],"-")</f>
        <v>34</v>
      </c>
      <c r="N35" s="4">
        <v>34</v>
      </c>
      <c r="O35" s="25"/>
      <c r="P35" s="25"/>
      <c r="Q35" s="25"/>
      <c r="R35" s="32">
        <v>2190.89</v>
      </c>
      <c r="S35" s="27">
        <v>2667.21</v>
      </c>
      <c r="T35" s="56">
        <f>Tableau3[[#This Row],[SHAB y/c V]]/Tableau3[[#This Row],[N]]</f>
        <v>64.437941176470588</v>
      </c>
      <c r="U35" s="56">
        <f>Tableau3[[#This Row],[SF priorisée]]/Tableau3[[#This Row],[N]]</f>
        <v>78.447352941176476</v>
      </c>
      <c r="V35" s="57">
        <f>IFERROR(Tableau3[[#This Row],[SHAB y/c V]]/Tableau3[[#This Row],[SF priorisée]],"-")</f>
        <v>0.82141638641126868</v>
      </c>
      <c r="W35" s="56"/>
      <c r="X35" s="43" t="s">
        <v>93</v>
      </c>
      <c r="Y35" s="43" t="s">
        <v>392</v>
      </c>
      <c r="Z35" s="47">
        <v>5587360.3181897784</v>
      </c>
      <c r="AA35" s="58">
        <f>IFERROR(Tableau3[[#This Row],[Prix Achat TTC]]/Tableau3[[#This Row],[SHAB y/c V]],"-")</f>
        <v>2550.269670403251</v>
      </c>
      <c r="AB35" s="58">
        <f>IFERROR(Tableau3[[#This Row],[Prix Achat TTC]]/Tableau3[[#This Row],[SF priorisée]],"-")</f>
        <v>2094.8332970368956</v>
      </c>
      <c r="AC35" s="58">
        <f>IFERROR(Tableau3[[#This Row],[Prix Achat TTC]]/Tableau3[[#This Row],[N]],"-")</f>
        <v>164334.12700558171</v>
      </c>
      <c r="AD35" s="62">
        <v>43554</v>
      </c>
      <c r="AE35" s="62">
        <v>43665</v>
      </c>
      <c r="AF35" s="62"/>
      <c r="AG35" s="58">
        <f>IFERROR((DATEDIF(Tableau3[[#This Row],[Demande LBU]],Tableau3[[#This Row],[Arrêté LBU]],"d"))/30,0)</f>
        <v>3.7</v>
      </c>
      <c r="AH35" s="68">
        <v>43696</v>
      </c>
      <c r="AI35" s="68">
        <v>43761</v>
      </c>
      <c r="AJ35" s="73">
        <f>IFERROR((DATEDIF(Tableau3[[#This Row],[Dde édition prêt]],Tableau3[[#This Row],[Contrat de prêt]],"d"))/30,"-")</f>
        <v>2.1666666666666665</v>
      </c>
      <c r="AK35" s="68">
        <f>EOMONTH(Tableau3[[#This Row],[Contrat de prêt]],0)+1</f>
        <v>43770</v>
      </c>
      <c r="AL35" s="68">
        <v>43761</v>
      </c>
      <c r="AM35" s="68">
        <v>43770</v>
      </c>
      <c r="AN3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44866</v>
      </c>
      <c r="AO35" s="79">
        <v>168338.03</v>
      </c>
      <c r="AP35" s="2" t="str">
        <f>IF(Tableau3[[#This Row],[Montant des loyers perçus avant 1e échéance]]&lt;Tableau3[[#This Row],[Montant échéance annuelle]],"oui","non")</f>
        <v>oui</v>
      </c>
      <c r="AS35" s="79">
        <f>Tableau3[[#This Row],[Mois de loyers avant 1e échéance]]-Tableau3[[#This Row],[Montant échéance annuelle]]</f>
        <v>-168338.03</v>
      </c>
      <c r="AU35" s="83">
        <v>43850</v>
      </c>
      <c r="AV35" s="94">
        <v>2020</v>
      </c>
      <c r="AW35" s="56">
        <f>IFERROR((DATEDIF(Tableau3[[#This Row],[Arrêté LBU]],Tableau3[[#This Row],[OS démarrage]],"d"))/30,0)</f>
        <v>6.166666666666667</v>
      </c>
      <c r="AX35" s="102">
        <v>21</v>
      </c>
      <c r="AY35" s="112"/>
      <c r="AZ35" s="84">
        <v>44131</v>
      </c>
      <c r="BA35" s="116">
        <f>DATE(YEAR(Tableau3[[#This Row],[OS démarrage]]),MONTH(Tableau3[[#This Row],[OS démarrage]])+Tableau3[[#This Row],[Délai chantier initial]],DAY(Tableau3[[#This Row],[OS démarrage]]))</f>
        <v>44489</v>
      </c>
      <c r="BB35" s="118">
        <v>44760</v>
      </c>
      <c r="BC35" s="121">
        <f>(Tableau3[[#This Row],[Date réception entreprise recalée]]-Tableau3[[#This Row],[Date réception entreprise prévue initialement]])/30</f>
        <v>9.0333333333333332</v>
      </c>
      <c r="BD35" s="124">
        <v>44616</v>
      </c>
      <c r="BE35" s="124">
        <v>44530</v>
      </c>
      <c r="BF35" s="124">
        <v>44644</v>
      </c>
      <c r="BG35" s="124">
        <v>44760</v>
      </c>
      <c r="BH35" s="137">
        <f>IFERROR((Tableau3[[#This Row],[Date Livraison VEFA estimée avec retards constatés]]-Tableau3[[#This Row],[Date livraison contractuelle y/c avenant]])/30,"-")</f>
        <v>3.8666666666666667</v>
      </c>
      <c r="BI35" s="138">
        <f>Tableau3[[#This Row],[Date Livraison VEFA estimée avec retards constatés]]-Tableau3[[#This Row],[Date livraison contractuelle y/c avenant]]</f>
        <v>116</v>
      </c>
      <c r="BJ35" s="140">
        <f>IF(Tableau3[[#This Row],[TYPE]]="Rehab","",DATE(YEAR(Tableau3[[#This Row],[Achèvement fondations]])+2,MONTH(Tableau3[[#This Row],[Achèvement fondations]]),DAY(Tableau3[[#This Row],[Achèvement fondations]])))</f>
        <v>44861</v>
      </c>
    </row>
    <row r="36" spans="1:62" x14ac:dyDescent="0.3">
      <c r="A36" s="9" t="s">
        <v>174</v>
      </c>
      <c r="B36" s="4" t="s">
        <v>55</v>
      </c>
      <c r="C36" s="4" t="s">
        <v>12</v>
      </c>
      <c r="D36" s="4">
        <v>2019</v>
      </c>
      <c r="E36" s="4" t="s">
        <v>172</v>
      </c>
      <c r="F36" s="8" t="s">
        <v>22</v>
      </c>
      <c r="G36" s="8"/>
      <c r="H36" s="8" t="s">
        <v>35</v>
      </c>
      <c r="I36" s="6" t="s">
        <v>50</v>
      </c>
      <c r="J36" s="4" t="s">
        <v>173</v>
      </c>
      <c r="K36" s="8" t="s">
        <v>82</v>
      </c>
      <c r="L36" s="24">
        <f>Tableau3[[#This Row],[LLS]]+Tableau3[[#This Row],[LLTS]]+Tableau3[[#This Row],[PLS]]+Tableau3[[#This Row],[REHAB]]</f>
        <v>24</v>
      </c>
      <c r="M36" s="23">
        <f>IFERROR(Tableau3[[#This Row],[LLS]]+Tableau3[[#This Row],[LLTS]]+Tableau3[[#This Row],[PLS]],"-")</f>
        <v>24</v>
      </c>
      <c r="N36" s="25"/>
      <c r="O36" s="25"/>
      <c r="P36" s="4">
        <v>24</v>
      </c>
      <c r="Q36" s="25"/>
      <c r="R36" s="32">
        <v>1921.19</v>
      </c>
      <c r="S36" s="27">
        <v>2245.5</v>
      </c>
      <c r="T36" s="56">
        <f>Tableau3[[#This Row],[SHAB y/c V]]/Tableau3[[#This Row],[N]]</f>
        <v>80.049583333333331</v>
      </c>
      <c r="U36" s="56">
        <f>Tableau3[[#This Row],[SF priorisée]]/Tableau3[[#This Row],[N]]</f>
        <v>93.5625</v>
      </c>
      <c r="V36" s="57">
        <f>IFERROR(Tableau3[[#This Row],[SHAB y/c V]]/Tableau3[[#This Row],[SF priorisée]],"-")</f>
        <v>0.85557336896014258</v>
      </c>
      <c r="W36" s="56"/>
      <c r="X36" s="43" t="s">
        <v>93</v>
      </c>
      <c r="Y36" s="43" t="s">
        <v>392</v>
      </c>
      <c r="Z36" s="47">
        <v>4673399.6836694162</v>
      </c>
      <c r="AA36" s="58">
        <f>IFERROR(Tableau3[[#This Row],[Prix Achat TTC]]/Tableau3[[#This Row],[SHAB y/c V]],"-")</f>
        <v>2432.554658138662</v>
      </c>
      <c r="AB36" s="58">
        <f>IFERROR(Tableau3[[#This Row],[Prix Achat TTC]]/Tableau3[[#This Row],[SF priorisée]],"-")</f>
        <v>2081.2289840433828</v>
      </c>
      <c r="AC36" s="58">
        <f>IFERROR(Tableau3[[#This Row],[Prix Achat TTC]]/Tableau3[[#This Row],[N]],"-")</f>
        <v>194724.98681955901</v>
      </c>
      <c r="AD36" s="62">
        <v>43554</v>
      </c>
      <c r="AE36" s="62">
        <v>43650</v>
      </c>
      <c r="AF36" s="62">
        <v>43650</v>
      </c>
      <c r="AG36" s="58">
        <f>IFERROR((DATEDIF(Tableau3[[#This Row],[Demande LBU]],Tableau3[[#This Row],[Arrêté LBU]],"d"))/30,0)</f>
        <v>3.2</v>
      </c>
      <c r="AH36" s="68">
        <v>43696</v>
      </c>
      <c r="AI36" s="68">
        <v>43761</v>
      </c>
      <c r="AJ36" s="73">
        <f>IFERROR((DATEDIF(Tableau3[[#This Row],[Dde édition prêt]],Tableau3[[#This Row],[Contrat de prêt]],"d"))/30,"-")</f>
        <v>2.1666666666666665</v>
      </c>
      <c r="AK36" s="68">
        <f>EOMONTH(Tableau3[[#This Row],[Contrat de prêt]],0)+1</f>
        <v>43770</v>
      </c>
      <c r="AL36" s="68">
        <v>43761</v>
      </c>
      <c r="AM36" s="68">
        <v>43770</v>
      </c>
      <c r="AN3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44866</v>
      </c>
      <c r="AO36" s="79">
        <v>171299.22999999998</v>
      </c>
      <c r="AP36" s="2" t="str">
        <f>IF(Tableau3[[#This Row],[Montant des loyers perçus avant 1e échéance]]&lt;Tableau3[[#This Row],[Montant échéance annuelle]],"oui","non")</f>
        <v>oui</v>
      </c>
      <c r="AS36" s="79">
        <f>Tableau3[[#This Row],[Mois de loyers avant 1e échéance]]-Tableau3[[#This Row],[Montant échéance annuelle]]</f>
        <v>-171299.22999999998</v>
      </c>
      <c r="AU36" s="83">
        <v>43850</v>
      </c>
      <c r="AV36" s="94">
        <v>2020</v>
      </c>
      <c r="AW36" s="56">
        <f>IFERROR((DATEDIF(Tableau3[[#This Row],[Arrêté LBU]],Tableau3[[#This Row],[OS démarrage]],"d"))/30,0)</f>
        <v>6.666666666666667</v>
      </c>
      <c r="AX36" s="102">
        <v>21</v>
      </c>
      <c r="AY36" s="112"/>
      <c r="AZ36" s="84">
        <v>44131</v>
      </c>
      <c r="BA36" s="116">
        <f>DATE(YEAR(Tableau3[[#This Row],[OS démarrage]]),MONTH(Tableau3[[#This Row],[OS démarrage]])+Tableau3[[#This Row],[Délai chantier initial]],DAY(Tableau3[[#This Row],[OS démarrage]]))</f>
        <v>44489</v>
      </c>
      <c r="BB36" s="118">
        <v>44760</v>
      </c>
      <c r="BC36" s="121">
        <f>(Tableau3[[#This Row],[Date réception entreprise recalée]]-Tableau3[[#This Row],[Date réception entreprise prévue initialement]])/30</f>
        <v>9.0333333333333332</v>
      </c>
      <c r="BD36" s="124">
        <v>44616</v>
      </c>
      <c r="BE36" s="124">
        <v>44530</v>
      </c>
      <c r="BF36" s="124">
        <v>44644</v>
      </c>
      <c r="BG36" s="124">
        <v>44760</v>
      </c>
      <c r="BH36" s="137">
        <f>IFERROR((Tableau3[[#This Row],[Date Livraison VEFA estimée avec retards constatés]]-Tableau3[[#This Row],[Date livraison contractuelle y/c avenant]])/30,"-")</f>
        <v>3.8666666666666667</v>
      </c>
      <c r="BI36" s="138">
        <f>Tableau3[[#This Row],[Date Livraison VEFA estimée avec retards constatés]]-Tableau3[[#This Row],[Date livraison contractuelle y/c avenant]]</f>
        <v>116</v>
      </c>
      <c r="BJ36" s="140">
        <f>IF(Tableau3[[#This Row],[TYPE]]="Rehab","",DATE(YEAR(Tableau3[[#This Row],[Achèvement fondations]])+2,MONTH(Tableau3[[#This Row],[Achèvement fondations]]),DAY(Tableau3[[#This Row],[Achèvement fondations]])))</f>
        <v>44861</v>
      </c>
    </row>
    <row r="37" spans="1:62" x14ac:dyDescent="0.3">
      <c r="A37" s="3" t="s">
        <v>175</v>
      </c>
      <c r="B37" s="4" t="s">
        <v>55</v>
      </c>
      <c r="C37" s="4" t="s">
        <v>12</v>
      </c>
      <c r="D37" s="4">
        <v>2019</v>
      </c>
      <c r="E37" s="4" t="s">
        <v>176</v>
      </c>
      <c r="F37" s="4" t="s">
        <v>34</v>
      </c>
      <c r="G37" s="4"/>
      <c r="H37" s="4" t="s">
        <v>13</v>
      </c>
      <c r="I37" s="6" t="s">
        <v>48</v>
      </c>
      <c r="J37" s="4" t="s">
        <v>177</v>
      </c>
      <c r="K37" s="4" t="s">
        <v>80</v>
      </c>
      <c r="L37" s="24">
        <f>Tableau3[[#This Row],[LLS]]+Tableau3[[#This Row],[LLTS]]+Tableau3[[#This Row],[PLS]]+Tableau3[[#This Row],[REHAB]]</f>
        <v>46</v>
      </c>
      <c r="M37" s="23">
        <f>IFERROR(Tableau3[[#This Row],[LLS]]+Tableau3[[#This Row],[LLTS]]+Tableau3[[#This Row],[PLS]],"-")</f>
        <v>46</v>
      </c>
      <c r="N37" s="4">
        <v>46</v>
      </c>
      <c r="O37" s="25"/>
      <c r="P37" s="25"/>
      <c r="Q37" s="25"/>
      <c r="R37" s="32">
        <v>3562.01</v>
      </c>
      <c r="S37" s="27">
        <v>4176.8500000000004</v>
      </c>
      <c r="T37" s="56">
        <f>Tableau3[[#This Row],[SHAB y/c V]]/Tableau3[[#This Row],[N]]</f>
        <v>77.435000000000002</v>
      </c>
      <c r="U37" s="56">
        <f>Tableau3[[#This Row],[SF priorisée]]/Tableau3[[#This Row],[N]]</f>
        <v>90.801086956521743</v>
      </c>
      <c r="V37" s="57">
        <f>IFERROR(Tableau3[[#This Row],[SHAB y/c V]]/Tableau3[[#This Row],[SF priorisée]],"-")</f>
        <v>0.85279816129379793</v>
      </c>
      <c r="W37" s="56">
        <v>585.70000000000005</v>
      </c>
      <c r="X37" s="43" t="s">
        <v>93</v>
      </c>
      <c r="Y37" s="43" t="s">
        <v>392</v>
      </c>
      <c r="Z37" s="47">
        <v>8484480.0359200016</v>
      </c>
      <c r="AA37" s="58">
        <f>IFERROR(Tableau3[[#This Row],[Prix Achat TTC]]/Tableau3[[#This Row],[SHAB y/c V]],"-")</f>
        <v>2381.9360518134426</v>
      </c>
      <c r="AB37" s="58">
        <f>IFERROR(Tableau3[[#This Row],[Prix Achat TTC]]/Tableau3[[#This Row],[SF priorisée]],"-")</f>
        <v>2031.3106853059126</v>
      </c>
      <c r="AC37" s="58">
        <f>IFERROR(Tableau3[[#This Row],[Prix Achat TTC]]/Tableau3[[#This Row],[N]],"-")</f>
        <v>184445.21817217395</v>
      </c>
      <c r="AD37" s="62">
        <v>43552</v>
      </c>
      <c r="AE37" s="62">
        <v>43745</v>
      </c>
      <c r="AF37" s="62">
        <v>43753</v>
      </c>
      <c r="AG37" s="58">
        <f>IFERROR((DATEDIF(Tableau3[[#This Row],[Demande LBU]],Tableau3[[#This Row],[Arrêté LBU]],"d"))/30,0)</f>
        <v>6.4333333333333336</v>
      </c>
      <c r="AH37" s="68">
        <v>43742</v>
      </c>
      <c r="AI37" s="68">
        <v>43784</v>
      </c>
      <c r="AJ37" s="73">
        <f>IFERROR((DATEDIF(Tableau3[[#This Row],[Dde édition prêt]],Tableau3[[#This Row],[Contrat de prêt]],"d"))/30,"-")</f>
        <v>1.4</v>
      </c>
      <c r="AK37" s="68">
        <f>EOMONTH(Tableau3[[#This Row],[Contrat de prêt]],0)+1</f>
        <v>43800</v>
      </c>
      <c r="AL37" s="68">
        <v>43794</v>
      </c>
      <c r="AM37" s="68">
        <v>43800</v>
      </c>
      <c r="AN3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44896</v>
      </c>
      <c r="AO37" s="79">
        <v>251163.06</v>
      </c>
      <c r="AP37" s="2" t="str">
        <f>IF(Tableau3[[#This Row],[Montant des loyers perçus avant 1e échéance]]&lt;Tableau3[[#This Row],[Montant échéance annuelle]],"oui","non")</f>
        <v>oui</v>
      </c>
      <c r="AS37" s="79">
        <f>Tableau3[[#This Row],[Mois de loyers avant 1e échéance]]-Tableau3[[#This Row],[Montant échéance annuelle]]</f>
        <v>-251163.06</v>
      </c>
      <c r="AU37" s="83">
        <v>43997</v>
      </c>
      <c r="AV37" s="94">
        <v>2020</v>
      </c>
      <c r="AW37" s="56">
        <f>IFERROR((DATEDIF(Tableau3[[#This Row],[Arrêté LBU]],Tableau3[[#This Row],[OS démarrage]],"d"))/30,0)</f>
        <v>8.4</v>
      </c>
      <c r="AX37" s="102">
        <v>21</v>
      </c>
      <c r="AY37" s="112"/>
      <c r="AZ37" s="110">
        <v>44137</v>
      </c>
      <c r="BA37" s="116">
        <f>DATE(YEAR(Tableau3[[#This Row],[OS démarrage]]),MONTH(Tableau3[[#This Row],[OS démarrage]])+Tableau3[[#This Row],[Délai chantier initial]],DAY(Tableau3[[#This Row],[OS démarrage]]))</f>
        <v>44635</v>
      </c>
      <c r="BB37" s="118">
        <v>44849</v>
      </c>
      <c r="BC37" s="121">
        <f>(Tableau3[[#This Row],[Date réception entreprise recalée]]-Tableau3[[#This Row],[Date réception entreprise prévue initialement]])/30</f>
        <v>7.1333333333333337</v>
      </c>
      <c r="BD37" s="124">
        <v>44658</v>
      </c>
      <c r="BE37" s="124">
        <v>43769</v>
      </c>
      <c r="BF37" s="124">
        <v>44827</v>
      </c>
      <c r="BG37" s="124">
        <v>45044</v>
      </c>
      <c r="BH37" s="137">
        <f>IFERROR((Tableau3[[#This Row],[Date Livraison VEFA estimée avec retards constatés]]-Tableau3[[#This Row],[Date livraison contractuelle y/c avenant]])/30,"-")</f>
        <v>7.2333333333333334</v>
      </c>
      <c r="BI37" s="138">
        <f>Tableau3[[#This Row],[Date Livraison VEFA estimée avec retards constatés]]-Tableau3[[#This Row],[Date livraison contractuelle y/c avenant]]</f>
        <v>217</v>
      </c>
      <c r="BJ37" s="140">
        <f>IF(Tableau3[[#This Row],[TYPE]]="Rehab","",DATE(YEAR(Tableau3[[#This Row],[Achèvement fondations]])+2,MONTH(Tableau3[[#This Row],[Achèvement fondations]]),DAY(Tableau3[[#This Row],[Achèvement fondations]])))</f>
        <v>44867</v>
      </c>
    </row>
    <row r="38" spans="1:62" x14ac:dyDescent="0.3">
      <c r="A38" s="3" t="s">
        <v>178</v>
      </c>
      <c r="B38" s="4" t="s">
        <v>55</v>
      </c>
      <c r="C38" s="4" t="s">
        <v>12</v>
      </c>
      <c r="D38" s="4">
        <v>2019</v>
      </c>
      <c r="E38" s="4" t="s">
        <v>176</v>
      </c>
      <c r="F38" s="5"/>
      <c r="G38" s="5"/>
      <c r="H38" s="5"/>
      <c r="I38" s="17"/>
      <c r="J38" s="4" t="s">
        <v>177</v>
      </c>
      <c r="K38" s="4" t="s">
        <v>81</v>
      </c>
      <c r="L38" s="24">
        <f>Tableau3[[#This Row],[LLS]]+Tableau3[[#This Row],[LLTS]]+Tableau3[[#This Row],[PLS]]+Tableau3[[#This Row],[REHAB]]</f>
        <v>20</v>
      </c>
      <c r="M38" s="23">
        <f>IFERROR(Tableau3[[#This Row],[LLS]]+Tableau3[[#This Row],[LLTS]]+Tableau3[[#This Row],[PLS]],"-")</f>
        <v>20</v>
      </c>
      <c r="N38" s="25"/>
      <c r="O38" s="4">
        <v>20</v>
      </c>
      <c r="P38" s="25"/>
      <c r="Q38" s="25"/>
      <c r="R38" s="32">
        <v>920.8</v>
      </c>
      <c r="S38" s="27">
        <v>1253</v>
      </c>
      <c r="T38" s="56">
        <f>Tableau3[[#This Row],[SHAB y/c V]]/Tableau3[[#This Row],[N]]</f>
        <v>46.04</v>
      </c>
      <c r="U38" s="56">
        <f>Tableau3[[#This Row],[SF priorisée]]/Tableau3[[#This Row],[N]]</f>
        <v>62.65</v>
      </c>
      <c r="V38" s="57">
        <f>IFERROR(Tableau3[[#This Row],[SHAB y/c V]]/Tableau3[[#This Row],[SF priorisée]],"-")</f>
        <v>0.73487629688747003</v>
      </c>
      <c r="W38" s="56">
        <v>362.32</v>
      </c>
      <c r="X38" s="43" t="s">
        <v>93</v>
      </c>
      <c r="Y38" s="43" t="s">
        <v>392</v>
      </c>
      <c r="Z38" s="47">
        <v>2121120.0089800004</v>
      </c>
      <c r="AA38" s="58">
        <f>IFERROR(Tableau3[[#This Row],[Prix Achat TTC]]/Tableau3[[#This Row],[SHAB y/c V]],"-")</f>
        <v>2303.5621296481327</v>
      </c>
      <c r="AB38" s="58">
        <f>IFERROR(Tableau3[[#This Row],[Prix Achat TTC]]/Tableau3[[#This Row],[SF priorisée]],"-")</f>
        <v>1692.8332074860339</v>
      </c>
      <c r="AC38" s="58">
        <f>IFERROR(Tableau3[[#This Row],[Prix Achat TTC]]/Tableau3[[#This Row],[N]],"-")</f>
        <v>106056.00044900001</v>
      </c>
      <c r="AD38" s="62">
        <v>43552</v>
      </c>
      <c r="AE38" s="62">
        <v>43745</v>
      </c>
      <c r="AF38" s="62">
        <v>43753</v>
      </c>
      <c r="AG38" s="58">
        <f>IFERROR((DATEDIF(Tableau3[[#This Row],[Demande LBU]],Tableau3[[#This Row],[Arrêté LBU]],"d"))/30,0)</f>
        <v>6.4333333333333336</v>
      </c>
      <c r="AH38" s="68">
        <v>43742</v>
      </c>
      <c r="AI38" s="68">
        <v>43784</v>
      </c>
      <c r="AJ38" s="73">
        <f>IFERROR((DATEDIF(Tableau3[[#This Row],[Dde édition prêt]],Tableau3[[#This Row],[Contrat de prêt]],"d"))/30,"-")</f>
        <v>1.4</v>
      </c>
      <c r="AK38" s="68">
        <f>EOMONTH(Tableau3[[#This Row],[Contrat de prêt]],0)+1</f>
        <v>43800</v>
      </c>
      <c r="AL38" s="68">
        <v>43794</v>
      </c>
      <c r="AM38" s="68">
        <v>43800</v>
      </c>
      <c r="AN3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44896</v>
      </c>
      <c r="AO38" s="79">
        <v>44377.919999999998</v>
      </c>
      <c r="AP38" s="2" t="str">
        <f>IF(Tableau3[[#This Row],[Montant des loyers perçus avant 1e échéance]]&lt;Tableau3[[#This Row],[Montant échéance annuelle]],"oui","non")</f>
        <v>oui</v>
      </c>
      <c r="AS38" s="79">
        <f>Tableau3[[#This Row],[Mois de loyers avant 1e échéance]]-Tableau3[[#This Row],[Montant échéance annuelle]]</f>
        <v>-44377.919999999998</v>
      </c>
      <c r="AU38" s="83">
        <v>43997</v>
      </c>
      <c r="AV38" s="94">
        <v>2020</v>
      </c>
      <c r="AW38" s="56">
        <f>IFERROR((DATEDIF(Tableau3[[#This Row],[Arrêté LBU]],Tableau3[[#This Row],[OS démarrage]],"d"))/30,0)</f>
        <v>8.4</v>
      </c>
      <c r="AX38" s="102">
        <v>21</v>
      </c>
      <c r="AY38" s="112"/>
      <c r="AZ38" s="110">
        <v>44137</v>
      </c>
      <c r="BA38" s="116">
        <f>DATE(YEAR(Tableau3[[#This Row],[OS démarrage]]),MONTH(Tableau3[[#This Row],[OS démarrage]])+Tableau3[[#This Row],[Délai chantier initial]],DAY(Tableau3[[#This Row],[OS démarrage]]))</f>
        <v>44635</v>
      </c>
      <c r="BB38" s="118">
        <v>44849</v>
      </c>
      <c r="BC38" s="121">
        <f>(Tableau3[[#This Row],[Date réception entreprise recalée]]-Tableau3[[#This Row],[Date réception entreprise prévue initialement]])/30</f>
        <v>7.1333333333333337</v>
      </c>
      <c r="BD38" s="124">
        <v>44658</v>
      </c>
      <c r="BE38" s="124">
        <v>44688</v>
      </c>
      <c r="BF38" s="124">
        <v>44827</v>
      </c>
      <c r="BG38" s="124">
        <v>45044</v>
      </c>
      <c r="BH38" s="137">
        <f>IFERROR((Tableau3[[#This Row],[Date Livraison VEFA estimée avec retards constatés]]-Tableau3[[#This Row],[Date livraison contractuelle y/c avenant]])/30,"-")</f>
        <v>7.2333333333333334</v>
      </c>
      <c r="BI38" s="138">
        <f>Tableau3[[#This Row],[Date Livraison VEFA estimée avec retards constatés]]-Tableau3[[#This Row],[Date livraison contractuelle y/c avenant]]</f>
        <v>217</v>
      </c>
      <c r="BJ38" s="140">
        <f>IF(Tableau3[[#This Row],[TYPE]]="Rehab","",DATE(YEAR(Tableau3[[#This Row],[Achèvement fondations]])+2,MONTH(Tableau3[[#This Row],[Achèvement fondations]]),DAY(Tableau3[[#This Row],[Achèvement fondations]])))</f>
        <v>44867</v>
      </c>
    </row>
    <row r="39" spans="1:62" x14ac:dyDescent="0.3">
      <c r="A39" s="3" t="s">
        <v>179</v>
      </c>
      <c r="B39" s="4" t="s">
        <v>30</v>
      </c>
      <c r="C39" s="4" t="s">
        <v>26</v>
      </c>
      <c r="D39" s="4">
        <v>2019</v>
      </c>
      <c r="E39" s="4" t="s">
        <v>180</v>
      </c>
      <c r="F39" s="4" t="s">
        <v>22</v>
      </c>
      <c r="G39" s="4"/>
      <c r="H39" s="4" t="s">
        <v>23</v>
      </c>
      <c r="I39" s="6" t="s">
        <v>50</v>
      </c>
      <c r="J39" s="4" t="s">
        <v>181</v>
      </c>
      <c r="K39" s="4" t="s">
        <v>82</v>
      </c>
      <c r="L39" s="24">
        <f>Tableau3[[#This Row],[LLS]]+Tableau3[[#This Row],[LLTS]]+Tableau3[[#This Row],[PLS]]+Tableau3[[#This Row],[REHAB]]</f>
        <v>60</v>
      </c>
      <c r="M39" s="23">
        <f>IFERROR(Tableau3[[#This Row],[LLS]]+Tableau3[[#This Row],[LLTS]]+Tableau3[[#This Row],[PLS]],"-")</f>
        <v>60</v>
      </c>
      <c r="N39" s="25"/>
      <c r="O39" s="25"/>
      <c r="P39" s="4">
        <v>60</v>
      </c>
      <c r="Q39" s="25"/>
      <c r="R39" s="26">
        <v>4493.62</v>
      </c>
      <c r="S39" s="27">
        <v>5286.96</v>
      </c>
      <c r="T39" s="56">
        <f>Tableau3[[#This Row],[SHAB y/c V]]/Tableau3[[#This Row],[N]]</f>
        <v>74.893666666666661</v>
      </c>
      <c r="U39" s="56">
        <f>Tableau3[[#This Row],[SF priorisée]]/Tableau3[[#This Row],[N]]</f>
        <v>88.116</v>
      </c>
      <c r="V39" s="57">
        <f>IFERROR(Tableau3[[#This Row],[SHAB y/c V]]/Tableau3[[#This Row],[SF priorisée]],"-")</f>
        <v>0.84994401319472812</v>
      </c>
      <c r="W39" s="56">
        <v>868.81</v>
      </c>
      <c r="X39" s="43" t="s">
        <v>93</v>
      </c>
      <c r="Y39" s="43" t="s">
        <v>392</v>
      </c>
      <c r="Z39" s="47">
        <v>11077420.598029997</v>
      </c>
      <c r="AA39" s="58">
        <f>IFERROR(Tableau3[[#This Row],[Prix Achat TTC]]/Tableau3[[#This Row],[SHAB y/c V]],"-")</f>
        <v>2465.1440482350527</v>
      </c>
      <c r="AB39" s="58">
        <f>IFERROR(Tableau3[[#This Row],[Prix Achat TTC]]/Tableau3[[#This Row],[SF priorisée]],"-")</f>
        <v>2095.2344254599993</v>
      </c>
      <c r="AC39" s="58">
        <f>IFERROR(Tableau3[[#This Row],[Prix Achat TTC]]/Tableau3[[#This Row],[N]],"-")</f>
        <v>184623.6766338333</v>
      </c>
      <c r="AD39" s="62">
        <v>43551</v>
      </c>
      <c r="AE39" s="62">
        <v>43627</v>
      </c>
      <c r="AF39" s="62"/>
      <c r="AG39" s="58">
        <f>IFERROR((DATEDIF(Tableau3[[#This Row],[Demande LBU]],Tableau3[[#This Row],[Arrêté LBU]],"d"))/30,0)</f>
        <v>2.5333333333333332</v>
      </c>
      <c r="AH39" s="68">
        <v>43745</v>
      </c>
      <c r="AI39" s="68">
        <v>43802</v>
      </c>
      <c r="AJ39" s="73">
        <f>IFERROR((DATEDIF(Tableau3[[#This Row],[Dde édition prêt]],Tableau3[[#This Row],[Contrat de prêt]],"d"))/30,"-")</f>
        <v>1.9</v>
      </c>
      <c r="AK39" s="68">
        <f>EOMONTH(Tableau3[[#This Row],[Contrat de prêt]],0)+1</f>
        <v>43831</v>
      </c>
      <c r="AL39" s="68">
        <v>43794</v>
      </c>
      <c r="AM39" s="68">
        <v>43862</v>
      </c>
      <c r="AN3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44958</v>
      </c>
      <c r="AO39" s="79">
        <v>404911.89</v>
      </c>
      <c r="AP39" s="2" t="str">
        <f>IF(Tableau3[[#This Row],[Montant des loyers perçus avant 1e échéance]]&lt;Tableau3[[#This Row],[Montant échéance annuelle]],"oui","non")</f>
        <v>oui</v>
      </c>
      <c r="AS39" s="79">
        <f>Tableau3[[#This Row],[Mois de loyers avant 1e échéance]]-Tableau3[[#This Row],[Montant échéance annuelle]]</f>
        <v>-404911.89</v>
      </c>
      <c r="AU39" s="83">
        <v>43977</v>
      </c>
      <c r="AV39" s="94">
        <v>2020</v>
      </c>
      <c r="AW39" s="56">
        <f>IFERROR((DATEDIF(Tableau3[[#This Row],[Arrêté LBU]],Tableau3[[#This Row],[OS démarrage]],"d"))/30,0)</f>
        <v>11.666666666666666</v>
      </c>
      <c r="AX39" s="102">
        <v>21</v>
      </c>
      <c r="AY39" s="112"/>
      <c r="AZ39" s="84">
        <v>44111</v>
      </c>
      <c r="BA39" s="116">
        <f>DATE(YEAR(Tableau3[[#This Row],[OS démarrage]]),MONTH(Tableau3[[#This Row],[OS démarrage]])+Tableau3[[#This Row],[Délai chantier initial]],DAY(Tableau3[[#This Row],[OS démarrage]]))</f>
        <v>44618</v>
      </c>
      <c r="BB39" s="118">
        <v>44676</v>
      </c>
      <c r="BC39" s="121">
        <f>(Tableau3[[#This Row],[Date réception entreprise recalée]]-Tableau3[[#This Row],[Date réception entreprise prévue initialement]])/30</f>
        <v>1.9333333333333333</v>
      </c>
      <c r="BD39" s="124">
        <v>44645</v>
      </c>
      <c r="BE39" s="124">
        <v>44676</v>
      </c>
      <c r="BF39" s="124">
        <v>44676</v>
      </c>
      <c r="BG39" s="124">
        <v>44775</v>
      </c>
      <c r="BH39" s="137">
        <f>IFERROR((Tableau3[[#This Row],[Date Livraison VEFA estimée avec retards constatés]]-Tableau3[[#This Row],[Date livraison contractuelle y/c avenant]])/30,"-")</f>
        <v>3.3</v>
      </c>
      <c r="BI39" s="138">
        <f>Tableau3[[#This Row],[Date Livraison VEFA estimée avec retards constatés]]-Tableau3[[#This Row],[Date livraison contractuelle y/c avenant]]</f>
        <v>99</v>
      </c>
      <c r="BJ39" s="140">
        <f>IF(Tableau3[[#This Row],[TYPE]]="Rehab","",DATE(YEAR(Tableau3[[#This Row],[Achèvement fondations]])+2,MONTH(Tableau3[[#This Row],[Achèvement fondations]]),DAY(Tableau3[[#This Row],[Achèvement fondations]])))</f>
        <v>44841</v>
      </c>
    </row>
    <row r="40" spans="1:62" x14ac:dyDescent="0.3">
      <c r="A40" s="3" t="s">
        <v>182</v>
      </c>
      <c r="B40" s="4" t="s">
        <v>55</v>
      </c>
      <c r="C40" s="4" t="s">
        <v>12</v>
      </c>
      <c r="D40" s="4">
        <v>2020</v>
      </c>
      <c r="E40" s="4" t="s">
        <v>183</v>
      </c>
      <c r="F40" s="4" t="s">
        <v>34</v>
      </c>
      <c r="G40" s="4"/>
      <c r="H40" s="4" t="s">
        <v>23</v>
      </c>
      <c r="I40" s="6" t="s">
        <v>50</v>
      </c>
      <c r="J40" s="4" t="s">
        <v>184</v>
      </c>
      <c r="K40" s="4" t="s">
        <v>82</v>
      </c>
      <c r="L40" s="24">
        <f>Tableau3[[#This Row],[LLS]]+Tableau3[[#This Row],[LLTS]]+Tableau3[[#This Row],[PLS]]+Tableau3[[#This Row],[REHAB]]</f>
        <v>44</v>
      </c>
      <c r="M40" s="23">
        <f>IFERROR(Tableau3[[#This Row],[LLS]]+Tableau3[[#This Row],[LLTS]]+Tableau3[[#This Row],[PLS]],"-")</f>
        <v>44</v>
      </c>
      <c r="N40" s="25"/>
      <c r="O40" s="25"/>
      <c r="P40" s="4">
        <v>44</v>
      </c>
      <c r="Q40" s="25"/>
      <c r="R40" s="33">
        <v>3447.6800000000007</v>
      </c>
      <c r="S40" s="27">
        <v>4029.5250000000001</v>
      </c>
      <c r="T40" s="56">
        <f>Tableau3[[#This Row],[SHAB y/c V]]/Tableau3[[#This Row],[N]]</f>
        <v>78.356363636363653</v>
      </c>
      <c r="U40" s="56">
        <f>Tableau3[[#This Row],[SF priorisée]]/Tableau3[[#This Row],[N]]</f>
        <v>91.580113636363635</v>
      </c>
      <c r="V40" s="57">
        <f>IFERROR(Tableau3[[#This Row],[SHAB y/c V]]/Tableau3[[#This Row],[SF priorisée]],"-")</f>
        <v>0.85560456877671698</v>
      </c>
      <c r="W40" s="56">
        <v>829.01886363636368</v>
      </c>
      <c r="X40" s="43" t="s">
        <v>93</v>
      </c>
      <c r="Y40" s="43" t="s">
        <v>392</v>
      </c>
      <c r="Z40" s="47">
        <v>8370000</v>
      </c>
      <c r="AA40" s="58">
        <f>IFERROR(Tableau3[[#This Row],[Prix Achat TTC]]/Tableau3[[#This Row],[SHAB y/c V]],"-")</f>
        <v>2427.7195099313158</v>
      </c>
      <c r="AB40" s="58">
        <f>IFERROR(Tableau3[[#This Row],[Prix Achat TTC]]/Tableau3[[#This Row],[SF priorisée]],"-")</f>
        <v>2077.1679044056059</v>
      </c>
      <c r="AC40" s="58">
        <f>IFERROR(Tableau3[[#This Row],[Prix Achat TTC]]/Tableau3[[#This Row],[N]],"-")</f>
        <v>190227.27272727274</v>
      </c>
      <c r="AD40" s="62">
        <v>43927</v>
      </c>
      <c r="AE40" s="62">
        <v>43993</v>
      </c>
      <c r="AF40" s="62">
        <v>43993</v>
      </c>
      <c r="AG40" s="58">
        <f>IFERROR((DATEDIF(Tableau3[[#This Row],[Demande LBU]],Tableau3[[#This Row],[Arrêté LBU]],"d"))/30,0)</f>
        <v>2.2000000000000002</v>
      </c>
      <c r="AH40" s="68">
        <v>44091</v>
      </c>
      <c r="AI40" s="68">
        <v>44123</v>
      </c>
      <c r="AJ40" s="73">
        <f>IFERROR((DATEDIF(Tableau3[[#This Row],[Dde édition prêt]],Tableau3[[#This Row],[Contrat de prêt]],"d"))/30,"-")</f>
        <v>1.0666666666666667</v>
      </c>
      <c r="AK40" s="68">
        <f>EOMONTH(Tableau3[[#This Row],[Contrat de prêt]],0)+1</f>
        <v>44136</v>
      </c>
      <c r="AL40" s="68"/>
      <c r="AM40" s="68">
        <f>[1]!Données[[#This Row],[Limite validité Ct prêt - Prise d''effet du contrat (1e j du mois suivant la signature)]]</f>
        <v>42614</v>
      </c>
      <c r="AN4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43709</v>
      </c>
      <c r="AO40" s="79">
        <f>136172+9969+136366+16751</f>
        <v>299258</v>
      </c>
      <c r="AP40" s="2" t="str">
        <f>IF(Tableau3[[#This Row],[Montant des loyers perçus avant 1e échéance]]&lt;Tableau3[[#This Row],[Montant échéance annuelle]],"oui","non")</f>
        <v>oui</v>
      </c>
      <c r="AS40" s="79">
        <f>Tableau3[[#This Row],[Mois de loyers avant 1e échéance]]-Tableau3[[#This Row],[Montant échéance annuelle]]</f>
        <v>-299258</v>
      </c>
      <c r="AU40" s="83">
        <v>44179</v>
      </c>
      <c r="AV40" s="94">
        <v>2020</v>
      </c>
      <c r="AW40" s="56">
        <f>IFERROR((DATEDIF(Tableau3[[#This Row],[Arrêté LBU]],Tableau3[[#This Row],[OS démarrage]],"d"))/30,0)</f>
        <v>6.2</v>
      </c>
      <c r="AX40" s="102">
        <v>19</v>
      </c>
      <c r="AY40" s="112"/>
      <c r="AZ40" s="84">
        <v>44313</v>
      </c>
      <c r="BA40" s="116">
        <f>DATE(YEAR(Tableau3[[#This Row],[OS démarrage]]),MONTH(Tableau3[[#This Row],[OS démarrage]])+Tableau3[[#This Row],[Délai chantier initial]],DAY(Tableau3[[#This Row],[OS démarrage]]))</f>
        <v>44756</v>
      </c>
      <c r="BB40" s="118">
        <v>44850</v>
      </c>
      <c r="BC40" s="121">
        <f>(Tableau3[[#This Row],[Date réception entreprise recalée]]-Tableau3[[#This Row],[Date réception entreprise prévue initialement]])/30</f>
        <v>3.1333333333333333</v>
      </c>
      <c r="BD40" s="124">
        <v>44881</v>
      </c>
      <c r="BE40" s="124">
        <v>44911</v>
      </c>
      <c r="BF40" s="124">
        <v>44911</v>
      </c>
      <c r="BG40" s="124">
        <v>44880</v>
      </c>
      <c r="BH40" s="137">
        <f>IFERROR((Tableau3[[#This Row],[Date Livraison VEFA estimée avec retards constatés]]-Tableau3[[#This Row],[Date livraison contractuelle y/c avenant]])/30,"-")</f>
        <v>-1.0333333333333334</v>
      </c>
      <c r="BI40" s="138">
        <f>Tableau3[[#This Row],[Date Livraison VEFA estimée avec retards constatés]]-Tableau3[[#This Row],[Date livraison contractuelle y/c avenant]]</f>
        <v>-31</v>
      </c>
      <c r="BJ40" s="140">
        <f>IF(Tableau3[[#This Row],[TYPE]]="Rehab","",DATE(YEAR(Tableau3[[#This Row],[Achèvement fondations]])+2,MONTH(Tableau3[[#This Row],[Achèvement fondations]]),DAY(Tableau3[[#This Row],[Achèvement fondations]])))</f>
        <v>45043</v>
      </c>
    </row>
    <row r="41" spans="1:62" x14ac:dyDescent="0.3">
      <c r="A41" s="3" t="s">
        <v>185</v>
      </c>
      <c r="B41" s="4" t="s">
        <v>55</v>
      </c>
      <c r="C41" s="4" t="s">
        <v>12</v>
      </c>
      <c r="D41" s="4">
        <v>2020</v>
      </c>
      <c r="E41" s="4" t="s">
        <v>186</v>
      </c>
      <c r="F41" s="4" t="s">
        <v>27</v>
      </c>
      <c r="G41" s="4" t="s">
        <v>42</v>
      </c>
      <c r="H41" s="4" t="s">
        <v>13</v>
      </c>
      <c r="I41" s="6" t="s">
        <v>48</v>
      </c>
      <c r="J41" s="4" t="s">
        <v>187</v>
      </c>
      <c r="K41" s="4" t="s">
        <v>80</v>
      </c>
      <c r="L41" s="24">
        <f>Tableau3[[#This Row],[LLS]]+Tableau3[[#This Row],[LLTS]]+Tableau3[[#This Row],[PLS]]+Tableau3[[#This Row],[REHAB]]</f>
        <v>30</v>
      </c>
      <c r="M41" s="23">
        <f>IFERROR(Tableau3[[#This Row],[LLS]]+Tableau3[[#This Row],[LLTS]]+Tableau3[[#This Row],[PLS]],"-")</f>
        <v>30</v>
      </c>
      <c r="N41" s="4">
        <v>30</v>
      </c>
      <c r="O41" s="25"/>
      <c r="P41" s="25"/>
      <c r="Q41" s="25"/>
      <c r="R41" s="32">
        <v>2086.91</v>
      </c>
      <c r="S41" s="27">
        <v>2470.27</v>
      </c>
      <c r="T41" s="56">
        <f>Tableau3[[#This Row],[SHAB y/c V]]/Tableau3[[#This Row],[N]]</f>
        <v>69.563666666666663</v>
      </c>
      <c r="U41" s="56">
        <f>Tableau3[[#This Row],[SF priorisée]]/Tableau3[[#This Row],[N]]</f>
        <v>82.342333333333329</v>
      </c>
      <c r="V41" s="57">
        <f>IFERROR(Tableau3[[#This Row],[SHAB y/c V]]/Tableau3[[#This Row],[SF priorisée]],"-")</f>
        <v>0.84481048630311661</v>
      </c>
      <c r="W41" s="56"/>
      <c r="X41" s="43" t="s">
        <v>93</v>
      </c>
      <c r="Y41" s="43" t="s">
        <v>392</v>
      </c>
      <c r="Z41" s="47">
        <v>5000788.6536800005</v>
      </c>
      <c r="AA41" s="58">
        <f>IFERROR(Tableau3[[#This Row],[Prix Achat TTC]]/Tableau3[[#This Row],[SHAB y/c V]],"-")</f>
        <v>2396.2646466210813</v>
      </c>
      <c r="AB41" s="58">
        <f>IFERROR(Tableau3[[#This Row],[Prix Achat TTC]]/Tableau3[[#This Row],[SF priorisée]],"-")</f>
        <v>2024.3895014229215</v>
      </c>
      <c r="AC41" s="58">
        <f>IFERROR(Tableau3[[#This Row],[Prix Achat TTC]]/Tableau3[[#This Row],[N]],"-")</f>
        <v>166692.9551226667</v>
      </c>
      <c r="AD41" s="62">
        <v>43889</v>
      </c>
      <c r="AE41" s="62">
        <v>44027</v>
      </c>
      <c r="AF41" s="62">
        <v>44036</v>
      </c>
      <c r="AG41" s="58">
        <f>IFERROR((DATEDIF(Tableau3[[#This Row],[Demande LBU]],Tableau3[[#This Row],[Arrêté LBU]],"d"))/30,0)</f>
        <v>4.5999999999999996</v>
      </c>
      <c r="AH41" s="68">
        <v>44193</v>
      </c>
      <c r="AI41" s="68">
        <v>44229</v>
      </c>
      <c r="AJ41" s="73">
        <f>IFERROR((DATEDIF(Tableau3[[#This Row],[Dde édition prêt]],Tableau3[[#This Row],[Contrat de prêt]],"d"))/30,"-")</f>
        <v>1.2</v>
      </c>
      <c r="AK41" s="68">
        <f>EOMONTH(Tableau3[[#This Row],[Contrat de prêt]],0)+1</f>
        <v>44256</v>
      </c>
      <c r="AL41" s="68">
        <v>44253</v>
      </c>
      <c r="AM41" s="68">
        <v>44256</v>
      </c>
      <c r="AN4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45352</v>
      </c>
      <c r="AO41" s="79">
        <v>173379.25</v>
      </c>
      <c r="AP41" s="2" t="str">
        <f>IF(Tableau3[[#This Row],[Montant des loyers perçus avant 1e échéance]]&lt;Tableau3[[#This Row],[Montant échéance annuelle]],"oui","non")</f>
        <v>oui</v>
      </c>
      <c r="AS41" s="79">
        <f>Tableau3[[#This Row],[Mois de loyers avant 1e échéance]]-Tableau3[[#This Row],[Montant échéance annuelle]]</f>
        <v>-173379.25</v>
      </c>
      <c r="AU41" s="83">
        <v>44256</v>
      </c>
      <c r="AV41" s="94">
        <v>2021</v>
      </c>
      <c r="AW41" s="56">
        <f>IFERROR((DATEDIF(Tableau3[[#This Row],[Arrêté LBU]],Tableau3[[#This Row],[OS démarrage]],"d"))/30,0)</f>
        <v>7.6333333333333337</v>
      </c>
      <c r="AX41" s="102">
        <v>18</v>
      </c>
      <c r="AY41" s="112"/>
      <c r="AZ41" s="84">
        <v>44459</v>
      </c>
      <c r="BA41" s="116">
        <f>DATE(YEAR(Tableau3[[#This Row],[OS démarrage]]),MONTH(Tableau3[[#This Row],[OS démarrage]])+Tableau3[[#This Row],[Délai chantier initial]],DAY(Tableau3[[#This Row],[OS démarrage]]))</f>
        <v>44805</v>
      </c>
      <c r="BB41" s="118">
        <v>45019</v>
      </c>
      <c r="BC41" s="121">
        <f>(Tableau3[[#This Row],[Date réception entreprise recalée]]-Tableau3[[#This Row],[Date réception entreprise prévue initialement]])/30</f>
        <v>7.1333333333333337</v>
      </c>
      <c r="BD41" s="124">
        <v>44834</v>
      </c>
      <c r="BE41" s="124">
        <v>44925</v>
      </c>
      <c r="BF41" s="124">
        <v>45019</v>
      </c>
      <c r="BG41" s="124">
        <v>45076</v>
      </c>
      <c r="BH41" s="137">
        <f>IFERROR((Tableau3[[#This Row],[Date Livraison VEFA estimée avec retards constatés]]-Tableau3[[#This Row],[Date livraison contractuelle y/c avenant]])/30,"-")</f>
        <v>1.9</v>
      </c>
      <c r="BI41" s="138">
        <f>Tableau3[[#This Row],[Date Livraison VEFA estimée avec retards constatés]]-Tableau3[[#This Row],[Date livraison contractuelle y/c avenant]]</f>
        <v>57</v>
      </c>
      <c r="BJ41" s="140">
        <f>IF(Tableau3[[#This Row],[TYPE]]="Rehab","",DATE(YEAR(Tableau3[[#This Row],[Achèvement fondations]])+2,MONTH(Tableau3[[#This Row],[Achèvement fondations]]),DAY(Tableau3[[#This Row],[Achèvement fondations]])))</f>
        <v>45189</v>
      </c>
    </row>
    <row r="42" spans="1:62" x14ac:dyDescent="0.3">
      <c r="A42" s="14" t="s">
        <v>188</v>
      </c>
      <c r="B42" s="4" t="s">
        <v>20</v>
      </c>
      <c r="C42" s="4" t="s">
        <v>12</v>
      </c>
      <c r="D42" s="4">
        <v>2020</v>
      </c>
      <c r="E42" s="4"/>
      <c r="F42" s="4" t="s">
        <v>17</v>
      </c>
      <c r="G42" s="4"/>
      <c r="H42" s="8" t="s">
        <v>35</v>
      </c>
      <c r="I42" s="6" t="s">
        <v>48</v>
      </c>
      <c r="J42" s="4" t="s">
        <v>189</v>
      </c>
      <c r="K42" s="4" t="s">
        <v>389</v>
      </c>
      <c r="L42" s="24">
        <f>Tableau3[[#This Row],[LLS]]+Tableau3[[#This Row],[LLTS]]+Tableau3[[#This Row],[PLS]]+Tableau3[[#This Row],[REHAB]]</f>
        <v>16</v>
      </c>
      <c r="M42" s="23">
        <f>IFERROR(Tableau3[[#This Row],[LLS]]+Tableau3[[#This Row],[LLTS]]+Tableau3[[#This Row],[PLS]],"-")</f>
        <v>0</v>
      </c>
      <c r="N42" s="25"/>
      <c r="O42" s="25"/>
      <c r="P42" s="25"/>
      <c r="Q42" s="4">
        <v>16</v>
      </c>
      <c r="R42" s="30"/>
      <c r="S42" s="31"/>
      <c r="T42" s="56">
        <f>Tableau3[[#This Row],[SHAB y/c V]]/Tableau3[[#This Row],[N]]</f>
        <v>0</v>
      </c>
      <c r="U42" s="56">
        <f>Tableau3[[#This Row],[SF priorisée]]/Tableau3[[#This Row],[N]]</f>
        <v>0</v>
      </c>
      <c r="V42" s="57" t="str">
        <f>IFERROR(Tableau3[[#This Row],[SHAB y/c V]]/Tableau3[[#This Row],[SF priorisée]],"-")</f>
        <v>-</v>
      </c>
      <c r="W42" s="56"/>
      <c r="X42" s="44"/>
      <c r="Y42" s="43"/>
      <c r="Z42" s="48"/>
      <c r="AA42" s="58" t="str">
        <f>IFERROR(Tableau3[[#This Row],[Prix Achat TTC]]/Tableau3[[#This Row],[SHAB y/c V]],"-")</f>
        <v>-</v>
      </c>
      <c r="AB42" s="58" t="str">
        <f>IFERROR(Tableau3[[#This Row],[Prix Achat TTC]]/Tableau3[[#This Row],[SF priorisée]],"-")</f>
        <v>-</v>
      </c>
      <c r="AC42" s="58">
        <f>IFERROR(Tableau3[[#This Row],[Prix Achat TTC]]/Tableau3[[#This Row],[N]],"-")</f>
        <v>0</v>
      </c>
      <c r="AD42" s="62">
        <v>43979</v>
      </c>
      <c r="AE42" s="62">
        <v>44071</v>
      </c>
      <c r="AF42" s="62">
        <v>44077</v>
      </c>
      <c r="AG42" s="58">
        <f>IFERROR((DATEDIF(Tableau3[[#This Row],[Demande LBU]],Tableau3[[#This Row],[Arrêté LBU]],"d"))/30,0)</f>
        <v>3.0666666666666669</v>
      </c>
      <c r="AH42" s="68">
        <v>44467</v>
      </c>
      <c r="AI42" s="68">
        <v>44557</v>
      </c>
      <c r="AJ42" s="73">
        <f>IFERROR((DATEDIF(Tableau3[[#This Row],[Dde édition prêt]],Tableau3[[#This Row],[Contrat de prêt]],"d"))/30,"-")</f>
        <v>3</v>
      </c>
      <c r="AK42" s="68">
        <f>EOMONTH(Tableau3[[#This Row],[Contrat de prêt]],0)+1</f>
        <v>44562</v>
      </c>
      <c r="AL42" s="68">
        <v>44557</v>
      </c>
      <c r="AM42" s="68"/>
      <c r="AN4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42" s="79"/>
      <c r="AP42" s="2" t="str">
        <f>IF(Tableau3[[#This Row],[Montant des loyers perçus avant 1e échéance]]&lt;Tableau3[[#This Row],[Montant échéance annuelle]],"oui","non")</f>
        <v>non</v>
      </c>
      <c r="AS42" s="79">
        <f>Tableau3[[#This Row],[Mois de loyers avant 1e échéance]]-Tableau3[[#This Row],[Montant échéance annuelle]]</f>
        <v>0</v>
      </c>
      <c r="AU42" s="83">
        <v>44636</v>
      </c>
      <c r="AV42" s="94">
        <v>2022</v>
      </c>
      <c r="AW42" s="56">
        <f>IFERROR((DATEDIF(Tableau3[[#This Row],[Arrêté LBU]],Tableau3[[#This Row],[OS démarrage]],"d"))/30,0)</f>
        <v>18.833333333333332</v>
      </c>
      <c r="AX42" s="102">
        <v>12</v>
      </c>
      <c r="AY42" s="112"/>
      <c r="AZ42" s="84"/>
      <c r="BA42" s="116">
        <f>DATE(YEAR(Tableau3[[#This Row],[OS démarrage]]),MONTH(Tableau3[[#This Row],[OS démarrage]])+Tableau3[[#This Row],[Délai chantier initial]],DAY(Tableau3[[#This Row],[OS démarrage]]))</f>
        <v>45001</v>
      </c>
      <c r="BB42" s="118">
        <v>45040</v>
      </c>
      <c r="BC42" s="121">
        <f>(Tableau3[[#This Row],[Date réception entreprise recalée]]-Tableau3[[#This Row],[Date réception entreprise prévue initialement]])/30</f>
        <v>1.3</v>
      </c>
      <c r="BD42" s="126"/>
      <c r="BE42" s="124"/>
      <c r="BF42" s="124"/>
      <c r="BG42" s="124"/>
      <c r="BH42" s="137">
        <f>IFERROR((Tableau3[[#This Row],[Date Livraison VEFA estimée avec retards constatés]]-Tableau3[[#This Row],[Date livraison contractuelle y/c avenant]])/30,"-")</f>
        <v>0</v>
      </c>
      <c r="BI42" s="138">
        <f>Tableau3[[#This Row],[Date Livraison VEFA estimée avec retards constatés]]-Tableau3[[#This Row],[Date livraison contractuelle y/c avenant]]</f>
        <v>0</v>
      </c>
      <c r="BJ42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43" spans="1:62" x14ac:dyDescent="0.3">
      <c r="A43" s="14" t="s">
        <v>190</v>
      </c>
      <c r="B43" s="4" t="s">
        <v>41</v>
      </c>
      <c r="C43" s="4" t="s">
        <v>12</v>
      </c>
      <c r="D43" s="4">
        <v>2020</v>
      </c>
      <c r="E43" s="4"/>
      <c r="F43" s="4" t="s">
        <v>38</v>
      </c>
      <c r="G43" s="4"/>
      <c r="H43" s="4" t="s">
        <v>28</v>
      </c>
      <c r="I43" s="6" t="s">
        <v>48</v>
      </c>
      <c r="J43" s="4"/>
      <c r="K43" s="4" t="s">
        <v>389</v>
      </c>
      <c r="L43" s="24">
        <f>Tableau3[[#This Row],[LLS]]+Tableau3[[#This Row],[LLTS]]+Tableau3[[#This Row],[PLS]]+Tableau3[[#This Row],[REHAB]]</f>
        <v>18</v>
      </c>
      <c r="M43" s="23">
        <f>IFERROR(Tableau3[[#This Row],[LLS]]+Tableau3[[#This Row],[LLTS]]+Tableau3[[#This Row],[PLS]],"-")</f>
        <v>0</v>
      </c>
      <c r="N43" s="25"/>
      <c r="O43" s="25"/>
      <c r="P43" s="25"/>
      <c r="Q43" s="29">
        <v>18</v>
      </c>
      <c r="R43" s="30"/>
      <c r="S43" s="31"/>
      <c r="T43" s="56">
        <f>Tableau3[[#This Row],[SHAB y/c V]]/Tableau3[[#This Row],[N]]</f>
        <v>0</v>
      </c>
      <c r="U43" s="56">
        <f>Tableau3[[#This Row],[SF priorisée]]/Tableau3[[#This Row],[N]]</f>
        <v>0</v>
      </c>
      <c r="V43" s="57" t="str">
        <f>IFERROR(Tableau3[[#This Row],[SHAB y/c V]]/Tableau3[[#This Row],[SF priorisée]],"-")</f>
        <v>-</v>
      </c>
      <c r="W43" s="56"/>
      <c r="X43" s="44"/>
      <c r="Y43" s="43" t="s">
        <v>392</v>
      </c>
      <c r="Z43" s="48"/>
      <c r="AA43" s="58" t="str">
        <f>IFERROR(Tableau3[[#This Row],[Prix Achat TTC]]/Tableau3[[#This Row],[SHAB y/c V]],"-")</f>
        <v>-</v>
      </c>
      <c r="AB43" s="58" t="str">
        <f>IFERROR(Tableau3[[#This Row],[Prix Achat TTC]]/Tableau3[[#This Row],[SF priorisée]],"-")</f>
        <v>-</v>
      </c>
      <c r="AC43" s="58">
        <f>IFERROR(Tableau3[[#This Row],[Prix Achat TTC]]/Tableau3[[#This Row],[N]],"-")</f>
        <v>0</v>
      </c>
      <c r="AD43" s="62">
        <v>43979</v>
      </c>
      <c r="AE43" s="62">
        <v>44071</v>
      </c>
      <c r="AF43" s="62">
        <v>44077</v>
      </c>
      <c r="AG43" s="58">
        <f>IFERROR((DATEDIF(Tableau3[[#This Row],[Demande LBU]],Tableau3[[#This Row],[Arrêté LBU]],"d"))/30,0)</f>
        <v>3.0666666666666669</v>
      </c>
      <c r="AH43" s="68">
        <v>44467</v>
      </c>
      <c r="AI43" s="68">
        <v>44557</v>
      </c>
      <c r="AJ43" s="73">
        <f>IFERROR((DATEDIF(Tableau3[[#This Row],[Dde édition prêt]],Tableau3[[#This Row],[Contrat de prêt]],"d"))/30,"-")</f>
        <v>3</v>
      </c>
      <c r="AK43" s="68">
        <f>EOMONTH(Tableau3[[#This Row],[Contrat de prêt]],0)+1</f>
        <v>44562</v>
      </c>
      <c r="AL43" s="68">
        <v>44557</v>
      </c>
      <c r="AM43" s="68">
        <v>44562</v>
      </c>
      <c r="AN4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45658</v>
      </c>
      <c r="AO43" s="79"/>
      <c r="AP43" s="2" t="str">
        <f>IF(Tableau3[[#This Row],[Montant des loyers perçus avant 1e échéance]]&lt;Tableau3[[#This Row],[Montant échéance annuelle]],"oui","non")</f>
        <v>non</v>
      </c>
      <c r="AS43" s="79">
        <f>Tableau3[[#This Row],[Mois de loyers avant 1e échéance]]-Tableau3[[#This Row],[Montant échéance annuelle]]</f>
        <v>0</v>
      </c>
      <c r="AU43" s="83">
        <v>44677</v>
      </c>
      <c r="AV43" s="94">
        <v>2022</v>
      </c>
      <c r="AW43" s="56">
        <f>IFERROR((DATEDIF(Tableau3[[#This Row],[Arrêté LBU]],Tableau3[[#This Row],[OS démarrage]],"d"))/30,0)</f>
        <v>20.2</v>
      </c>
      <c r="AX43" s="102">
        <v>12</v>
      </c>
      <c r="AY43" s="112"/>
      <c r="AZ43" s="110"/>
      <c r="BA43" s="116">
        <f>DATE(YEAR(Tableau3[[#This Row],[OS démarrage]]),MONTH(Tableau3[[#This Row],[OS démarrage]])+Tableau3[[#This Row],[Délai chantier initial]],DAY(Tableau3[[#This Row],[OS démarrage]]))</f>
        <v>45042</v>
      </c>
      <c r="BB43" s="118">
        <v>45072</v>
      </c>
      <c r="BC43" s="121">
        <f>(Tableau3[[#This Row],[Date réception entreprise recalée]]-Tableau3[[#This Row],[Date réception entreprise prévue initialement]])/30</f>
        <v>1</v>
      </c>
      <c r="BD43" s="126"/>
      <c r="BE43" s="124"/>
      <c r="BF43" s="124"/>
      <c r="BG43" s="124"/>
      <c r="BH43" s="137">
        <f>IFERROR((Tableau3[[#This Row],[Date Livraison VEFA estimée avec retards constatés]]-Tableau3[[#This Row],[Date livraison contractuelle y/c avenant]])/30,"-")</f>
        <v>0</v>
      </c>
      <c r="BI43" s="138">
        <f>Tableau3[[#This Row],[Date Livraison VEFA estimée avec retards constatés]]-Tableau3[[#This Row],[Date livraison contractuelle y/c avenant]]</f>
        <v>0</v>
      </c>
      <c r="BJ4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44" spans="1:62" x14ac:dyDescent="0.3">
      <c r="A44" s="15" t="s">
        <v>191</v>
      </c>
      <c r="B44" s="4" t="s">
        <v>20</v>
      </c>
      <c r="C44" s="4" t="s">
        <v>12</v>
      </c>
      <c r="D44" s="4">
        <v>2020</v>
      </c>
      <c r="E44" s="4" t="s">
        <v>192</v>
      </c>
      <c r="F44" s="5"/>
      <c r="G44" s="5"/>
      <c r="H44" s="5"/>
      <c r="I44" s="17"/>
      <c r="J44" s="4"/>
      <c r="K44" s="4" t="s">
        <v>80</v>
      </c>
      <c r="L44" s="24">
        <f>Tableau3[[#This Row],[LLS]]+Tableau3[[#This Row],[LLTS]]+Tableau3[[#This Row],[PLS]]+Tableau3[[#This Row],[REHAB]]</f>
        <v>10</v>
      </c>
      <c r="M44" s="23">
        <f>IFERROR(Tableau3[[#This Row],[LLS]]+Tableau3[[#This Row],[LLTS]]+Tableau3[[#This Row],[PLS]],"-")</f>
        <v>10</v>
      </c>
      <c r="N44" s="8">
        <v>10</v>
      </c>
      <c r="O44" s="28"/>
      <c r="P44" s="25"/>
      <c r="Q44" s="25"/>
      <c r="R44" s="26">
        <v>737.57</v>
      </c>
      <c r="S44" s="27">
        <v>857.75</v>
      </c>
      <c r="T44" s="56">
        <f>Tableau3[[#This Row],[SHAB y/c V]]/Tableau3[[#This Row],[N]]</f>
        <v>73.757000000000005</v>
      </c>
      <c r="U44" s="56">
        <f>Tableau3[[#This Row],[SF priorisée]]/Tableau3[[#This Row],[N]]</f>
        <v>85.775000000000006</v>
      </c>
      <c r="V44" s="57">
        <f>IFERROR(Tableau3[[#This Row],[SHAB y/c V]]/Tableau3[[#This Row],[SF priorisée]],"-")</f>
        <v>0.85988924511804143</v>
      </c>
      <c r="W44" s="56"/>
      <c r="X44" s="43" t="s">
        <v>390</v>
      </c>
      <c r="Y44" s="43" t="s">
        <v>392</v>
      </c>
      <c r="Z44" s="5"/>
      <c r="AA44" s="58">
        <f>IFERROR(Tableau3[[#This Row],[Prix Achat TTC]]/Tableau3[[#This Row],[SHAB y/c V]],"-")</f>
        <v>0</v>
      </c>
      <c r="AB44" s="58">
        <f>IFERROR(Tableau3[[#This Row],[Prix Achat TTC]]/Tableau3[[#This Row],[SF priorisée]],"-")</f>
        <v>0</v>
      </c>
      <c r="AC44" s="58">
        <f>IFERROR(Tableau3[[#This Row],[Prix Achat TTC]]/Tableau3[[#This Row],[N]],"-")</f>
        <v>0</v>
      </c>
      <c r="AD44" s="62">
        <v>44134</v>
      </c>
      <c r="AE44" s="62">
        <v>44175</v>
      </c>
      <c r="AF44" s="62"/>
      <c r="AG44" s="58">
        <f>IFERROR((DATEDIF(Tableau3[[#This Row],[Demande LBU]],Tableau3[[#This Row],[Arrêté LBU]],"d"))/30,0)</f>
        <v>1.3666666666666667</v>
      </c>
      <c r="AH44" s="68">
        <v>44182</v>
      </c>
      <c r="AI44" s="68">
        <v>44229</v>
      </c>
      <c r="AJ44" s="73">
        <f>IFERROR((DATEDIF(Tableau3[[#This Row],[Dde édition prêt]],Tableau3[[#This Row],[Contrat de prêt]],"d"))/30,"-")</f>
        <v>1.5666666666666667</v>
      </c>
      <c r="AK44" s="68">
        <f>EOMONTH(Tableau3[[#This Row],[Contrat de prêt]],0)+1</f>
        <v>44256</v>
      </c>
      <c r="AL44" s="68">
        <v>44273</v>
      </c>
      <c r="AM44" s="68"/>
      <c r="AN4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44" s="79"/>
      <c r="AP44" s="2" t="str">
        <f>IF(Tableau3[[#This Row],[Montant des loyers perçus avant 1e échéance]]&lt;Tableau3[[#This Row],[Montant échéance annuelle]],"oui","non")</f>
        <v>non</v>
      </c>
      <c r="AS44" s="79">
        <f>Tableau3[[#This Row],[Mois de loyers avant 1e échéance]]-Tableau3[[#This Row],[Montant échéance annuelle]]</f>
        <v>0</v>
      </c>
      <c r="AU44" s="83">
        <v>44301</v>
      </c>
      <c r="AV44" s="94">
        <v>2021</v>
      </c>
      <c r="AW44" s="56">
        <f>IFERROR((DATEDIF(Tableau3[[#This Row],[Arrêté LBU]],Tableau3[[#This Row],[OS démarrage]],"d"))/30,0)</f>
        <v>4.2</v>
      </c>
      <c r="AX44" s="102">
        <v>18</v>
      </c>
      <c r="AY44" s="112"/>
      <c r="AZ44" s="84">
        <v>44474</v>
      </c>
      <c r="BA44" s="116">
        <f>DATE(YEAR(Tableau3[[#This Row],[OS démarrage]]),MONTH(Tableau3[[#This Row],[OS démarrage]])+Tableau3[[#This Row],[Délai chantier initial]],DAY(Tableau3[[#This Row],[OS démarrage]]))</f>
        <v>44849</v>
      </c>
      <c r="BB44" s="118">
        <v>45083</v>
      </c>
      <c r="BC44" s="121">
        <f>(Tableau3[[#This Row],[Date réception entreprise recalée]]-Tableau3[[#This Row],[Date réception entreprise prévue initialement]])/30</f>
        <v>7.8</v>
      </c>
      <c r="BD44" s="126"/>
      <c r="BE44" s="124"/>
      <c r="BF44" s="124"/>
      <c r="BG44" s="124"/>
      <c r="BH44" s="137">
        <f>IFERROR((Tableau3[[#This Row],[Date Livraison VEFA estimée avec retards constatés]]-Tableau3[[#This Row],[Date livraison contractuelle y/c avenant]])/30,"-")</f>
        <v>0</v>
      </c>
      <c r="BI44" s="138">
        <f>Tableau3[[#This Row],[Date Livraison VEFA estimée avec retards constatés]]-Tableau3[[#This Row],[Date livraison contractuelle y/c avenant]]</f>
        <v>0</v>
      </c>
      <c r="BJ44" s="140">
        <f>IF(Tableau3[[#This Row],[TYPE]]="Rehab","",DATE(YEAR(Tableau3[[#This Row],[Achèvement fondations]])+2,MONTH(Tableau3[[#This Row],[Achèvement fondations]]),DAY(Tableau3[[#This Row],[Achèvement fondations]])))</f>
        <v>45204</v>
      </c>
    </row>
    <row r="45" spans="1:62" x14ac:dyDescent="0.3">
      <c r="A45" s="15" t="s">
        <v>193</v>
      </c>
      <c r="B45" s="4" t="s">
        <v>20</v>
      </c>
      <c r="C45" s="4" t="s">
        <v>12</v>
      </c>
      <c r="D45" s="4">
        <v>2020</v>
      </c>
      <c r="E45" s="4" t="s">
        <v>192</v>
      </c>
      <c r="F45" s="7" t="s">
        <v>22</v>
      </c>
      <c r="G45" s="7" t="s">
        <v>42</v>
      </c>
      <c r="H45" s="7" t="s">
        <v>35</v>
      </c>
      <c r="I45" s="6" t="s">
        <v>48</v>
      </c>
      <c r="J45" s="4" t="s">
        <v>194</v>
      </c>
      <c r="K45" s="4" t="s">
        <v>81</v>
      </c>
      <c r="L45" s="24">
        <f>Tableau3[[#This Row],[LLS]]+Tableau3[[#This Row],[LLTS]]+Tableau3[[#This Row],[PLS]]+Tableau3[[#This Row],[REHAB]]</f>
        <v>8</v>
      </c>
      <c r="M45" s="23">
        <f>IFERROR(Tableau3[[#This Row],[LLS]]+Tableau3[[#This Row],[LLTS]]+Tableau3[[#This Row],[PLS]],"-")</f>
        <v>8</v>
      </c>
      <c r="N45" s="25"/>
      <c r="O45" s="4">
        <v>8</v>
      </c>
      <c r="P45" s="25"/>
      <c r="Q45" s="25"/>
      <c r="R45" s="26">
        <v>419.99</v>
      </c>
      <c r="S45" s="27">
        <v>517.59</v>
      </c>
      <c r="T45" s="56">
        <f>Tableau3[[#This Row],[SHAB y/c V]]/Tableau3[[#This Row],[N]]</f>
        <v>52.498750000000001</v>
      </c>
      <c r="U45" s="56">
        <f>Tableau3[[#This Row],[SF priorisée]]/Tableau3[[#This Row],[N]]</f>
        <v>64.698750000000004</v>
      </c>
      <c r="V45" s="57">
        <f>IFERROR(Tableau3[[#This Row],[SHAB y/c V]]/Tableau3[[#This Row],[SF priorisée]],"-")</f>
        <v>0.81143376031221615</v>
      </c>
      <c r="W45" s="56">
        <v>418.66</v>
      </c>
      <c r="X45" s="43" t="s">
        <v>390</v>
      </c>
      <c r="Y45" s="43" t="s">
        <v>392</v>
      </c>
      <c r="Z45" s="5"/>
      <c r="AA45" s="58">
        <f>IFERROR(Tableau3[[#This Row],[Prix Achat TTC]]/Tableau3[[#This Row],[SHAB y/c V]],"-")</f>
        <v>0</v>
      </c>
      <c r="AB45" s="58">
        <f>IFERROR(Tableau3[[#This Row],[Prix Achat TTC]]/Tableau3[[#This Row],[SF priorisée]],"-")</f>
        <v>0</v>
      </c>
      <c r="AC45" s="58">
        <f>IFERROR(Tableau3[[#This Row],[Prix Achat TTC]]/Tableau3[[#This Row],[N]],"-")</f>
        <v>0</v>
      </c>
      <c r="AD45" s="62">
        <v>44134</v>
      </c>
      <c r="AE45" s="62">
        <v>44175</v>
      </c>
      <c r="AF45" s="62"/>
      <c r="AG45" s="58">
        <f>IFERROR((DATEDIF(Tableau3[[#This Row],[Demande LBU]],Tableau3[[#This Row],[Arrêté LBU]],"d"))/30,0)</f>
        <v>1.3666666666666667</v>
      </c>
      <c r="AH45" s="68">
        <v>44182</v>
      </c>
      <c r="AI45" s="68">
        <v>44229</v>
      </c>
      <c r="AJ45" s="73">
        <f>IFERROR((DATEDIF(Tableau3[[#This Row],[Dde édition prêt]],Tableau3[[#This Row],[Contrat de prêt]],"d"))/30,"-")</f>
        <v>1.5666666666666667</v>
      </c>
      <c r="AK45" s="68">
        <f>EOMONTH(Tableau3[[#This Row],[Contrat de prêt]],0)+1</f>
        <v>44256</v>
      </c>
      <c r="AL45" s="68">
        <v>44273</v>
      </c>
      <c r="AM45" s="68"/>
      <c r="AN4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45" s="79"/>
      <c r="AP45" s="2" t="str">
        <f>IF(Tableau3[[#This Row],[Montant des loyers perçus avant 1e échéance]]&lt;Tableau3[[#This Row],[Montant échéance annuelle]],"oui","non")</f>
        <v>non</v>
      </c>
      <c r="AS45" s="79">
        <f>Tableau3[[#This Row],[Mois de loyers avant 1e échéance]]-Tableau3[[#This Row],[Montant échéance annuelle]]</f>
        <v>0</v>
      </c>
      <c r="AU45" s="83">
        <v>44301</v>
      </c>
      <c r="AV45" s="94">
        <v>2021</v>
      </c>
      <c r="AW45" s="56">
        <f>IFERROR((DATEDIF(Tableau3[[#This Row],[Arrêté LBU]],Tableau3[[#This Row],[OS démarrage]],"d"))/30,0)</f>
        <v>4.2</v>
      </c>
      <c r="AX45" s="102">
        <v>18</v>
      </c>
      <c r="AY45" s="112"/>
      <c r="AZ45" s="84">
        <v>44474</v>
      </c>
      <c r="BA45" s="116">
        <f>DATE(YEAR(Tableau3[[#This Row],[OS démarrage]]),MONTH(Tableau3[[#This Row],[OS démarrage]])+Tableau3[[#This Row],[Délai chantier initial]],DAY(Tableau3[[#This Row],[OS démarrage]]))</f>
        <v>44849</v>
      </c>
      <c r="BB45" s="118">
        <v>45083</v>
      </c>
      <c r="BC45" s="121">
        <f>(Tableau3[[#This Row],[Date réception entreprise recalée]]-Tableau3[[#This Row],[Date réception entreprise prévue initialement]])/30</f>
        <v>7.8</v>
      </c>
      <c r="BD45" s="126"/>
      <c r="BE45" s="124"/>
      <c r="BF45" s="124"/>
      <c r="BG45" s="124"/>
      <c r="BH45" s="137">
        <f>IFERROR((Tableau3[[#This Row],[Date Livraison VEFA estimée avec retards constatés]]-Tableau3[[#This Row],[Date livraison contractuelle y/c avenant]])/30,"-")</f>
        <v>0</v>
      </c>
      <c r="BI45" s="138">
        <f>Tableau3[[#This Row],[Date Livraison VEFA estimée avec retards constatés]]-Tableau3[[#This Row],[Date livraison contractuelle y/c avenant]]</f>
        <v>0</v>
      </c>
      <c r="BJ45" s="140">
        <f>IF(Tableau3[[#This Row],[TYPE]]="Rehab","",DATE(YEAR(Tableau3[[#This Row],[Achèvement fondations]])+2,MONTH(Tableau3[[#This Row],[Achèvement fondations]]),DAY(Tableau3[[#This Row],[Achèvement fondations]])))</f>
        <v>45204</v>
      </c>
    </row>
    <row r="46" spans="1:62" x14ac:dyDescent="0.3">
      <c r="A46" s="14" t="s">
        <v>195</v>
      </c>
      <c r="B46" s="4" t="s">
        <v>41</v>
      </c>
      <c r="C46" s="4" t="s">
        <v>12</v>
      </c>
      <c r="D46" s="4">
        <v>2020</v>
      </c>
      <c r="E46" s="4"/>
      <c r="F46" s="4" t="s">
        <v>17</v>
      </c>
      <c r="G46" s="4"/>
      <c r="H46" s="4" t="s">
        <v>28</v>
      </c>
      <c r="I46" s="4" t="s">
        <v>48</v>
      </c>
      <c r="J46" s="4" t="s">
        <v>196</v>
      </c>
      <c r="K46" s="4" t="s">
        <v>389</v>
      </c>
      <c r="L46" s="24">
        <f>Tableau3[[#This Row],[LLS]]+Tableau3[[#This Row],[LLTS]]+Tableau3[[#This Row],[PLS]]+Tableau3[[#This Row],[REHAB]]</f>
        <v>26</v>
      </c>
      <c r="M46" s="23">
        <f>IFERROR(Tableau3[[#This Row],[LLS]]+Tableau3[[#This Row],[LLTS]]+Tableau3[[#This Row],[PLS]],"-")</f>
        <v>0</v>
      </c>
      <c r="N46" s="25"/>
      <c r="O46" s="25"/>
      <c r="P46" s="25"/>
      <c r="Q46" s="4">
        <v>26</v>
      </c>
      <c r="R46" s="30"/>
      <c r="S46" s="31"/>
      <c r="T46" s="56">
        <f>Tableau3[[#This Row],[SHAB y/c V]]/Tableau3[[#This Row],[N]]</f>
        <v>0</v>
      </c>
      <c r="U46" s="56">
        <f>Tableau3[[#This Row],[SF priorisée]]/Tableau3[[#This Row],[N]]</f>
        <v>0</v>
      </c>
      <c r="V46" s="57" t="str">
        <f>IFERROR(Tableau3[[#This Row],[SHAB y/c V]]/Tableau3[[#This Row],[SF priorisée]],"-")</f>
        <v>-</v>
      </c>
      <c r="W46" s="56"/>
      <c r="X46" s="44"/>
      <c r="Y46" s="43" t="s">
        <v>392</v>
      </c>
      <c r="Z46" s="48"/>
      <c r="AA46" s="58" t="str">
        <f>IFERROR(Tableau3[[#This Row],[Prix Achat TTC]]/Tableau3[[#This Row],[SHAB y/c V]],"-")</f>
        <v>-</v>
      </c>
      <c r="AB46" s="58" t="str">
        <f>IFERROR(Tableau3[[#This Row],[Prix Achat TTC]]/Tableau3[[#This Row],[SF priorisée]],"-")</f>
        <v>-</v>
      </c>
      <c r="AC46" s="58">
        <f>IFERROR(Tableau3[[#This Row],[Prix Achat TTC]]/Tableau3[[#This Row],[N]],"-")</f>
        <v>0</v>
      </c>
      <c r="AD46" s="62">
        <v>43979</v>
      </c>
      <c r="AE46" s="62">
        <v>44071</v>
      </c>
      <c r="AF46" s="62">
        <v>44077</v>
      </c>
      <c r="AG46" s="58">
        <f>IFERROR((DATEDIF(Tableau3[[#This Row],[Demande LBU]],Tableau3[[#This Row],[Arrêté LBU]],"d"))/30,0)</f>
        <v>3.0666666666666669</v>
      </c>
      <c r="AH46" s="68">
        <v>44467</v>
      </c>
      <c r="AI46" s="68">
        <v>44557</v>
      </c>
      <c r="AJ46" s="73">
        <f>IFERROR((DATEDIF(Tableau3[[#This Row],[Dde édition prêt]],Tableau3[[#This Row],[Contrat de prêt]],"d"))/30,"-")</f>
        <v>3</v>
      </c>
      <c r="AK46" s="68">
        <f>EOMONTH(Tableau3[[#This Row],[Contrat de prêt]],0)+1</f>
        <v>44562</v>
      </c>
      <c r="AL46" s="68">
        <v>44557</v>
      </c>
      <c r="AM46" s="68">
        <v>44562</v>
      </c>
      <c r="AN4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45658</v>
      </c>
      <c r="AO46" s="79"/>
      <c r="AP46" s="2" t="str">
        <f>IF(Tableau3[[#This Row],[Montant des loyers perçus avant 1e échéance]]&lt;Tableau3[[#This Row],[Montant échéance annuelle]],"oui","non")</f>
        <v>non</v>
      </c>
      <c r="AS46" s="79">
        <f>Tableau3[[#This Row],[Mois de loyers avant 1e échéance]]-Tableau3[[#This Row],[Montant échéance annuelle]]</f>
        <v>0</v>
      </c>
      <c r="AU46" s="83">
        <v>44783</v>
      </c>
      <c r="AV46" s="94">
        <v>2022</v>
      </c>
      <c r="AW46" s="56">
        <f>IFERROR((DATEDIF(Tableau3[[#This Row],[Arrêté LBU]],Tableau3[[#This Row],[OS démarrage]],"d"))/30,0)</f>
        <v>23.733333333333334</v>
      </c>
      <c r="AX46" s="102">
        <v>12</v>
      </c>
      <c r="AY46" s="112"/>
      <c r="AZ46" s="110"/>
      <c r="BA46" s="116">
        <f>DATE(YEAR(Tableau3[[#This Row],[OS démarrage]]),MONTH(Tableau3[[#This Row],[OS démarrage]])+Tableau3[[#This Row],[Délai chantier initial]],DAY(Tableau3[[#This Row],[OS démarrage]]))</f>
        <v>45148</v>
      </c>
      <c r="BB46" s="118">
        <v>45179</v>
      </c>
      <c r="BC46" s="121">
        <f>(Tableau3[[#This Row],[Date réception entreprise recalée]]-Tableau3[[#This Row],[Date réception entreprise prévue initialement]])/30</f>
        <v>1.0333333333333334</v>
      </c>
      <c r="BD46" s="126"/>
      <c r="BE46" s="124"/>
      <c r="BF46" s="124"/>
      <c r="BG46" s="124"/>
      <c r="BH46" s="137">
        <f>IFERROR((Tableau3[[#This Row],[Date Livraison VEFA estimée avec retards constatés]]-Tableau3[[#This Row],[Date livraison contractuelle y/c avenant]])/30,"-")</f>
        <v>0</v>
      </c>
      <c r="BI46" s="138">
        <f>Tableau3[[#This Row],[Date Livraison VEFA estimée avec retards constatés]]-Tableau3[[#This Row],[Date livraison contractuelle y/c avenant]]</f>
        <v>0</v>
      </c>
      <c r="BJ46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47" spans="1:62" x14ac:dyDescent="0.3">
      <c r="A47" s="18" t="s">
        <v>197</v>
      </c>
      <c r="B47" s="4" t="s">
        <v>55</v>
      </c>
      <c r="C47" s="4" t="s">
        <v>12</v>
      </c>
      <c r="D47" s="4">
        <v>2020</v>
      </c>
      <c r="E47" s="4" t="s">
        <v>198</v>
      </c>
      <c r="F47" s="4" t="s">
        <v>45</v>
      </c>
      <c r="G47" s="4" t="s">
        <v>42</v>
      </c>
      <c r="H47" s="4" t="s">
        <v>23</v>
      </c>
      <c r="I47" s="6" t="s">
        <v>48</v>
      </c>
      <c r="J47" s="4" t="s">
        <v>199</v>
      </c>
      <c r="K47" s="4" t="s">
        <v>80</v>
      </c>
      <c r="L47" s="24">
        <f>Tableau3[[#This Row],[LLS]]+Tableau3[[#This Row],[LLTS]]+Tableau3[[#This Row],[PLS]]+Tableau3[[#This Row],[REHAB]]</f>
        <v>30</v>
      </c>
      <c r="M47" s="23">
        <f>IFERROR(Tableau3[[#This Row],[LLS]]+Tableau3[[#This Row],[LLTS]]+Tableau3[[#This Row],[PLS]],"-")</f>
        <v>30</v>
      </c>
      <c r="N47" s="4">
        <v>30</v>
      </c>
      <c r="O47" s="25"/>
      <c r="P47" s="25"/>
      <c r="Q47" s="25"/>
      <c r="R47" s="26">
        <v>1484.3</v>
      </c>
      <c r="S47" s="27">
        <v>1730.8</v>
      </c>
      <c r="T47" s="56">
        <f>Tableau3[[#This Row],[SHAB y/c V]]/Tableau3[[#This Row],[N]]</f>
        <v>49.476666666666667</v>
      </c>
      <c r="U47" s="56">
        <f>Tableau3[[#This Row],[SF priorisée]]/Tableau3[[#This Row],[N]]</f>
        <v>57.693333333333335</v>
      </c>
      <c r="V47" s="57">
        <f>IFERROR(Tableau3[[#This Row],[SHAB y/c V]]/Tableau3[[#This Row],[SF priorisée]],"-")</f>
        <v>0.85758030968338339</v>
      </c>
      <c r="W47" s="56"/>
      <c r="X47" s="43" t="s">
        <v>93</v>
      </c>
      <c r="Y47" s="43" t="s">
        <v>392</v>
      </c>
      <c r="Z47" s="47">
        <v>3183988.5</v>
      </c>
      <c r="AA47" s="58">
        <f>IFERROR(Tableau3[[#This Row],[Prix Achat TTC]]/Tableau3[[#This Row],[SHAB y/c V]],"-")</f>
        <v>2145.1111635114194</v>
      </c>
      <c r="AB47" s="58">
        <f>IFERROR(Tableau3[[#This Row],[Prix Achat TTC]]/Tableau3[[#This Row],[SF priorisée]],"-")</f>
        <v>1839.6050959094061</v>
      </c>
      <c r="AC47" s="58">
        <f>IFERROR(Tableau3[[#This Row],[Prix Achat TTC]]/Tableau3[[#This Row],[N]],"-")</f>
        <v>106132.95</v>
      </c>
      <c r="AD47" s="62">
        <v>43889</v>
      </c>
      <c r="AE47" s="62">
        <v>43993</v>
      </c>
      <c r="AF47" s="62">
        <v>44036</v>
      </c>
      <c r="AG47" s="58">
        <f>IFERROR((DATEDIF(Tableau3[[#This Row],[Demande LBU]],Tableau3[[#This Row],[Arrêté LBU]],"d"))/30,0)</f>
        <v>3.4666666666666668</v>
      </c>
      <c r="AH47" s="68">
        <v>44153</v>
      </c>
      <c r="AI47" s="68">
        <v>44173</v>
      </c>
      <c r="AJ47" s="73">
        <f>IFERROR((DATEDIF(Tableau3[[#This Row],[Dde édition prêt]],Tableau3[[#This Row],[Contrat de prêt]],"d"))/30,"-")</f>
        <v>0.66666666666666663</v>
      </c>
      <c r="AK47" s="68">
        <f>EOMONTH(Tableau3[[#This Row],[Contrat de prêt]],0)+1</f>
        <v>44197</v>
      </c>
      <c r="AL47" s="68">
        <v>44173</v>
      </c>
      <c r="AM47" s="68">
        <v>44197</v>
      </c>
      <c r="AN4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45292</v>
      </c>
      <c r="AO47" s="79">
        <v>116104.68</v>
      </c>
      <c r="AP47" s="2" t="str">
        <f>IF(Tableau3[[#This Row],[Montant des loyers perçus avant 1e échéance]]&lt;Tableau3[[#This Row],[Montant échéance annuelle]],"oui","non")</f>
        <v>oui</v>
      </c>
      <c r="AS47" s="79">
        <f>Tableau3[[#This Row],[Mois de loyers avant 1e échéance]]-Tableau3[[#This Row],[Montant échéance annuelle]]</f>
        <v>-116104.68</v>
      </c>
      <c r="AU47" s="83">
        <v>44186</v>
      </c>
      <c r="AV47" s="94">
        <v>2020</v>
      </c>
      <c r="AW47" s="56">
        <f>IFERROR((DATEDIF(Tableau3[[#This Row],[Arrêté LBU]],Tableau3[[#This Row],[OS démarrage]],"d"))/30,0)</f>
        <v>6.4333333333333336</v>
      </c>
      <c r="AX47" s="102">
        <v>29</v>
      </c>
      <c r="AY47" s="112"/>
      <c r="AZ47" s="84">
        <v>44540</v>
      </c>
      <c r="BA47" s="116">
        <f>DATE(YEAR(Tableau3[[#This Row],[OS démarrage]]),MONTH(Tableau3[[#This Row],[OS démarrage]])+Tableau3[[#This Row],[Délai chantier initial]],DAY(Tableau3[[#This Row],[OS démarrage]]))</f>
        <v>45067</v>
      </c>
      <c r="BB47" s="118">
        <v>45184</v>
      </c>
      <c r="BC47" s="121">
        <f>(Tableau3[[#This Row],[Date réception entreprise recalée]]-Tableau3[[#This Row],[Date réception entreprise prévue initialement]])/30</f>
        <v>3.9</v>
      </c>
      <c r="BD47" s="126">
        <v>45077</v>
      </c>
      <c r="BE47" s="124">
        <v>45077</v>
      </c>
      <c r="BF47" s="124">
        <v>45077</v>
      </c>
      <c r="BG47" s="124">
        <v>45184</v>
      </c>
      <c r="BH47" s="137">
        <f>IFERROR((Tableau3[[#This Row],[Date Livraison VEFA estimée avec retards constatés]]-Tableau3[[#This Row],[Date livraison contractuelle y/c avenant]])/30,"-")</f>
        <v>3.5666666666666669</v>
      </c>
      <c r="BI47" s="138">
        <f>Tableau3[[#This Row],[Date Livraison VEFA estimée avec retards constatés]]-Tableau3[[#This Row],[Date livraison contractuelle y/c avenant]]</f>
        <v>107</v>
      </c>
      <c r="BJ47" s="140">
        <f>IF(Tableau3[[#This Row],[TYPE]]="Rehab","",DATE(YEAR(Tableau3[[#This Row],[Achèvement fondations]])+2,MONTH(Tableau3[[#This Row],[Achèvement fondations]]),DAY(Tableau3[[#This Row],[Achèvement fondations]])))</f>
        <v>45270</v>
      </c>
    </row>
    <row r="48" spans="1:62" x14ac:dyDescent="0.3">
      <c r="A48" s="18" t="s">
        <v>200</v>
      </c>
      <c r="B48" s="4" t="s">
        <v>55</v>
      </c>
      <c r="C48" s="4" t="s">
        <v>12</v>
      </c>
      <c r="D48" s="4">
        <v>2020</v>
      </c>
      <c r="E48" s="4" t="s">
        <v>198</v>
      </c>
      <c r="F48" s="5"/>
      <c r="G48" s="5"/>
      <c r="H48" s="5"/>
      <c r="I48" s="5"/>
      <c r="J48" s="4" t="s">
        <v>199</v>
      </c>
      <c r="K48" s="4" t="s">
        <v>82</v>
      </c>
      <c r="L48" s="24">
        <f>Tableau3[[#This Row],[LLS]]+Tableau3[[#This Row],[LLTS]]+Tableau3[[#This Row],[PLS]]+Tableau3[[#This Row],[REHAB]]</f>
        <v>93</v>
      </c>
      <c r="M48" s="23">
        <f>IFERROR(Tableau3[[#This Row],[LLS]]+Tableau3[[#This Row],[LLTS]]+Tableau3[[#This Row],[PLS]],"-")</f>
        <v>93</v>
      </c>
      <c r="N48" s="25"/>
      <c r="O48" s="25"/>
      <c r="P48" s="29">
        <v>93</v>
      </c>
      <c r="Q48" s="25"/>
      <c r="R48" s="26">
        <v>6231.35</v>
      </c>
      <c r="S48" s="27">
        <v>7551.86</v>
      </c>
      <c r="T48" s="56">
        <f>Tableau3[[#This Row],[SHAB y/c V]]/Tableau3[[#This Row],[N]]</f>
        <v>67.003763440860226</v>
      </c>
      <c r="U48" s="56">
        <f>Tableau3[[#This Row],[SF priorisée]]/Tableau3[[#This Row],[N]]</f>
        <v>81.202795698924731</v>
      </c>
      <c r="V48" s="57">
        <f>IFERROR(Tableau3[[#This Row],[SHAB y/c V]]/Tableau3[[#This Row],[SF priorisée]],"-")</f>
        <v>0.82514109106895528</v>
      </c>
      <c r="W48" s="56"/>
      <c r="X48" s="43" t="s">
        <v>93</v>
      </c>
      <c r="Y48" s="43" t="s">
        <v>392</v>
      </c>
      <c r="Z48" s="47">
        <v>15566166</v>
      </c>
      <c r="AA48" s="58">
        <f>IFERROR(Tableau3[[#This Row],[Prix Achat TTC]]/Tableau3[[#This Row],[SHAB y/c V]],"-")</f>
        <v>2498.0407134890511</v>
      </c>
      <c r="AB48" s="58">
        <f>IFERROR(Tableau3[[#This Row],[Prix Achat TTC]]/Tableau3[[#This Row],[SF priorisée]],"-")</f>
        <v>2061.2360398630271</v>
      </c>
      <c r="AC48" s="58">
        <f>IFERROR(Tableau3[[#This Row],[Prix Achat TTC]]/Tableau3[[#This Row],[N]],"-")</f>
        <v>167378.12903225806</v>
      </c>
      <c r="AD48" s="62">
        <v>43889</v>
      </c>
      <c r="AE48" s="62">
        <v>43977</v>
      </c>
      <c r="AF48" s="62"/>
      <c r="AG48" s="58">
        <f>IFERROR((DATEDIF(Tableau3[[#This Row],[Demande LBU]],Tableau3[[#This Row],[Arrêté LBU]],"d"))/30,0)</f>
        <v>2.9333333333333331</v>
      </c>
      <c r="AH48" s="68">
        <v>44153</v>
      </c>
      <c r="AI48" s="68">
        <v>44170</v>
      </c>
      <c r="AJ48" s="73">
        <f>IFERROR((DATEDIF(Tableau3[[#This Row],[Dde édition prêt]],Tableau3[[#This Row],[Contrat de prêt]],"d"))/30,"-")</f>
        <v>0.56666666666666665</v>
      </c>
      <c r="AK48" s="68">
        <f>EOMONTH(Tableau3[[#This Row],[Contrat de prêt]],0)+1</f>
        <v>44197</v>
      </c>
      <c r="AL48" s="68">
        <v>44173</v>
      </c>
      <c r="AM48" s="68">
        <v>44197</v>
      </c>
      <c r="AN4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45292</v>
      </c>
      <c r="AO48" s="79">
        <v>673237.89</v>
      </c>
      <c r="AP48" s="2" t="str">
        <f>IF(Tableau3[[#This Row],[Montant des loyers perçus avant 1e échéance]]&lt;Tableau3[[#This Row],[Montant échéance annuelle]],"oui","non")</f>
        <v>oui</v>
      </c>
      <c r="AS48" s="79">
        <f>Tableau3[[#This Row],[Mois de loyers avant 1e échéance]]-Tableau3[[#This Row],[Montant échéance annuelle]]</f>
        <v>-673237.89</v>
      </c>
      <c r="AU48" s="83">
        <v>44186</v>
      </c>
      <c r="AV48" s="94">
        <v>2020</v>
      </c>
      <c r="AW48" s="56">
        <f>IFERROR((DATEDIF(Tableau3[[#This Row],[Arrêté LBU]],Tableau3[[#This Row],[OS démarrage]],"d"))/30,0)</f>
        <v>6.9666666666666668</v>
      </c>
      <c r="AX48" s="102">
        <v>29</v>
      </c>
      <c r="AY48" s="112"/>
      <c r="AZ48" s="84">
        <v>44540</v>
      </c>
      <c r="BA48" s="116">
        <f>DATE(YEAR(Tableau3[[#This Row],[OS démarrage]]),MONTH(Tableau3[[#This Row],[OS démarrage]])+Tableau3[[#This Row],[Délai chantier initial]],DAY(Tableau3[[#This Row],[OS démarrage]]))</f>
        <v>45067</v>
      </c>
      <c r="BB48" s="118">
        <v>45184</v>
      </c>
      <c r="BC48" s="121">
        <f>(Tableau3[[#This Row],[Date réception entreprise recalée]]-Tableau3[[#This Row],[Date réception entreprise prévue initialement]])/30</f>
        <v>3.9</v>
      </c>
      <c r="BD48" s="126">
        <v>45077</v>
      </c>
      <c r="BE48" s="124">
        <v>45077</v>
      </c>
      <c r="BF48" s="124">
        <v>45077</v>
      </c>
      <c r="BG48" s="124">
        <v>45184</v>
      </c>
      <c r="BH48" s="137">
        <f>IFERROR((Tableau3[[#This Row],[Date Livraison VEFA estimée avec retards constatés]]-Tableau3[[#This Row],[Date livraison contractuelle y/c avenant]])/30,"-")</f>
        <v>3.5666666666666669</v>
      </c>
      <c r="BI48" s="138">
        <f>Tableau3[[#This Row],[Date Livraison VEFA estimée avec retards constatés]]-Tableau3[[#This Row],[Date livraison contractuelle y/c avenant]]</f>
        <v>107</v>
      </c>
      <c r="BJ48" s="140">
        <f>IF(Tableau3[[#This Row],[TYPE]]="Rehab","",DATE(YEAR(Tableau3[[#This Row],[Achèvement fondations]])+2,MONTH(Tableau3[[#This Row],[Achèvement fondations]]),DAY(Tableau3[[#This Row],[Achèvement fondations]])))</f>
        <v>45270</v>
      </c>
    </row>
    <row r="49" spans="1:62" x14ac:dyDescent="0.3">
      <c r="A49" s="14" t="s">
        <v>201</v>
      </c>
      <c r="B49" s="4" t="s">
        <v>41</v>
      </c>
      <c r="C49" s="4" t="s">
        <v>12</v>
      </c>
      <c r="D49" s="4">
        <v>2020</v>
      </c>
      <c r="E49" s="4"/>
      <c r="F49" s="4" t="s">
        <v>38</v>
      </c>
      <c r="G49" s="4"/>
      <c r="H49" s="4" t="s">
        <v>18</v>
      </c>
      <c r="I49" s="4" t="s">
        <v>48</v>
      </c>
      <c r="J49" s="4" t="s">
        <v>202</v>
      </c>
      <c r="K49" s="4" t="s">
        <v>389</v>
      </c>
      <c r="L49" s="24">
        <f>Tableau3[[#This Row],[LLS]]+Tableau3[[#This Row],[LLTS]]+Tableau3[[#This Row],[PLS]]+Tableau3[[#This Row],[REHAB]]</f>
        <v>30</v>
      </c>
      <c r="M49" s="23">
        <f>IFERROR(Tableau3[[#This Row],[LLS]]+Tableau3[[#This Row],[LLTS]]+Tableau3[[#This Row],[PLS]],"-")</f>
        <v>0</v>
      </c>
      <c r="N49" s="25"/>
      <c r="O49" s="25"/>
      <c r="P49" s="25"/>
      <c r="Q49" s="29">
        <v>30</v>
      </c>
      <c r="R49" s="30"/>
      <c r="S49" s="31"/>
      <c r="T49" s="56">
        <f>Tableau3[[#This Row],[SHAB y/c V]]/Tableau3[[#This Row],[N]]</f>
        <v>0</v>
      </c>
      <c r="U49" s="56">
        <f>Tableau3[[#This Row],[SF priorisée]]/Tableau3[[#This Row],[N]]</f>
        <v>0</v>
      </c>
      <c r="V49" s="57" t="str">
        <f>IFERROR(Tableau3[[#This Row],[SHAB y/c V]]/Tableau3[[#This Row],[SF priorisée]],"-")</f>
        <v>-</v>
      </c>
      <c r="W49" s="56"/>
      <c r="X49" s="44"/>
      <c r="Y49" s="43" t="s">
        <v>392</v>
      </c>
      <c r="Z49" s="48"/>
      <c r="AA49" s="58" t="str">
        <f>IFERROR(Tableau3[[#This Row],[Prix Achat TTC]]/Tableau3[[#This Row],[SHAB y/c V]],"-")</f>
        <v>-</v>
      </c>
      <c r="AB49" s="58" t="str">
        <f>IFERROR(Tableau3[[#This Row],[Prix Achat TTC]]/Tableau3[[#This Row],[SF priorisée]],"-")</f>
        <v>-</v>
      </c>
      <c r="AC49" s="58">
        <f>IFERROR(Tableau3[[#This Row],[Prix Achat TTC]]/Tableau3[[#This Row],[N]],"-")</f>
        <v>0</v>
      </c>
      <c r="AD49" s="62">
        <v>43979</v>
      </c>
      <c r="AE49" s="62">
        <v>44071</v>
      </c>
      <c r="AF49" s="62">
        <v>44077</v>
      </c>
      <c r="AG49" s="58">
        <f>IFERROR((DATEDIF(Tableau3[[#This Row],[Demande LBU]],Tableau3[[#This Row],[Arrêté LBU]],"d"))/30,0)</f>
        <v>3.0666666666666669</v>
      </c>
      <c r="AH49" s="68">
        <v>44467</v>
      </c>
      <c r="AI49" s="68">
        <v>44557</v>
      </c>
      <c r="AJ49" s="73">
        <f>IFERROR((DATEDIF(Tableau3[[#This Row],[Dde édition prêt]],Tableau3[[#This Row],[Contrat de prêt]],"d"))/30,"-")</f>
        <v>3</v>
      </c>
      <c r="AK49" s="68">
        <f>EOMONTH(Tableau3[[#This Row],[Contrat de prêt]],0)+1</f>
        <v>44562</v>
      </c>
      <c r="AL49" s="68">
        <v>44557</v>
      </c>
      <c r="AM49" s="68">
        <v>44562</v>
      </c>
      <c r="AN4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45658</v>
      </c>
      <c r="AO49" s="79"/>
      <c r="AP49" s="2" t="str">
        <f>IF(Tableau3[[#This Row],[Montant des loyers perçus avant 1e échéance]]&lt;Tableau3[[#This Row],[Montant échéance annuelle]],"oui","non")</f>
        <v>non</v>
      </c>
      <c r="AS49" s="79">
        <f>Tableau3[[#This Row],[Mois de loyers avant 1e échéance]]-Tableau3[[#This Row],[Montant échéance annuelle]]</f>
        <v>0</v>
      </c>
      <c r="AU49" s="83">
        <v>44804</v>
      </c>
      <c r="AV49" s="94">
        <v>2022</v>
      </c>
      <c r="AW49" s="56">
        <f>IFERROR((DATEDIF(Tableau3[[#This Row],[Arrêté LBU]],Tableau3[[#This Row],[OS démarrage]],"d"))/30,0)</f>
        <v>24.433333333333334</v>
      </c>
      <c r="AX49" s="102">
        <v>12</v>
      </c>
      <c r="AY49" s="112"/>
      <c r="AZ49" s="110"/>
      <c r="BA49" s="116">
        <f>DATE(YEAR(Tableau3[[#This Row],[OS démarrage]]),MONTH(Tableau3[[#This Row],[OS démarrage]])+Tableau3[[#This Row],[Délai chantier initial]],DAY(Tableau3[[#This Row],[OS démarrage]]))</f>
        <v>45169</v>
      </c>
      <c r="BB4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45200</v>
      </c>
      <c r="BC49" s="121">
        <f>(Tableau3[[#This Row],[Date réception entreprise recalée]]-Tableau3[[#This Row],[Date réception entreprise prévue initialement]])/30</f>
        <v>1.0333333333333334</v>
      </c>
      <c r="BD49" s="126"/>
      <c r="BE49" s="124"/>
      <c r="BF49" s="124"/>
      <c r="BG49" s="124"/>
      <c r="BH49" s="137">
        <f>IFERROR((Tableau3[[#This Row],[Date Livraison VEFA estimée avec retards constatés]]-Tableau3[[#This Row],[Date livraison contractuelle y/c avenant]])/30,"-")</f>
        <v>0</v>
      </c>
      <c r="BI49" s="138">
        <f>Tableau3[[#This Row],[Date Livraison VEFA estimée avec retards constatés]]-Tableau3[[#This Row],[Date livraison contractuelle y/c avenant]]</f>
        <v>0</v>
      </c>
      <c r="BJ4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50" spans="1:62" x14ac:dyDescent="0.3">
      <c r="A50" s="14" t="s">
        <v>203</v>
      </c>
      <c r="B50" s="4" t="s">
        <v>41</v>
      </c>
      <c r="C50" s="4" t="s">
        <v>12</v>
      </c>
      <c r="D50" s="4">
        <v>2020</v>
      </c>
      <c r="E50" s="4"/>
      <c r="F50" s="4" t="s">
        <v>38</v>
      </c>
      <c r="G50" s="4"/>
      <c r="H50" s="4" t="s">
        <v>18</v>
      </c>
      <c r="I50" s="4" t="s">
        <v>48</v>
      </c>
      <c r="J50" s="4" t="s">
        <v>204</v>
      </c>
      <c r="K50" s="4" t="s">
        <v>389</v>
      </c>
      <c r="L50" s="24">
        <f>Tableau3[[#This Row],[LLS]]+Tableau3[[#This Row],[LLTS]]+Tableau3[[#This Row],[PLS]]+Tableau3[[#This Row],[REHAB]]</f>
        <v>32</v>
      </c>
      <c r="M50" s="23">
        <f>IFERROR(Tableau3[[#This Row],[LLS]]+Tableau3[[#This Row],[LLTS]]+Tableau3[[#This Row],[PLS]],"-")</f>
        <v>0</v>
      </c>
      <c r="N50" s="25"/>
      <c r="O50" s="25"/>
      <c r="P50" s="25"/>
      <c r="Q50" s="29">
        <v>32</v>
      </c>
      <c r="R50" s="30"/>
      <c r="S50" s="31"/>
      <c r="T50" s="56">
        <f>Tableau3[[#This Row],[SHAB y/c V]]/Tableau3[[#This Row],[N]]</f>
        <v>0</v>
      </c>
      <c r="U50" s="56">
        <f>Tableau3[[#This Row],[SF priorisée]]/Tableau3[[#This Row],[N]]</f>
        <v>0</v>
      </c>
      <c r="V50" s="57" t="str">
        <f>IFERROR(Tableau3[[#This Row],[SHAB y/c V]]/Tableau3[[#This Row],[SF priorisée]],"-")</f>
        <v>-</v>
      </c>
      <c r="W50" s="56"/>
      <c r="X50" s="44"/>
      <c r="Y50" s="43" t="s">
        <v>392</v>
      </c>
      <c r="Z50" s="48"/>
      <c r="AA50" s="58" t="str">
        <f>IFERROR(Tableau3[[#This Row],[Prix Achat TTC]]/Tableau3[[#This Row],[SHAB y/c V]],"-")</f>
        <v>-</v>
      </c>
      <c r="AB50" s="58" t="str">
        <f>IFERROR(Tableau3[[#This Row],[Prix Achat TTC]]/Tableau3[[#This Row],[SF priorisée]],"-")</f>
        <v>-</v>
      </c>
      <c r="AC50" s="58">
        <f>IFERROR(Tableau3[[#This Row],[Prix Achat TTC]]/Tableau3[[#This Row],[N]],"-")</f>
        <v>0</v>
      </c>
      <c r="AD50" s="62">
        <v>43980</v>
      </c>
      <c r="AE50" s="62">
        <v>44077</v>
      </c>
      <c r="AF50" s="62"/>
      <c r="AG50" s="58">
        <f>IFERROR((DATEDIF(Tableau3[[#This Row],[Demande LBU]],Tableau3[[#This Row],[Arrêté LBU]],"d"))/30,0)</f>
        <v>3.2333333333333334</v>
      </c>
      <c r="AH50" s="68">
        <v>44467</v>
      </c>
      <c r="AI50" s="68">
        <v>44578</v>
      </c>
      <c r="AJ50" s="73">
        <f>IFERROR((DATEDIF(Tableau3[[#This Row],[Dde édition prêt]],Tableau3[[#This Row],[Contrat de prêt]],"d"))/30,"-")</f>
        <v>3.7</v>
      </c>
      <c r="AK50" s="68">
        <f>EOMONTH(Tableau3[[#This Row],[Contrat de prêt]],0)+1</f>
        <v>44593</v>
      </c>
      <c r="AL50" s="68">
        <v>44585</v>
      </c>
      <c r="AM50" s="68"/>
      <c r="AN5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0" s="79"/>
      <c r="AP50" s="2" t="str">
        <f>IF(Tableau3[[#This Row],[Montant des loyers perçus avant 1e échéance]]&lt;Tableau3[[#This Row],[Montant échéance annuelle]],"oui","non")</f>
        <v>non</v>
      </c>
      <c r="AS50" s="79">
        <f>Tableau3[[#This Row],[Mois de loyers avant 1e échéance]]-Tableau3[[#This Row],[Montant échéance annuelle]]</f>
        <v>0</v>
      </c>
      <c r="AU50" s="83">
        <v>44810</v>
      </c>
      <c r="AV50" s="94">
        <v>2022</v>
      </c>
      <c r="AW50" s="56">
        <f>IFERROR((DATEDIF(Tableau3[[#This Row],[Arrêté LBU]],Tableau3[[#This Row],[OS démarrage]],"d"))/30,0)</f>
        <v>24.433333333333334</v>
      </c>
      <c r="AX50" s="102">
        <v>12</v>
      </c>
      <c r="AY50" s="112"/>
      <c r="AZ50" s="110"/>
      <c r="BA50" s="116">
        <f>DATE(YEAR(Tableau3[[#This Row],[OS démarrage]]),MONTH(Tableau3[[#This Row],[OS démarrage]])+Tableau3[[#This Row],[Délai chantier initial]],DAY(Tableau3[[#This Row],[OS démarrage]]))</f>
        <v>45175</v>
      </c>
      <c r="BB5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45205</v>
      </c>
      <c r="BC50" s="121">
        <f>(Tableau3[[#This Row],[Date réception entreprise recalée]]-Tableau3[[#This Row],[Date réception entreprise prévue initialement]])/30</f>
        <v>1</v>
      </c>
      <c r="BD50" s="126"/>
      <c r="BE50" s="124"/>
      <c r="BF50" s="124"/>
      <c r="BG50" s="124"/>
      <c r="BH50" s="137">
        <f>IFERROR((Tableau3[[#This Row],[Date Livraison VEFA estimée avec retards constatés]]-Tableau3[[#This Row],[Date livraison contractuelle y/c avenant]])/30,"-")</f>
        <v>0</v>
      </c>
      <c r="BI50" s="138">
        <f>Tableau3[[#This Row],[Date Livraison VEFA estimée avec retards constatés]]-Tableau3[[#This Row],[Date livraison contractuelle y/c avenant]]</f>
        <v>0</v>
      </c>
      <c r="BJ50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51" spans="1:62" x14ac:dyDescent="0.3">
      <c r="A51" s="18" t="s">
        <v>205</v>
      </c>
      <c r="B51" s="4" t="s">
        <v>55</v>
      </c>
      <c r="C51" s="4" t="s">
        <v>12</v>
      </c>
      <c r="D51" s="4">
        <v>2020</v>
      </c>
      <c r="E51" s="4" t="s">
        <v>206</v>
      </c>
      <c r="F51" s="5"/>
      <c r="G51" s="5"/>
      <c r="H51" s="5"/>
      <c r="I51" s="5"/>
      <c r="J51" s="4"/>
      <c r="K51" s="4" t="s">
        <v>80</v>
      </c>
      <c r="L51" s="24">
        <f>Tableau3[[#This Row],[LLS]]+Tableau3[[#This Row],[LLTS]]+Tableau3[[#This Row],[PLS]]+Tableau3[[#This Row],[REHAB]]</f>
        <v>53</v>
      </c>
      <c r="M51" s="23">
        <f>IFERROR(Tableau3[[#This Row],[LLS]]+Tableau3[[#This Row],[LLTS]]+Tableau3[[#This Row],[PLS]],"-")</f>
        <v>53</v>
      </c>
      <c r="N51" s="4">
        <v>53</v>
      </c>
      <c r="O51" s="25"/>
      <c r="P51" s="25"/>
      <c r="Q51" s="34"/>
      <c r="R51" s="26">
        <v>4239.1400000000003</v>
      </c>
      <c r="S51" s="27">
        <v>4689.26</v>
      </c>
      <c r="T51" s="56">
        <f>Tableau3[[#This Row],[SHAB y/c V]]/Tableau3[[#This Row],[N]]</f>
        <v>79.983773584905663</v>
      </c>
      <c r="U51" s="56">
        <f>Tableau3[[#This Row],[SF priorisée]]/Tableau3[[#This Row],[N]]</f>
        <v>88.476603773584912</v>
      </c>
      <c r="V51" s="57">
        <f>IFERROR(Tableau3[[#This Row],[SHAB y/c V]]/Tableau3[[#This Row],[SF priorisée]],"-")</f>
        <v>0.90401044087979765</v>
      </c>
      <c r="W51" s="56"/>
      <c r="X51" s="43" t="s">
        <v>93</v>
      </c>
      <c r="Y51" s="43" t="s">
        <v>392</v>
      </c>
      <c r="Z51" s="47">
        <v>10202184.244999999</v>
      </c>
      <c r="AA51" s="58">
        <f>IFERROR(Tableau3[[#This Row],[Prix Achat TTC]]/Tableau3[[#This Row],[SHAB y/c V]],"-")</f>
        <v>2406.6636735281209</v>
      </c>
      <c r="AB51" s="58">
        <f>IFERROR(Tableau3[[#This Row],[Prix Achat TTC]]/Tableau3[[#This Row],[SF priorisée]],"-")</f>
        <v>2175.64908855555</v>
      </c>
      <c r="AC51" s="58">
        <f>IFERROR(Tableau3[[#This Row],[Prix Achat TTC]]/Tableau3[[#This Row],[N]],"-")</f>
        <v>192494.04235849055</v>
      </c>
      <c r="AD51" s="62">
        <v>43889</v>
      </c>
      <c r="AE51" s="62">
        <v>44027</v>
      </c>
      <c r="AF51" s="62">
        <v>44036</v>
      </c>
      <c r="AG51" s="58">
        <f>IFERROR((DATEDIF(Tableau3[[#This Row],[Demande LBU]],Tableau3[[#This Row],[Arrêté LBU]],"d"))/30,0)</f>
        <v>4.5999999999999996</v>
      </c>
      <c r="AH51" s="68">
        <v>44229</v>
      </c>
      <c r="AI51" s="68">
        <v>44279</v>
      </c>
      <c r="AJ51" s="73">
        <f>IFERROR((DATEDIF(Tableau3[[#This Row],[Dde édition prêt]],Tableau3[[#This Row],[Contrat de prêt]],"d"))/30,"-")</f>
        <v>1.6666666666666667</v>
      </c>
      <c r="AK51" s="68">
        <f>EOMONTH(Tableau3[[#This Row],[Contrat de prêt]],0)+1</f>
        <v>44287</v>
      </c>
      <c r="AL51" s="68">
        <v>44279</v>
      </c>
      <c r="AM51" s="68">
        <v>44287</v>
      </c>
      <c r="AN5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45383</v>
      </c>
      <c r="AO51" s="79">
        <v>306799.05000000005</v>
      </c>
      <c r="AP51" s="2" t="str">
        <f>IF(Tableau3[[#This Row],[Montant des loyers perçus avant 1e échéance]]&lt;Tableau3[[#This Row],[Montant échéance annuelle]],"oui","non")</f>
        <v>oui</v>
      </c>
      <c r="AS51" s="79">
        <f>Tableau3[[#This Row],[Mois de loyers avant 1e échéance]]-Tableau3[[#This Row],[Montant échéance annuelle]]</f>
        <v>-306799.05000000005</v>
      </c>
      <c r="AU51" s="83">
        <v>44368</v>
      </c>
      <c r="AV51" s="94">
        <v>2021</v>
      </c>
      <c r="AW51" s="56">
        <f>IFERROR((DATEDIF(Tableau3[[#This Row],[Arrêté LBU]],Tableau3[[#This Row],[OS démarrage]],"d"))/30,0)</f>
        <v>11.366666666666667</v>
      </c>
      <c r="AX51" s="102">
        <v>24</v>
      </c>
      <c r="AY51" s="112"/>
      <c r="AZ51" s="84">
        <v>44543</v>
      </c>
      <c r="BA51" s="116">
        <f>DATE(YEAR(Tableau3[[#This Row],[OS démarrage]]),MONTH(Tableau3[[#This Row],[OS démarrage]])+Tableau3[[#This Row],[Délai chantier initial]],DAY(Tableau3[[#This Row],[OS démarrage]]))</f>
        <v>45098</v>
      </c>
      <c r="BB51" s="118">
        <v>45220</v>
      </c>
      <c r="BC51" s="121">
        <f>(Tableau3[[#This Row],[Date réception entreprise recalée]]-Tableau3[[#This Row],[Date réception entreprise prévue initialement]])/30</f>
        <v>4.0666666666666664</v>
      </c>
      <c r="BD51" s="126">
        <v>45078</v>
      </c>
      <c r="BE51" s="124">
        <v>45078</v>
      </c>
      <c r="BF51" s="124">
        <f>BE51</f>
        <v>45078</v>
      </c>
      <c r="BG51" s="124">
        <v>45227</v>
      </c>
      <c r="BH51" s="137">
        <f>IFERROR((Tableau3[[#This Row],[Date Livraison VEFA estimée avec retards constatés]]-Tableau3[[#This Row],[Date livraison contractuelle y/c avenant]])/30,"-")</f>
        <v>4.9666666666666668</v>
      </c>
      <c r="BI51" s="138">
        <f>Tableau3[[#This Row],[Date Livraison VEFA estimée avec retards constatés]]-Tableau3[[#This Row],[Date livraison contractuelle y/c avenant]]</f>
        <v>149</v>
      </c>
      <c r="BJ51" s="140">
        <f>IF(Tableau3[[#This Row],[TYPE]]="Rehab","",DATE(YEAR(Tableau3[[#This Row],[Achèvement fondations]])+2,MONTH(Tableau3[[#This Row],[Achèvement fondations]]),DAY(Tableau3[[#This Row],[Achèvement fondations]])))</f>
        <v>45273</v>
      </c>
    </row>
    <row r="52" spans="1:62" x14ac:dyDescent="0.3">
      <c r="A52" s="18" t="s">
        <v>207</v>
      </c>
      <c r="B52" s="4" t="s">
        <v>55</v>
      </c>
      <c r="C52" s="4" t="s">
        <v>12</v>
      </c>
      <c r="D52" s="4">
        <v>2020</v>
      </c>
      <c r="E52" s="4" t="s">
        <v>206</v>
      </c>
      <c r="F52" s="4" t="s">
        <v>34</v>
      </c>
      <c r="G52" s="4"/>
      <c r="H52" s="4" t="s">
        <v>9</v>
      </c>
      <c r="I52" s="6" t="s">
        <v>48</v>
      </c>
      <c r="J52" s="4" t="s">
        <v>208</v>
      </c>
      <c r="K52" s="4" t="s">
        <v>81</v>
      </c>
      <c r="L52" s="24">
        <f>Tableau3[[#This Row],[LLS]]+Tableau3[[#This Row],[LLTS]]+Tableau3[[#This Row],[PLS]]+Tableau3[[#This Row],[REHAB]]</f>
        <v>25</v>
      </c>
      <c r="M52" s="23">
        <f>IFERROR(Tableau3[[#This Row],[LLS]]+Tableau3[[#This Row],[LLTS]]+Tableau3[[#This Row],[PLS]],"-")</f>
        <v>25</v>
      </c>
      <c r="N52" s="25"/>
      <c r="O52" s="4">
        <v>25</v>
      </c>
      <c r="P52" s="25"/>
      <c r="Q52" s="34"/>
      <c r="R52" s="26">
        <v>1337.56</v>
      </c>
      <c r="S52" s="27">
        <v>1496.73</v>
      </c>
      <c r="T52" s="56">
        <f>Tableau3[[#This Row],[SHAB y/c V]]/Tableau3[[#This Row],[N]]</f>
        <v>53.502399999999994</v>
      </c>
      <c r="U52" s="56">
        <f>Tableau3[[#This Row],[SF priorisée]]/Tableau3[[#This Row],[N]]</f>
        <v>59.869199999999999</v>
      </c>
      <c r="V52" s="57">
        <f>IFERROR(Tableau3[[#This Row],[SHAB y/c V]]/Tableau3[[#This Row],[SF priorisée]],"-")</f>
        <v>0.89365483420523406</v>
      </c>
      <c r="W52" s="56"/>
      <c r="X52" s="43" t="s">
        <v>93</v>
      </c>
      <c r="Y52" s="43" t="s">
        <v>392</v>
      </c>
      <c r="Z52" s="47">
        <v>3473070.3560000001</v>
      </c>
      <c r="AA52" s="58">
        <f>IFERROR(Tableau3[[#This Row],[Prix Achat TTC]]/Tableau3[[#This Row],[SHAB y/c V]],"-")</f>
        <v>2596.5716349173122</v>
      </c>
      <c r="AB52" s="58">
        <f>IFERROR(Tableau3[[#This Row],[Prix Achat TTC]]/Tableau3[[#This Row],[SF priorisée]],"-")</f>
        <v>2320.4387939040444</v>
      </c>
      <c r="AC52" s="58">
        <f>IFERROR(Tableau3[[#This Row],[Prix Achat TTC]]/Tableau3[[#This Row],[N]],"-")</f>
        <v>138922.81424000001</v>
      </c>
      <c r="AD52" s="62">
        <v>43889</v>
      </c>
      <c r="AE52" s="62">
        <v>44027</v>
      </c>
      <c r="AF52" s="62">
        <v>44036</v>
      </c>
      <c r="AG52" s="58">
        <f>IFERROR((DATEDIF(Tableau3[[#This Row],[Demande LBU]],Tableau3[[#This Row],[Arrêté LBU]],"d"))/30,0)</f>
        <v>4.5999999999999996</v>
      </c>
      <c r="AH52" s="68">
        <v>44229</v>
      </c>
      <c r="AI52" s="68">
        <v>44279</v>
      </c>
      <c r="AJ52" s="73">
        <f>IFERROR((DATEDIF(Tableau3[[#This Row],[Dde édition prêt]],Tableau3[[#This Row],[Contrat de prêt]],"d"))/30,"-")</f>
        <v>1.6666666666666667</v>
      </c>
      <c r="AK52" s="68">
        <f>EOMONTH(Tableau3[[#This Row],[Contrat de prêt]],0)+1</f>
        <v>44287</v>
      </c>
      <c r="AL52" s="68">
        <v>44279</v>
      </c>
      <c r="AM52" s="68">
        <v>44287</v>
      </c>
      <c r="AN5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45383</v>
      </c>
      <c r="AO52" s="79">
        <v>81881.390000000014</v>
      </c>
      <c r="AP52" s="2" t="str">
        <f>IF(Tableau3[[#This Row],[Montant des loyers perçus avant 1e échéance]]&lt;Tableau3[[#This Row],[Montant échéance annuelle]],"oui","non")</f>
        <v>oui</v>
      </c>
      <c r="AS52" s="79">
        <f>Tableau3[[#This Row],[Mois de loyers avant 1e échéance]]-Tableau3[[#This Row],[Montant échéance annuelle]]</f>
        <v>-81881.390000000014</v>
      </c>
      <c r="AU52" s="83">
        <v>44368</v>
      </c>
      <c r="AV52" s="94">
        <v>2021</v>
      </c>
      <c r="AW52" s="56">
        <f>IFERROR((DATEDIF(Tableau3[[#This Row],[Arrêté LBU]],Tableau3[[#This Row],[OS démarrage]],"d"))/30,0)</f>
        <v>11.366666666666667</v>
      </c>
      <c r="AX52" s="102">
        <v>24</v>
      </c>
      <c r="AY52" s="112"/>
      <c r="AZ52" s="84">
        <v>44543</v>
      </c>
      <c r="BA52" s="116">
        <f>DATE(YEAR(Tableau3[[#This Row],[OS démarrage]]),MONTH(Tableau3[[#This Row],[OS démarrage]])+Tableau3[[#This Row],[Délai chantier initial]],DAY(Tableau3[[#This Row],[OS démarrage]]))</f>
        <v>45098</v>
      </c>
      <c r="BB52" s="118">
        <v>45220</v>
      </c>
      <c r="BC52" s="121">
        <f>(Tableau3[[#This Row],[Date réception entreprise recalée]]-Tableau3[[#This Row],[Date réception entreprise prévue initialement]])/30</f>
        <v>4.0666666666666664</v>
      </c>
      <c r="BD52" s="126">
        <v>45078</v>
      </c>
      <c r="BE52" s="124">
        <v>45078</v>
      </c>
      <c r="BF52" s="124">
        <f>BE52</f>
        <v>45078</v>
      </c>
      <c r="BG52" s="124">
        <v>45227</v>
      </c>
      <c r="BH52" s="137">
        <f>IFERROR((Tableau3[[#This Row],[Date Livraison VEFA estimée avec retards constatés]]-Tableau3[[#This Row],[Date livraison contractuelle y/c avenant]])/30,"-")</f>
        <v>4.9666666666666668</v>
      </c>
      <c r="BI52" s="138">
        <f>Tableau3[[#This Row],[Date Livraison VEFA estimée avec retards constatés]]-Tableau3[[#This Row],[Date livraison contractuelle y/c avenant]]</f>
        <v>149</v>
      </c>
      <c r="BJ52" s="140">
        <f>IF(Tableau3[[#This Row],[TYPE]]="Rehab","",DATE(YEAR(Tableau3[[#This Row],[Achèvement fondations]])+2,MONTH(Tableau3[[#This Row],[Achèvement fondations]]),DAY(Tableau3[[#This Row],[Achèvement fondations]])))</f>
        <v>45273</v>
      </c>
    </row>
    <row r="53" spans="1:62" x14ac:dyDescent="0.3">
      <c r="A53" s="14" t="s">
        <v>209</v>
      </c>
      <c r="B53" s="4" t="s">
        <v>55</v>
      </c>
      <c r="C53" s="4" t="s">
        <v>12</v>
      </c>
      <c r="D53" s="4">
        <v>2020</v>
      </c>
      <c r="E53" s="4"/>
      <c r="F53" s="4" t="s">
        <v>17</v>
      </c>
      <c r="G53" s="4"/>
      <c r="H53" s="4" t="s">
        <v>9</v>
      </c>
      <c r="I53" s="4" t="s">
        <v>48</v>
      </c>
      <c r="J53" s="4" t="s">
        <v>210</v>
      </c>
      <c r="K53" s="4" t="s">
        <v>389</v>
      </c>
      <c r="L53" s="24">
        <f>Tableau3[[#This Row],[LLS]]+Tableau3[[#This Row],[LLTS]]+Tableau3[[#This Row],[PLS]]+Tableau3[[#This Row],[REHAB]]</f>
        <v>38</v>
      </c>
      <c r="M53" s="23">
        <f>IFERROR(Tableau3[[#This Row],[LLS]]+Tableau3[[#This Row],[LLTS]]+Tableau3[[#This Row],[PLS]],"-")</f>
        <v>0</v>
      </c>
      <c r="N53" s="25"/>
      <c r="O53" s="25"/>
      <c r="P53" s="25"/>
      <c r="Q53" s="29">
        <v>38</v>
      </c>
      <c r="R53" s="30"/>
      <c r="S53" s="31"/>
      <c r="T53" s="56">
        <f>Tableau3[[#This Row],[SHAB y/c V]]/Tableau3[[#This Row],[N]]</f>
        <v>0</v>
      </c>
      <c r="U53" s="56">
        <f>Tableau3[[#This Row],[SF priorisée]]/Tableau3[[#This Row],[N]]</f>
        <v>0</v>
      </c>
      <c r="V53" s="57" t="str">
        <f>IFERROR(Tableau3[[#This Row],[SHAB y/c V]]/Tableau3[[#This Row],[SF priorisée]],"-")</f>
        <v>-</v>
      </c>
      <c r="W53" s="56"/>
      <c r="X53" s="44"/>
      <c r="Y53" s="43"/>
      <c r="Z53" s="48"/>
      <c r="AA53" s="58" t="str">
        <f>IFERROR(Tableau3[[#This Row],[Prix Achat TTC]]/Tableau3[[#This Row],[SHAB y/c V]],"-")</f>
        <v>-</v>
      </c>
      <c r="AB53" s="58" t="str">
        <f>IFERROR(Tableau3[[#This Row],[Prix Achat TTC]]/Tableau3[[#This Row],[SF priorisée]],"-")</f>
        <v>-</v>
      </c>
      <c r="AC53" s="58">
        <f>IFERROR(Tableau3[[#This Row],[Prix Achat TTC]]/Tableau3[[#This Row],[N]],"-")</f>
        <v>0</v>
      </c>
      <c r="AD53" s="62">
        <v>43980</v>
      </c>
      <c r="AE53" s="62">
        <v>44118</v>
      </c>
      <c r="AF53" s="62"/>
      <c r="AG53" s="58">
        <f>IFERROR((DATEDIF(Tableau3[[#This Row],[Demande LBU]],Tableau3[[#This Row],[Arrêté LBU]],"d"))/30,0)</f>
        <v>4.5999999999999996</v>
      </c>
      <c r="AH53" s="68">
        <v>44482</v>
      </c>
      <c r="AI53" s="68">
        <v>44578</v>
      </c>
      <c r="AJ53" s="73">
        <f>IFERROR((DATEDIF(Tableau3[[#This Row],[Dde édition prêt]],Tableau3[[#This Row],[Contrat de prêt]],"d"))/30,"-")</f>
        <v>3.2</v>
      </c>
      <c r="AK53" s="68">
        <f>EOMONTH(Tableau3[[#This Row],[Contrat de prêt]],0)+1</f>
        <v>44593</v>
      </c>
      <c r="AL53" s="68">
        <v>44585</v>
      </c>
      <c r="AM53" s="68"/>
      <c r="AN5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3" s="79"/>
      <c r="AP53" s="2" t="str">
        <f>IF(Tableau3[[#This Row],[Montant des loyers perçus avant 1e échéance]]&lt;Tableau3[[#This Row],[Montant échéance annuelle]],"oui","non")</f>
        <v>non</v>
      </c>
      <c r="AS53" s="79">
        <f>Tableau3[[#This Row],[Mois de loyers avant 1e échéance]]-Tableau3[[#This Row],[Montant échéance annuelle]]</f>
        <v>0</v>
      </c>
      <c r="AU53" s="83">
        <v>44873</v>
      </c>
      <c r="AV53" s="94">
        <v>2022</v>
      </c>
      <c r="AW53" s="56">
        <f>IFERROR((DATEDIF(Tableau3[[#This Row],[Arrêté LBU]],Tableau3[[#This Row],[OS démarrage]],"d"))/30,0)</f>
        <v>25.166666666666668</v>
      </c>
      <c r="AX53" s="102">
        <v>12</v>
      </c>
      <c r="AY53" s="112"/>
      <c r="AZ53" s="110"/>
      <c r="BA53" s="116">
        <f>DATE(YEAR(Tableau3[[#This Row],[OS démarrage]]),MONTH(Tableau3[[#This Row],[OS démarrage]])+Tableau3[[#This Row],[Délai chantier initial]],DAY(Tableau3[[#This Row],[OS démarrage]]))</f>
        <v>45238</v>
      </c>
      <c r="BB5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45268</v>
      </c>
      <c r="BC53" s="121">
        <f>(Tableau3[[#This Row],[Date réception entreprise recalée]]-Tableau3[[#This Row],[Date réception entreprise prévue initialement]])/30</f>
        <v>1</v>
      </c>
      <c r="BD53" s="126"/>
      <c r="BE53" s="124"/>
      <c r="BF53" s="124"/>
      <c r="BG53" s="124"/>
      <c r="BH53" s="137">
        <f>IFERROR((Tableau3[[#This Row],[Date Livraison VEFA estimée avec retards constatés]]-Tableau3[[#This Row],[Date livraison contractuelle y/c avenant]])/30,"-")</f>
        <v>0</v>
      </c>
      <c r="BI53" s="138">
        <f>Tableau3[[#This Row],[Date Livraison VEFA estimée avec retards constatés]]-Tableau3[[#This Row],[Date livraison contractuelle y/c avenant]]</f>
        <v>0</v>
      </c>
      <c r="BJ5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54" spans="1:62" x14ac:dyDescent="0.3">
      <c r="A54" s="18" t="s">
        <v>211</v>
      </c>
      <c r="B54" s="4" t="s">
        <v>55</v>
      </c>
      <c r="C54" s="4" t="s">
        <v>12</v>
      </c>
      <c r="D54" s="4">
        <v>2020</v>
      </c>
      <c r="E54" s="4" t="s">
        <v>212</v>
      </c>
      <c r="F54" s="7" t="s">
        <v>34</v>
      </c>
      <c r="G54" s="7" t="s">
        <v>42</v>
      </c>
      <c r="H54" s="7" t="s">
        <v>35</v>
      </c>
      <c r="I54" s="4" t="s">
        <v>48</v>
      </c>
      <c r="J54" s="4" t="s">
        <v>213</v>
      </c>
      <c r="K54" s="4" t="s">
        <v>80</v>
      </c>
      <c r="L54" s="24">
        <f>Tableau3[[#This Row],[LLS]]+Tableau3[[#This Row],[LLTS]]+Tableau3[[#This Row],[PLS]]+Tableau3[[#This Row],[REHAB]]</f>
        <v>21</v>
      </c>
      <c r="M54" s="23">
        <f>IFERROR(Tableau3[[#This Row],[LLS]]+Tableau3[[#This Row],[LLTS]]+Tableau3[[#This Row],[PLS]],"-")</f>
        <v>21</v>
      </c>
      <c r="N54" s="4">
        <v>21</v>
      </c>
      <c r="O54" s="25"/>
      <c r="P54" s="25"/>
      <c r="Q54" s="25"/>
      <c r="R54" s="32">
        <v>1626.52</v>
      </c>
      <c r="S54" s="27">
        <v>1843.49</v>
      </c>
      <c r="T54" s="56">
        <f>Tableau3[[#This Row],[SHAB y/c V]]/Tableau3[[#This Row],[N]]</f>
        <v>77.453333333333333</v>
      </c>
      <c r="U54" s="56">
        <f>Tableau3[[#This Row],[SF priorisée]]/Tableau3[[#This Row],[N]]</f>
        <v>87.7852380952381</v>
      </c>
      <c r="V54" s="57">
        <f>IFERROR(Tableau3[[#This Row],[SHAB y/c V]]/Tableau3[[#This Row],[SF priorisée]],"-")</f>
        <v>0.8823047589083749</v>
      </c>
      <c r="W54" s="56"/>
      <c r="X54" s="43" t="s">
        <v>390</v>
      </c>
      <c r="Y54" s="43" t="s">
        <v>392</v>
      </c>
      <c r="Z54" s="5"/>
      <c r="AA54" s="58">
        <f>IFERROR(Tableau3[[#This Row],[Prix Achat TTC]]/Tableau3[[#This Row],[SHAB y/c V]],"-")</f>
        <v>0</v>
      </c>
      <c r="AB54" s="58">
        <f>IFERROR(Tableau3[[#This Row],[Prix Achat TTC]]/Tableau3[[#This Row],[SF priorisée]],"-")</f>
        <v>0</v>
      </c>
      <c r="AC54" s="58">
        <f>IFERROR(Tableau3[[#This Row],[Prix Achat TTC]]/Tableau3[[#This Row],[N]],"-")</f>
        <v>0</v>
      </c>
      <c r="AD54" s="62">
        <v>43887</v>
      </c>
      <c r="AE54" s="62">
        <v>43993</v>
      </c>
      <c r="AF54" s="62">
        <v>44036</v>
      </c>
      <c r="AG54" s="58">
        <f>IFERROR((DATEDIF(Tableau3[[#This Row],[Demande LBU]],Tableau3[[#This Row],[Arrêté LBU]],"d"))/30,0)</f>
        <v>3.5333333333333332</v>
      </c>
      <c r="AH54" s="68">
        <v>44620</v>
      </c>
      <c r="AI54" s="68">
        <v>44650</v>
      </c>
      <c r="AJ54" s="73">
        <f>IFERROR((DATEDIF(Tableau3[[#This Row],[Dde édition prêt]],Tableau3[[#This Row],[Contrat de prêt]],"d"))/30,"-")</f>
        <v>1</v>
      </c>
      <c r="AK54" s="68">
        <f>EOMONTH(Tableau3[[#This Row],[Contrat de prêt]],0)+1</f>
        <v>44652</v>
      </c>
      <c r="AL54" s="68">
        <v>44712</v>
      </c>
      <c r="AM54" s="68"/>
      <c r="AN5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4" s="79"/>
      <c r="AP54" s="2" t="str">
        <f>IF(Tableau3[[#This Row],[Montant des loyers perçus avant 1e échéance]]&lt;Tableau3[[#This Row],[Montant échéance annuelle]],"oui","non")</f>
        <v>non</v>
      </c>
      <c r="AS54" s="79">
        <f>Tableau3[[#This Row],[Mois de loyers avant 1e échéance]]-Tableau3[[#This Row],[Montant échéance annuelle]]</f>
        <v>0</v>
      </c>
      <c r="AU54" s="83">
        <v>44760</v>
      </c>
      <c r="AV54" s="94">
        <v>2022</v>
      </c>
      <c r="AW54" s="56">
        <f>IFERROR((DATEDIF(Tableau3[[#This Row],[Arrêté LBU]],Tableau3[[#This Row],[OS démarrage]],"d"))/30,0)</f>
        <v>25.566666666666666</v>
      </c>
      <c r="AX54" s="102">
        <v>18</v>
      </c>
      <c r="AY54" s="112"/>
      <c r="AZ54" s="84"/>
      <c r="BA54" s="116">
        <f>DATE(YEAR(Tableau3[[#This Row],[OS démarrage]]),MONTH(Tableau3[[#This Row],[OS démarrage]])+Tableau3[[#This Row],[Délai chantier initial]],DAY(Tableau3[[#This Row],[OS démarrage]]))</f>
        <v>45309</v>
      </c>
      <c r="BB54" s="118">
        <f>DATE(YEAR(Tableau3[[#This Row],[Date réception entreprise prévue initialement]]),MONTH(Tableau3[[#This Row],[Date réception entreprise prévue initialement]])+2,DAY(Tableau3[[#This Row],[Date réception entreprise prévue initialement]]))</f>
        <v>45369</v>
      </c>
      <c r="BC54" s="121">
        <f>(Tableau3[[#This Row],[Date réception entreprise recalée]]-Tableau3[[#This Row],[Date réception entreprise prévue initialement]])/30</f>
        <v>2</v>
      </c>
      <c r="BD54" s="126"/>
      <c r="BE54" s="124"/>
      <c r="BF54" s="124"/>
      <c r="BG54" s="124"/>
      <c r="BH54" s="137">
        <f>IFERROR((Tableau3[[#This Row],[Date Livraison VEFA estimée avec retards constatés]]-Tableau3[[#This Row],[Date livraison contractuelle y/c avenant]])/30,"-")</f>
        <v>0</v>
      </c>
      <c r="BI54" s="138">
        <f>Tableau3[[#This Row],[Date Livraison VEFA estimée avec retards constatés]]-Tableau3[[#This Row],[Date livraison contractuelle y/c avenant]]</f>
        <v>0</v>
      </c>
      <c r="BJ5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55" spans="1:62" x14ac:dyDescent="0.3">
      <c r="A55" s="18" t="s">
        <v>214</v>
      </c>
      <c r="B55" s="4" t="s">
        <v>55</v>
      </c>
      <c r="C55" s="4" t="s">
        <v>12</v>
      </c>
      <c r="D55" s="4">
        <v>2020</v>
      </c>
      <c r="E55" s="4" t="s">
        <v>212</v>
      </c>
      <c r="F55" s="5"/>
      <c r="G55" s="5"/>
      <c r="H55" s="5"/>
      <c r="I55" s="17"/>
      <c r="J55" s="4" t="s">
        <v>213</v>
      </c>
      <c r="K55" s="4" t="s">
        <v>81</v>
      </c>
      <c r="L55" s="24">
        <f>Tableau3[[#This Row],[LLS]]+Tableau3[[#This Row],[LLTS]]+Tableau3[[#This Row],[PLS]]+Tableau3[[#This Row],[REHAB]]</f>
        <v>11</v>
      </c>
      <c r="M55" s="23">
        <f>IFERROR(Tableau3[[#This Row],[LLS]]+Tableau3[[#This Row],[LLTS]]+Tableau3[[#This Row],[PLS]],"-")</f>
        <v>11</v>
      </c>
      <c r="N55" s="25"/>
      <c r="O55" s="4">
        <v>11</v>
      </c>
      <c r="P55" s="25"/>
      <c r="Q55" s="25"/>
      <c r="R55" s="32">
        <v>472.3</v>
      </c>
      <c r="S55" s="27">
        <v>605.23</v>
      </c>
      <c r="T55" s="56">
        <f>Tableau3[[#This Row],[SHAB y/c V]]/Tableau3[[#This Row],[N]]</f>
        <v>42.936363636363637</v>
      </c>
      <c r="U55" s="56">
        <f>Tableau3[[#This Row],[SF priorisée]]/Tableau3[[#This Row],[N]]</f>
        <v>55.020909090909093</v>
      </c>
      <c r="V55" s="57">
        <f>IFERROR(Tableau3[[#This Row],[SHAB y/c V]]/Tableau3[[#This Row],[SF priorisée]],"-")</f>
        <v>0.78036448953290483</v>
      </c>
      <c r="W55" s="56"/>
      <c r="X55" s="43" t="s">
        <v>390</v>
      </c>
      <c r="Y55" s="43" t="s">
        <v>392</v>
      </c>
      <c r="Z55" s="5"/>
      <c r="AA55" s="58">
        <f>IFERROR(Tableau3[[#This Row],[Prix Achat TTC]]/Tableau3[[#This Row],[SHAB y/c V]],"-")</f>
        <v>0</v>
      </c>
      <c r="AB55" s="58">
        <f>IFERROR(Tableau3[[#This Row],[Prix Achat TTC]]/Tableau3[[#This Row],[SF priorisée]],"-")</f>
        <v>0</v>
      </c>
      <c r="AC55" s="58">
        <f>IFERROR(Tableau3[[#This Row],[Prix Achat TTC]]/Tableau3[[#This Row],[N]],"-")</f>
        <v>0</v>
      </c>
      <c r="AD55" s="62">
        <v>43887</v>
      </c>
      <c r="AE55" s="62">
        <v>43993</v>
      </c>
      <c r="AF55" s="62">
        <v>44036</v>
      </c>
      <c r="AG55" s="58">
        <f>IFERROR((DATEDIF(Tableau3[[#This Row],[Demande LBU]],Tableau3[[#This Row],[Arrêté LBU]],"d"))/30,0)</f>
        <v>3.5333333333333332</v>
      </c>
      <c r="AH55" s="68">
        <v>44620</v>
      </c>
      <c r="AI55" s="68">
        <v>44650</v>
      </c>
      <c r="AJ55" s="73">
        <f>IFERROR((DATEDIF(Tableau3[[#This Row],[Dde édition prêt]],Tableau3[[#This Row],[Contrat de prêt]],"d"))/30,"-")</f>
        <v>1</v>
      </c>
      <c r="AK55" s="68">
        <f>EOMONTH(Tableau3[[#This Row],[Contrat de prêt]],0)+1</f>
        <v>44652</v>
      </c>
      <c r="AL55" s="68">
        <v>44712</v>
      </c>
      <c r="AM55" s="68"/>
      <c r="AN5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5" s="79"/>
      <c r="AP55" s="2" t="str">
        <f>IF(Tableau3[[#This Row],[Montant des loyers perçus avant 1e échéance]]&lt;Tableau3[[#This Row],[Montant échéance annuelle]],"oui","non")</f>
        <v>non</v>
      </c>
      <c r="AS55" s="79">
        <f>Tableau3[[#This Row],[Mois de loyers avant 1e échéance]]-Tableau3[[#This Row],[Montant échéance annuelle]]</f>
        <v>0</v>
      </c>
      <c r="AU55" s="83">
        <v>44760</v>
      </c>
      <c r="AV55" s="94">
        <v>2022</v>
      </c>
      <c r="AW55" s="56">
        <f>IFERROR((DATEDIF(Tableau3[[#This Row],[Arrêté LBU]],Tableau3[[#This Row],[OS démarrage]],"d"))/30,0)</f>
        <v>25.566666666666666</v>
      </c>
      <c r="AX55" s="102">
        <v>18</v>
      </c>
      <c r="AY55" s="112"/>
      <c r="AZ55" s="84"/>
      <c r="BA55" s="116">
        <f>DATE(YEAR(Tableau3[[#This Row],[OS démarrage]]),MONTH(Tableau3[[#This Row],[OS démarrage]])+Tableau3[[#This Row],[Délai chantier initial]],DAY(Tableau3[[#This Row],[OS démarrage]]))</f>
        <v>45309</v>
      </c>
      <c r="BB55" s="118">
        <f>DATE(YEAR(Tableau3[[#This Row],[Date réception entreprise prévue initialement]]),MONTH(Tableau3[[#This Row],[Date réception entreprise prévue initialement]])+2,DAY(Tableau3[[#This Row],[Date réception entreprise prévue initialement]]))</f>
        <v>45369</v>
      </c>
      <c r="BC55" s="121">
        <f>(Tableau3[[#This Row],[Date réception entreprise recalée]]-Tableau3[[#This Row],[Date réception entreprise prévue initialement]])/30</f>
        <v>2</v>
      </c>
      <c r="BD55" s="126"/>
      <c r="BE55" s="124"/>
      <c r="BF55" s="124"/>
      <c r="BG55" s="124"/>
      <c r="BH55" s="137">
        <f>IFERROR((Tableau3[[#This Row],[Date Livraison VEFA estimée avec retards constatés]]-Tableau3[[#This Row],[Date livraison contractuelle y/c avenant]])/30,"-")</f>
        <v>0</v>
      </c>
      <c r="BI55" s="138">
        <f>Tableau3[[#This Row],[Date Livraison VEFA estimée avec retards constatés]]-Tableau3[[#This Row],[Date livraison contractuelle y/c avenant]]</f>
        <v>0</v>
      </c>
      <c r="BJ5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56" spans="1:62" x14ac:dyDescent="0.3">
      <c r="A56" s="14" t="s">
        <v>215</v>
      </c>
      <c r="B56" s="4" t="s">
        <v>55</v>
      </c>
      <c r="C56" s="4" t="s">
        <v>12</v>
      </c>
      <c r="D56" s="4">
        <v>2020</v>
      </c>
      <c r="E56" s="4"/>
      <c r="F56" s="4" t="s">
        <v>17</v>
      </c>
      <c r="G56" s="4"/>
      <c r="H56" s="4" t="s">
        <v>13</v>
      </c>
      <c r="I56" s="4" t="s">
        <v>48</v>
      </c>
      <c r="J56" s="4" t="s">
        <v>216</v>
      </c>
      <c r="K56" s="4" t="s">
        <v>389</v>
      </c>
      <c r="L56" s="24">
        <f>Tableau3[[#This Row],[LLS]]+Tableau3[[#This Row],[LLTS]]+Tableau3[[#This Row],[PLS]]+Tableau3[[#This Row],[REHAB]]</f>
        <v>83</v>
      </c>
      <c r="M56" s="23">
        <f>IFERROR(Tableau3[[#This Row],[LLS]]+Tableau3[[#This Row],[LLTS]]+Tableau3[[#This Row],[PLS]],"-")</f>
        <v>0</v>
      </c>
      <c r="N56" s="25"/>
      <c r="O56" s="25"/>
      <c r="P56" s="25"/>
      <c r="Q56" s="29">
        <v>83</v>
      </c>
      <c r="R56" s="30"/>
      <c r="S56" s="31"/>
      <c r="T56" s="56">
        <f>Tableau3[[#This Row],[SHAB y/c V]]/Tableau3[[#This Row],[N]]</f>
        <v>0</v>
      </c>
      <c r="U56" s="56">
        <f>Tableau3[[#This Row],[SF priorisée]]/Tableau3[[#This Row],[N]]</f>
        <v>0</v>
      </c>
      <c r="V56" s="57" t="str">
        <f>IFERROR(Tableau3[[#This Row],[SHAB y/c V]]/Tableau3[[#This Row],[SF priorisée]],"-")</f>
        <v>-</v>
      </c>
      <c r="W56" s="56"/>
      <c r="X56" s="44"/>
      <c r="Y56" s="43" t="s">
        <v>392</v>
      </c>
      <c r="Z56" s="48"/>
      <c r="AA56" s="58" t="str">
        <f>IFERROR(Tableau3[[#This Row],[Prix Achat TTC]]/Tableau3[[#This Row],[SHAB y/c V]],"-")</f>
        <v>-</v>
      </c>
      <c r="AB56" s="58" t="str">
        <f>IFERROR(Tableau3[[#This Row],[Prix Achat TTC]]/Tableau3[[#This Row],[SF priorisée]],"-")</f>
        <v>-</v>
      </c>
      <c r="AC56" s="58">
        <f>IFERROR(Tableau3[[#This Row],[Prix Achat TTC]]/Tableau3[[#This Row],[N]],"-")</f>
        <v>0</v>
      </c>
      <c r="AD56" s="62">
        <v>43980</v>
      </c>
      <c r="AE56" s="62">
        <v>44074</v>
      </c>
      <c r="AF56" s="62"/>
      <c r="AG56" s="58">
        <f>IFERROR((DATEDIF(Tableau3[[#This Row],[Demande LBU]],Tableau3[[#This Row],[Arrêté LBU]],"d"))/30,0)</f>
        <v>3.1333333333333333</v>
      </c>
      <c r="AH56" s="68">
        <v>44467</v>
      </c>
      <c r="AI56" s="68">
        <v>44578</v>
      </c>
      <c r="AJ56" s="73">
        <f>IFERROR((DATEDIF(Tableau3[[#This Row],[Dde édition prêt]],Tableau3[[#This Row],[Contrat de prêt]],"d"))/30,"-")</f>
        <v>3.7</v>
      </c>
      <c r="AK56" s="68">
        <f>EOMONTH(Tableau3[[#This Row],[Contrat de prêt]],0)+1</f>
        <v>44593</v>
      </c>
      <c r="AL56" s="68">
        <v>44585</v>
      </c>
      <c r="AM56" s="68"/>
      <c r="AN5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6" s="79"/>
      <c r="AP56" s="2" t="str">
        <f>IF(Tableau3[[#This Row],[Montant des loyers perçus avant 1e échéance]]&lt;Tableau3[[#This Row],[Montant échéance annuelle]],"oui","non")</f>
        <v>non</v>
      </c>
      <c r="AS56" s="79">
        <f>Tableau3[[#This Row],[Mois de loyers avant 1e échéance]]-Tableau3[[#This Row],[Montant échéance annuelle]]</f>
        <v>0</v>
      </c>
      <c r="AU56" s="83">
        <v>44727</v>
      </c>
      <c r="AV56" s="94">
        <v>2022</v>
      </c>
      <c r="AW56" s="56">
        <f>IFERROR((DATEDIF(Tableau3[[#This Row],[Arrêté LBU]],Tableau3[[#This Row],[OS démarrage]],"d"))/30,0)</f>
        <v>21.766666666666666</v>
      </c>
      <c r="AX56" s="102">
        <v>22</v>
      </c>
      <c r="AY56" s="112"/>
      <c r="AZ56" s="110"/>
      <c r="BA56" s="116">
        <f>DATE(YEAR(Tableau3[[#This Row],[OS démarrage]]),MONTH(Tableau3[[#This Row],[OS démarrage]])+Tableau3[[#This Row],[Délai chantier initial]],DAY(Tableau3[[#This Row],[OS démarrage]]))</f>
        <v>45397</v>
      </c>
      <c r="BB5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45427</v>
      </c>
      <c r="BC56" s="121">
        <f>(Tableau3[[#This Row],[Date réception entreprise recalée]]-Tableau3[[#This Row],[Date réception entreprise prévue initialement]])/30</f>
        <v>1</v>
      </c>
      <c r="BD56" s="126"/>
      <c r="BE56" s="124"/>
      <c r="BF56" s="124"/>
      <c r="BG56" s="124"/>
      <c r="BH56" s="137">
        <f>IFERROR((Tableau3[[#This Row],[Date Livraison VEFA estimée avec retards constatés]]-Tableau3[[#This Row],[Date livraison contractuelle y/c avenant]])/30,"-")</f>
        <v>0</v>
      </c>
      <c r="BI56" s="138">
        <f>Tableau3[[#This Row],[Date Livraison VEFA estimée avec retards constatés]]-Tableau3[[#This Row],[Date livraison contractuelle y/c avenant]]</f>
        <v>0</v>
      </c>
      <c r="BJ56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57" spans="1:62" x14ac:dyDescent="0.3">
      <c r="A57" s="7" t="s">
        <v>217</v>
      </c>
      <c r="B57" s="4" t="s">
        <v>55</v>
      </c>
      <c r="C57" s="4" t="s">
        <v>12</v>
      </c>
      <c r="D57" s="4">
        <v>2020</v>
      </c>
      <c r="E57" s="4" t="s">
        <v>218</v>
      </c>
      <c r="F57" s="5"/>
      <c r="G57" s="5"/>
      <c r="H57" s="5"/>
      <c r="I57" s="5"/>
      <c r="J57" s="4" t="s">
        <v>219</v>
      </c>
      <c r="K57" s="4" t="s">
        <v>81</v>
      </c>
      <c r="L57" s="24">
        <f>Tableau3[[#This Row],[LLS]]+Tableau3[[#This Row],[LLTS]]+Tableau3[[#This Row],[PLS]]+Tableau3[[#This Row],[REHAB]]</f>
        <v>36</v>
      </c>
      <c r="M57" s="23">
        <f>IFERROR(Tableau3[[#This Row],[LLS]]+Tableau3[[#This Row],[LLTS]]+Tableau3[[#This Row],[PLS]],"-")</f>
        <v>36</v>
      </c>
      <c r="N57" s="25"/>
      <c r="O57" s="4">
        <v>36</v>
      </c>
      <c r="P57" s="25"/>
      <c r="Q57" s="25"/>
      <c r="R57" s="26">
        <v>1668.6</v>
      </c>
      <c r="S57" s="27">
        <v>1786.23</v>
      </c>
      <c r="T57" s="56">
        <f>Tableau3[[#This Row],[SHAB y/c V]]/Tableau3[[#This Row],[N]]</f>
        <v>46.349999999999994</v>
      </c>
      <c r="U57" s="56">
        <f>Tableau3[[#This Row],[SF priorisée]]/Tableau3[[#This Row],[N]]</f>
        <v>49.6175</v>
      </c>
      <c r="V57" s="57">
        <f>IFERROR(Tableau3[[#This Row],[SHAB y/c V]]/Tableau3[[#This Row],[SF priorisée]],"-")</f>
        <v>0.93414621857207636</v>
      </c>
      <c r="W57" s="56"/>
      <c r="X57" s="43" t="s">
        <v>390</v>
      </c>
      <c r="Y57" s="43" t="s">
        <v>392</v>
      </c>
      <c r="Z57" s="5"/>
      <c r="AA57" s="58">
        <f>IFERROR(Tableau3[[#This Row],[Prix Achat TTC]]/Tableau3[[#This Row],[SHAB y/c V]],"-")</f>
        <v>0</v>
      </c>
      <c r="AB57" s="58">
        <f>IFERROR(Tableau3[[#This Row],[Prix Achat TTC]]/Tableau3[[#This Row],[SF priorisée]],"-")</f>
        <v>0</v>
      </c>
      <c r="AC57" s="58">
        <f>IFERROR(Tableau3[[#This Row],[Prix Achat TTC]]/Tableau3[[#This Row],[N]],"-")</f>
        <v>0</v>
      </c>
      <c r="AD57" s="62">
        <v>43889</v>
      </c>
      <c r="AE57" s="62">
        <v>44028</v>
      </c>
      <c r="AF57" s="62">
        <v>44036</v>
      </c>
      <c r="AG57" s="58">
        <f>IFERROR((DATEDIF(Tableau3[[#This Row],[Demande LBU]],Tableau3[[#This Row],[Arrêté LBU]],"d"))/30,0)</f>
        <v>4.6333333333333337</v>
      </c>
      <c r="AH57" s="68">
        <v>44844</v>
      </c>
      <c r="AI57" s="68">
        <v>44921</v>
      </c>
      <c r="AJ57" s="73">
        <f>IFERROR((DATEDIF(Tableau3[[#This Row],[Dde édition prêt]],Tableau3[[#This Row],[Contrat de prêt]],"d"))/30,"-")</f>
        <v>2.5666666666666669</v>
      </c>
      <c r="AK57" s="68">
        <f>EOMONTH(Tableau3[[#This Row],[Contrat de prêt]],0)+1</f>
        <v>44927</v>
      </c>
      <c r="AL57" s="68">
        <v>44923</v>
      </c>
      <c r="AM57" s="68">
        <v>44927</v>
      </c>
      <c r="AN5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57" s="79"/>
      <c r="AP57" s="2" t="str">
        <f>IF(Tableau3[[#This Row],[Montant des loyers perçus avant 1e échéance]]&lt;Tableau3[[#This Row],[Montant échéance annuelle]],"oui","non")</f>
        <v>non</v>
      </c>
      <c r="AS57" s="79">
        <f>Tableau3[[#This Row],[Mois de loyers avant 1e échéance]]-Tableau3[[#This Row],[Montant échéance annuelle]]</f>
        <v>0</v>
      </c>
      <c r="AU57" s="86">
        <v>45017</v>
      </c>
      <c r="AV57" s="97"/>
      <c r="AW57" s="56">
        <f>IFERROR((DATEDIF(Tableau3[[#This Row],[Arrêté LBU]],Tableau3[[#This Row],[OS démarrage]],"d"))/30,0)</f>
        <v>32.966666666666669</v>
      </c>
      <c r="AX57" s="107">
        <v>20</v>
      </c>
      <c r="AY57" s="112"/>
      <c r="AZ57" s="110"/>
      <c r="BA57" s="116">
        <f>DATE(YEAR(Tableau3[[#This Row],[OS démarrage]]),MONTH(Tableau3[[#This Row],[OS démarrage]])+Tableau3[[#This Row],[Délai chantier initial]],DAY(Tableau3[[#This Row],[OS démarrage]]))</f>
        <v>45627</v>
      </c>
      <c r="BB5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45658</v>
      </c>
      <c r="BC57" s="121">
        <f>(Tableau3[[#This Row],[Date réception entreprise recalée]]-Tableau3[[#This Row],[Date réception entreprise prévue initialement]])/30</f>
        <v>1.0333333333333334</v>
      </c>
      <c r="BD57" s="126"/>
      <c r="BE57" s="124"/>
      <c r="BF57" s="124"/>
      <c r="BG57" s="124"/>
      <c r="BH57" s="137">
        <f>IFERROR((Tableau3[[#This Row],[Date Livraison VEFA estimée avec retards constatés]]-Tableau3[[#This Row],[Date livraison contractuelle y/c avenant]])/30,"-")</f>
        <v>0</v>
      </c>
      <c r="BI57" s="138">
        <f>Tableau3[[#This Row],[Date Livraison VEFA estimée avec retards constatés]]-Tableau3[[#This Row],[Date livraison contractuelle y/c avenant]]</f>
        <v>0</v>
      </c>
      <c r="BJ5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58" spans="1:62" x14ac:dyDescent="0.3">
      <c r="A58" s="7" t="s">
        <v>220</v>
      </c>
      <c r="B58" s="4" t="s">
        <v>55</v>
      </c>
      <c r="C58" s="4" t="s">
        <v>12</v>
      </c>
      <c r="D58" s="4">
        <v>2020</v>
      </c>
      <c r="E58" s="4" t="s">
        <v>218</v>
      </c>
      <c r="F58" s="4" t="s">
        <v>27</v>
      </c>
      <c r="G58" s="4" t="s">
        <v>42</v>
      </c>
      <c r="H58" s="8" t="s">
        <v>35</v>
      </c>
      <c r="I58" s="4" t="s">
        <v>46</v>
      </c>
      <c r="J58" s="4" t="s">
        <v>219</v>
      </c>
      <c r="K58" s="8" t="s">
        <v>80</v>
      </c>
      <c r="L58" s="24">
        <f>Tableau3[[#This Row],[LLS]]+Tableau3[[#This Row],[LLTS]]+Tableau3[[#This Row],[PLS]]+Tableau3[[#This Row],[REHAB]]</f>
        <v>20</v>
      </c>
      <c r="M58" s="23">
        <f>IFERROR(Tableau3[[#This Row],[LLS]]+Tableau3[[#This Row],[LLTS]]+Tableau3[[#This Row],[PLS]],"-")</f>
        <v>20</v>
      </c>
      <c r="N58" s="4">
        <v>20</v>
      </c>
      <c r="O58" s="25"/>
      <c r="P58" s="25"/>
      <c r="Q58" s="25"/>
      <c r="R58" s="32">
        <v>927</v>
      </c>
      <c r="S58" s="27">
        <v>1003.51</v>
      </c>
      <c r="T58" s="56">
        <f>Tableau3[[#This Row],[SHAB y/c V]]/Tableau3[[#This Row],[N]]</f>
        <v>46.35</v>
      </c>
      <c r="U58" s="56">
        <f>Tableau3[[#This Row],[SF priorisée]]/Tableau3[[#This Row],[N]]</f>
        <v>50.1755</v>
      </c>
      <c r="V58" s="57">
        <f>IFERROR(Tableau3[[#This Row],[SHAB y/c V]]/Tableau3[[#This Row],[SF priorisée]],"-")</f>
        <v>0.9237576107861406</v>
      </c>
      <c r="W58" s="56"/>
      <c r="X58" s="43" t="s">
        <v>390</v>
      </c>
      <c r="Y58" s="43" t="s">
        <v>392</v>
      </c>
      <c r="Z58" s="48"/>
      <c r="AA58" s="58">
        <f>IFERROR(Tableau3[[#This Row],[Prix Achat TTC]]/Tableau3[[#This Row],[SHAB y/c V]],"-")</f>
        <v>0</v>
      </c>
      <c r="AB58" s="58">
        <f>IFERROR(Tableau3[[#This Row],[Prix Achat TTC]]/Tableau3[[#This Row],[SF priorisée]],"-")</f>
        <v>0</v>
      </c>
      <c r="AC58" s="58">
        <f>IFERROR(Tableau3[[#This Row],[Prix Achat TTC]]/Tableau3[[#This Row],[N]],"-")</f>
        <v>0</v>
      </c>
      <c r="AD58" s="62">
        <v>43889</v>
      </c>
      <c r="AE58" s="62">
        <v>44022</v>
      </c>
      <c r="AF58" s="62">
        <v>44036</v>
      </c>
      <c r="AG58" s="58">
        <f>IFERROR((DATEDIF(Tableau3[[#This Row],[Demande LBU]],Tableau3[[#This Row],[Arrêté LBU]],"d"))/30,0)</f>
        <v>4.4333333333333336</v>
      </c>
      <c r="AH58" s="68">
        <v>44844</v>
      </c>
      <c r="AI58" s="68">
        <v>44921</v>
      </c>
      <c r="AJ58" s="73">
        <f>IFERROR((DATEDIF(Tableau3[[#This Row],[Dde édition prêt]],Tableau3[[#This Row],[Contrat de prêt]],"d"))/30,"-")</f>
        <v>2.5666666666666669</v>
      </c>
      <c r="AK58" s="68">
        <f>EOMONTH(Tableau3[[#This Row],[Contrat de prêt]],0)+1</f>
        <v>44927</v>
      </c>
      <c r="AL58" s="68">
        <v>44923</v>
      </c>
      <c r="AM58" s="68">
        <v>44927</v>
      </c>
      <c r="AN5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58" s="79"/>
      <c r="AP58" s="2" t="str">
        <f>IF(Tableau3[[#This Row],[Montant des loyers perçus avant 1e échéance]]&lt;Tableau3[[#This Row],[Montant échéance annuelle]],"oui","non")</f>
        <v>non</v>
      </c>
      <c r="AS58" s="79">
        <f>Tableau3[[#This Row],[Mois de loyers avant 1e échéance]]-Tableau3[[#This Row],[Montant échéance annuelle]]</f>
        <v>0</v>
      </c>
      <c r="AU58" s="86">
        <v>45017</v>
      </c>
      <c r="AV58" s="97"/>
      <c r="AW58" s="56">
        <f>IFERROR((DATEDIF(Tableau3[[#This Row],[Arrêté LBU]],Tableau3[[#This Row],[OS démarrage]],"d"))/30,0)</f>
        <v>33.166666666666664</v>
      </c>
      <c r="AX58" s="107">
        <v>20</v>
      </c>
      <c r="AY58" s="112"/>
      <c r="AZ58" s="110"/>
      <c r="BA58" s="116">
        <f>DATE(YEAR(Tableau3[[#This Row],[OS démarrage]]),MONTH(Tableau3[[#This Row],[OS démarrage]])+Tableau3[[#This Row],[Délai chantier initial]],DAY(Tableau3[[#This Row],[OS démarrage]]))</f>
        <v>45627</v>
      </c>
      <c r="BB5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45658</v>
      </c>
      <c r="BC58" s="121">
        <f>(Tableau3[[#This Row],[Date réception entreprise recalée]]-Tableau3[[#This Row],[Date réception entreprise prévue initialement]])/30</f>
        <v>1.0333333333333334</v>
      </c>
      <c r="BD58" s="126"/>
      <c r="BE58" s="124"/>
      <c r="BF58" s="124"/>
      <c r="BG58" s="124"/>
      <c r="BH58" s="137">
        <f>IFERROR((Tableau3[[#This Row],[Date Livraison VEFA estimée avec retards constatés]]-Tableau3[[#This Row],[Date livraison contractuelle y/c avenant]])/30,"-")</f>
        <v>0</v>
      </c>
      <c r="BI58" s="138">
        <f>Tableau3[[#This Row],[Date Livraison VEFA estimée avec retards constatés]]-Tableau3[[#This Row],[Date livraison contractuelle y/c avenant]]</f>
        <v>0</v>
      </c>
      <c r="BJ5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59" spans="1:62" x14ac:dyDescent="0.3">
      <c r="A59" s="7" t="s">
        <v>221</v>
      </c>
      <c r="B59" s="8" t="s">
        <v>25</v>
      </c>
      <c r="C59" s="8" t="s">
        <v>21</v>
      </c>
      <c r="D59" s="4">
        <v>2020</v>
      </c>
      <c r="E59" s="8" t="s">
        <v>222</v>
      </c>
      <c r="F59" s="4" t="s">
        <v>27</v>
      </c>
      <c r="G59" s="4" t="s">
        <v>42</v>
      </c>
      <c r="H59" s="4" t="s">
        <v>9</v>
      </c>
      <c r="I59" s="8" t="s">
        <v>46</v>
      </c>
      <c r="J59" s="8" t="s">
        <v>223</v>
      </c>
      <c r="K59" s="8" t="s">
        <v>80</v>
      </c>
      <c r="L59" s="24">
        <f>Tableau3[[#This Row],[LLS]]+Tableau3[[#This Row],[LLTS]]+Tableau3[[#This Row],[PLS]]+Tableau3[[#This Row],[REHAB]]</f>
        <v>16</v>
      </c>
      <c r="M59" s="23">
        <f>IFERROR(Tableau3[[#This Row],[LLS]]+Tableau3[[#This Row],[LLTS]]+Tableau3[[#This Row],[PLS]],"-")</f>
        <v>16</v>
      </c>
      <c r="N59" s="8">
        <v>16</v>
      </c>
      <c r="O59" s="25"/>
      <c r="P59" s="25"/>
      <c r="Q59" s="25"/>
      <c r="R59" s="35">
        <v>1076.78</v>
      </c>
      <c r="S59" s="27">
        <v>1353.79</v>
      </c>
      <c r="T59" s="56">
        <f>Tableau3[[#This Row],[SHAB y/c V]]/Tableau3[[#This Row],[N]]</f>
        <v>67.298749999999998</v>
      </c>
      <c r="U59" s="56">
        <f>Tableau3[[#This Row],[SF priorisée]]/Tableau3[[#This Row],[N]]</f>
        <v>84.611874999999998</v>
      </c>
      <c r="V59" s="57">
        <f>IFERROR(Tableau3[[#This Row],[SHAB y/c V]]/Tableau3[[#This Row],[SF priorisée]],"-")</f>
        <v>0.79538185390644045</v>
      </c>
      <c r="W59" s="56"/>
      <c r="X59" s="43" t="s">
        <v>390</v>
      </c>
      <c r="Y59" s="43" t="s">
        <v>392</v>
      </c>
      <c r="Z59" s="48"/>
      <c r="AA59" s="58">
        <f>IFERROR(Tableau3[[#This Row],[Prix Achat TTC]]/Tableau3[[#This Row],[SHAB y/c V]],"-")</f>
        <v>0</v>
      </c>
      <c r="AB59" s="58">
        <f>IFERROR(Tableau3[[#This Row],[Prix Achat TTC]]/Tableau3[[#This Row],[SF priorisée]],"-")</f>
        <v>0</v>
      </c>
      <c r="AC59" s="58">
        <f>IFERROR(Tableau3[[#This Row],[Prix Achat TTC]]/Tableau3[[#This Row],[N]],"-")</f>
        <v>0</v>
      </c>
      <c r="AD59" s="62">
        <v>43889</v>
      </c>
      <c r="AE59" s="62">
        <v>44022</v>
      </c>
      <c r="AF59" s="62">
        <v>44036</v>
      </c>
      <c r="AG59" s="58">
        <f>IFERROR((DATEDIF(Tableau3[[#This Row],[Demande LBU]],Tableau3[[#This Row],[Arrêté LBU]],"d"))/30,0)</f>
        <v>4.4333333333333336</v>
      </c>
      <c r="AH59" s="70">
        <v>44941</v>
      </c>
      <c r="AI59" s="68"/>
      <c r="AJ59" s="73" t="str">
        <f>IFERROR((DATEDIF(Tableau3[[#This Row],[Dde édition prêt]],Tableau3[[#This Row],[Contrat de prêt]],"d"))/30,"-")</f>
        <v>-</v>
      </c>
      <c r="AK59" s="68">
        <f>EOMONTH(Tableau3[[#This Row],[Contrat de prêt]],0)+1</f>
        <v>32</v>
      </c>
      <c r="AL59" s="68"/>
      <c r="AM59" s="68"/>
      <c r="AN5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59" s="79"/>
      <c r="AP59" s="2" t="str">
        <f>IF(Tableau3[[#This Row],[Montant des loyers perçus avant 1e échéance]]&lt;Tableau3[[#This Row],[Montant échéance annuelle]],"oui","non")</f>
        <v>non</v>
      </c>
      <c r="AS59" s="79">
        <f>Tableau3[[#This Row],[Mois de loyers avant 1e échéance]]-Tableau3[[#This Row],[Montant échéance annuelle]]</f>
        <v>0</v>
      </c>
      <c r="AU59" s="86">
        <v>45078</v>
      </c>
      <c r="AV59" s="95"/>
      <c r="AW59" s="56">
        <f>IFERROR((DATEDIF(Tableau3[[#This Row],[Arrêté LBU]],Tableau3[[#This Row],[OS démarrage]],"d"))/30,0)</f>
        <v>35.200000000000003</v>
      </c>
      <c r="AX59" s="107">
        <v>18</v>
      </c>
      <c r="AY59" s="112"/>
      <c r="AZ59" s="110"/>
      <c r="BA59" s="116">
        <f>DATE(YEAR(Tableau3[[#This Row],[OS démarrage]]),MONTH(Tableau3[[#This Row],[OS démarrage]])+Tableau3[[#This Row],[Délai chantier initial]],DAY(Tableau3[[#This Row],[OS démarrage]]))</f>
        <v>45627</v>
      </c>
      <c r="BB5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45658</v>
      </c>
      <c r="BC59" s="121">
        <f>(Tableau3[[#This Row],[Date réception entreprise recalée]]-Tableau3[[#This Row],[Date réception entreprise prévue initialement]])/30</f>
        <v>1.0333333333333334</v>
      </c>
      <c r="BD59" s="126"/>
      <c r="BE59" s="124"/>
      <c r="BF59" s="124"/>
      <c r="BG59" s="124"/>
      <c r="BH59" s="137">
        <f>IFERROR((Tableau3[[#This Row],[Date Livraison VEFA estimée avec retards constatés]]-Tableau3[[#This Row],[Date livraison contractuelle y/c avenant]])/30,"-")</f>
        <v>0</v>
      </c>
      <c r="BI59" s="138">
        <f>Tableau3[[#This Row],[Date Livraison VEFA estimée avec retards constatés]]-Tableau3[[#This Row],[Date livraison contractuelle y/c avenant]]</f>
        <v>0</v>
      </c>
      <c r="BJ5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60" spans="1:62" x14ac:dyDescent="0.3">
      <c r="A60" s="7" t="s">
        <v>224</v>
      </c>
      <c r="B60" s="8" t="s">
        <v>25</v>
      </c>
      <c r="C60" s="8" t="s">
        <v>21</v>
      </c>
      <c r="D60" s="4">
        <v>2020</v>
      </c>
      <c r="E60" s="8" t="s">
        <v>222</v>
      </c>
      <c r="F60" s="5"/>
      <c r="G60" s="5"/>
      <c r="H60" s="5"/>
      <c r="I60" s="10"/>
      <c r="J60" s="8" t="s">
        <v>225</v>
      </c>
      <c r="K60" s="8" t="s">
        <v>81</v>
      </c>
      <c r="L60" s="24">
        <f>Tableau3[[#This Row],[LLS]]+Tableau3[[#This Row],[LLTS]]+Tableau3[[#This Row],[PLS]]+Tableau3[[#This Row],[REHAB]]</f>
        <v>25</v>
      </c>
      <c r="M60" s="23">
        <f>IFERROR(Tableau3[[#This Row],[LLS]]+Tableau3[[#This Row],[LLTS]]+Tableau3[[#This Row],[PLS]],"-")</f>
        <v>25</v>
      </c>
      <c r="N60" s="25"/>
      <c r="O60" s="8">
        <v>25</v>
      </c>
      <c r="P60" s="25"/>
      <c r="Q60" s="25"/>
      <c r="R60" s="35">
        <v>1140.67</v>
      </c>
      <c r="S60" s="27">
        <v>1554.73</v>
      </c>
      <c r="T60" s="56">
        <f>Tableau3[[#This Row],[SHAB y/c V]]/Tableau3[[#This Row],[N]]</f>
        <v>45.626800000000003</v>
      </c>
      <c r="U60" s="56">
        <f>Tableau3[[#This Row],[SF priorisée]]/Tableau3[[#This Row],[N]]</f>
        <v>62.1892</v>
      </c>
      <c r="V60" s="57">
        <f>IFERROR(Tableau3[[#This Row],[SHAB y/c V]]/Tableau3[[#This Row],[SF priorisée]],"-")</f>
        <v>0.73367723012999042</v>
      </c>
      <c r="W60" s="56"/>
      <c r="X60" s="43" t="s">
        <v>390</v>
      </c>
      <c r="Y60" s="43" t="s">
        <v>392</v>
      </c>
      <c r="Z60" s="48"/>
      <c r="AA60" s="58">
        <f>IFERROR(Tableau3[[#This Row],[Prix Achat TTC]]/Tableau3[[#This Row],[SHAB y/c V]],"-")</f>
        <v>0</v>
      </c>
      <c r="AB60" s="58">
        <f>IFERROR(Tableau3[[#This Row],[Prix Achat TTC]]/Tableau3[[#This Row],[SF priorisée]],"-")</f>
        <v>0</v>
      </c>
      <c r="AC60" s="58">
        <f>IFERROR(Tableau3[[#This Row],[Prix Achat TTC]]/Tableau3[[#This Row],[N]],"-")</f>
        <v>0</v>
      </c>
      <c r="AD60" s="62">
        <v>43889</v>
      </c>
      <c r="AE60" s="62">
        <v>44022</v>
      </c>
      <c r="AF60" s="62">
        <v>44036</v>
      </c>
      <c r="AG60" s="58">
        <f>IFERROR((DATEDIF(Tableau3[[#This Row],[Demande LBU]],Tableau3[[#This Row],[Arrêté LBU]],"d"))/30,0)</f>
        <v>4.4333333333333336</v>
      </c>
      <c r="AH60" s="70">
        <v>44941</v>
      </c>
      <c r="AI60" s="68"/>
      <c r="AJ60" s="73" t="str">
        <f>IFERROR((DATEDIF(Tableau3[[#This Row],[Dde édition prêt]],Tableau3[[#This Row],[Contrat de prêt]],"d"))/30,"-")</f>
        <v>-</v>
      </c>
      <c r="AK60" s="68">
        <f>EOMONTH(Tableau3[[#This Row],[Contrat de prêt]],0)+1</f>
        <v>32</v>
      </c>
      <c r="AL60" s="68"/>
      <c r="AM60" s="68"/>
      <c r="AN6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0" s="79"/>
      <c r="AP60" s="2" t="str">
        <f>IF(Tableau3[[#This Row],[Montant des loyers perçus avant 1e échéance]]&lt;Tableau3[[#This Row],[Montant échéance annuelle]],"oui","non")</f>
        <v>non</v>
      </c>
      <c r="AS60" s="79">
        <f>Tableau3[[#This Row],[Mois de loyers avant 1e échéance]]-Tableau3[[#This Row],[Montant échéance annuelle]]</f>
        <v>0</v>
      </c>
      <c r="AU60" s="86">
        <v>45078</v>
      </c>
      <c r="AV60" s="95"/>
      <c r="AW60" s="56">
        <f>IFERROR((DATEDIF(Tableau3[[#This Row],[Arrêté LBU]],Tableau3[[#This Row],[OS démarrage]],"d"))/30,0)</f>
        <v>35.200000000000003</v>
      </c>
      <c r="AX60" s="107">
        <v>18</v>
      </c>
      <c r="AY60" s="112"/>
      <c r="AZ60" s="110"/>
      <c r="BA60" s="116">
        <f>DATE(YEAR(Tableau3[[#This Row],[OS démarrage]]),MONTH(Tableau3[[#This Row],[OS démarrage]])+Tableau3[[#This Row],[Délai chantier initial]],DAY(Tableau3[[#This Row],[OS démarrage]]))</f>
        <v>45627</v>
      </c>
      <c r="BB6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45658</v>
      </c>
      <c r="BC60" s="121">
        <f>(Tableau3[[#This Row],[Date réception entreprise recalée]]-Tableau3[[#This Row],[Date réception entreprise prévue initialement]])/30</f>
        <v>1.0333333333333334</v>
      </c>
      <c r="BD60" s="126"/>
      <c r="BE60" s="124"/>
      <c r="BF60" s="124"/>
      <c r="BG60" s="124"/>
      <c r="BH60" s="137">
        <f>IFERROR((Tableau3[[#This Row],[Date Livraison VEFA estimée avec retards constatés]]-Tableau3[[#This Row],[Date livraison contractuelle y/c avenant]])/30,"-")</f>
        <v>0</v>
      </c>
      <c r="BI60" s="138">
        <f>Tableau3[[#This Row],[Date Livraison VEFA estimée avec retards constatés]]-Tableau3[[#This Row],[Date livraison contractuelle y/c avenant]]</f>
        <v>0</v>
      </c>
      <c r="BJ6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61" spans="1:62" x14ac:dyDescent="0.3">
      <c r="A61" s="7" t="s">
        <v>226</v>
      </c>
      <c r="B61" s="4" t="s">
        <v>55</v>
      </c>
      <c r="C61" s="4" t="s">
        <v>12</v>
      </c>
      <c r="D61" s="4">
        <v>2020</v>
      </c>
      <c r="E61" s="4" t="s">
        <v>227</v>
      </c>
      <c r="F61" s="7" t="s">
        <v>45</v>
      </c>
      <c r="G61" s="7"/>
      <c r="H61" s="7" t="s">
        <v>18</v>
      </c>
      <c r="I61" s="6" t="s">
        <v>32</v>
      </c>
      <c r="J61" s="5"/>
      <c r="K61" s="4" t="s">
        <v>81</v>
      </c>
      <c r="L61" s="24">
        <f>Tableau3[[#This Row],[LLS]]+Tableau3[[#This Row],[LLTS]]+Tableau3[[#This Row],[PLS]]+Tableau3[[#This Row],[REHAB]]</f>
        <v>10</v>
      </c>
      <c r="M61" s="23">
        <f>IFERROR(Tableau3[[#This Row],[LLS]]+Tableau3[[#This Row],[LLTS]]+Tableau3[[#This Row],[PLS]],"-")</f>
        <v>10</v>
      </c>
      <c r="N61" s="25"/>
      <c r="O61" s="4">
        <v>10</v>
      </c>
      <c r="P61" s="25"/>
      <c r="Q61" s="34"/>
      <c r="R61" s="32">
        <v>557.67999999999995</v>
      </c>
      <c r="S61" s="27">
        <v>639.89</v>
      </c>
      <c r="T61" s="56">
        <f>Tableau3[[#This Row],[SHAB y/c V]]/Tableau3[[#This Row],[N]]</f>
        <v>55.767999999999994</v>
      </c>
      <c r="U61" s="56">
        <f>Tableau3[[#This Row],[SF priorisée]]/Tableau3[[#This Row],[N]]</f>
        <v>63.988999999999997</v>
      </c>
      <c r="V61" s="57">
        <f>IFERROR(Tableau3[[#This Row],[SHAB y/c V]]/Tableau3[[#This Row],[SF priorisée]],"-")</f>
        <v>0.87152479332385246</v>
      </c>
      <c r="W61" s="56"/>
      <c r="X61" s="43" t="s">
        <v>93</v>
      </c>
      <c r="Y61" s="43" t="s">
        <v>392</v>
      </c>
      <c r="Z61" s="49">
        <v>1374659</v>
      </c>
      <c r="AA61" s="58">
        <f>IFERROR(Tableau3[[#This Row],[Prix Achat TTC]]/Tableau3[[#This Row],[SHAB y/c V]],"-")</f>
        <v>2464.9601922249321</v>
      </c>
      <c r="AB61" s="58">
        <f>IFERROR(Tableau3[[#This Row],[Prix Achat TTC]]/Tableau3[[#This Row],[SF priorisée]],"-")</f>
        <v>2148.2739220803578</v>
      </c>
      <c r="AC61" s="58">
        <f>IFERROR(Tableau3[[#This Row],[Prix Achat TTC]]/Tableau3[[#This Row],[N]],"-")</f>
        <v>137465.9</v>
      </c>
      <c r="AD61" s="62">
        <v>44043</v>
      </c>
      <c r="AE61" s="62">
        <v>44179</v>
      </c>
      <c r="AF61" s="62"/>
      <c r="AG61" s="58">
        <f>IFERROR((DATEDIF(Tableau3[[#This Row],[Demande LBU]],Tableau3[[#This Row],[Arrêté LBU]],"d"))/30,0)</f>
        <v>4.5333333333333332</v>
      </c>
      <c r="AH61" s="70">
        <v>44872</v>
      </c>
      <c r="AI61" s="68"/>
      <c r="AJ61" s="73" t="str">
        <f>IFERROR((DATEDIF(Tableau3[[#This Row],[Dde édition prêt]],Tableau3[[#This Row],[Contrat de prêt]],"d"))/30,"-")</f>
        <v>-</v>
      </c>
      <c r="AK61" s="68">
        <f>EOMONTH(Tableau3[[#This Row],[Contrat de prêt]],0)+1</f>
        <v>32</v>
      </c>
      <c r="AL61" s="68"/>
      <c r="AM61" s="68"/>
      <c r="AN6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1" s="79"/>
      <c r="AP61" s="2" t="str">
        <f>IF(Tableau3[[#This Row],[Montant des loyers perçus avant 1e échéance]]&lt;Tableau3[[#This Row],[Montant échéance annuelle]],"oui","non")</f>
        <v>non</v>
      </c>
      <c r="AS61" s="79">
        <f>Tableau3[[#This Row],[Mois de loyers avant 1e échéance]]-Tableau3[[#This Row],[Montant échéance annuelle]]</f>
        <v>0</v>
      </c>
      <c r="AU61" s="86">
        <v>45417</v>
      </c>
      <c r="AV61" s="97"/>
      <c r="AW61" s="56">
        <f>IFERROR((DATEDIF(Tableau3[[#This Row],[Arrêté LBU]],Tableau3[[#This Row],[OS démarrage]],"d"))/30,0)</f>
        <v>41.266666666666666</v>
      </c>
      <c r="AX61" s="107">
        <v>24</v>
      </c>
      <c r="AY61" s="112"/>
      <c r="AZ61" s="110"/>
      <c r="BA61" s="116">
        <f>DATE(YEAR(Tableau3[[#This Row],[OS démarrage]]),MONTH(Tableau3[[#This Row],[OS démarrage]])+Tableau3[[#This Row],[Délai chantier initial]],DAY(Tableau3[[#This Row],[OS démarrage]]))</f>
        <v>46147</v>
      </c>
      <c r="BB6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61" s="121">
        <f>(Tableau3[[#This Row],[Date réception entreprise recalée]]-Tableau3[[#This Row],[Date réception entreprise prévue initialement]])/30</f>
        <v>1.0333333333333334</v>
      </c>
      <c r="BD61" s="126"/>
      <c r="BE61" s="124"/>
      <c r="BF61" s="124"/>
      <c r="BG61" s="124"/>
      <c r="BH61" s="137">
        <f>IFERROR((Tableau3[[#This Row],[Date Livraison VEFA estimée avec retards constatés]]-Tableau3[[#This Row],[Date livraison contractuelle y/c avenant]])/30,"-")</f>
        <v>0</v>
      </c>
      <c r="BI61" s="138">
        <f>Tableau3[[#This Row],[Date Livraison VEFA estimée avec retards constatés]]-Tableau3[[#This Row],[Date livraison contractuelle y/c avenant]]</f>
        <v>0</v>
      </c>
      <c r="BJ6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62" spans="1:62" x14ac:dyDescent="0.3">
      <c r="A62" s="7" t="s">
        <v>228</v>
      </c>
      <c r="B62" s="4" t="s">
        <v>55</v>
      </c>
      <c r="C62" s="4" t="s">
        <v>12</v>
      </c>
      <c r="D62" s="4">
        <v>2020</v>
      </c>
      <c r="E62" s="4" t="s">
        <v>229</v>
      </c>
      <c r="F62" s="5"/>
      <c r="G62" s="5"/>
      <c r="H62" s="5"/>
      <c r="I62" s="17"/>
      <c r="J62" s="5"/>
      <c r="K62" s="4" t="s">
        <v>81</v>
      </c>
      <c r="L62" s="24">
        <f>Tableau3[[#This Row],[LLS]]+Tableau3[[#This Row],[LLTS]]+Tableau3[[#This Row],[PLS]]+Tableau3[[#This Row],[REHAB]]</f>
        <v>9</v>
      </c>
      <c r="M62" s="23">
        <f>IFERROR(Tableau3[[#This Row],[LLS]]+Tableau3[[#This Row],[LLTS]]+Tableau3[[#This Row],[PLS]],"-")</f>
        <v>9</v>
      </c>
      <c r="N62" s="25"/>
      <c r="O62" s="4">
        <v>9</v>
      </c>
      <c r="P62" s="25"/>
      <c r="Q62" s="34"/>
      <c r="R62" s="32">
        <v>494.49</v>
      </c>
      <c r="S62" s="27">
        <v>616.41</v>
      </c>
      <c r="T62" s="56">
        <f>Tableau3[[#This Row],[SHAB y/c V]]/Tableau3[[#This Row],[N]]</f>
        <v>54.943333333333335</v>
      </c>
      <c r="U62" s="56">
        <f>Tableau3[[#This Row],[SF priorisée]]/Tableau3[[#This Row],[N]]</f>
        <v>68.489999999999995</v>
      </c>
      <c r="V62" s="57">
        <f>IFERROR(Tableau3[[#This Row],[SHAB y/c V]]/Tableau3[[#This Row],[SF priorisée]],"-")</f>
        <v>0.80220956830680878</v>
      </c>
      <c r="W62" s="56"/>
      <c r="X62" s="43" t="s">
        <v>93</v>
      </c>
      <c r="Y62" s="43" t="s">
        <v>392</v>
      </c>
      <c r="Z62" s="49">
        <v>1218694</v>
      </c>
      <c r="AA62" s="58">
        <f>IFERROR(Tableau3[[#This Row],[Prix Achat TTC]]/Tableau3[[#This Row],[SHAB y/c V]],"-")</f>
        <v>2464.5473113713119</v>
      </c>
      <c r="AB62" s="58">
        <f>IFERROR(Tableau3[[#This Row],[Prix Achat TTC]]/Tableau3[[#This Row],[SF priorisée]],"-")</f>
        <v>1977.0834347268865</v>
      </c>
      <c r="AC62" s="58">
        <f>IFERROR(Tableau3[[#This Row],[Prix Achat TTC]]/Tableau3[[#This Row],[N]],"-")</f>
        <v>135410.44444444444</v>
      </c>
      <c r="AD62" s="62">
        <v>44043</v>
      </c>
      <c r="AE62" s="62">
        <v>44179</v>
      </c>
      <c r="AF62" s="62"/>
      <c r="AG62" s="58">
        <f>IFERROR((DATEDIF(Tableau3[[#This Row],[Demande LBU]],Tableau3[[#This Row],[Arrêté LBU]],"d"))/30,0)</f>
        <v>4.5333333333333332</v>
      </c>
      <c r="AH62" s="70">
        <v>44872</v>
      </c>
      <c r="AI62" s="68"/>
      <c r="AJ62" s="73" t="str">
        <f>IFERROR((DATEDIF(Tableau3[[#This Row],[Dde édition prêt]],Tableau3[[#This Row],[Contrat de prêt]],"d"))/30,"-")</f>
        <v>-</v>
      </c>
      <c r="AK62" s="68">
        <f>EOMONTH(Tableau3[[#This Row],[Contrat de prêt]],0)+1</f>
        <v>32</v>
      </c>
      <c r="AL62" s="68"/>
      <c r="AM62" s="68"/>
      <c r="AN6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2" s="79"/>
      <c r="AP62" s="2" t="str">
        <f>IF(Tableau3[[#This Row],[Montant des loyers perçus avant 1e échéance]]&lt;Tableau3[[#This Row],[Montant échéance annuelle]],"oui","non")</f>
        <v>non</v>
      </c>
      <c r="AS62" s="79">
        <f>Tableau3[[#This Row],[Mois de loyers avant 1e échéance]]-Tableau3[[#This Row],[Montant échéance annuelle]]</f>
        <v>0</v>
      </c>
      <c r="AU62" s="86">
        <v>45417</v>
      </c>
      <c r="AV62" s="97"/>
      <c r="AW62" s="56">
        <f>IFERROR((DATEDIF(Tableau3[[#This Row],[Arrêté LBU]],Tableau3[[#This Row],[OS démarrage]],"d"))/30,0)</f>
        <v>41.266666666666666</v>
      </c>
      <c r="AX62" s="107">
        <v>24</v>
      </c>
      <c r="AY62" s="112"/>
      <c r="AZ62" s="110"/>
      <c r="BA62" s="116">
        <f>DATE(YEAR(Tableau3[[#This Row],[OS démarrage]]),MONTH(Tableau3[[#This Row],[OS démarrage]])+Tableau3[[#This Row],[Délai chantier initial]],DAY(Tableau3[[#This Row],[OS démarrage]]))</f>
        <v>46147</v>
      </c>
      <c r="BB6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62" s="121">
        <f>(Tableau3[[#This Row],[Date réception entreprise recalée]]-Tableau3[[#This Row],[Date réception entreprise prévue initialement]])/30</f>
        <v>1.0333333333333334</v>
      </c>
      <c r="BD62" s="126"/>
      <c r="BE62" s="124"/>
      <c r="BF62" s="124"/>
      <c r="BG62" s="124"/>
      <c r="BH62" s="137">
        <f>IFERROR((Tableau3[[#This Row],[Date Livraison VEFA estimée avec retards constatés]]-Tableau3[[#This Row],[Date livraison contractuelle y/c avenant]])/30,"-")</f>
        <v>0</v>
      </c>
      <c r="BI62" s="138">
        <f>Tableau3[[#This Row],[Date Livraison VEFA estimée avec retards constatés]]-Tableau3[[#This Row],[Date livraison contractuelle y/c avenant]]</f>
        <v>0</v>
      </c>
      <c r="BJ6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63" spans="1:62" x14ac:dyDescent="0.3">
      <c r="A63" s="3" t="s">
        <v>230</v>
      </c>
      <c r="B63" s="4" t="s">
        <v>55</v>
      </c>
      <c r="C63" s="4" t="s">
        <v>12</v>
      </c>
      <c r="D63" s="4">
        <v>2021</v>
      </c>
      <c r="E63" s="4" t="s">
        <v>231</v>
      </c>
      <c r="F63" s="4" t="s">
        <v>27</v>
      </c>
      <c r="G63" s="4"/>
      <c r="H63" s="4" t="s">
        <v>9</v>
      </c>
      <c r="I63" s="6" t="s">
        <v>48</v>
      </c>
      <c r="J63" s="4" t="s">
        <v>232</v>
      </c>
      <c r="K63" s="4" t="s">
        <v>82</v>
      </c>
      <c r="L63" s="24">
        <f>Tableau3[[#This Row],[LLS]]+Tableau3[[#This Row],[LLTS]]+Tableau3[[#This Row],[PLS]]+Tableau3[[#This Row],[REHAB]]</f>
        <v>78</v>
      </c>
      <c r="M63" s="23">
        <f>IFERROR(Tableau3[[#This Row],[LLS]]+Tableau3[[#This Row],[LLTS]]+Tableau3[[#This Row],[PLS]],"-")</f>
        <v>78</v>
      </c>
      <c r="N63" s="25"/>
      <c r="O63" s="25"/>
      <c r="P63" s="4">
        <v>78</v>
      </c>
      <c r="Q63" s="25"/>
      <c r="R63" s="32">
        <v>5550.65</v>
      </c>
      <c r="S63" s="27">
        <v>6482.8999999999987</v>
      </c>
      <c r="T63" s="56">
        <f>Tableau3[[#This Row],[SHAB y/c V]]/Tableau3[[#This Row],[N]]</f>
        <v>71.162179487179486</v>
      </c>
      <c r="U63" s="56">
        <f>Tableau3[[#This Row],[SF priorisée]]/Tableau3[[#This Row],[N]]</f>
        <v>83.114102564102552</v>
      </c>
      <c r="V63" s="57">
        <f>IFERROR(Tableau3[[#This Row],[SHAB y/c V]]/Tableau3[[#This Row],[SF priorisée]],"-")</f>
        <v>0.85619861481744297</v>
      </c>
      <c r="W63" s="56"/>
      <c r="X63" s="43" t="s">
        <v>93</v>
      </c>
      <c r="Y63" s="43" t="s">
        <v>392</v>
      </c>
      <c r="Z63" s="50">
        <v>13868582.50292</v>
      </c>
      <c r="AA63" s="58">
        <f>IFERROR(Tableau3[[#This Row],[Prix Achat TTC]]/Tableau3[[#This Row],[SHAB y/c V]],"-")</f>
        <v>2498.5510711214001</v>
      </c>
      <c r="AB63" s="58">
        <f>IFERROR(Tableau3[[#This Row],[Prix Achat TTC]]/Tableau3[[#This Row],[SF priorisée]],"-")</f>
        <v>2139.2559661447813</v>
      </c>
      <c r="AC63" s="58">
        <f>IFERROR(Tableau3[[#This Row],[Prix Achat TTC]]/Tableau3[[#This Row],[N]],"-")</f>
        <v>177802.33978102563</v>
      </c>
      <c r="AD63" s="62">
        <v>44250</v>
      </c>
      <c r="AE63" s="62">
        <v>44398</v>
      </c>
      <c r="AF63" s="62">
        <v>44410</v>
      </c>
      <c r="AG63" s="58">
        <f>IFERROR((DATEDIF(Tableau3[[#This Row],[Demande LBU]],Tableau3[[#This Row],[Arrêté LBU]],"d"))/30,0)</f>
        <v>4.9333333333333336</v>
      </c>
      <c r="AH63" s="68">
        <v>44466</v>
      </c>
      <c r="AI63" s="68">
        <v>44519</v>
      </c>
      <c r="AJ63" s="73">
        <f>IFERROR((DATEDIF(Tableau3[[#This Row],[Dde édition prêt]],Tableau3[[#This Row],[Contrat de prêt]],"d"))/30,"-")</f>
        <v>1.7666666666666666</v>
      </c>
      <c r="AK63" s="68">
        <f>EOMONTH(Tableau3[[#This Row],[Contrat de prêt]],0)+1</f>
        <v>44531</v>
      </c>
      <c r="AL63" s="68">
        <v>44522</v>
      </c>
      <c r="AM63" s="68">
        <v>44562</v>
      </c>
      <c r="AN6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45658</v>
      </c>
      <c r="AO63" s="79">
        <v>521156.32999999996</v>
      </c>
      <c r="AP63" s="2" t="str">
        <f>IF(Tableau3[[#This Row],[Montant des loyers perçus avant 1e échéance]]&lt;Tableau3[[#This Row],[Montant échéance annuelle]],"oui","non")</f>
        <v>oui</v>
      </c>
      <c r="AS63" s="79">
        <f>Tableau3[[#This Row],[Mois de loyers avant 1e échéance]]-Tableau3[[#This Row],[Montant échéance annuelle]]</f>
        <v>-521156.32999999996</v>
      </c>
      <c r="AU63" s="83">
        <v>44558</v>
      </c>
      <c r="AV63" s="94">
        <v>2021</v>
      </c>
      <c r="AW63" s="56">
        <f>IFERROR((DATEDIF(Tableau3[[#This Row],[Arrêté LBU]],Tableau3[[#This Row],[OS démarrage]],"d"))/30,0)</f>
        <v>5.333333333333333</v>
      </c>
      <c r="AX63" s="102">
        <v>26</v>
      </c>
      <c r="AY63" s="112"/>
      <c r="AZ63" s="84">
        <v>44792</v>
      </c>
      <c r="BA63" s="116">
        <f>DATE(YEAR(Tableau3[[#This Row],[OS démarrage]]),MONTH(Tableau3[[#This Row],[OS démarrage]])+Tableau3[[#This Row],[Délai chantier initial]],DAY(Tableau3[[#This Row],[OS démarrage]]))</f>
        <v>45350</v>
      </c>
      <c r="BB6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45379</v>
      </c>
      <c r="BC63" s="121">
        <f>(Tableau3[[#This Row],[Date réception entreprise recalée]]-Tableau3[[#This Row],[Date réception entreprise prévue initialement]])/30</f>
        <v>0.96666666666666667</v>
      </c>
      <c r="BD63" s="126">
        <v>45351</v>
      </c>
      <c r="BE63" s="124">
        <v>45351</v>
      </c>
      <c r="BF63" s="124">
        <f>BE63</f>
        <v>45351</v>
      </c>
      <c r="BG63" s="124">
        <v>45351</v>
      </c>
      <c r="BH63" s="137">
        <f>IFERROR((Tableau3[[#This Row],[Date Livraison VEFA estimée avec retards constatés]]-Tableau3[[#This Row],[Date livraison contractuelle y/c avenant]])/30,"-")</f>
        <v>0</v>
      </c>
      <c r="BI63" s="138">
        <f>Tableau3[[#This Row],[Date Livraison VEFA estimée avec retards constatés]]-Tableau3[[#This Row],[Date livraison contractuelle y/c avenant]]</f>
        <v>0</v>
      </c>
      <c r="BJ63" s="140">
        <f>IF(Tableau3[[#This Row],[TYPE]]="Rehab","",DATE(YEAR(Tableau3[[#This Row],[Achèvement fondations]])+2,MONTH(Tableau3[[#This Row],[Achèvement fondations]]),DAY(Tableau3[[#This Row],[Achèvement fondations]])))</f>
        <v>45523</v>
      </c>
    </row>
    <row r="64" spans="1:62" x14ac:dyDescent="0.3">
      <c r="A64" s="14" t="s">
        <v>233</v>
      </c>
      <c r="B64" s="8" t="s">
        <v>41</v>
      </c>
      <c r="C64" s="8" t="s">
        <v>12</v>
      </c>
      <c r="D64" s="4">
        <v>2021</v>
      </c>
      <c r="E64" s="8"/>
      <c r="F64" s="4" t="s">
        <v>38</v>
      </c>
      <c r="G64" s="4"/>
      <c r="H64" s="4" t="s">
        <v>9</v>
      </c>
      <c r="I64" s="8" t="s">
        <v>46</v>
      </c>
      <c r="J64" s="8" t="s">
        <v>234</v>
      </c>
      <c r="K64" s="8" t="s">
        <v>389</v>
      </c>
      <c r="L64" s="24">
        <f>Tableau3[[#This Row],[LLS]]+Tableau3[[#This Row],[LLTS]]+Tableau3[[#This Row],[PLS]]+Tableau3[[#This Row],[REHAB]]</f>
        <v>36</v>
      </c>
      <c r="M64" s="23">
        <f>IFERROR(Tableau3[[#This Row],[LLS]]+Tableau3[[#This Row],[LLTS]]+Tableau3[[#This Row],[PLS]],"-")</f>
        <v>0</v>
      </c>
      <c r="N64" s="25"/>
      <c r="O64" s="28"/>
      <c r="P64" s="25"/>
      <c r="Q64" s="4">
        <v>36</v>
      </c>
      <c r="R64" s="30"/>
      <c r="S64" s="31"/>
      <c r="T64" s="56">
        <f>Tableau3[[#This Row],[SHAB y/c V]]/Tableau3[[#This Row],[N]]</f>
        <v>0</v>
      </c>
      <c r="U64" s="56">
        <f>Tableau3[[#This Row],[SF priorisée]]/Tableau3[[#This Row],[N]]</f>
        <v>0</v>
      </c>
      <c r="V64" s="57" t="str">
        <f>IFERROR(Tableau3[[#This Row],[SHAB y/c V]]/Tableau3[[#This Row],[SF priorisée]],"-")</f>
        <v>-</v>
      </c>
      <c r="W64" s="56"/>
      <c r="X64" s="44"/>
      <c r="Y64" s="43" t="s">
        <v>392</v>
      </c>
      <c r="Z64" s="5"/>
      <c r="AA64" s="58" t="str">
        <f>IFERROR(Tableau3[[#This Row],[Prix Achat TTC]]/Tableau3[[#This Row],[SHAB y/c V]],"-")</f>
        <v>-</v>
      </c>
      <c r="AB64" s="58" t="str">
        <f>IFERROR(Tableau3[[#This Row],[Prix Achat TTC]]/Tableau3[[#This Row],[SF priorisée]],"-")</f>
        <v>-</v>
      </c>
      <c r="AC64" s="58">
        <f>IFERROR(Tableau3[[#This Row],[Prix Achat TTC]]/Tableau3[[#This Row],[N]],"-")</f>
        <v>0</v>
      </c>
      <c r="AD64" s="62">
        <v>44343</v>
      </c>
      <c r="AE64" s="62">
        <v>44496</v>
      </c>
      <c r="AF64" s="62">
        <v>44502</v>
      </c>
      <c r="AG64" s="58">
        <f>IFERROR((DATEDIF(Tableau3[[#This Row],[Demande LBU]],Tableau3[[#This Row],[Arrêté LBU]],"d"))/30,0)</f>
        <v>5.0999999999999996</v>
      </c>
      <c r="AH64" s="68">
        <v>44839</v>
      </c>
      <c r="AI64" s="68"/>
      <c r="AJ64" s="73" t="str">
        <f>IFERROR((DATEDIF(Tableau3[[#This Row],[Dde édition prêt]],Tableau3[[#This Row],[Contrat de prêt]],"d"))/30,"-")</f>
        <v>-</v>
      </c>
      <c r="AK64" s="68">
        <f>EOMONTH(Tableau3[[#This Row],[Contrat de prêt]],0)+1</f>
        <v>32</v>
      </c>
      <c r="AL64" s="68"/>
      <c r="AM64" s="68"/>
      <c r="AN6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4" s="79"/>
      <c r="AP64" s="2" t="str">
        <f>IF(Tableau3[[#This Row],[Montant des loyers perçus avant 1e échéance]]&lt;Tableau3[[#This Row],[Montant échéance annuelle]],"oui","non")</f>
        <v>non</v>
      </c>
      <c r="AS64" s="79">
        <f>Tableau3[[#This Row],[Mois de loyers avant 1e échéance]]-Tableau3[[#This Row],[Montant échéance annuelle]]</f>
        <v>0</v>
      </c>
      <c r="AU64" s="86">
        <v>44986</v>
      </c>
      <c r="AV64" s="95"/>
      <c r="AW64" s="56">
        <f>IFERROR((DATEDIF(Tableau3[[#This Row],[Arrêté LBU]],Tableau3[[#This Row],[OS démarrage]],"d"))/30,0)</f>
        <v>16.333333333333332</v>
      </c>
      <c r="AX64" s="107">
        <v>12</v>
      </c>
      <c r="AY64" s="112"/>
      <c r="AZ64" s="110"/>
      <c r="BA64" s="116">
        <f>DATE(YEAR(Tableau3[[#This Row],[OS démarrage]]),MONTH(Tableau3[[#This Row],[OS démarrage]])+Tableau3[[#This Row],[Délai chantier initial]],DAY(Tableau3[[#This Row],[OS démarrage]]))</f>
        <v>45352</v>
      </c>
      <c r="BB6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45383</v>
      </c>
      <c r="BC64" s="121">
        <f>(Tableau3[[#This Row],[Date réception entreprise recalée]]-Tableau3[[#This Row],[Date réception entreprise prévue initialement]])/30</f>
        <v>1.0333333333333334</v>
      </c>
      <c r="BD64" s="126"/>
      <c r="BE64" s="124"/>
      <c r="BF64" s="124"/>
      <c r="BG64" s="124"/>
      <c r="BH64" s="137">
        <f>IFERROR((Tableau3[[#This Row],[Date Livraison VEFA estimée avec retards constatés]]-Tableau3[[#This Row],[Date livraison contractuelle y/c avenant]])/30,"-")</f>
        <v>0</v>
      </c>
      <c r="BI64" s="138">
        <f>Tableau3[[#This Row],[Date Livraison VEFA estimée avec retards constatés]]-Tableau3[[#This Row],[Date livraison contractuelle y/c avenant]]</f>
        <v>0</v>
      </c>
      <c r="BJ64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65" spans="1:62" x14ac:dyDescent="0.3">
      <c r="A65" s="14" t="s">
        <v>235</v>
      </c>
      <c r="B65" s="8" t="s">
        <v>11</v>
      </c>
      <c r="C65" s="8" t="s">
        <v>21</v>
      </c>
      <c r="D65" s="4">
        <v>2021</v>
      </c>
      <c r="E65" s="8"/>
      <c r="F65" s="4" t="s">
        <v>38</v>
      </c>
      <c r="G65" s="4"/>
      <c r="H65" s="4" t="s">
        <v>18</v>
      </c>
      <c r="I65" s="8" t="s">
        <v>46</v>
      </c>
      <c r="J65" s="8" t="s">
        <v>236</v>
      </c>
      <c r="K65" s="8" t="s">
        <v>389</v>
      </c>
      <c r="L65" s="24">
        <f>Tableau3[[#This Row],[LLS]]+Tableau3[[#This Row],[LLTS]]+Tableau3[[#This Row],[PLS]]+Tableau3[[#This Row],[REHAB]]</f>
        <v>10</v>
      </c>
      <c r="M65" s="23">
        <f>IFERROR(Tableau3[[#This Row],[LLS]]+Tableau3[[#This Row],[LLTS]]+Tableau3[[#This Row],[PLS]],"-")</f>
        <v>0</v>
      </c>
      <c r="N65" s="25"/>
      <c r="O65" s="28"/>
      <c r="P65" s="25"/>
      <c r="Q65" s="4">
        <v>10</v>
      </c>
      <c r="R65" s="30"/>
      <c r="S65" s="31"/>
      <c r="T65" s="56">
        <f>Tableau3[[#This Row],[SHAB y/c V]]/Tableau3[[#This Row],[N]]</f>
        <v>0</v>
      </c>
      <c r="U65" s="56">
        <f>Tableau3[[#This Row],[SF priorisée]]/Tableau3[[#This Row],[N]]</f>
        <v>0</v>
      </c>
      <c r="V65" s="57" t="str">
        <f>IFERROR(Tableau3[[#This Row],[SHAB y/c V]]/Tableau3[[#This Row],[SF priorisée]],"-")</f>
        <v>-</v>
      </c>
      <c r="W65" s="56"/>
      <c r="X65" s="44"/>
      <c r="Y65" s="43"/>
      <c r="Z65" s="5"/>
      <c r="AA65" s="58" t="str">
        <f>IFERROR(Tableau3[[#This Row],[Prix Achat TTC]]/Tableau3[[#This Row],[SHAB y/c V]],"-")</f>
        <v>-</v>
      </c>
      <c r="AB65" s="58" t="str">
        <f>IFERROR(Tableau3[[#This Row],[Prix Achat TTC]]/Tableau3[[#This Row],[SF priorisée]],"-")</f>
        <v>-</v>
      </c>
      <c r="AC65" s="58">
        <f>IFERROR(Tableau3[[#This Row],[Prix Achat TTC]]/Tableau3[[#This Row],[N]],"-")</f>
        <v>0</v>
      </c>
      <c r="AD65" s="62">
        <v>44343</v>
      </c>
      <c r="AE65" s="62">
        <v>44363</v>
      </c>
      <c r="AF65" s="62"/>
      <c r="AG65" s="58">
        <f>IFERROR((DATEDIF(Tableau3[[#This Row],[Demande LBU]],Tableau3[[#This Row],[Arrêté LBU]],"d"))/30,0)</f>
        <v>0.66666666666666663</v>
      </c>
      <c r="AH65" s="68">
        <v>44924</v>
      </c>
      <c r="AI65" s="68">
        <v>44985</v>
      </c>
      <c r="AJ65" s="73">
        <f>IFERROR((DATEDIF(Tableau3[[#This Row],[Dde édition prêt]],Tableau3[[#This Row],[Contrat de prêt]],"d"))/30,"-")</f>
        <v>2.0333333333333332</v>
      </c>
      <c r="AK65" s="68">
        <f>EOMONTH(Tableau3[[#This Row],[Contrat de prêt]],0)+1</f>
        <v>44986</v>
      </c>
      <c r="AL65" s="68"/>
      <c r="AM65" s="68">
        <v>44986</v>
      </c>
      <c r="AN6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46082</v>
      </c>
      <c r="AO65" s="79">
        <v>18526.79</v>
      </c>
      <c r="AP65" s="2" t="str">
        <f>IF(Tableau3[[#This Row],[Montant des loyers perçus avant 1e échéance]]&lt;Tableau3[[#This Row],[Montant échéance annuelle]],"oui","non")</f>
        <v>oui</v>
      </c>
      <c r="AS65" s="79">
        <f>Tableau3[[#This Row],[Mois de loyers avant 1e échéance]]-Tableau3[[#This Row],[Montant échéance annuelle]]</f>
        <v>-18526.79</v>
      </c>
      <c r="AU65" s="86">
        <v>45017</v>
      </c>
      <c r="AV65" s="95"/>
      <c r="AW65" s="56">
        <f>IFERROR((DATEDIF(Tableau3[[#This Row],[Arrêté LBU]],Tableau3[[#This Row],[OS démarrage]],"d"))/30,0)</f>
        <v>21.8</v>
      </c>
      <c r="AX65" s="107">
        <v>12</v>
      </c>
      <c r="AY65" s="112"/>
      <c r="AZ65" s="110"/>
      <c r="BA65" s="116">
        <f>DATE(YEAR(Tableau3[[#This Row],[OS démarrage]]),MONTH(Tableau3[[#This Row],[OS démarrage]])+Tableau3[[#This Row],[Délai chantier initial]],DAY(Tableau3[[#This Row],[OS démarrage]]))</f>
        <v>45383</v>
      </c>
      <c r="BB6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45413</v>
      </c>
      <c r="BC65" s="121">
        <f>(Tableau3[[#This Row],[Date réception entreprise recalée]]-Tableau3[[#This Row],[Date réception entreprise prévue initialement]])/30</f>
        <v>1</v>
      </c>
      <c r="BD65" s="126"/>
      <c r="BE65" s="124"/>
      <c r="BF65" s="124"/>
      <c r="BG65" s="124"/>
      <c r="BH65" s="137">
        <f>IFERROR((Tableau3[[#This Row],[Date Livraison VEFA estimée avec retards constatés]]-Tableau3[[#This Row],[Date livraison contractuelle y/c avenant]])/30,"-")</f>
        <v>0</v>
      </c>
      <c r="BI65" s="138">
        <f>Tableau3[[#This Row],[Date Livraison VEFA estimée avec retards constatés]]-Tableau3[[#This Row],[Date livraison contractuelle y/c avenant]]</f>
        <v>0</v>
      </c>
      <c r="BJ65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66" spans="1:62" x14ac:dyDescent="0.3">
      <c r="A66" s="14" t="s">
        <v>237</v>
      </c>
      <c r="B66" s="8" t="s">
        <v>11</v>
      </c>
      <c r="C66" s="8" t="s">
        <v>21</v>
      </c>
      <c r="D66" s="4">
        <v>2021</v>
      </c>
      <c r="E66" s="8"/>
      <c r="F66" s="4" t="s">
        <v>17</v>
      </c>
      <c r="G66" s="4"/>
      <c r="H66" s="4" t="s">
        <v>18</v>
      </c>
      <c r="I66" s="4" t="s">
        <v>46</v>
      </c>
      <c r="J66" s="8" t="s">
        <v>238</v>
      </c>
      <c r="K66" s="8" t="s">
        <v>389</v>
      </c>
      <c r="L66" s="24">
        <f>Tableau3[[#This Row],[LLS]]+Tableau3[[#This Row],[LLTS]]+Tableau3[[#This Row],[PLS]]+Tableau3[[#This Row],[REHAB]]</f>
        <v>29</v>
      </c>
      <c r="M66" s="23">
        <f>IFERROR(Tableau3[[#This Row],[LLS]]+Tableau3[[#This Row],[LLTS]]+Tableau3[[#This Row],[PLS]],"-")</f>
        <v>0</v>
      </c>
      <c r="N66" s="25"/>
      <c r="O66" s="28"/>
      <c r="P66" s="25"/>
      <c r="Q66" s="4">
        <v>29</v>
      </c>
      <c r="R66" s="30"/>
      <c r="S66" s="31"/>
      <c r="T66" s="56">
        <f>Tableau3[[#This Row],[SHAB y/c V]]/Tableau3[[#This Row],[N]]</f>
        <v>0</v>
      </c>
      <c r="U66" s="56">
        <f>Tableau3[[#This Row],[SF priorisée]]/Tableau3[[#This Row],[N]]</f>
        <v>0</v>
      </c>
      <c r="V66" s="57" t="str">
        <f>IFERROR(Tableau3[[#This Row],[SHAB y/c V]]/Tableau3[[#This Row],[SF priorisée]],"-")</f>
        <v>-</v>
      </c>
      <c r="W66" s="56"/>
      <c r="X66" s="44"/>
      <c r="Y66" s="43"/>
      <c r="Z66" s="5"/>
      <c r="AA66" s="58" t="str">
        <f>IFERROR(Tableau3[[#This Row],[Prix Achat TTC]]/Tableau3[[#This Row],[SHAB y/c V]],"-")</f>
        <v>-</v>
      </c>
      <c r="AB66" s="58" t="str">
        <f>IFERROR(Tableau3[[#This Row],[Prix Achat TTC]]/Tableau3[[#This Row],[SF priorisée]],"-")</f>
        <v>-</v>
      </c>
      <c r="AC66" s="58">
        <f>IFERROR(Tableau3[[#This Row],[Prix Achat TTC]]/Tableau3[[#This Row],[N]],"-")</f>
        <v>0</v>
      </c>
      <c r="AD66" s="62">
        <v>44343</v>
      </c>
      <c r="AE66" s="62">
        <v>44516</v>
      </c>
      <c r="AF66" s="62">
        <v>44529</v>
      </c>
      <c r="AG66" s="58">
        <f>IFERROR((DATEDIF(Tableau3[[#This Row],[Demande LBU]],Tableau3[[#This Row],[Arrêté LBU]],"d"))/30,0)</f>
        <v>5.7666666666666666</v>
      </c>
      <c r="AH66" s="68">
        <v>44839</v>
      </c>
      <c r="AI66" s="68">
        <v>44921</v>
      </c>
      <c r="AJ66" s="73">
        <f>IFERROR((DATEDIF(Tableau3[[#This Row],[Dde édition prêt]],Tableau3[[#This Row],[Contrat de prêt]],"d"))/30,"-")</f>
        <v>2.7333333333333334</v>
      </c>
      <c r="AK66" s="68">
        <f>EOMONTH(Tableau3[[#This Row],[Contrat de prêt]],0)+1</f>
        <v>44927</v>
      </c>
      <c r="AL66" s="68">
        <v>44995</v>
      </c>
      <c r="AM66" s="68">
        <v>44927</v>
      </c>
      <c r="AN6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66" s="79">
        <f>12906</f>
        <v>12906</v>
      </c>
      <c r="AP66" s="2" t="str">
        <f>IF(Tableau3[[#This Row],[Montant des loyers perçus avant 1e échéance]]&lt;Tableau3[[#This Row],[Montant échéance annuelle]],"oui","non")</f>
        <v>oui</v>
      </c>
      <c r="AS66" s="79">
        <f>Tableau3[[#This Row],[Mois de loyers avant 1e échéance]]-Tableau3[[#This Row],[Montant échéance annuelle]]</f>
        <v>-12906</v>
      </c>
      <c r="AU66" s="83">
        <v>45022</v>
      </c>
      <c r="AV66" s="94">
        <v>2023</v>
      </c>
      <c r="AW66" s="56">
        <f>IFERROR((DATEDIF(Tableau3[[#This Row],[Arrêté LBU]],Tableau3[[#This Row],[OS démarrage]],"d"))/30,0)</f>
        <v>16.866666666666667</v>
      </c>
      <c r="AX66" s="102">
        <v>12</v>
      </c>
      <c r="AY66" s="112"/>
      <c r="AZ66" s="110"/>
      <c r="BA66" s="116">
        <f>DATE(YEAR(Tableau3[[#This Row],[OS démarrage]]),MONTH(Tableau3[[#This Row],[OS démarrage]])+Tableau3[[#This Row],[Délai chantier initial]],DAY(Tableau3[[#This Row],[OS démarrage]]))</f>
        <v>45388</v>
      </c>
      <c r="BB6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45418</v>
      </c>
      <c r="BC66" s="121">
        <f>(Tableau3[[#This Row],[Date réception entreprise recalée]]-Tableau3[[#This Row],[Date réception entreprise prévue initialement]])/30</f>
        <v>1</v>
      </c>
      <c r="BD66" s="126"/>
      <c r="BE66" s="124"/>
      <c r="BF66" s="124"/>
      <c r="BG66" s="124"/>
      <c r="BH66" s="137">
        <f>IFERROR((Tableau3[[#This Row],[Date Livraison VEFA estimée avec retards constatés]]-Tableau3[[#This Row],[Date livraison contractuelle y/c avenant]])/30,"-")</f>
        <v>0</v>
      </c>
      <c r="BI66" s="138">
        <f>Tableau3[[#This Row],[Date Livraison VEFA estimée avec retards constatés]]-Tableau3[[#This Row],[Date livraison contractuelle y/c avenant]]</f>
        <v>0</v>
      </c>
      <c r="BJ66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67" spans="1:62" x14ac:dyDescent="0.3">
      <c r="A67" s="14" t="s">
        <v>239</v>
      </c>
      <c r="B67" s="8" t="s">
        <v>41</v>
      </c>
      <c r="C67" s="8" t="s">
        <v>12</v>
      </c>
      <c r="D67" s="4">
        <v>2021</v>
      </c>
      <c r="E67" s="8"/>
      <c r="F67" s="4" t="s">
        <v>17</v>
      </c>
      <c r="G67" s="4"/>
      <c r="H67" s="8" t="s">
        <v>35</v>
      </c>
      <c r="I67" s="4" t="s">
        <v>40</v>
      </c>
      <c r="J67" s="8" t="s">
        <v>240</v>
      </c>
      <c r="K67" s="8" t="s">
        <v>389</v>
      </c>
      <c r="L67" s="24">
        <f>Tableau3[[#This Row],[LLS]]+Tableau3[[#This Row],[LLTS]]+Tableau3[[#This Row],[PLS]]+Tableau3[[#This Row],[REHAB]]</f>
        <v>57</v>
      </c>
      <c r="M67" s="23">
        <f>IFERROR(Tableau3[[#This Row],[LLS]]+Tableau3[[#This Row],[LLTS]]+Tableau3[[#This Row],[PLS]],"-")</f>
        <v>0</v>
      </c>
      <c r="N67" s="25"/>
      <c r="O67" s="28"/>
      <c r="P67" s="25"/>
      <c r="Q67" s="4">
        <v>57</v>
      </c>
      <c r="R67" s="30"/>
      <c r="S67" s="31"/>
      <c r="T67" s="56">
        <f>Tableau3[[#This Row],[SHAB y/c V]]/Tableau3[[#This Row],[N]]</f>
        <v>0</v>
      </c>
      <c r="U67" s="56">
        <f>Tableau3[[#This Row],[SF priorisée]]/Tableau3[[#This Row],[N]]</f>
        <v>0</v>
      </c>
      <c r="V67" s="57" t="str">
        <f>IFERROR(Tableau3[[#This Row],[SHAB y/c V]]/Tableau3[[#This Row],[SF priorisée]],"-")</f>
        <v>-</v>
      </c>
      <c r="W67" s="56"/>
      <c r="X67" s="44"/>
      <c r="Y67" s="43" t="s">
        <v>392</v>
      </c>
      <c r="Z67" s="5"/>
      <c r="AA67" s="58" t="str">
        <f>IFERROR(Tableau3[[#This Row],[Prix Achat TTC]]/Tableau3[[#This Row],[SHAB y/c V]],"-")</f>
        <v>-</v>
      </c>
      <c r="AB67" s="58" t="str">
        <f>IFERROR(Tableau3[[#This Row],[Prix Achat TTC]]/Tableau3[[#This Row],[SF priorisée]],"-")</f>
        <v>-</v>
      </c>
      <c r="AC67" s="58">
        <f>IFERROR(Tableau3[[#This Row],[Prix Achat TTC]]/Tableau3[[#This Row],[N]],"-")</f>
        <v>0</v>
      </c>
      <c r="AD67" s="62">
        <v>44343</v>
      </c>
      <c r="AE67" s="62">
        <v>44516</v>
      </c>
      <c r="AF67" s="62">
        <v>44529</v>
      </c>
      <c r="AG67" s="58">
        <f>IFERROR((DATEDIF(Tableau3[[#This Row],[Demande LBU]],Tableau3[[#This Row],[Arrêté LBU]],"d"))/30,0)</f>
        <v>5.7666666666666666</v>
      </c>
      <c r="AH67" s="68"/>
      <c r="AI67" s="68"/>
      <c r="AJ67" s="73">
        <f>IFERROR((DATEDIF(Tableau3[[#This Row],[Dde édition prêt]],Tableau3[[#This Row],[Contrat de prêt]],"d"))/30,"-")</f>
        <v>0</v>
      </c>
      <c r="AK67" s="68">
        <f>EOMONTH(Tableau3[[#This Row],[Contrat de prêt]],0)+1</f>
        <v>32</v>
      </c>
      <c r="AL67" s="68"/>
      <c r="AM67" s="68"/>
      <c r="AN6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7" s="79"/>
      <c r="AP67" s="2" t="str">
        <f>IF(Tableau3[[#This Row],[Montant des loyers perçus avant 1e échéance]]&lt;Tableau3[[#This Row],[Montant échéance annuelle]],"oui","non")</f>
        <v>non</v>
      </c>
      <c r="AS67" s="79">
        <f>Tableau3[[#This Row],[Mois de loyers avant 1e échéance]]-Tableau3[[#This Row],[Montant échéance annuelle]]</f>
        <v>0</v>
      </c>
      <c r="AU67" s="86">
        <v>45078</v>
      </c>
      <c r="AV67" s="95"/>
      <c r="AW67" s="56">
        <f>IFERROR((DATEDIF(Tableau3[[#This Row],[Arrêté LBU]],Tableau3[[#This Row],[OS démarrage]],"d"))/30,0)</f>
        <v>18.733333333333334</v>
      </c>
      <c r="AX67" s="107">
        <v>12</v>
      </c>
      <c r="AY67" s="112"/>
      <c r="AZ67" s="110"/>
      <c r="BA67" s="116">
        <f>DATE(YEAR(Tableau3[[#This Row],[OS démarrage]]),MONTH(Tableau3[[#This Row],[OS démarrage]])+Tableau3[[#This Row],[Délai chantier initial]],DAY(Tableau3[[#This Row],[OS démarrage]]))</f>
        <v>45444</v>
      </c>
      <c r="BB6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45474</v>
      </c>
      <c r="BC67" s="121">
        <f>(Tableau3[[#This Row],[Date réception entreprise recalée]]-Tableau3[[#This Row],[Date réception entreprise prévue initialement]])/30</f>
        <v>1</v>
      </c>
      <c r="BD67" s="126"/>
      <c r="BE67" s="124"/>
      <c r="BF67" s="124"/>
      <c r="BG67" s="124"/>
      <c r="BH67" s="137">
        <f>IFERROR((Tableau3[[#This Row],[Date Livraison VEFA estimée avec retards constatés]]-Tableau3[[#This Row],[Date livraison contractuelle y/c avenant]])/30,"-")</f>
        <v>0</v>
      </c>
      <c r="BI67" s="138">
        <f>Tableau3[[#This Row],[Date Livraison VEFA estimée avec retards constatés]]-Tableau3[[#This Row],[Date livraison contractuelle y/c avenant]]</f>
        <v>0</v>
      </c>
      <c r="BJ67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68" spans="1:62" x14ac:dyDescent="0.3">
      <c r="A68" s="14" t="s">
        <v>241</v>
      </c>
      <c r="B68" s="8" t="s">
        <v>41</v>
      </c>
      <c r="C68" s="8" t="s">
        <v>12</v>
      </c>
      <c r="D68" s="4">
        <v>2021</v>
      </c>
      <c r="E68" s="8"/>
      <c r="F68" s="4" t="s">
        <v>38</v>
      </c>
      <c r="G68" s="4"/>
      <c r="H68" s="4" t="s">
        <v>28</v>
      </c>
      <c r="I68" s="8" t="s">
        <v>40</v>
      </c>
      <c r="J68" s="8" t="s">
        <v>242</v>
      </c>
      <c r="K68" s="8" t="s">
        <v>389</v>
      </c>
      <c r="L68" s="24">
        <f>Tableau3[[#This Row],[LLS]]+Tableau3[[#This Row],[LLTS]]+Tableau3[[#This Row],[PLS]]+Tableau3[[#This Row],[REHAB]]</f>
        <v>40</v>
      </c>
      <c r="M68" s="23">
        <f>IFERROR(Tableau3[[#This Row],[LLS]]+Tableau3[[#This Row],[LLTS]]+Tableau3[[#This Row],[PLS]],"-")</f>
        <v>0</v>
      </c>
      <c r="N68" s="25"/>
      <c r="O68" s="28"/>
      <c r="P68" s="25"/>
      <c r="Q68" s="4">
        <v>40</v>
      </c>
      <c r="R68" s="30"/>
      <c r="S68" s="31"/>
      <c r="T68" s="56">
        <f>Tableau3[[#This Row],[SHAB y/c V]]/Tableau3[[#This Row],[N]]</f>
        <v>0</v>
      </c>
      <c r="U68" s="56">
        <f>Tableau3[[#This Row],[SF priorisée]]/Tableau3[[#This Row],[N]]</f>
        <v>0</v>
      </c>
      <c r="V68" s="57" t="str">
        <f>IFERROR(Tableau3[[#This Row],[SHAB y/c V]]/Tableau3[[#This Row],[SF priorisée]],"-")</f>
        <v>-</v>
      </c>
      <c r="W68" s="56"/>
      <c r="X68" s="44"/>
      <c r="Y68" s="43"/>
      <c r="Z68" s="5"/>
      <c r="AA68" s="58" t="str">
        <f>IFERROR(Tableau3[[#This Row],[Prix Achat TTC]]/Tableau3[[#This Row],[SHAB y/c V]],"-")</f>
        <v>-</v>
      </c>
      <c r="AB68" s="58" t="str">
        <f>IFERROR(Tableau3[[#This Row],[Prix Achat TTC]]/Tableau3[[#This Row],[SF priorisée]],"-")</f>
        <v>-</v>
      </c>
      <c r="AC68" s="58">
        <f>IFERROR(Tableau3[[#This Row],[Prix Achat TTC]]/Tableau3[[#This Row],[N]],"-")</f>
        <v>0</v>
      </c>
      <c r="AD68" s="62">
        <v>44343</v>
      </c>
      <c r="AE68" s="62">
        <v>44516</v>
      </c>
      <c r="AF68" s="62">
        <v>44529</v>
      </c>
      <c r="AG68" s="58">
        <f>IFERROR((DATEDIF(Tableau3[[#This Row],[Demande LBU]],Tableau3[[#This Row],[Arrêté LBU]],"d"))/30,0)</f>
        <v>5.7666666666666666</v>
      </c>
      <c r="AH68" s="68"/>
      <c r="AI68" s="68"/>
      <c r="AJ68" s="73">
        <f>IFERROR((DATEDIF(Tableau3[[#This Row],[Dde édition prêt]],Tableau3[[#This Row],[Contrat de prêt]],"d"))/30,"-")</f>
        <v>0</v>
      </c>
      <c r="AK68" s="68">
        <f>EOMONTH(Tableau3[[#This Row],[Contrat de prêt]],0)+1</f>
        <v>32</v>
      </c>
      <c r="AL68" s="68"/>
      <c r="AM68" s="68"/>
      <c r="AN6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8" s="79"/>
      <c r="AP68" s="2" t="str">
        <f>IF(Tableau3[[#This Row],[Montant des loyers perçus avant 1e échéance]]&lt;Tableau3[[#This Row],[Montant échéance annuelle]],"oui","non")</f>
        <v>non</v>
      </c>
      <c r="AS68" s="79">
        <f>Tableau3[[#This Row],[Mois de loyers avant 1e échéance]]-Tableau3[[#This Row],[Montant échéance annuelle]]</f>
        <v>0</v>
      </c>
      <c r="AU68" s="86">
        <v>45170</v>
      </c>
      <c r="AV68" s="95"/>
      <c r="AW68" s="56">
        <f>IFERROR((DATEDIF(Tableau3[[#This Row],[Arrêté LBU]],Tableau3[[#This Row],[OS démarrage]],"d"))/30,0)</f>
        <v>21.8</v>
      </c>
      <c r="AX68" s="107">
        <v>12</v>
      </c>
      <c r="AY68" s="112"/>
      <c r="AZ68" s="110"/>
      <c r="BA68" s="116">
        <f>DATE(YEAR(Tableau3[[#This Row],[OS démarrage]]),MONTH(Tableau3[[#This Row],[OS démarrage]])+Tableau3[[#This Row],[Délai chantier initial]],DAY(Tableau3[[#This Row],[OS démarrage]]))</f>
        <v>45536</v>
      </c>
      <c r="BB6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45566</v>
      </c>
      <c r="BC68" s="121">
        <f>(Tableau3[[#This Row],[Date réception entreprise recalée]]-Tableau3[[#This Row],[Date réception entreprise prévue initialement]])/30</f>
        <v>1</v>
      </c>
      <c r="BD68" s="126"/>
      <c r="BE68" s="124"/>
      <c r="BF68" s="124"/>
      <c r="BG68" s="124"/>
      <c r="BH68" s="137">
        <f>IFERROR((Tableau3[[#This Row],[Date Livraison VEFA estimée avec retards constatés]]-Tableau3[[#This Row],[Date livraison contractuelle y/c avenant]])/30,"-")</f>
        <v>0</v>
      </c>
      <c r="BI68" s="138">
        <f>Tableau3[[#This Row],[Date Livraison VEFA estimée avec retards constatés]]-Tableau3[[#This Row],[Date livraison contractuelle y/c avenant]]</f>
        <v>0</v>
      </c>
      <c r="BJ6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69" spans="1:62" x14ac:dyDescent="0.3">
      <c r="A69" s="14" t="s">
        <v>243</v>
      </c>
      <c r="B69" s="8" t="s">
        <v>55</v>
      </c>
      <c r="C69" s="8" t="s">
        <v>12</v>
      </c>
      <c r="D69" s="4">
        <v>2021</v>
      </c>
      <c r="E69" s="8"/>
      <c r="F69" s="4" t="s">
        <v>17</v>
      </c>
      <c r="G69" s="4"/>
      <c r="H69" s="4" t="s">
        <v>13</v>
      </c>
      <c r="I69" s="8" t="s">
        <v>46</v>
      </c>
      <c r="J69" s="8" t="s">
        <v>244</v>
      </c>
      <c r="K69" s="8" t="s">
        <v>389</v>
      </c>
      <c r="L69" s="24">
        <f>Tableau3[[#This Row],[LLS]]+Tableau3[[#This Row],[LLTS]]+Tableau3[[#This Row],[PLS]]+Tableau3[[#This Row],[REHAB]]</f>
        <v>86</v>
      </c>
      <c r="M69" s="23">
        <f>IFERROR(Tableau3[[#This Row],[LLS]]+Tableau3[[#This Row],[LLTS]]+Tableau3[[#This Row],[PLS]],"-")</f>
        <v>0</v>
      </c>
      <c r="N69" s="25"/>
      <c r="O69" s="28"/>
      <c r="P69" s="25"/>
      <c r="Q69" s="4">
        <v>86</v>
      </c>
      <c r="R69" s="30"/>
      <c r="S69" s="31"/>
      <c r="T69" s="56">
        <f>Tableau3[[#This Row],[SHAB y/c V]]/Tableau3[[#This Row],[N]]</f>
        <v>0</v>
      </c>
      <c r="U69" s="56">
        <f>Tableau3[[#This Row],[SF priorisée]]/Tableau3[[#This Row],[N]]</f>
        <v>0</v>
      </c>
      <c r="V69" s="57" t="str">
        <f>IFERROR(Tableau3[[#This Row],[SHAB y/c V]]/Tableau3[[#This Row],[SF priorisée]],"-")</f>
        <v>-</v>
      </c>
      <c r="W69" s="56"/>
      <c r="X69" s="44"/>
      <c r="Y69" s="43" t="s">
        <v>392</v>
      </c>
      <c r="Z69" s="5"/>
      <c r="AA69" s="58" t="str">
        <f>IFERROR(Tableau3[[#This Row],[Prix Achat TTC]]/Tableau3[[#This Row],[SHAB y/c V]],"-")</f>
        <v>-</v>
      </c>
      <c r="AB69" s="58" t="str">
        <f>IFERROR(Tableau3[[#This Row],[Prix Achat TTC]]/Tableau3[[#This Row],[SF priorisée]],"-")</f>
        <v>-</v>
      </c>
      <c r="AC69" s="58">
        <f>IFERROR(Tableau3[[#This Row],[Prix Achat TTC]]/Tableau3[[#This Row],[N]],"-")</f>
        <v>0</v>
      </c>
      <c r="AD69" s="62">
        <v>44343</v>
      </c>
      <c r="AE69" s="62">
        <v>44516</v>
      </c>
      <c r="AF69" s="62">
        <v>44529</v>
      </c>
      <c r="AG69" s="58">
        <f>IFERROR((DATEDIF(Tableau3[[#This Row],[Demande LBU]],Tableau3[[#This Row],[Arrêté LBU]],"d"))/30,0)</f>
        <v>5.7666666666666666</v>
      </c>
      <c r="AH69" s="70"/>
      <c r="AI69" s="68"/>
      <c r="AJ69" s="73">
        <f>IFERROR((DATEDIF(Tableau3[[#This Row],[Dde édition prêt]],Tableau3[[#This Row],[Contrat de prêt]],"d"))/30,"-")</f>
        <v>0</v>
      </c>
      <c r="AK69" s="68">
        <f>EOMONTH(Tableau3[[#This Row],[Contrat de prêt]],0)+1</f>
        <v>32</v>
      </c>
      <c r="AL69" s="68"/>
      <c r="AM69" s="68"/>
      <c r="AN6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69" s="79"/>
      <c r="AP69" s="2" t="str">
        <f>IF(Tableau3[[#This Row],[Montant des loyers perçus avant 1e échéance]]&lt;Tableau3[[#This Row],[Montant échéance annuelle]],"oui","non")</f>
        <v>non</v>
      </c>
      <c r="AS69" s="79">
        <f>Tableau3[[#This Row],[Mois de loyers avant 1e échéance]]-Tableau3[[#This Row],[Montant échéance annuelle]]</f>
        <v>0</v>
      </c>
      <c r="AU69" s="86">
        <v>45047</v>
      </c>
      <c r="AV69" s="95"/>
      <c r="AW69" s="56">
        <f>IFERROR((DATEDIF(Tableau3[[#This Row],[Arrêté LBU]],Tableau3[[#This Row],[OS démarrage]],"d"))/30,0)</f>
        <v>17.7</v>
      </c>
      <c r="AX69" s="107">
        <v>18</v>
      </c>
      <c r="AY69" s="112"/>
      <c r="AZ69" s="110"/>
      <c r="BA69" s="116">
        <f>DATE(YEAR(Tableau3[[#This Row],[OS démarrage]]),MONTH(Tableau3[[#This Row],[OS démarrage]])+Tableau3[[#This Row],[Délai chantier initial]],DAY(Tableau3[[#This Row],[OS démarrage]]))</f>
        <v>45597</v>
      </c>
      <c r="BB6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45627</v>
      </c>
      <c r="BC69" s="121">
        <f>(Tableau3[[#This Row],[Date réception entreprise recalée]]-Tableau3[[#This Row],[Date réception entreprise prévue initialement]])/30</f>
        <v>1</v>
      </c>
      <c r="BD69" s="126"/>
      <c r="BE69" s="124"/>
      <c r="BF69" s="124"/>
      <c r="BG69" s="124"/>
      <c r="BH69" s="137">
        <f>IFERROR((Tableau3[[#This Row],[Date Livraison VEFA estimée avec retards constatés]]-Tableau3[[#This Row],[Date livraison contractuelle y/c avenant]])/30,"-")</f>
        <v>0</v>
      </c>
      <c r="BI69" s="138">
        <f>Tableau3[[#This Row],[Date Livraison VEFA estimée avec retards constatés]]-Tableau3[[#This Row],[Date livraison contractuelle y/c avenant]]</f>
        <v>0</v>
      </c>
      <c r="BJ6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70" spans="1:62" x14ac:dyDescent="0.3">
      <c r="A70" s="7" t="s">
        <v>245</v>
      </c>
      <c r="B70" s="4" t="s">
        <v>55</v>
      </c>
      <c r="C70" s="4" t="s">
        <v>12</v>
      </c>
      <c r="D70" s="4">
        <v>2021</v>
      </c>
      <c r="E70" s="4" t="s">
        <v>246</v>
      </c>
      <c r="F70" s="4" t="s">
        <v>34</v>
      </c>
      <c r="G70" s="4"/>
      <c r="H70" s="4" t="s">
        <v>31</v>
      </c>
      <c r="I70" s="4" t="s">
        <v>46</v>
      </c>
      <c r="J70" s="4" t="s">
        <v>247</v>
      </c>
      <c r="K70" s="8" t="s">
        <v>82</v>
      </c>
      <c r="L70" s="24">
        <f>Tableau3[[#This Row],[LLS]]+Tableau3[[#This Row],[LLTS]]+Tableau3[[#This Row],[PLS]]+Tableau3[[#This Row],[REHAB]]</f>
        <v>31</v>
      </c>
      <c r="M70" s="23">
        <f>IFERROR(Tableau3[[#This Row],[LLS]]+Tableau3[[#This Row],[LLTS]]+Tableau3[[#This Row],[PLS]],"-")</f>
        <v>31</v>
      </c>
      <c r="N70" s="25"/>
      <c r="O70" s="25"/>
      <c r="P70" s="4">
        <v>31</v>
      </c>
      <c r="Q70" s="25"/>
      <c r="R70" s="32">
        <v>2393.27</v>
      </c>
      <c r="S70" s="27">
        <v>2825.69</v>
      </c>
      <c r="T70" s="56">
        <f>Tableau3[[#This Row],[SHAB y/c V]]/Tableau3[[#This Row],[N]]</f>
        <v>77.20225806451613</v>
      </c>
      <c r="U70" s="56">
        <f>Tableau3[[#This Row],[SF priorisée]]/Tableau3[[#This Row],[N]]</f>
        <v>91.15129032258065</v>
      </c>
      <c r="V70" s="57">
        <f>IFERROR(Tableau3[[#This Row],[SHAB y/c V]]/Tableau3[[#This Row],[SF priorisée]],"-")</f>
        <v>0.84696835109300739</v>
      </c>
      <c r="W70" s="56"/>
      <c r="X70" s="43" t="s">
        <v>390</v>
      </c>
      <c r="Y70" s="43" t="s">
        <v>392</v>
      </c>
      <c r="Z70" s="48"/>
      <c r="AA70" s="58">
        <f>IFERROR(Tableau3[[#This Row],[Prix Achat TTC]]/Tableau3[[#This Row],[SHAB y/c V]],"-")</f>
        <v>0</v>
      </c>
      <c r="AB70" s="58">
        <f>IFERROR(Tableau3[[#This Row],[Prix Achat TTC]]/Tableau3[[#This Row],[SF priorisée]],"-")</f>
        <v>0</v>
      </c>
      <c r="AC70" s="58">
        <f>IFERROR(Tableau3[[#This Row],[Prix Achat TTC]]/Tableau3[[#This Row],[N]],"-")</f>
        <v>0</v>
      </c>
      <c r="AD70" s="62">
        <v>44243</v>
      </c>
      <c r="AE70" s="62">
        <v>44371</v>
      </c>
      <c r="AF70" s="62">
        <v>44375</v>
      </c>
      <c r="AG70" s="58">
        <f>IFERROR((DATEDIF(Tableau3[[#This Row],[Demande LBU]],Tableau3[[#This Row],[Arrêté LBU]],"d"))/30,0)</f>
        <v>4.2666666666666666</v>
      </c>
      <c r="AH70" s="68">
        <v>45012</v>
      </c>
      <c r="AI70" s="68"/>
      <c r="AJ70" s="73" t="str">
        <f>IFERROR((DATEDIF(Tableau3[[#This Row],[Dde édition prêt]],Tableau3[[#This Row],[Contrat de prêt]],"d"))/30,"-")</f>
        <v>-</v>
      </c>
      <c r="AK70" s="68">
        <f>EOMONTH(Tableau3[[#This Row],[Contrat de prêt]],0)+1</f>
        <v>32</v>
      </c>
      <c r="AL70" s="68"/>
      <c r="AM70" s="68"/>
      <c r="AN7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0" s="79"/>
      <c r="AP70" s="2" t="str">
        <f>IF(Tableau3[[#This Row],[Montant des loyers perçus avant 1e échéance]]&lt;Tableau3[[#This Row],[Montant échéance annuelle]],"oui","non")</f>
        <v>non</v>
      </c>
      <c r="AS70" s="79">
        <f>Tableau3[[#This Row],[Mois de loyers avant 1e échéance]]-Tableau3[[#This Row],[Montant échéance annuelle]]</f>
        <v>0</v>
      </c>
      <c r="AU70" s="86">
        <v>45047</v>
      </c>
      <c r="AV70" s="97"/>
      <c r="AW70" s="56">
        <f>IFERROR((DATEDIF(Tableau3[[#This Row],[Arrêté LBU]],Tableau3[[#This Row],[OS démarrage]],"d"))/30,0)</f>
        <v>22.533333333333335</v>
      </c>
      <c r="AX70" s="107">
        <v>20</v>
      </c>
      <c r="AY70" s="112"/>
      <c r="AZ70" s="110"/>
      <c r="BA70" s="116">
        <f>DATE(YEAR(Tableau3[[#This Row],[OS démarrage]]),MONTH(Tableau3[[#This Row],[OS démarrage]])+Tableau3[[#This Row],[Délai chantier initial]],DAY(Tableau3[[#This Row],[OS démarrage]]))</f>
        <v>45658</v>
      </c>
      <c r="BB7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45689</v>
      </c>
      <c r="BC70" s="121">
        <f>(Tableau3[[#This Row],[Date réception entreprise recalée]]-Tableau3[[#This Row],[Date réception entreprise prévue initialement]])/30</f>
        <v>1.0333333333333334</v>
      </c>
      <c r="BD70" s="126"/>
      <c r="BE70" s="124"/>
      <c r="BF70" s="124"/>
      <c r="BG70" s="124"/>
      <c r="BH70" s="137">
        <f>IFERROR((Tableau3[[#This Row],[Date Livraison VEFA estimée avec retards constatés]]-Tableau3[[#This Row],[Date livraison contractuelle y/c avenant]])/30,"-")</f>
        <v>0</v>
      </c>
      <c r="BI70" s="138">
        <f>Tableau3[[#This Row],[Date Livraison VEFA estimée avec retards constatés]]-Tableau3[[#This Row],[Date livraison contractuelle y/c avenant]]</f>
        <v>0</v>
      </c>
      <c r="BJ7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1" spans="1:62" x14ac:dyDescent="0.3">
      <c r="A71" s="3" t="s">
        <v>248</v>
      </c>
      <c r="B71" s="4" t="s">
        <v>55</v>
      </c>
      <c r="C71" s="4" t="s">
        <v>12</v>
      </c>
      <c r="D71" s="4">
        <v>2021</v>
      </c>
      <c r="E71" s="4" t="s">
        <v>249</v>
      </c>
      <c r="F71" s="5"/>
      <c r="G71" s="5"/>
      <c r="H71" s="5"/>
      <c r="I71" s="17"/>
      <c r="J71" s="4" t="s">
        <v>250</v>
      </c>
      <c r="K71" s="4" t="s">
        <v>81</v>
      </c>
      <c r="L71" s="24">
        <f>Tableau3[[#This Row],[LLS]]+Tableau3[[#This Row],[LLTS]]+Tableau3[[#This Row],[PLS]]+Tableau3[[#This Row],[REHAB]]</f>
        <v>5</v>
      </c>
      <c r="M71" s="23">
        <f>IFERROR(Tableau3[[#This Row],[LLS]]+Tableau3[[#This Row],[LLTS]]+Tableau3[[#This Row],[PLS]],"-")</f>
        <v>5</v>
      </c>
      <c r="N71" s="25"/>
      <c r="O71" s="4">
        <v>5</v>
      </c>
      <c r="P71" s="25"/>
      <c r="Q71" s="25"/>
      <c r="R71" s="32">
        <v>239.35</v>
      </c>
      <c r="S71" s="27">
        <v>323.2</v>
      </c>
      <c r="T71" s="56">
        <f>Tableau3[[#This Row],[SHAB y/c V]]/Tableau3[[#This Row],[N]]</f>
        <v>47.87</v>
      </c>
      <c r="U71" s="56">
        <f>Tableau3[[#This Row],[SF priorisée]]/Tableau3[[#This Row],[N]]</f>
        <v>64.64</v>
      </c>
      <c r="V71" s="57">
        <f>IFERROR(Tableau3[[#This Row],[SHAB y/c V]]/Tableau3[[#This Row],[SF priorisée]],"-")</f>
        <v>0.74056311881188119</v>
      </c>
      <c r="W71" s="56"/>
      <c r="X71" s="43" t="s">
        <v>93</v>
      </c>
      <c r="Y71" s="43" t="s">
        <v>392</v>
      </c>
      <c r="Z71" s="49">
        <v>680220.82</v>
      </c>
      <c r="AA71" s="58">
        <f>IFERROR(Tableau3[[#This Row],[Prix Achat TTC]]/Tableau3[[#This Row],[SHAB y/c V]],"-")</f>
        <v>2841.9503655734279</v>
      </c>
      <c r="AB71" s="58">
        <f>IFERROR(Tableau3[[#This Row],[Prix Achat TTC]]/Tableau3[[#This Row],[SF priorisée]],"-")</f>
        <v>2104.6436262376237</v>
      </c>
      <c r="AC71" s="58">
        <f>IFERROR(Tableau3[[#This Row],[Prix Achat TTC]]/Tableau3[[#This Row],[N]],"-")</f>
        <v>136044.16399999999</v>
      </c>
      <c r="AD71" s="62">
        <v>44461</v>
      </c>
      <c r="AE71" s="62">
        <v>44553</v>
      </c>
      <c r="AF71" s="62">
        <v>44557</v>
      </c>
      <c r="AG71" s="58">
        <f>IFERROR((DATEDIF(Tableau3[[#This Row],[Demande LBU]],Tableau3[[#This Row],[Arrêté LBU]],"d"))/30,0)</f>
        <v>3.0666666666666669</v>
      </c>
      <c r="AH71" s="68">
        <v>44887</v>
      </c>
      <c r="AI71" s="68">
        <v>44921</v>
      </c>
      <c r="AJ71" s="73">
        <f>IFERROR((DATEDIF(Tableau3[[#This Row],[Dde édition prêt]],Tableau3[[#This Row],[Contrat de prêt]],"d"))/30,"-")</f>
        <v>1.1333333333333333</v>
      </c>
      <c r="AK71" s="68">
        <f>EOMONTH(Tableau3[[#This Row],[Contrat de prêt]],0)+1</f>
        <v>44927</v>
      </c>
      <c r="AL71" s="68">
        <v>44930</v>
      </c>
      <c r="AM71" s="68">
        <v>44927</v>
      </c>
      <c r="AN7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71" s="79"/>
      <c r="AP71" s="2" t="str">
        <f>IF(Tableau3[[#This Row],[Montant des loyers perçus avant 1e échéance]]&lt;Tableau3[[#This Row],[Montant échéance annuelle]],"oui","non")</f>
        <v>non</v>
      </c>
      <c r="AS71" s="79">
        <f>Tableau3[[#This Row],[Mois de loyers avant 1e échéance]]-Tableau3[[#This Row],[Montant échéance annuelle]]</f>
        <v>0</v>
      </c>
      <c r="AU71" s="86">
        <v>45017</v>
      </c>
      <c r="AV71" s="97"/>
      <c r="AW71" s="56">
        <f>IFERROR((DATEDIF(Tableau3[[#This Row],[Arrêté LBU]],Tableau3[[#This Row],[OS démarrage]],"d"))/30,0)</f>
        <v>15.466666666666667</v>
      </c>
      <c r="AX71" s="107">
        <v>24</v>
      </c>
      <c r="AY71" s="112"/>
      <c r="AZ71" s="110"/>
      <c r="BA71" s="116">
        <f>DATE(YEAR(Tableau3[[#This Row],[OS démarrage]]),MONTH(Tableau3[[#This Row],[OS démarrage]])+Tableau3[[#This Row],[Délai chantier initial]],DAY(Tableau3[[#This Row],[OS démarrage]]))</f>
        <v>45748</v>
      </c>
      <c r="BB7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45778</v>
      </c>
      <c r="BC71" s="121">
        <f>(Tableau3[[#This Row],[Date réception entreprise recalée]]-Tableau3[[#This Row],[Date réception entreprise prévue initialement]])/30</f>
        <v>1</v>
      </c>
      <c r="BD71" s="126"/>
      <c r="BE71" s="124"/>
      <c r="BF71" s="124"/>
      <c r="BG71" s="124"/>
      <c r="BH71" s="137">
        <f>IFERROR((Tableau3[[#This Row],[Date Livraison VEFA estimée avec retards constatés]]-Tableau3[[#This Row],[Date livraison contractuelle y/c avenant]])/30,"-")</f>
        <v>0</v>
      </c>
      <c r="BI71" s="138">
        <f>Tableau3[[#This Row],[Date Livraison VEFA estimée avec retards constatés]]-Tableau3[[#This Row],[Date livraison contractuelle y/c avenant]]</f>
        <v>0</v>
      </c>
      <c r="BJ7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2" spans="1:62" x14ac:dyDescent="0.3">
      <c r="A72" s="3" t="s">
        <v>251</v>
      </c>
      <c r="B72" s="4" t="s">
        <v>55</v>
      </c>
      <c r="C72" s="4" t="s">
        <v>12</v>
      </c>
      <c r="D72" s="4">
        <v>2021</v>
      </c>
      <c r="E72" s="4" t="s">
        <v>249</v>
      </c>
      <c r="F72" s="5"/>
      <c r="G72" s="5"/>
      <c r="H72" s="5"/>
      <c r="I72" s="17"/>
      <c r="J72" s="4" t="s">
        <v>250</v>
      </c>
      <c r="K72" s="4" t="s">
        <v>80</v>
      </c>
      <c r="L72" s="24">
        <f>Tableau3[[#This Row],[LLS]]+Tableau3[[#This Row],[LLTS]]+Tableau3[[#This Row],[PLS]]+Tableau3[[#This Row],[REHAB]]</f>
        <v>34</v>
      </c>
      <c r="M72" s="23">
        <f>IFERROR(Tableau3[[#This Row],[LLS]]+Tableau3[[#This Row],[LLTS]]+Tableau3[[#This Row],[PLS]],"-")</f>
        <v>34</v>
      </c>
      <c r="N72" s="4">
        <v>34</v>
      </c>
      <c r="O72" s="25"/>
      <c r="P72" s="25"/>
      <c r="Q72" s="25"/>
      <c r="R72" s="32">
        <v>2512.4</v>
      </c>
      <c r="S72" s="27">
        <v>2978.4</v>
      </c>
      <c r="T72" s="56">
        <f>Tableau3[[#This Row],[SHAB y/c V]]/Tableau3[[#This Row],[N]]</f>
        <v>73.89411764705882</v>
      </c>
      <c r="U72" s="56">
        <f>Tableau3[[#This Row],[SF priorisée]]/Tableau3[[#This Row],[N]]</f>
        <v>87.600000000000009</v>
      </c>
      <c r="V72" s="57">
        <f>IFERROR(Tableau3[[#This Row],[SHAB y/c V]]/Tableau3[[#This Row],[SF priorisée]],"-")</f>
        <v>0.84354015578834274</v>
      </c>
      <c r="W72" s="56"/>
      <c r="X72" s="43" t="s">
        <v>93</v>
      </c>
      <c r="Y72" s="43" t="s">
        <v>392</v>
      </c>
      <c r="Z72" s="47">
        <v>6544232.2300000004</v>
      </c>
      <c r="AA72" s="58">
        <f>IFERROR(Tableau3[[#This Row],[Prix Achat TTC]]/Tableau3[[#This Row],[SHAB y/c V]],"-")</f>
        <v>2604.7732168444518</v>
      </c>
      <c r="AB72" s="58">
        <f>IFERROR(Tableau3[[#This Row],[Prix Achat TTC]]/Tableau3[[#This Row],[SF priorisée]],"-")</f>
        <v>2197.2308051302712</v>
      </c>
      <c r="AC72" s="58">
        <f>IFERROR(Tableau3[[#This Row],[Prix Achat TTC]]/Tableau3[[#This Row],[N]],"-")</f>
        <v>192477.41852941178</v>
      </c>
      <c r="AD72" s="62">
        <v>44461</v>
      </c>
      <c r="AE72" s="62">
        <v>44545</v>
      </c>
      <c r="AF72" s="62">
        <v>44557</v>
      </c>
      <c r="AG72" s="58">
        <f>IFERROR((DATEDIF(Tableau3[[#This Row],[Demande LBU]],Tableau3[[#This Row],[Arrêté LBU]],"d"))/30,0)</f>
        <v>2.8</v>
      </c>
      <c r="AH72" s="68">
        <v>44887</v>
      </c>
      <c r="AI72" s="68">
        <v>44921</v>
      </c>
      <c r="AJ72" s="73">
        <f>IFERROR((DATEDIF(Tableau3[[#This Row],[Dde édition prêt]],Tableau3[[#This Row],[Contrat de prêt]],"d"))/30,"-")</f>
        <v>1.1333333333333333</v>
      </c>
      <c r="AK72" s="68">
        <f>EOMONTH(Tableau3[[#This Row],[Contrat de prêt]],0)+1</f>
        <v>44927</v>
      </c>
      <c r="AL72" s="68">
        <v>44930</v>
      </c>
      <c r="AM72" s="68">
        <v>44927</v>
      </c>
      <c r="AN7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72" s="79"/>
      <c r="AP72" s="2" t="str">
        <f>IF(Tableau3[[#This Row],[Montant des loyers perçus avant 1e échéance]]&lt;Tableau3[[#This Row],[Montant échéance annuelle]],"oui","non")</f>
        <v>non</v>
      </c>
      <c r="AS72" s="79">
        <f>Tableau3[[#This Row],[Mois de loyers avant 1e échéance]]-Tableau3[[#This Row],[Montant échéance annuelle]]</f>
        <v>0</v>
      </c>
      <c r="AU72" s="86">
        <v>45017</v>
      </c>
      <c r="AV72" s="97"/>
      <c r="AW72" s="56">
        <f>IFERROR((DATEDIF(Tableau3[[#This Row],[Arrêté LBU]],Tableau3[[#This Row],[OS démarrage]],"d"))/30,0)</f>
        <v>15.733333333333333</v>
      </c>
      <c r="AX72" s="107">
        <v>24</v>
      </c>
      <c r="AY72" s="112"/>
      <c r="AZ72" s="110"/>
      <c r="BA72" s="116">
        <f>DATE(YEAR(Tableau3[[#This Row],[OS démarrage]]),MONTH(Tableau3[[#This Row],[OS démarrage]])+Tableau3[[#This Row],[Délai chantier initial]],DAY(Tableau3[[#This Row],[OS démarrage]]))</f>
        <v>45748</v>
      </c>
      <c r="BB7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45778</v>
      </c>
      <c r="BC72" s="121">
        <f>(Tableau3[[#This Row],[Date réception entreprise recalée]]-Tableau3[[#This Row],[Date réception entreprise prévue initialement]])/30</f>
        <v>1</v>
      </c>
      <c r="BD72" s="126"/>
      <c r="BE72" s="124"/>
      <c r="BF72" s="124"/>
      <c r="BG72" s="124"/>
      <c r="BH72" s="137">
        <f>IFERROR((Tableau3[[#This Row],[Date Livraison VEFA estimée avec retards constatés]]-Tableau3[[#This Row],[Date livraison contractuelle y/c avenant]])/30,"-")</f>
        <v>0</v>
      </c>
      <c r="BI72" s="138">
        <f>Tableau3[[#This Row],[Date Livraison VEFA estimée avec retards constatés]]-Tableau3[[#This Row],[Date livraison contractuelle y/c avenant]]</f>
        <v>0</v>
      </c>
      <c r="BJ7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3" spans="1:62" x14ac:dyDescent="0.3">
      <c r="A73" s="6" t="s">
        <v>252</v>
      </c>
      <c r="B73" s="4" t="s">
        <v>55</v>
      </c>
      <c r="C73" s="4" t="s">
        <v>12</v>
      </c>
      <c r="D73" s="4">
        <v>2021</v>
      </c>
      <c r="E73" s="4" t="s">
        <v>253</v>
      </c>
      <c r="F73" s="5"/>
      <c r="G73" s="5"/>
      <c r="H73" s="5"/>
      <c r="I73" s="17"/>
      <c r="J73" s="4" t="s">
        <v>250</v>
      </c>
      <c r="K73" s="4" t="s">
        <v>80</v>
      </c>
      <c r="L73" s="24">
        <f>Tableau3[[#This Row],[LLS]]+Tableau3[[#This Row],[LLTS]]+Tableau3[[#This Row],[PLS]]+Tableau3[[#This Row],[REHAB]]</f>
        <v>40</v>
      </c>
      <c r="M73" s="23">
        <f>IFERROR(Tableau3[[#This Row],[LLS]]+Tableau3[[#This Row],[LLTS]]+Tableau3[[#This Row],[PLS]],"-")</f>
        <v>40</v>
      </c>
      <c r="N73" s="4">
        <v>40</v>
      </c>
      <c r="O73" s="25"/>
      <c r="P73" s="25"/>
      <c r="Q73" s="25"/>
      <c r="R73" s="32">
        <v>3064.24</v>
      </c>
      <c r="S73" s="27">
        <v>3596.91</v>
      </c>
      <c r="T73" s="56">
        <f>Tableau3[[#This Row],[SHAB y/c V]]/Tableau3[[#This Row],[N]]</f>
        <v>76.605999999999995</v>
      </c>
      <c r="U73" s="56">
        <f>Tableau3[[#This Row],[SF priorisée]]/Tableau3[[#This Row],[N]]</f>
        <v>89.922749999999994</v>
      </c>
      <c r="V73" s="57">
        <f>IFERROR(Tableau3[[#This Row],[SHAB y/c V]]/Tableau3[[#This Row],[SF priorisée]],"-")</f>
        <v>0.85190899966916045</v>
      </c>
      <c r="W73" s="56"/>
      <c r="X73" s="43" t="s">
        <v>93</v>
      </c>
      <c r="Y73" s="43" t="s">
        <v>392</v>
      </c>
      <c r="Z73" s="47">
        <v>8363411</v>
      </c>
      <c r="AA73" s="58">
        <f>IFERROR(Tableau3[[#This Row],[Prix Achat TTC]]/Tableau3[[#This Row],[SHAB y/c V]],"-")</f>
        <v>2729.3589927681905</v>
      </c>
      <c r="AB73" s="58">
        <f>IFERROR(Tableau3[[#This Row],[Prix Achat TTC]]/Tableau3[[#This Row],[SF priorisée]],"-")</f>
        <v>2325.1654892671768</v>
      </c>
      <c r="AC73" s="58">
        <f>IFERROR(Tableau3[[#This Row],[Prix Achat TTC]]/Tableau3[[#This Row],[N]],"-")</f>
        <v>209085.27499999999</v>
      </c>
      <c r="AD73" s="62">
        <v>44461</v>
      </c>
      <c r="AE73" s="62">
        <v>44545</v>
      </c>
      <c r="AF73" s="62">
        <v>44557</v>
      </c>
      <c r="AG73" s="58">
        <f>IFERROR((DATEDIF(Tableau3[[#This Row],[Demande LBU]],Tableau3[[#This Row],[Arrêté LBU]],"d"))/30,0)</f>
        <v>2.8</v>
      </c>
      <c r="AH73" s="68">
        <v>44887</v>
      </c>
      <c r="AI73" s="68">
        <v>44921</v>
      </c>
      <c r="AJ73" s="73">
        <f>IFERROR((DATEDIF(Tableau3[[#This Row],[Dde édition prêt]],Tableau3[[#This Row],[Contrat de prêt]],"d"))/30,"-")</f>
        <v>1.1333333333333333</v>
      </c>
      <c r="AK73" s="68">
        <f>EOMONTH(Tableau3[[#This Row],[Contrat de prêt]],0)+1</f>
        <v>44927</v>
      </c>
      <c r="AL73" s="68">
        <v>44930</v>
      </c>
      <c r="AM73" s="68">
        <v>44927</v>
      </c>
      <c r="AN7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73" s="79"/>
      <c r="AP73" s="2" t="str">
        <f>IF(Tableau3[[#This Row],[Montant des loyers perçus avant 1e échéance]]&lt;Tableau3[[#This Row],[Montant échéance annuelle]],"oui","non")</f>
        <v>non</v>
      </c>
      <c r="AS73" s="79">
        <f>Tableau3[[#This Row],[Mois de loyers avant 1e échéance]]-Tableau3[[#This Row],[Montant échéance annuelle]]</f>
        <v>0</v>
      </c>
      <c r="AU73" s="86">
        <v>45017</v>
      </c>
      <c r="AV73" s="97"/>
      <c r="AW73" s="56">
        <f>IFERROR((DATEDIF(Tableau3[[#This Row],[Arrêté LBU]],Tableau3[[#This Row],[OS démarrage]],"d"))/30,0)</f>
        <v>15.733333333333333</v>
      </c>
      <c r="AX73" s="107">
        <v>24</v>
      </c>
      <c r="AY73" s="112"/>
      <c r="AZ73" s="110"/>
      <c r="BA73" s="116">
        <f>DATE(YEAR(Tableau3[[#This Row],[OS démarrage]]),MONTH(Tableau3[[#This Row],[OS démarrage]])+Tableau3[[#This Row],[Délai chantier initial]],DAY(Tableau3[[#This Row],[OS démarrage]]))</f>
        <v>45748</v>
      </c>
      <c r="BB7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45778</v>
      </c>
      <c r="BC73" s="121">
        <f>(Tableau3[[#This Row],[Date réception entreprise recalée]]-Tableau3[[#This Row],[Date réception entreprise prévue initialement]])/30</f>
        <v>1</v>
      </c>
      <c r="BD73" s="126"/>
      <c r="BE73" s="124"/>
      <c r="BF73" s="124"/>
      <c r="BG73" s="124"/>
      <c r="BH73" s="137">
        <f>IFERROR((Tableau3[[#This Row],[Date Livraison VEFA estimée avec retards constatés]]-Tableau3[[#This Row],[Date livraison contractuelle y/c avenant]])/30,"-")</f>
        <v>0</v>
      </c>
      <c r="BI73" s="138">
        <f>Tableau3[[#This Row],[Date Livraison VEFA estimée avec retards constatés]]-Tableau3[[#This Row],[Date livraison contractuelle y/c avenant]]</f>
        <v>0</v>
      </c>
      <c r="BJ7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4" spans="1:62" x14ac:dyDescent="0.3">
      <c r="A74" s="6" t="s">
        <v>254</v>
      </c>
      <c r="B74" s="4" t="s">
        <v>55</v>
      </c>
      <c r="C74" s="4" t="s">
        <v>12</v>
      </c>
      <c r="D74" s="8">
        <v>2021</v>
      </c>
      <c r="E74" s="4" t="s">
        <v>255</v>
      </c>
      <c r="F74" s="5"/>
      <c r="G74" s="5"/>
      <c r="H74" s="5"/>
      <c r="I74" s="17"/>
      <c r="J74" s="4" t="s">
        <v>250</v>
      </c>
      <c r="K74" s="4" t="s">
        <v>81</v>
      </c>
      <c r="L74" s="24">
        <f>Tableau3[[#This Row],[LLS]]+Tableau3[[#This Row],[LLTS]]+Tableau3[[#This Row],[PLS]]+Tableau3[[#This Row],[REHAB]]</f>
        <v>5</v>
      </c>
      <c r="M74" s="23">
        <f>IFERROR(Tableau3[[#This Row],[LLS]]+Tableau3[[#This Row],[LLTS]]+Tableau3[[#This Row],[PLS]],"-")</f>
        <v>5</v>
      </c>
      <c r="N74" s="25"/>
      <c r="O74" s="4">
        <v>5</v>
      </c>
      <c r="P74" s="25"/>
      <c r="Q74" s="25"/>
      <c r="R74" s="32">
        <v>246.26</v>
      </c>
      <c r="S74" s="27">
        <v>280.49</v>
      </c>
      <c r="T74" s="56">
        <f>Tableau3[[#This Row],[SHAB y/c V]]/Tableau3[[#This Row],[N]]</f>
        <v>49.251999999999995</v>
      </c>
      <c r="U74" s="56">
        <f>Tableau3[[#This Row],[SF priorisée]]/Tableau3[[#This Row],[N]]</f>
        <v>56.097999999999999</v>
      </c>
      <c r="V74" s="57">
        <f>IFERROR(Tableau3[[#This Row],[SHAB y/c V]]/Tableau3[[#This Row],[SF priorisée]],"-")</f>
        <v>0.877963563763414</v>
      </c>
      <c r="W74" s="56"/>
      <c r="X74" s="43" t="s">
        <v>93</v>
      </c>
      <c r="Y74" s="43" t="s">
        <v>392</v>
      </c>
      <c r="Z74" s="47">
        <v>677215</v>
      </c>
      <c r="AA74" s="58">
        <f>IFERROR(Tableau3[[#This Row],[Prix Achat TTC]]/Tableau3[[#This Row],[SHAB y/c V]],"-")</f>
        <v>2750</v>
      </c>
      <c r="AB74" s="58">
        <f>IFERROR(Tableau3[[#This Row],[Prix Achat TTC]]/Tableau3[[#This Row],[SF priorisée]],"-")</f>
        <v>2414.3998003493884</v>
      </c>
      <c r="AC74" s="58">
        <f>IFERROR(Tableau3[[#This Row],[Prix Achat TTC]]/Tableau3[[#This Row],[N]],"-")</f>
        <v>135443</v>
      </c>
      <c r="AD74" s="62">
        <v>44461</v>
      </c>
      <c r="AE74" s="62">
        <v>44553</v>
      </c>
      <c r="AF74" s="62">
        <v>44557</v>
      </c>
      <c r="AG74" s="58">
        <f>IFERROR((DATEDIF(Tableau3[[#This Row],[Demande LBU]],Tableau3[[#This Row],[Arrêté LBU]],"d"))/30,0)</f>
        <v>3.0666666666666669</v>
      </c>
      <c r="AH74" s="70">
        <v>45031</v>
      </c>
      <c r="AI74" s="68"/>
      <c r="AJ74" s="73" t="str">
        <f>IFERROR((DATEDIF(Tableau3[[#This Row],[Dde édition prêt]],Tableau3[[#This Row],[Contrat de prêt]],"d"))/30,"-")</f>
        <v>-</v>
      </c>
      <c r="AK74" s="68">
        <f>EOMONTH(Tableau3[[#This Row],[Contrat de prêt]],0)+1</f>
        <v>32</v>
      </c>
      <c r="AL74" s="68"/>
      <c r="AM74" s="68"/>
      <c r="AN7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4" s="79"/>
      <c r="AP74" s="2" t="str">
        <f>IF(Tableau3[[#This Row],[Montant des loyers perçus avant 1e échéance]]&lt;Tableau3[[#This Row],[Montant échéance annuelle]],"oui","non")</f>
        <v>non</v>
      </c>
      <c r="AS74" s="79">
        <f>Tableau3[[#This Row],[Mois de loyers avant 1e échéance]]-Tableau3[[#This Row],[Montant échéance annuelle]]</f>
        <v>0</v>
      </c>
      <c r="AU74" s="86">
        <v>45170</v>
      </c>
      <c r="AV74" s="97"/>
      <c r="AW74" s="56">
        <f>IFERROR((DATEDIF(Tableau3[[#This Row],[Arrêté LBU]],Tableau3[[#This Row],[OS démarrage]],"d"))/30,0)</f>
        <v>20.566666666666666</v>
      </c>
      <c r="AX74" s="107">
        <v>24</v>
      </c>
      <c r="AY74" s="112"/>
      <c r="AZ74" s="110"/>
      <c r="BA74" s="116">
        <f>DATE(YEAR(Tableau3[[#This Row],[OS démarrage]]),MONTH(Tableau3[[#This Row],[OS démarrage]])+Tableau3[[#This Row],[Délai chantier initial]],DAY(Tableau3[[#This Row],[OS démarrage]]))</f>
        <v>45901</v>
      </c>
      <c r="BB7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45931</v>
      </c>
      <c r="BC74" s="121">
        <f>(Tableau3[[#This Row],[Date réception entreprise recalée]]-Tableau3[[#This Row],[Date réception entreprise prévue initialement]])/30</f>
        <v>1</v>
      </c>
      <c r="BD74" s="126"/>
      <c r="BE74" s="124"/>
      <c r="BF74" s="124"/>
      <c r="BG74" s="124"/>
      <c r="BH74" s="137">
        <f>IFERROR((Tableau3[[#This Row],[Date Livraison VEFA estimée avec retards constatés]]-Tableau3[[#This Row],[Date livraison contractuelle y/c avenant]])/30,"-")</f>
        <v>0</v>
      </c>
      <c r="BI74" s="138">
        <f>Tableau3[[#This Row],[Date Livraison VEFA estimée avec retards constatés]]-Tableau3[[#This Row],[Date livraison contractuelle y/c avenant]]</f>
        <v>0</v>
      </c>
      <c r="BJ7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5" spans="1:62" x14ac:dyDescent="0.3">
      <c r="A75" s="3" t="s">
        <v>256</v>
      </c>
      <c r="B75" s="4" t="s">
        <v>55</v>
      </c>
      <c r="C75" s="4" t="s">
        <v>12</v>
      </c>
      <c r="D75" s="4">
        <v>2021</v>
      </c>
      <c r="E75" s="4" t="s">
        <v>257</v>
      </c>
      <c r="F75" s="5"/>
      <c r="G75" s="5"/>
      <c r="H75" s="5"/>
      <c r="I75" s="17"/>
      <c r="J75" s="4" t="s">
        <v>250</v>
      </c>
      <c r="K75" s="4" t="s">
        <v>80</v>
      </c>
      <c r="L75" s="24">
        <f>Tableau3[[#This Row],[LLS]]+Tableau3[[#This Row],[LLTS]]+Tableau3[[#This Row],[PLS]]+Tableau3[[#This Row],[REHAB]]</f>
        <v>48</v>
      </c>
      <c r="M75" s="23">
        <f>IFERROR(Tableau3[[#This Row],[LLS]]+Tableau3[[#This Row],[LLTS]]+Tableau3[[#This Row],[PLS]],"-")</f>
        <v>48</v>
      </c>
      <c r="N75" s="4">
        <v>48</v>
      </c>
      <c r="O75" s="25"/>
      <c r="P75" s="25"/>
      <c r="Q75" s="25"/>
      <c r="R75" s="32">
        <v>3702.55</v>
      </c>
      <c r="S75" s="27">
        <v>4367.0849999999982</v>
      </c>
      <c r="T75" s="56">
        <f>Tableau3[[#This Row],[SHAB y/c V]]/Tableau3[[#This Row],[N]]</f>
        <v>77.136458333333337</v>
      </c>
      <c r="U75" s="56">
        <f>Tableau3[[#This Row],[SF priorisée]]/Tableau3[[#This Row],[N]]</f>
        <v>90.980937499999968</v>
      </c>
      <c r="V75" s="57">
        <f>IFERROR(Tableau3[[#This Row],[SHAB y/c V]]/Tableau3[[#This Row],[SF priorisée]],"-")</f>
        <v>0.84783099023719521</v>
      </c>
      <c r="W75" s="56"/>
      <c r="X75" s="43" t="s">
        <v>93</v>
      </c>
      <c r="Y75" s="43" t="s">
        <v>392</v>
      </c>
      <c r="Z75" s="47">
        <v>9256374.7699999996</v>
      </c>
      <c r="AA75" s="58">
        <f>IFERROR(Tableau3[[#This Row],[Prix Achat TTC]]/Tableau3[[#This Row],[SHAB y/c V]],"-")</f>
        <v>2499.9999378806497</v>
      </c>
      <c r="AB75" s="58">
        <f>IFERROR(Tableau3[[#This Row],[Prix Achat TTC]]/Tableau3[[#This Row],[SF priorisée]],"-")</f>
        <v>2119.5774229262774</v>
      </c>
      <c r="AC75" s="58">
        <f>IFERROR(Tableau3[[#This Row],[Prix Achat TTC]]/Tableau3[[#This Row],[N]],"-")</f>
        <v>192841.14104166665</v>
      </c>
      <c r="AD75" s="62">
        <v>44461</v>
      </c>
      <c r="AE75" s="62">
        <v>44545</v>
      </c>
      <c r="AF75" s="62">
        <v>44557</v>
      </c>
      <c r="AG75" s="58">
        <f>IFERROR((DATEDIF(Tableau3[[#This Row],[Demande LBU]],Tableau3[[#This Row],[Arrêté LBU]],"d"))/30,0)</f>
        <v>2.8</v>
      </c>
      <c r="AH75" s="70">
        <v>45031</v>
      </c>
      <c r="AI75" s="68"/>
      <c r="AJ75" s="73" t="str">
        <f>IFERROR((DATEDIF(Tableau3[[#This Row],[Dde édition prêt]],Tableau3[[#This Row],[Contrat de prêt]],"d"))/30,"-")</f>
        <v>-</v>
      </c>
      <c r="AK75" s="68">
        <f>EOMONTH(Tableau3[[#This Row],[Contrat de prêt]],0)+1</f>
        <v>32</v>
      </c>
      <c r="AL75" s="68"/>
      <c r="AM75" s="68"/>
      <c r="AN7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5" s="79"/>
      <c r="AP75" s="2" t="str">
        <f>IF(Tableau3[[#This Row],[Montant des loyers perçus avant 1e échéance]]&lt;Tableau3[[#This Row],[Montant échéance annuelle]],"oui","non")</f>
        <v>non</v>
      </c>
      <c r="AS75" s="79">
        <f>Tableau3[[#This Row],[Mois de loyers avant 1e échéance]]-Tableau3[[#This Row],[Montant échéance annuelle]]</f>
        <v>0</v>
      </c>
      <c r="AU75" s="86">
        <v>45170</v>
      </c>
      <c r="AV75" s="97"/>
      <c r="AW75" s="56">
        <f>IFERROR((DATEDIF(Tableau3[[#This Row],[Arrêté LBU]],Tableau3[[#This Row],[OS démarrage]],"d"))/30,0)</f>
        <v>20.833333333333332</v>
      </c>
      <c r="AX75" s="107">
        <v>24</v>
      </c>
      <c r="AY75" s="112"/>
      <c r="AZ75" s="110"/>
      <c r="BA75" s="116">
        <f>DATE(YEAR(Tableau3[[#This Row],[OS démarrage]]),MONTH(Tableau3[[#This Row],[OS démarrage]])+Tableau3[[#This Row],[Délai chantier initial]],DAY(Tableau3[[#This Row],[OS démarrage]]))</f>
        <v>45901</v>
      </c>
      <c r="BB7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45931</v>
      </c>
      <c r="BC75" s="121">
        <f>(Tableau3[[#This Row],[Date réception entreprise recalée]]-Tableau3[[#This Row],[Date réception entreprise prévue initialement]])/30</f>
        <v>1</v>
      </c>
      <c r="BD75" s="126"/>
      <c r="BE75" s="124"/>
      <c r="BF75" s="124"/>
      <c r="BG75" s="124"/>
      <c r="BH75" s="137">
        <f>IFERROR((Tableau3[[#This Row],[Date Livraison VEFA estimée avec retards constatés]]-Tableau3[[#This Row],[Date livraison contractuelle y/c avenant]])/30,"-")</f>
        <v>0</v>
      </c>
      <c r="BI75" s="138">
        <f>Tableau3[[#This Row],[Date Livraison VEFA estimée avec retards constatés]]-Tableau3[[#This Row],[Date livraison contractuelle y/c avenant]]</f>
        <v>0</v>
      </c>
      <c r="BJ7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6" spans="1:62" x14ac:dyDescent="0.3">
      <c r="A76" s="6" t="s">
        <v>258</v>
      </c>
      <c r="B76" s="4" t="s">
        <v>55</v>
      </c>
      <c r="C76" s="4" t="s">
        <v>12</v>
      </c>
      <c r="D76" s="8">
        <v>2021</v>
      </c>
      <c r="E76" s="4" t="s">
        <v>255</v>
      </c>
      <c r="F76" s="5"/>
      <c r="G76" s="5"/>
      <c r="H76" s="5"/>
      <c r="I76" s="17"/>
      <c r="J76" s="4" t="s">
        <v>250</v>
      </c>
      <c r="K76" s="4" t="s">
        <v>80</v>
      </c>
      <c r="L76" s="24">
        <f>Tableau3[[#This Row],[LLS]]+Tableau3[[#This Row],[LLTS]]+Tableau3[[#This Row],[PLS]]+Tableau3[[#This Row],[REHAB]]</f>
        <v>17</v>
      </c>
      <c r="M76" s="23">
        <f>IFERROR(Tableau3[[#This Row],[LLS]]+Tableau3[[#This Row],[LLTS]]+Tableau3[[#This Row],[PLS]],"-")</f>
        <v>17</v>
      </c>
      <c r="N76" s="4">
        <v>17</v>
      </c>
      <c r="O76" s="25"/>
      <c r="P76" s="25"/>
      <c r="Q76" s="25"/>
      <c r="R76" s="32">
        <v>1283.03</v>
      </c>
      <c r="S76" s="27">
        <v>1475.53</v>
      </c>
      <c r="T76" s="56">
        <f>Tableau3[[#This Row],[SHAB y/c V]]/Tableau3[[#This Row],[N]]</f>
        <v>75.472352941176467</v>
      </c>
      <c r="U76" s="56">
        <f>Tableau3[[#This Row],[SF priorisée]]/Tableau3[[#This Row],[N]]</f>
        <v>86.795882352941177</v>
      </c>
      <c r="V76" s="57">
        <f>IFERROR(Tableau3[[#This Row],[SHAB y/c V]]/Tableau3[[#This Row],[SF priorisée]],"-")</f>
        <v>0.8695384031500546</v>
      </c>
      <c r="W76" s="56"/>
      <c r="X76" s="43" t="s">
        <v>93</v>
      </c>
      <c r="Y76" s="43" t="s">
        <v>392</v>
      </c>
      <c r="Z76" s="49">
        <v>3207574.62</v>
      </c>
      <c r="AA76" s="58">
        <f>IFERROR(Tableau3[[#This Row],[Prix Achat TTC]]/Tableau3[[#This Row],[SHAB y/c V]],"-")</f>
        <v>2499.9997038260994</v>
      </c>
      <c r="AB76" s="58">
        <f>IFERROR(Tableau3[[#This Row],[Prix Achat TTC]]/Tableau3[[#This Row],[SF priorisée]],"-")</f>
        <v>2173.8457503405557</v>
      </c>
      <c r="AC76" s="58">
        <f>IFERROR(Tableau3[[#This Row],[Prix Achat TTC]]/Tableau3[[#This Row],[N]],"-")</f>
        <v>188680.86000000002</v>
      </c>
      <c r="AD76" s="62">
        <v>44461</v>
      </c>
      <c r="AE76" s="62">
        <v>44545</v>
      </c>
      <c r="AF76" s="62">
        <v>44557</v>
      </c>
      <c r="AG76" s="58">
        <f>IFERROR((DATEDIF(Tableau3[[#This Row],[Demande LBU]],Tableau3[[#This Row],[Arrêté LBU]],"d"))/30,0)</f>
        <v>2.8</v>
      </c>
      <c r="AH76" s="70">
        <v>45031</v>
      </c>
      <c r="AI76" s="68"/>
      <c r="AJ76" s="73" t="str">
        <f>IFERROR((DATEDIF(Tableau3[[#This Row],[Dde édition prêt]],Tableau3[[#This Row],[Contrat de prêt]],"d"))/30,"-")</f>
        <v>-</v>
      </c>
      <c r="AK76" s="68">
        <f>EOMONTH(Tableau3[[#This Row],[Contrat de prêt]],0)+1</f>
        <v>32</v>
      </c>
      <c r="AL76" s="68"/>
      <c r="AM76" s="68"/>
      <c r="AN7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6" s="79"/>
      <c r="AP76" s="2" t="str">
        <f>IF(Tableau3[[#This Row],[Montant des loyers perçus avant 1e échéance]]&lt;Tableau3[[#This Row],[Montant échéance annuelle]],"oui","non")</f>
        <v>non</v>
      </c>
      <c r="AS76" s="79">
        <f>Tableau3[[#This Row],[Mois de loyers avant 1e échéance]]-Tableau3[[#This Row],[Montant échéance annuelle]]</f>
        <v>0</v>
      </c>
      <c r="AU76" s="86">
        <v>45170</v>
      </c>
      <c r="AV76" s="97"/>
      <c r="AW76" s="56">
        <f>IFERROR((DATEDIF(Tableau3[[#This Row],[Arrêté LBU]],Tableau3[[#This Row],[OS démarrage]],"d"))/30,0)</f>
        <v>20.833333333333332</v>
      </c>
      <c r="AX76" s="107">
        <v>24</v>
      </c>
      <c r="AY76" s="112"/>
      <c r="AZ76" s="110"/>
      <c r="BA76" s="116">
        <f>DATE(YEAR(Tableau3[[#This Row],[OS démarrage]]),MONTH(Tableau3[[#This Row],[OS démarrage]])+Tableau3[[#This Row],[Délai chantier initial]],DAY(Tableau3[[#This Row],[OS démarrage]]))</f>
        <v>45901</v>
      </c>
      <c r="BB7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45931</v>
      </c>
      <c r="BC76" s="121">
        <f>(Tableau3[[#This Row],[Date réception entreprise recalée]]-Tableau3[[#This Row],[Date réception entreprise prévue initialement]])/30</f>
        <v>1</v>
      </c>
      <c r="BD76" s="126"/>
      <c r="BE76" s="124"/>
      <c r="BF76" s="124"/>
      <c r="BG76" s="124"/>
      <c r="BH76" s="137">
        <f>IFERROR((Tableau3[[#This Row],[Date Livraison VEFA estimée avec retards constatés]]-Tableau3[[#This Row],[Date livraison contractuelle y/c avenant]])/30,"-")</f>
        <v>0</v>
      </c>
      <c r="BI76" s="138">
        <f>Tableau3[[#This Row],[Date Livraison VEFA estimée avec retards constatés]]-Tableau3[[#This Row],[Date livraison contractuelle y/c avenant]]</f>
        <v>0</v>
      </c>
      <c r="BJ7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7" spans="1:62" x14ac:dyDescent="0.3">
      <c r="A77" s="6" t="s">
        <v>259</v>
      </c>
      <c r="B77" s="4" t="s">
        <v>55</v>
      </c>
      <c r="C77" s="4" t="s">
        <v>12</v>
      </c>
      <c r="D77" s="8">
        <v>2021</v>
      </c>
      <c r="E77" s="4" t="s">
        <v>260</v>
      </c>
      <c r="F77" s="5"/>
      <c r="G77" s="5"/>
      <c r="H77" s="5"/>
      <c r="I77" s="17"/>
      <c r="J77" s="4" t="s">
        <v>250</v>
      </c>
      <c r="K77" s="4" t="s">
        <v>81</v>
      </c>
      <c r="L77" s="24">
        <f>Tableau3[[#This Row],[LLS]]+Tableau3[[#This Row],[LLTS]]+Tableau3[[#This Row],[PLS]]+Tableau3[[#This Row],[REHAB]]</f>
        <v>48</v>
      </c>
      <c r="M77" s="23">
        <f>IFERROR(Tableau3[[#This Row],[LLS]]+Tableau3[[#This Row],[LLTS]]+Tableau3[[#This Row],[PLS]],"-")</f>
        <v>48</v>
      </c>
      <c r="N77" s="25"/>
      <c r="O77" s="4">
        <v>48</v>
      </c>
      <c r="P77" s="25"/>
      <c r="Q77" s="25"/>
      <c r="R77" s="32">
        <v>2301.79</v>
      </c>
      <c r="S77" s="27">
        <v>2555.48</v>
      </c>
      <c r="T77" s="56">
        <f>Tableau3[[#This Row],[SHAB y/c V]]/Tableau3[[#This Row],[N]]</f>
        <v>47.953958333333333</v>
      </c>
      <c r="U77" s="56">
        <f>Tableau3[[#This Row],[SF priorisée]]/Tableau3[[#This Row],[N]]</f>
        <v>53.239166666666669</v>
      </c>
      <c r="V77" s="57">
        <f>IFERROR(Tableau3[[#This Row],[SHAB y/c V]]/Tableau3[[#This Row],[SF priorisée]],"-")</f>
        <v>0.90072706497409483</v>
      </c>
      <c r="W77" s="56"/>
      <c r="X77" s="43" t="s">
        <v>93</v>
      </c>
      <c r="Y77" s="43" t="s">
        <v>392</v>
      </c>
      <c r="Z77" s="49">
        <v>6030689.6500000004</v>
      </c>
      <c r="AA77" s="58">
        <f>IFERROR(Tableau3[[#This Row],[Prix Achat TTC]]/Tableau3[[#This Row],[SHAB y/c V]],"-")</f>
        <v>2619.9999348333254</v>
      </c>
      <c r="AB77" s="58">
        <f>IFERROR(Tableau3[[#This Row],[Prix Achat TTC]]/Tableau3[[#This Row],[SF priorisée]],"-")</f>
        <v>2359.9048515347413</v>
      </c>
      <c r="AC77" s="58">
        <f>IFERROR(Tableau3[[#This Row],[Prix Achat TTC]]/Tableau3[[#This Row],[N]],"-")</f>
        <v>125639.36770833335</v>
      </c>
      <c r="AD77" s="62">
        <v>44461</v>
      </c>
      <c r="AE77" s="62">
        <v>44545</v>
      </c>
      <c r="AF77" s="62">
        <v>44557</v>
      </c>
      <c r="AG77" s="58">
        <f>IFERROR((DATEDIF(Tableau3[[#This Row],[Demande LBU]],Tableau3[[#This Row],[Arrêté LBU]],"d"))/30,0)</f>
        <v>2.8</v>
      </c>
      <c r="AH77" s="70">
        <v>45031</v>
      </c>
      <c r="AI77" s="68"/>
      <c r="AJ77" s="73" t="str">
        <f>IFERROR((DATEDIF(Tableau3[[#This Row],[Dde édition prêt]],Tableau3[[#This Row],[Contrat de prêt]],"d"))/30,"-")</f>
        <v>-</v>
      </c>
      <c r="AK77" s="68">
        <f>EOMONTH(Tableau3[[#This Row],[Contrat de prêt]],0)+1</f>
        <v>32</v>
      </c>
      <c r="AL77" s="68"/>
      <c r="AM77" s="68"/>
      <c r="AN7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7" s="79"/>
      <c r="AP77" s="2" t="str">
        <f>IF(Tableau3[[#This Row],[Montant des loyers perçus avant 1e échéance]]&lt;Tableau3[[#This Row],[Montant échéance annuelle]],"oui","non")</f>
        <v>non</v>
      </c>
      <c r="AS77" s="79">
        <f>Tableau3[[#This Row],[Mois de loyers avant 1e échéance]]-Tableau3[[#This Row],[Montant échéance annuelle]]</f>
        <v>0</v>
      </c>
      <c r="AU77" s="86">
        <v>45170</v>
      </c>
      <c r="AV77" s="97"/>
      <c r="AW77" s="56">
        <f>IFERROR((DATEDIF(Tableau3[[#This Row],[Arrêté LBU]],Tableau3[[#This Row],[OS démarrage]],"d"))/30,0)</f>
        <v>20.833333333333332</v>
      </c>
      <c r="AX77" s="107">
        <v>24</v>
      </c>
      <c r="AY77" s="112"/>
      <c r="AZ77" s="110"/>
      <c r="BA77" s="116">
        <f>DATE(YEAR(Tableau3[[#This Row],[OS démarrage]]),MONTH(Tableau3[[#This Row],[OS démarrage]])+Tableau3[[#This Row],[Délai chantier initial]],DAY(Tableau3[[#This Row],[OS démarrage]]))</f>
        <v>45901</v>
      </c>
      <c r="BB7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45931</v>
      </c>
      <c r="BC77" s="121">
        <f>(Tableau3[[#This Row],[Date réception entreprise recalée]]-Tableau3[[#This Row],[Date réception entreprise prévue initialement]])/30</f>
        <v>1</v>
      </c>
      <c r="BD77" s="126"/>
      <c r="BE77" s="124"/>
      <c r="BF77" s="124"/>
      <c r="BG77" s="124"/>
      <c r="BH77" s="137">
        <f>IFERROR((Tableau3[[#This Row],[Date Livraison VEFA estimée avec retards constatés]]-Tableau3[[#This Row],[Date livraison contractuelle y/c avenant]])/30,"-")</f>
        <v>0</v>
      </c>
      <c r="BI77" s="138">
        <f>Tableau3[[#This Row],[Date Livraison VEFA estimée avec retards constatés]]-Tableau3[[#This Row],[Date livraison contractuelle y/c avenant]]</f>
        <v>0</v>
      </c>
      <c r="BJ7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8" spans="1:62" x14ac:dyDescent="0.3">
      <c r="A78" s="4" t="s">
        <v>261</v>
      </c>
      <c r="B78" s="4" t="s">
        <v>55</v>
      </c>
      <c r="C78" s="4" t="s">
        <v>12</v>
      </c>
      <c r="D78" s="8">
        <v>2021</v>
      </c>
      <c r="E78" s="4" t="s">
        <v>227</v>
      </c>
      <c r="F78" s="5"/>
      <c r="G78" s="5"/>
      <c r="H78" s="5"/>
      <c r="I78" s="17"/>
      <c r="J78" s="5"/>
      <c r="K78" s="4" t="s">
        <v>80</v>
      </c>
      <c r="L78" s="24">
        <f>Tableau3[[#This Row],[LLS]]+Tableau3[[#This Row],[LLTS]]+Tableau3[[#This Row],[PLS]]+Tableau3[[#This Row],[REHAB]]</f>
        <v>24</v>
      </c>
      <c r="M78" s="23">
        <f>IFERROR(Tableau3[[#This Row],[LLS]]+Tableau3[[#This Row],[LLTS]]+Tableau3[[#This Row],[PLS]],"-")</f>
        <v>24</v>
      </c>
      <c r="N78" s="4">
        <v>24</v>
      </c>
      <c r="O78" s="25"/>
      <c r="P78" s="25"/>
      <c r="Q78" s="34"/>
      <c r="R78" s="32">
        <v>1744.3300000000002</v>
      </c>
      <c r="S78" s="27">
        <v>2098.9499999999998</v>
      </c>
      <c r="T78" s="56">
        <f>Tableau3[[#This Row],[SHAB y/c V]]/Tableau3[[#This Row],[N]]</f>
        <v>72.680416666666673</v>
      </c>
      <c r="U78" s="56">
        <f>Tableau3[[#This Row],[SF priorisée]]/Tableau3[[#This Row],[N]]</f>
        <v>87.456249999999997</v>
      </c>
      <c r="V78" s="57">
        <f>IFERROR(Tableau3[[#This Row],[SHAB y/c V]]/Tableau3[[#This Row],[SF priorisée]],"-")</f>
        <v>0.8310488577622146</v>
      </c>
      <c r="W78" s="56"/>
      <c r="X78" s="43" t="s">
        <v>93</v>
      </c>
      <c r="Y78" s="43" t="s">
        <v>392</v>
      </c>
      <c r="Z78" s="49">
        <v>4560389</v>
      </c>
      <c r="AA78" s="58">
        <f>IFERROR(Tableau3[[#This Row],[Prix Achat TTC]]/Tableau3[[#This Row],[SHAB y/c V]],"-")</f>
        <v>2614.4072509215571</v>
      </c>
      <c r="AB78" s="58">
        <f>IFERROR(Tableau3[[#This Row],[Prix Achat TTC]]/Tableau3[[#This Row],[SF priorisée]],"-")</f>
        <v>2172.7001596036116</v>
      </c>
      <c r="AC78" s="58">
        <f>IFERROR(Tableau3[[#This Row],[Prix Achat TTC]]/Tableau3[[#This Row],[N]],"-")</f>
        <v>190016.20833333334</v>
      </c>
      <c r="AD78" s="62">
        <v>44237</v>
      </c>
      <c r="AE78" s="62">
        <v>44260</v>
      </c>
      <c r="AF78" s="62">
        <v>44271</v>
      </c>
      <c r="AG78" s="58">
        <f>IFERROR((DATEDIF(Tableau3[[#This Row],[Demande LBU]],Tableau3[[#This Row],[Arrêté LBU]],"d"))/30,0)</f>
        <v>0.76666666666666672</v>
      </c>
      <c r="AH78" s="70">
        <v>44872</v>
      </c>
      <c r="AI78" s="68"/>
      <c r="AJ78" s="73" t="str">
        <f>IFERROR((DATEDIF(Tableau3[[#This Row],[Dde édition prêt]],Tableau3[[#This Row],[Contrat de prêt]],"d"))/30,"-")</f>
        <v>-</v>
      </c>
      <c r="AK78" s="68">
        <f>EOMONTH(Tableau3[[#This Row],[Contrat de prêt]],0)+1</f>
        <v>32</v>
      </c>
      <c r="AL78" s="68"/>
      <c r="AM78" s="68"/>
      <c r="AN7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8" s="79"/>
      <c r="AP78" s="2" t="str">
        <f>IF(Tableau3[[#This Row],[Montant des loyers perçus avant 1e échéance]]&lt;Tableau3[[#This Row],[Montant échéance annuelle]],"oui","non")</f>
        <v>non</v>
      </c>
      <c r="AS78" s="79">
        <f>Tableau3[[#This Row],[Mois de loyers avant 1e échéance]]-Tableau3[[#This Row],[Montant échéance annuelle]]</f>
        <v>0</v>
      </c>
      <c r="AU78" s="86">
        <v>45417</v>
      </c>
      <c r="AV78" s="97"/>
      <c r="AW78" s="56">
        <f>IFERROR((DATEDIF(Tableau3[[#This Row],[Arrêté LBU]],Tableau3[[#This Row],[OS démarrage]],"d"))/30,0)</f>
        <v>38.56666666666667</v>
      </c>
      <c r="AX78" s="107">
        <v>24</v>
      </c>
      <c r="AY78" s="112"/>
      <c r="AZ78" s="110"/>
      <c r="BA78" s="116">
        <f>DATE(YEAR(Tableau3[[#This Row],[OS démarrage]]),MONTH(Tableau3[[#This Row],[OS démarrage]])+Tableau3[[#This Row],[Délai chantier initial]],DAY(Tableau3[[#This Row],[OS démarrage]]))</f>
        <v>46147</v>
      </c>
      <c r="BB7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78" s="121">
        <f>(Tableau3[[#This Row],[Date réception entreprise recalée]]-Tableau3[[#This Row],[Date réception entreprise prévue initialement]])/30</f>
        <v>1.0333333333333334</v>
      </c>
      <c r="BD78" s="126"/>
      <c r="BE78" s="124"/>
      <c r="BF78" s="124"/>
      <c r="BG78" s="124"/>
      <c r="BH78" s="137">
        <f>IFERROR((Tableau3[[#This Row],[Date Livraison VEFA estimée avec retards constatés]]-Tableau3[[#This Row],[Date livraison contractuelle y/c avenant]])/30,"-")</f>
        <v>0</v>
      </c>
      <c r="BI78" s="138">
        <f>Tableau3[[#This Row],[Date Livraison VEFA estimée avec retards constatés]]-Tableau3[[#This Row],[Date livraison contractuelle y/c avenant]]</f>
        <v>0</v>
      </c>
      <c r="BJ7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79" spans="1:62" x14ac:dyDescent="0.3">
      <c r="A79" s="4" t="s">
        <v>262</v>
      </c>
      <c r="B79" s="4" t="s">
        <v>55</v>
      </c>
      <c r="C79" s="4" t="s">
        <v>12</v>
      </c>
      <c r="D79" s="8">
        <v>2021</v>
      </c>
      <c r="E79" s="4" t="s">
        <v>263</v>
      </c>
      <c r="F79" s="5"/>
      <c r="G79" s="5"/>
      <c r="H79" s="5"/>
      <c r="I79" s="17"/>
      <c r="J79" s="5"/>
      <c r="K79" s="4" t="s">
        <v>81</v>
      </c>
      <c r="L79" s="24">
        <f>Tableau3[[#This Row],[LLS]]+Tableau3[[#This Row],[LLTS]]+Tableau3[[#This Row],[PLS]]+Tableau3[[#This Row],[REHAB]]</f>
        <v>70</v>
      </c>
      <c r="M79" s="23">
        <f>IFERROR(Tableau3[[#This Row],[LLS]]+Tableau3[[#This Row],[LLTS]]+Tableau3[[#This Row],[PLS]],"-")</f>
        <v>70</v>
      </c>
      <c r="N79" s="25"/>
      <c r="O79" s="4">
        <v>70</v>
      </c>
      <c r="P79" s="25"/>
      <c r="Q79" s="34"/>
      <c r="R79" s="32">
        <v>3284.2300000000005</v>
      </c>
      <c r="S79" s="27">
        <v>3774.4649999999992</v>
      </c>
      <c r="T79" s="56">
        <f>Tableau3[[#This Row],[SHAB y/c V]]/Tableau3[[#This Row],[N]]</f>
        <v>46.917571428571435</v>
      </c>
      <c r="U79" s="56">
        <f>Tableau3[[#This Row],[SF priorisée]]/Tableau3[[#This Row],[N]]</f>
        <v>53.920928571428561</v>
      </c>
      <c r="V79" s="57">
        <f>IFERROR(Tableau3[[#This Row],[SHAB y/c V]]/Tableau3[[#This Row],[SF priorisée]],"-")</f>
        <v>0.87011801672554945</v>
      </c>
      <c r="W79" s="56"/>
      <c r="X79" s="43" t="s">
        <v>93</v>
      </c>
      <c r="Y79" s="43" t="s">
        <v>392</v>
      </c>
      <c r="Z79" s="49">
        <v>8082414</v>
      </c>
      <c r="AA79" s="58">
        <f>IFERROR(Tableau3[[#This Row],[Prix Achat TTC]]/Tableau3[[#This Row],[SHAB y/c V]],"-")</f>
        <v>2460.9768499770112</v>
      </c>
      <c r="AB79" s="58">
        <f>IFERROR(Tableau3[[#This Row],[Prix Achat TTC]]/Tableau3[[#This Row],[SF priorisée]],"-")</f>
        <v>2141.3402959094869</v>
      </c>
      <c r="AC79" s="58">
        <f>IFERROR(Tableau3[[#This Row],[Prix Achat TTC]]/Tableau3[[#This Row],[N]],"-")</f>
        <v>115463.05714285714</v>
      </c>
      <c r="AD79" s="62">
        <v>44043</v>
      </c>
      <c r="AE79" s="62">
        <v>44260</v>
      </c>
      <c r="AF79" s="62">
        <v>44271</v>
      </c>
      <c r="AG79" s="58">
        <f>IFERROR((DATEDIF(Tableau3[[#This Row],[Demande LBU]],Tableau3[[#This Row],[Arrêté LBU]],"d"))/30,0)</f>
        <v>7.2333333333333334</v>
      </c>
      <c r="AH79" s="70">
        <v>44872</v>
      </c>
      <c r="AI79" s="68"/>
      <c r="AJ79" s="73" t="str">
        <f>IFERROR((DATEDIF(Tableau3[[#This Row],[Dde édition prêt]],Tableau3[[#This Row],[Contrat de prêt]],"d"))/30,"-")</f>
        <v>-</v>
      </c>
      <c r="AK79" s="68">
        <f>EOMONTH(Tableau3[[#This Row],[Contrat de prêt]],0)+1</f>
        <v>32</v>
      </c>
      <c r="AL79" s="68"/>
      <c r="AM79" s="68"/>
      <c r="AN7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79" s="79"/>
      <c r="AP79" s="2" t="str">
        <f>IF(Tableau3[[#This Row],[Montant des loyers perçus avant 1e échéance]]&lt;Tableau3[[#This Row],[Montant échéance annuelle]],"oui","non")</f>
        <v>non</v>
      </c>
      <c r="AS79" s="79">
        <f>Tableau3[[#This Row],[Mois de loyers avant 1e échéance]]-Tableau3[[#This Row],[Montant échéance annuelle]]</f>
        <v>0</v>
      </c>
      <c r="AU79" s="86">
        <v>45417</v>
      </c>
      <c r="AV79" s="97"/>
      <c r="AW79" s="56">
        <f>IFERROR((DATEDIF(Tableau3[[#This Row],[Arrêté LBU]],Tableau3[[#This Row],[OS démarrage]],"d"))/30,0)</f>
        <v>38.56666666666667</v>
      </c>
      <c r="AX79" s="107">
        <v>24</v>
      </c>
      <c r="AY79" s="112"/>
      <c r="AZ79" s="110"/>
      <c r="BA79" s="116">
        <f>DATE(YEAR(Tableau3[[#This Row],[OS démarrage]]),MONTH(Tableau3[[#This Row],[OS démarrage]])+Tableau3[[#This Row],[Délai chantier initial]],DAY(Tableau3[[#This Row],[OS démarrage]]))</f>
        <v>46147</v>
      </c>
      <c r="BB7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79" s="121">
        <f>(Tableau3[[#This Row],[Date réception entreprise recalée]]-Tableau3[[#This Row],[Date réception entreprise prévue initialement]])/30</f>
        <v>1.0333333333333334</v>
      </c>
      <c r="BD79" s="126"/>
      <c r="BE79" s="124"/>
      <c r="BF79" s="124"/>
      <c r="BG79" s="124"/>
      <c r="BH79" s="137">
        <f>IFERROR((Tableau3[[#This Row],[Date Livraison VEFA estimée avec retards constatés]]-Tableau3[[#This Row],[Date livraison contractuelle y/c avenant]])/30,"-")</f>
        <v>0</v>
      </c>
      <c r="BI79" s="138">
        <f>Tableau3[[#This Row],[Date Livraison VEFA estimée avec retards constatés]]-Tableau3[[#This Row],[Date livraison contractuelle y/c avenant]]</f>
        <v>0</v>
      </c>
      <c r="BJ7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0" spans="1:62" x14ac:dyDescent="0.3">
      <c r="A80" s="4" t="s">
        <v>264</v>
      </c>
      <c r="B80" s="4" t="s">
        <v>55</v>
      </c>
      <c r="C80" s="4" t="s">
        <v>12</v>
      </c>
      <c r="D80" s="8">
        <v>2021</v>
      </c>
      <c r="E80" s="4" t="s">
        <v>229</v>
      </c>
      <c r="F80" s="5"/>
      <c r="G80" s="5"/>
      <c r="H80" s="5"/>
      <c r="I80" s="17"/>
      <c r="J80" s="5"/>
      <c r="K80" s="4" t="s">
        <v>80</v>
      </c>
      <c r="L80" s="24">
        <f>Tableau3[[#This Row],[LLS]]+Tableau3[[#This Row],[LLTS]]+Tableau3[[#This Row],[PLS]]+Tableau3[[#This Row],[REHAB]]</f>
        <v>13</v>
      </c>
      <c r="M80" s="23">
        <f>IFERROR(Tableau3[[#This Row],[LLS]]+Tableau3[[#This Row],[LLTS]]+Tableau3[[#This Row],[PLS]],"-")</f>
        <v>13</v>
      </c>
      <c r="N80" s="4">
        <v>13</v>
      </c>
      <c r="O80" s="25"/>
      <c r="P80" s="25"/>
      <c r="Q80" s="34"/>
      <c r="R80" s="32">
        <v>950.14</v>
      </c>
      <c r="S80" s="27">
        <v>1143.23</v>
      </c>
      <c r="T80" s="56">
        <f>Tableau3[[#This Row],[SHAB y/c V]]/Tableau3[[#This Row],[N]]</f>
        <v>73.087692307692308</v>
      </c>
      <c r="U80" s="56">
        <f>Tableau3[[#This Row],[SF priorisée]]/Tableau3[[#This Row],[N]]</f>
        <v>87.940769230769234</v>
      </c>
      <c r="V80" s="57">
        <f>IFERROR(Tableau3[[#This Row],[SHAB y/c V]]/Tableau3[[#This Row],[SF priorisée]],"-")</f>
        <v>0.83110135318352385</v>
      </c>
      <c r="W80" s="56"/>
      <c r="X80" s="43" t="s">
        <v>93</v>
      </c>
      <c r="Y80" s="43" t="s">
        <v>392</v>
      </c>
      <c r="Z80" s="49">
        <v>2484662</v>
      </c>
      <c r="AA80" s="58">
        <f>IFERROR(Tableau3[[#This Row],[Prix Achat TTC]]/Tableau3[[#This Row],[SHAB y/c V]],"-")</f>
        <v>2615.0483086703011</v>
      </c>
      <c r="AB80" s="58">
        <f>IFERROR(Tableau3[[#This Row],[Prix Achat TTC]]/Tableau3[[#This Row],[SF priorisée]],"-")</f>
        <v>2173.3701879761729</v>
      </c>
      <c r="AC80" s="58">
        <f>IFERROR(Tableau3[[#This Row],[Prix Achat TTC]]/Tableau3[[#This Row],[N]],"-")</f>
        <v>191127.84615384616</v>
      </c>
      <c r="AD80" s="62">
        <v>44043</v>
      </c>
      <c r="AE80" s="62">
        <v>44251</v>
      </c>
      <c r="AF80" s="62"/>
      <c r="AG80" s="58">
        <f>IFERROR((DATEDIF(Tableau3[[#This Row],[Demande LBU]],Tableau3[[#This Row],[Arrêté LBU]],"d"))/30,0)</f>
        <v>6.9333333333333336</v>
      </c>
      <c r="AH80" s="70">
        <v>44872</v>
      </c>
      <c r="AI80" s="68"/>
      <c r="AJ80" s="73" t="str">
        <f>IFERROR((DATEDIF(Tableau3[[#This Row],[Dde édition prêt]],Tableau3[[#This Row],[Contrat de prêt]],"d"))/30,"-")</f>
        <v>-</v>
      </c>
      <c r="AK80" s="68">
        <f>EOMONTH(Tableau3[[#This Row],[Contrat de prêt]],0)+1</f>
        <v>32</v>
      </c>
      <c r="AL80" s="68"/>
      <c r="AM80" s="68"/>
      <c r="AN8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0" s="79"/>
      <c r="AP80" s="2" t="str">
        <f>IF(Tableau3[[#This Row],[Montant des loyers perçus avant 1e échéance]]&lt;Tableau3[[#This Row],[Montant échéance annuelle]],"oui","non")</f>
        <v>non</v>
      </c>
      <c r="AS80" s="79">
        <f>Tableau3[[#This Row],[Mois de loyers avant 1e échéance]]-Tableau3[[#This Row],[Montant échéance annuelle]]</f>
        <v>0</v>
      </c>
      <c r="AU80" s="86">
        <v>45417</v>
      </c>
      <c r="AV80" s="97"/>
      <c r="AW80" s="56">
        <f>IFERROR((DATEDIF(Tableau3[[#This Row],[Arrêté LBU]],Tableau3[[#This Row],[OS démarrage]],"d"))/30,0)</f>
        <v>38.866666666666667</v>
      </c>
      <c r="AX80" s="107">
        <v>24</v>
      </c>
      <c r="AY80" s="112"/>
      <c r="AZ80" s="110"/>
      <c r="BA80" s="116">
        <f>DATE(YEAR(Tableau3[[#This Row],[OS démarrage]]),MONTH(Tableau3[[#This Row],[OS démarrage]])+Tableau3[[#This Row],[Délai chantier initial]],DAY(Tableau3[[#This Row],[OS démarrage]]))</f>
        <v>46147</v>
      </c>
      <c r="BB8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80" s="121">
        <f>(Tableau3[[#This Row],[Date réception entreprise recalée]]-Tableau3[[#This Row],[Date réception entreprise prévue initialement]])/30</f>
        <v>1.0333333333333334</v>
      </c>
      <c r="BD80" s="126"/>
      <c r="BE80" s="124"/>
      <c r="BF80" s="124"/>
      <c r="BG80" s="124"/>
      <c r="BH80" s="137">
        <f>IFERROR((Tableau3[[#This Row],[Date Livraison VEFA estimée avec retards constatés]]-Tableau3[[#This Row],[Date livraison contractuelle y/c avenant]])/30,"-")</f>
        <v>0</v>
      </c>
      <c r="BI80" s="138">
        <f>Tableau3[[#This Row],[Date Livraison VEFA estimée avec retards constatés]]-Tableau3[[#This Row],[Date livraison contractuelle y/c avenant]]</f>
        <v>0</v>
      </c>
      <c r="BJ8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1" spans="1:62" x14ac:dyDescent="0.3">
      <c r="A81" s="4" t="s">
        <v>265</v>
      </c>
      <c r="B81" s="4" t="s">
        <v>55</v>
      </c>
      <c r="C81" s="4" t="s">
        <v>12</v>
      </c>
      <c r="D81" s="8">
        <v>2021</v>
      </c>
      <c r="E81" s="4" t="s">
        <v>266</v>
      </c>
      <c r="F81" s="5"/>
      <c r="G81" s="5"/>
      <c r="H81" s="5"/>
      <c r="I81" s="17"/>
      <c r="J81" s="5"/>
      <c r="K81" s="4" t="s">
        <v>81</v>
      </c>
      <c r="L81" s="24">
        <f>Tableau3[[#This Row],[LLS]]+Tableau3[[#This Row],[LLTS]]+Tableau3[[#This Row],[PLS]]+Tableau3[[#This Row],[REHAB]]</f>
        <v>8</v>
      </c>
      <c r="M81" s="23">
        <f>IFERROR(Tableau3[[#This Row],[LLS]]+Tableau3[[#This Row],[LLTS]]+Tableau3[[#This Row],[PLS]],"-")</f>
        <v>8</v>
      </c>
      <c r="N81" s="25"/>
      <c r="O81" s="4">
        <v>8</v>
      </c>
      <c r="P81" s="25"/>
      <c r="Q81" s="34"/>
      <c r="R81" s="32">
        <v>455.64000000000004</v>
      </c>
      <c r="S81" s="27">
        <v>571.77500000000009</v>
      </c>
      <c r="T81" s="56">
        <f>Tableau3[[#This Row],[SHAB y/c V]]/Tableau3[[#This Row],[N]]</f>
        <v>56.955000000000005</v>
      </c>
      <c r="U81" s="56">
        <f>Tableau3[[#This Row],[SF priorisée]]/Tableau3[[#This Row],[N]]</f>
        <v>71.471875000000011</v>
      </c>
      <c r="V81" s="57">
        <f>IFERROR(Tableau3[[#This Row],[SHAB y/c V]]/Tableau3[[#This Row],[SF priorisée]],"-")</f>
        <v>0.79688688732455948</v>
      </c>
      <c r="W81" s="56"/>
      <c r="X81" s="43" t="s">
        <v>93</v>
      </c>
      <c r="Y81" s="43" t="s">
        <v>392</v>
      </c>
      <c r="Z81" s="49">
        <v>1123161</v>
      </c>
      <c r="AA81" s="58">
        <f>IFERROR(Tableau3[[#This Row],[Prix Achat TTC]]/Tableau3[[#This Row],[SHAB y/c V]],"-")</f>
        <v>2465.0184356070581</v>
      </c>
      <c r="AB81" s="58">
        <f>IFERROR(Tableau3[[#This Row],[Prix Achat TTC]]/Tableau3[[#This Row],[SF priorisée]],"-")</f>
        <v>1964.3408683485634</v>
      </c>
      <c r="AC81" s="58">
        <f>IFERROR(Tableau3[[#This Row],[Prix Achat TTC]]/Tableau3[[#This Row],[N]],"-")</f>
        <v>140395.125</v>
      </c>
      <c r="AD81" s="62">
        <v>44043</v>
      </c>
      <c r="AE81" s="62">
        <v>44251</v>
      </c>
      <c r="AF81" s="62"/>
      <c r="AG81" s="58">
        <f>IFERROR((DATEDIF(Tableau3[[#This Row],[Demande LBU]],Tableau3[[#This Row],[Arrêté LBU]],"d"))/30,0)</f>
        <v>6.9333333333333336</v>
      </c>
      <c r="AH81" s="70">
        <v>44872</v>
      </c>
      <c r="AI81" s="68"/>
      <c r="AJ81" s="73" t="str">
        <f>IFERROR((DATEDIF(Tableau3[[#This Row],[Dde édition prêt]],Tableau3[[#This Row],[Contrat de prêt]],"d"))/30,"-")</f>
        <v>-</v>
      </c>
      <c r="AK81" s="68">
        <f>EOMONTH(Tableau3[[#This Row],[Contrat de prêt]],0)+1</f>
        <v>32</v>
      </c>
      <c r="AL81" s="68"/>
      <c r="AM81" s="68"/>
      <c r="AN8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1" s="79"/>
      <c r="AP81" s="2" t="str">
        <f>IF(Tableau3[[#This Row],[Montant des loyers perçus avant 1e échéance]]&lt;Tableau3[[#This Row],[Montant échéance annuelle]],"oui","non")</f>
        <v>non</v>
      </c>
      <c r="AS81" s="79">
        <f>Tableau3[[#This Row],[Mois de loyers avant 1e échéance]]-Tableau3[[#This Row],[Montant échéance annuelle]]</f>
        <v>0</v>
      </c>
      <c r="AU81" s="86">
        <v>45417</v>
      </c>
      <c r="AV81" s="97"/>
      <c r="AW81" s="56">
        <f>IFERROR((DATEDIF(Tableau3[[#This Row],[Arrêté LBU]],Tableau3[[#This Row],[OS démarrage]],"d"))/30,0)</f>
        <v>38.866666666666667</v>
      </c>
      <c r="AX81" s="107">
        <v>24</v>
      </c>
      <c r="AY81" s="112"/>
      <c r="AZ81" s="110"/>
      <c r="BA81" s="116">
        <f>DATE(YEAR(Tableau3[[#This Row],[OS démarrage]]),MONTH(Tableau3[[#This Row],[OS démarrage]])+Tableau3[[#This Row],[Délai chantier initial]],DAY(Tableau3[[#This Row],[OS démarrage]]))</f>
        <v>46147</v>
      </c>
      <c r="BB8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81" s="121">
        <f>(Tableau3[[#This Row],[Date réception entreprise recalée]]-Tableau3[[#This Row],[Date réception entreprise prévue initialement]])/30</f>
        <v>1.0333333333333334</v>
      </c>
      <c r="BD81" s="126"/>
      <c r="BE81" s="124"/>
      <c r="BF81" s="124"/>
      <c r="BG81" s="124"/>
      <c r="BH81" s="137">
        <f>IFERROR((Tableau3[[#This Row],[Date Livraison VEFA estimée avec retards constatés]]-Tableau3[[#This Row],[Date livraison contractuelle y/c avenant]])/30,"-")</f>
        <v>0</v>
      </c>
      <c r="BI81" s="138">
        <f>Tableau3[[#This Row],[Date Livraison VEFA estimée avec retards constatés]]-Tableau3[[#This Row],[Date livraison contractuelle y/c avenant]]</f>
        <v>0</v>
      </c>
      <c r="BJ8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2" spans="1:62" x14ac:dyDescent="0.3">
      <c r="A82" s="4" t="s">
        <v>267</v>
      </c>
      <c r="B82" s="4" t="s">
        <v>55</v>
      </c>
      <c r="C82" s="4" t="s">
        <v>12</v>
      </c>
      <c r="D82" s="8">
        <v>2021</v>
      </c>
      <c r="E82" s="4" t="s">
        <v>266</v>
      </c>
      <c r="F82" s="5"/>
      <c r="G82" s="5"/>
      <c r="H82" s="5"/>
      <c r="I82" s="5"/>
      <c r="J82" s="5"/>
      <c r="K82" s="4" t="s">
        <v>80</v>
      </c>
      <c r="L82" s="24">
        <f>Tableau3[[#This Row],[LLS]]+Tableau3[[#This Row],[LLTS]]+Tableau3[[#This Row],[PLS]]+Tableau3[[#This Row],[REHAB]]</f>
        <v>7</v>
      </c>
      <c r="M82" s="23">
        <f>IFERROR(Tableau3[[#This Row],[LLS]]+Tableau3[[#This Row],[LLTS]]+Tableau3[[#This Row],[PLS]],"-")</f>
        <v>7</v>
      </c>
      <c r="N82" s="4">
        <v>7</v>
      </c>
      <c r="O82" s="25"/>
      <c r="P82" s="25"/>
      <c r="Q82" s="34"/>
      <c r="R82" s="26">
        <v>509.22</v>
      </c>
      <c r="S82" s="27">
        <v>608.80999999999995</v>
      </c>
      <c r="T82" s="56">
        <f>Tableau3[[#This Row],[SHAB y/c V]]/Tableau3[[#This Row],[N]]</f>
        <v>72.745714285714286</v>
      </c>
      <c r="U82" s="56">
        <f>Tableau3[[#This Row],[SF priorisée]]/Tableau3[[#This Row],[N]]</f>
        <v>86.972857142857137</v>
      </c>
      <c r="V82" s="57">
        <f>IFERROR(Tableau3[[#This Row],[SHAB y/c V]]/Tableau3[[#This Row],[SF priorisée]],"-")</f>
        <v>0.83641858707971295</v>
      </c>
      <c r="W82" s="56"/>
      <c r="X82" s="43" t="s">
        <v>93</v>
      </c>
      <c r="Y82" s="43" t="s">
        <v>392</v>
      </c>
      <c r="Z82" s="47">
        <v>1331454</v>
      </c>
      <c r="AA82" s="58">
        <f>IFERROR(Tableau3[[#This Row],[Prix Achat TTC]]/Tableau3[[#This Row],[SHAB y/c V]],"-")</f>
        <v>2614.6930599740776</v>
      </c>
      <c r="AB82" s="58">
        <f>IFERROR(Tableau3[[#This Row],[Prix Achat TTC]]/Tableau3[[#This Row],[SF priorisée]],"-")</f>
        <v>2186.9778748706494</v>
      </c>
      <c r="AC82" s="58">
        <f>IFERROR(Tableau3[[#This Row],[Prix Achat TTC]]/Tableau3[[#This Row],[N]],"-")</f>
        <v>190207.71428571429</v>
      </c>
      <c r="AD82" s="62">
        <v>44043</v>
      </c>
      <c r="AE82" s="62">
        <v>44244</v>
      </c>
      <c r="AF82" s="62">
        <v>44245</v>
      </c>
      <c r="AG82" s="58">
        <f>IFERROR((DATEDIF(Tableau3[[#This Row],[Demande LBU]],Tableau3[[#This Row],[Arrêté LBU]],"d"))/30,0)</f>
        <v>6.7</v>
      </c>
      <c r="AH82" s="70">
        <v>44872</v>
      </c>
      <c r="AI82" s="68"/>
      <c r="AJ82" s="73" t="str">
        <f>IFERROR((DATEDIF(Tableau3[[#This Row],[Dde édition prêt]],Tableau3[[#This Row],[Contrat de prêt]],"d"))/30,"-")</f>
        <v>-</v>
      </c>
      <c r="AK82" s="68">
        <f>EOMONTH(Tableau3[[#This Row],[Contrat de prêt]],0)+1</f>
        <v>32</v>
      </c>
      <c r="AL82" s="68"/>
      <c r="AM82" s="68"/>
      <c r="AN8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2" s="79"/>
      <c r="AP82" s="2" t="str">
        <f>IF(Tableau3[[#This Row],[Montant des loyers perçus avant 1e échéance]]&lt;Tableau3[[#This Row],[Montant échéance annuelle]],"oui","non")</f>
        <v>non</v>
      </c>
      <c r="AS82" s="79">
        <f>Tableau3[[#This Row],[Mois de loyers avant 1e échéance]]-Tableau3[[#This Row],[Montant échéance annuelle]]</f>
        <v>0</v>
      </c>
      <c r="AU82" s="86">
        <v>45417</v>
      </c>
      <c r="AV82" s="97"/>
      <c r="AW82" s="56">
        <f>IFERROR((DATEDIF(Tableau3[[#This Row],[Arrêté LBU]],Tableau3[[#This Row],[OS démarrage]],"d"))/30,0)</f>
        <v>39.1</v>
      </c>
      <c r="AX82" s="107">
        <v>24</v>
      </c>
      <c r="AY82" s="112"/>
      <c r="AZ82" s="110"/>
      <c r="BA82" s="116">
        <f>DATE(YEAR(Tableau3[[#This Row],[OS démarrage]]),MONTH(Tableau3[[#This Row],[OS démarrage]])+Tableau3[[#This Row],[Délai chantier initial]],DAY(Tableau3[[#This Row],[OS démarrage]]))</f>
        <v>46147</v>
      </c>
      <c r="BB8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46178</v>
      </c>
      <c r="BC82" s="121">
        <f>(Tableau3[[#This Row],[Date réception entreprise recalée]]-Tableau3[[#This Row],[Date réception entreprise prévue initialement]])/30</f>
        <v>1.0333333333333334</v>
      </c>
      <c r="BD82" s="126"/>
      <c r="BE82" s="124"/>
      <c r="BF82" s="124"/>
      <c r="BG82" s="124"/>
      <c r="BH82" s="137">
        <f>IFERROR((Tableau3[[#This Row],[Date Livraison VEFA estimée avec retards constatés]]-Tableau3[[#This Row],[Date livraison contractuelle y/c avenant]])/30,"-")</f>
        <v>0</v>
      </c>
      <c r="BI82" s="138">
        <f>Tableau3[[#This Row],[Date Livraison VEFA estimée avec retards constatés]]-Tableau3[[#This Row],[Date livraison contractuelle y/c avenant]]</f>
        <v>0</v>
      </c>
      <c r="BJ8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3" spans="1:62" x14ac:dyDescent="0.3">
      <c r="A83" s="19" t="s">
        <v>268</v>
      </c>
      <c r="B83" s="4" t="s">
        <v>20</v>
      </c>
      <c r="C83" s="4" t="s">
        <v>12</v>
      </c>
      <c r="D83" s="4">
        <v>2022</v>
      </c>
      <c r="E83" s="4"/>
      <c r="F83" s="4" t="s">
        <v>17</v>
      </c>
      <c r="G83" s="4"/>
      <c r="H83" s="4" t="s">
        <v>28</v>
      </c>
      <c r="I83" s="6" t="s">
        <v>29</v>
      </c>
      <c r="J83" s="4" t="s">
        <v>269</v>
      </c>
      <c r="K83" s="4" t="s">
        <v>389</v>
      </c>
      <c r="L83" s="24">
        <f>Tableau3[[#This Row],[LLS]]+Tableau3[[#This Row],[LLTS]]+Tableau3[[#This Row],[PLS]]+Tableau3[[#This Row],[REHAB]]</f>
        <v>24</v>
      </c>
      <c r="M83" s="23">
        <f>IFERROR(Tableau3[[#This Row],[LLS]]+Tableau3[[#This Row],[LLTS]]+Tableau3[[#This Row],[PLS]],"-")</f>
        <v>0</v>
      </c>
      <c r="N83" s="25"/>
      <c r="O83" s="25"/>
      <c r="P83" s="25"/>
      <c r="Q83" s="4">
        <v>24</v>
      </c>
      <c r="R83" s="36"/>
      <c r="S83" s="31"/>
      <c r="T83" s="56">
        <f>Tableau3[[#This Row],[SHAB y/c V]]/Tableau3[[#This Row],[N]]</f>
        <v>0</v>
      </c>
      <c r="U83" s="56">
        <f>Tableau3[[#This Row],[SF priorisée]]/Tableau3[[#This Row],[N]]</f>
        <v>0</v>
      </c>
      <c r="V83" s="57" t="str">
        <f>IFERROR(Tableau3[[#This Row],[SHAB y/c V]]/Tableau3[[#This Row],[SF priorisée]],"-")</f>
        <v>-</v>
      </c>
      <c r="W83" s="56"/>
      <c r="X83" s="44"/>
      <c r="Y83" s="45"/>
      <c r="Z83" s="5"/>
      <c r="AA83" s="58" t="str">
        <f>IFERROR(Tableau3[[#This Row],[Prix Achat TTC]]/Tableau3[[#This Row],[SHAB y/c V]],"-")</f>
        <v>-</v>
      </c>
      <c r="AB83" s="58" t="str">
        <f>IFERROR(Tableau3[[#This Row],[Prix Achat TTC]]/Tableau3[[#This Row],[SF priorisée]],"-")</f>
        <v>-</v>
      </c>
      <c r="AC83" s="58">
        <f>IFERROR(Tableau3[[#This Row],[Prix Achat TTC]]/Tableau3[[#This Row],[N]],"-")</f>
        <v>0</v>
      </c>
      <c r="AD83" s="62">
        <v>44673</v>
      </c>
      <c r="AE83" s="62">
        <v>44922</v>
      </c>
      <c r="AF83" s="62">
        <v>44959</v>
      </c>
      <c r="AG83" s="58">
        <f>IFERROR((DATEDIF(Tableau3[[#This Row],[Demande LBU]],Tableau3[[#This Row],[Arrêté LBU]],"d"))/30,0)</f>
        <v>8.3000000000000007</v>
      </c>
      <c r="AH83" s="68"/>
      <c r="AI83" s="68"/>
      <c r="AJ83" s="73">
        <f>IFERROR((DATEDIF(Tableau3[[#This Row],[Dde édition prêt]],Tableau3[[#This Row],[Contrat de prêt]],"d"))/30,"-")</f>
        <v>0</v>
      </c>
      <c r="AK83" s="68">
        <f>EOMONTH(Tableau3[[#This Row],[Contrat de prêt]],0)+1</f>
        <v>32</v>
      </c>
      <c r="AL83" s="68"/>
      <c r="AM83" s="68"/>
      <c r="AN8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3" s="79"/>
      <c r="AP83" s="2" t="str">
        <f>IF(Tableau3[[#This Row],[Montant des loyers perçus avant 1e échéance]]&lt;Tableau3[[#This Row],[Montant échéance annuelle]],"oui","non")</f>
        <v>non</v>
      </c>
      <c r="AS83" s="79">
        <f>Tableau3[[#This Row],[Mois de loyers avant 1e échéance]]-Tableau3[[#This Row],[Montant échéance annuelle]]</f>
        <v>0</v>
      </c>
      <c r="AU83" s="86">
        <v>45214</v>
      </c>
      <c r="AV83" s="97"/>
      <c r="AW83" s="56">
        <f>IFERROR((DATEDIF(Tableau3[[#This Row],[Arrêté LBU]],Tableau3[[#This Row],[OS démarrage]],"d"))/30,0)</f>
        <v>9.7333333333333325</v>
      </c>
      <c r="AX83" s="107">
        <v>12</v>
      </c>
      <c r="AY83" s="112"/>
      <c r="AZ83" s="110"/>
      <c r="BA83" s="116">
        <f>DATE(YEAR(Tableau3[[#This Row],[OS démarrage]]),MONTH(Tableau3[[#This Row],[OS démarrage]])+Tableau3[[#This Row],[Délai chantier initial]],DAY(Tableau3[[#This Row],[OS démarrage]]))</f>
        <v>45580</v>
      </c>
      <c r="BB8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45611</v>
      </c>
      <c r="BC83" s="121">
        <f>(Tableau3[[#This Row],[Date réception entreprise recalée]]-Tableau3[[#This Row],[Date réception entreprise prévue initialement]])/30</f>
        <v>1.0333333333333334</v>
      </c>
      <c r="BD83" s="126"/>
      <c r="BE83" s="124"/>
      <c r="BF83" s="124"/>
      <c r="BG83" s="124"/>
      <c r="BH83" s="137">
        <f>IFERROR((Tableau3[[#This Row],[Date Livraison VEFA estimée avec retards constatés]]-Tableau3[[#This Row],[Date livraison contractuelle y/c avenant]])/30,"-")</f>
        <v>0</v>
      </c>
      <c r="BI83" s="138">
        <f>Tableau3[[#This Row],[Date Livraison VEFA estimée avec retards constatés]]-Tableau3[[#This Row],[Date livraison contractuelle y/c avenant]]</f>
        <v>0</v>
      </c>
      <c r="BJ8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84" spans="1:62" x14ac:dyDescent="0.3">
      <c r="A84" s="19" t="s">
        <v>270</v>
      </c>
      <c r="B84" s="4" t="s">
        <v>41</v>
      </c>
      <c r="C84" s="4" t="s">
        <v>12</v>
      </c>
      <c r="D84" s="4">
        <v>2022</v>
      </c>
      <c r="E84" s="4"/>
      <c r="F84" s="4" t="s">
        <v>38</v>
      </c>
      <c r="G84" s="4"/>
      <c r="H84" s="4" t="s">
        <v>18</v>
      </c>
      <c r="I84" s="6" t="s">
        <v>36</v>
      </c>
      <c r="J84" s="4" t="s">
        <v>271</v>
      </c>
      <c r="K84" s="4" t="s">
        <v>389</v>
      </c>
      <c r="L84" s="24">
        <f>Tableau3[[#This Row],[LLS]]+Tableau3[[#This Row],[LLTS]]+Tableau3[[#This Row],[PLS]]+Tableau3[[#This Row],[REHAB]]</f>
        <v>44</v>
      </c>
      <c r="M84" s="23">
        <f>IFERROR(Tableau3[[#This Row],[LLS]]+Tableau3[[#This Row],[LLTS]]+Tableau3[[#This Row],[PLS]],"-")</f>
        <v>0</v>
      </c>
      <c r="N84" s="25"/>
      <c r="O84" s="25"/>
      <c r="P84" s="25"/>
      <c r="Q84" s="4">
        <v>44</v>
      </c>
      <c r="R84" s="36"/>
      <c r="S84" s="31"/>
      <c r="T84" s="56">
        <f>Tableau3[[#This Row],[SHAB y/c V]]/Tableau3[[#This Row],[N]]</f>
        <v>0</v>
      </c>
      <c r="U84" s="56">
        <f>Tableau3[[#This Row],[SF priorisée]]/Tableau3[[#This Row],[N]]</f>
        <v>0</v>
      </c>
      <c r="V84" s="57" t="str">
        <f>IFERROR(Tableau3[[#This Row],[SHAB y/c V]]/Tableau3[[#This Row],[SF priorisée]],"-")</f>
        <v>-</v>
      </c>
      <c r="W84" s="56"/>
      <c r="X84" s="44"/>
      <c r="Y84" s="43" t="s">
        <v>392</v>
      </c>
      <c r="Z84" s="5"/>
      <c r="AA84" s="58" t="str">
        <f>IFERROR(Tableau3[[#This Row],[Prix Achat TTC]]/Tableau3[[#This Row],[SHAB y/c V]],"-")</f>
        <v>-</v>
      </c>
      <c r="AB84" s="58" t="str">
        <f>IFERROR(Tableau3[[#This Row],[Prix Achat TTC]]/Tableau3[[#This Row],[SF priorisée]],"-")</f>
        <v>-</v>
      </c>
      <c r="AC84" s="58">
        <f>IFERROR(Tableau3[[#This Row],[Prix Achat TTC]]/Tableau3[[#This Row],[N]],"-")</f>
        <v>0</v>
      </c>
      <c r="AD84" s="62">
        <v>44678</v>
      </c>
      <c r="AE84" s="62">
        <v>44908</v>
      </c>
      <c r="AF84" s="62"/>
      <c r="AG84" s="58">
        <f>IFERROR((DATEDIF(Tableau3[[#This Row],[Demande LBU]],Tableau3[[#This Row],[Arrêté LBU]],"d"))/30,0)</f>
        <v>7.666666666666667</v>
      </c>
      <c r="AH84" s="68"/>
      <c r="AI84" s="68"/>
      <c r="AJ84" s="73">
        <f>IFERROR((DATEDIF(Tableau3[[#This Row],[Dde édition prêt]],Tableau3[[#This Row],[Contrat de prêt]],"d"))/30,"-")</f>
        <v>0</v>
      </c>
      <c r="AK84" s="68">
        <f>EOMONTH(Tableau3[[#This Row],[Contrat de prêt]],0)+1</f>
        <v>32</v>
      </c>
      <c r="AL84" s="68"/>
      <c r="AM84" s="68"/>
      <c r="AN8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4" s="79"/>
      <c r="AP84" s="2" t="str">
        <f>IF(Tableau3[[#This Row],[Montant des loyers perçus avant 1e échéance]]&lt;Tableau3[[#This Row],[Montant échéance annuelle]],"oui","non")</f>
        <v>non</v>
      </c>
      <c r="AS84" s="79">
        <f>Tableau3[[#This Row],[Mois de loyers avant 1e échéance]]-Tableau3[[#This Row],[Montant échéance annuelle]]</f>
        <v>0</v>
      </c>
      <c r="AU84" s="86">
        <v>45184</v>
      </c>
      <c r="AV84" s="97"/>
      <c r="AW84" s="56">
        <f>IFERROR((DATEDIF(Tableau3[[#This Row],[Arrêté LBU]],Tableau3[[#This Row],[OS démarrage]],"d"))/30,0)</f>
        <v>9.1999999999999993</v>
      </c>
      <c r="AX84" s="107">
        <v>14</v>
      </c>
      <c r="AY84" s="112"/>
      <c r="AZ84" s="110"/>
      <c r="BA84" s="116">
        <f>DATE(YEAR(Tableau3[[#This Row],[OS démarrage]]),MONTH(Tableau3[[#This Row],[OS démarrage]])+Tableau3[[#This Row],[Délai chantier initial]],DAY(Tableau3[[#This Row],[OS démarrage]]))</f>
        <v>45611</v>
      </c>
      <c r="BB8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45641</v>
      </c>
      <c r="BC84" s="121">
        <f>(Tableau3[[#This Row],[Date réception entreprise recalée]]-Tableau3[[#This Row],[Date réception entreprise prévue initialement]])/30</f>
        <v>1</v>
      </c>
      <c r="BD84" s="126"/>
      <c r="BE84" s="124"/>
      <c r="BF84" s="124"/>
      <c r="BG84" s="124"/>
      <c r="BH84" s="137">
        <f>IFERROR((Tableau3[[#This Row],[Date Livraison VEFA estimée avec retards constatés]]-Tableau3[[#This Row],[Date livraison contractuelle y/c avenant]])/30,"-")</f>
        <v>0</v>
      </c>
      <c r="BI84" s="138">
        <f>Tableau3[[#This Row],[Date Livraison VEFA estimée avec retards constatés]]-Tableau3[[#This Row],[Date livraison contractuelle y/c avenant]]</f>
        <v>0</v>
      </c>
      <c r="BJ84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85" spans="1:62" x14ac:dyDescent="0.3">
      <c r="A85" s="19" t="s">
        <v>272</v>
      </c>
      <c r="B85" s="4" t="s">
        <v>55</v>
      </c>
      <c r="C85" s="4" t="s">
        <v>12</v>
      </c>
      <c r="D85" s="4">
        <v>2022</v>
      </c>
      <c r="E85" s="4"/>
      <c r="F85" s="4" t="s">
        <v>38</v>
      </c>
      <c r="G85" s="4"/>
      <c r="H85" s="4" t="s">
        <v>35</v>
      </c>
      <c r="I85" s="6" t="s">
        <v>36</v>
      </c>
      <c r="J85" s="4" t="s">
        <v>273</v>
      </c>
      <c r="K85" s="4" t="s">
        <v>389</v>
      </c>
      <c r="L85" s="24">
        <f>Tableau3[[#This Row],[LLS]]+Tableau3[[#This Row],[LLTS]]+Tableau3[[#This Row],[PLS]]+Tableau3[[#This Row],[REHAB]]</f>
        <v>40</v>
      </c>
      <c r="M85" s="23">
        <f>IFERROR(Tableau3[[#This Row],[LLS]]+Tableau3[[#This Row],[LLTS]]+Tableau3[[#This Row],[PLS]],"-")</f>
        <v>0</v>
      </c>
      <c r="N85" s="25"/>
      <c r="O85" s="25"/>
      <c r="P85" s="25"/>
      <c r="Q85" s="4">
        <v>40</v>
      </c>
      <c r="R85" s="36"/>
      <c r="S85" s="31"/>
      <c r="T85" s="56">
        <f>Tableau3[[#This Row],[SHAB y/c V]]/Tableau3[[#This Row],[N]]</f>
        <v>0</v>
      </c>
      <c r="U85" s="56">
        <f>Tableau3[[#This Row],[SF priorisée]]/Tableau3[[#This Row],[N]]</f>
        <v>0</v>
      </c>
      <c r="V85" s="57" t="str">
        <f>IFERROR(Tableau3[[#This Row],[SHAB y/c V]]/Tableau3[[#This Row],[SF priorisée]],"-")</f>
        <v>-</v>
      </c>
      <c r="W85" s="56"/>
      <c r="X85" s="44"/>
      <c r="Y85" s="45"/>
      <c r="Z85" s="5"/>
      <c r="AA85" s="58" t="str">
        <f>IFERROR(Tableau3[[#This Row],[Prix Achat TTC]]/Tableau3[[#This Row],[SHAB y/c V]],"-")</f>
        <v>-</v>
      </c>
      <c r="AB85" s="58" t="str">
        <f>IFERROR(Tableau3[[#This Row],[Prix Achat TTC]]/Tableau3[[#This Row],[SF priorisée]],"-")</f>
        <v>-</v>
      </c>
      <c r="AC85" s="58">
        <f>IFERROR(Tableau3[[#This Row],[Prix Achat TTC]]/Tableau3[[#This Row],[N]],"-")</f>
        <v>0</v>
      </c>
      <c r="AD85" s="62">
        <v>44673</v>
      </c>
      <c r="AE85" s="62">
        <v>44922</v>
      </c>
      <c r="AF85" s="62">
        <v>44959</v>
      </c>
      <c r="AG85" s="58">
        <f>IFERROR((DATEDIF(Tableau3[[#This Row],[Demande LBU]],Tableau3[[#This Row],[Arrêté LBU]],"d"))/30,0)</f>
        <v>8.3000000000000007</v>
      </c>
      <c r="AH85" s="70"/>
      <c r="AI85" s="68"/>
      <c r="AJ85" s="73">
        <f>IFERROR((DATEDIF(Tableau3[[#This Row],[Dde édition prêt]],Tableau3[[#This Row],[Contrat de prêt]],"d"))/30,"-")</f>
        <v>0</v>
      </c>
      <c r="AK85" s="68">
        <f>EOMONTH(Tableau3[[#This Row],[Contrat de prêt]],0)+1</f>
        <v>32</v>
      </c>
      <c r="AL85" s="68"/>
      <c r="AM85" s="68"/>
      <c r="AN8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5" s="79"/>
      <c r="AP85" s="2" t="str">
        <f>IF(Tableau3[[#This Row],[Montant des loyers perçus avant 1e échéance]]&lt;Tableau3[[#This Row],[Montant échéance annuelle]],"oui","non")</f>
        <v>non</v>
      </c>
      <c r="AS85" s="79">
        <f>Tableau3[[#This Row],[Mois de loyers avant 1e échéance]]-Tableau3[[#This Row],[Montant échéance annuelle]]</f>
        <v>0</v>
      </c>
      <c r="AU85" s="86">
        <v>45214</v>
      </c>
      <c r="AV85" s="97"/>
      <c r="AW85" s="56">
        <f>IFERROR((DATEDIF(Tableau3[[#This Row],[Arrêté LBU]],Tableau3[[#This Row],[OS démarrage]],"d"))/30,0)</f>
        <v>9.7333333333333325</v>
      </c>
      <c r="AX85" s="107">
        <v>14</v>
      </c>
      <c r="AY85" s="112"/>
      <c r="AZ85" s="110"/>
      <c r="BA85" s="116">
        <f>DATE(YEAR(Tableau3[[#This Row],[OS démarrage]]),MONTH(Tableau3[[#This Row],[OS démarrage]])+Tableau3[[#This Row],[Délai chantier initial]],DAY(Tableau3[[#This Row],[OS démarrage]]))</f>
        <v>45641</v>
      </c>
      <c r="BB8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45672</v>
      </c>
      <c r="BC85" s="121">
        <f>(Tableau3[[#This Row],[Date réception entreprise recalée]]-Tableau3[[#This Row],[Date réception entreprise prévue initialement]])/30</f>
        <v>1.0333333333333334</v>
      </c>
      <c r="BD85" s="126"/>
      <c r="BE85" s="124"/>
      <c r="BF85" s="124"/>
      <c r="BG85" s="124"/>
      <c r="BH85" s="137">
        <f>IFERROR((Tableau3[[#This Row],[Date Livraison VEFA estimée avec retards constatés]]-Tableau3[[#This Row],[Date livraison contractuelle y/c avenant]])/30,"-")</f>
        <v>0</v>
      </c>
      <c r="BI85" s="138">
        <f>Tableau3[[#This Row],[Date Livraison VEFA estimée avec retards constatés]]-Tableau3[[#This Row],[Date livraison contractuelle y/c avenant]]</f>
        <v>0</v>
      </c>
      <c r="BJ85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86" spans="1:62" x14ac:dyDescent="0.3">
      <c r="A86" s="3" t="s">
        <v>274</v>
      </c>
      <c r="B86" s="4" t="s">
        <v>55</v>
      </c>
      <c r="C86" s="4" t="s">
        <v>12</v>
      </c>
      <c r="D86" s="8">
        <v>2022</v>
      </c>
      <c r="E86" s="4" t="s">
        <v>275</v>
      </c>
      <c r="F86" s="4" t="s">
        <v>34</v>
      </c>
      <c r="G86" s="4" t="s">
        <v>42</v>
      </c>
      <c r="H86" s="4" t="s">
        <v>13</v>
      </c>
      <c r="I86" s="8" t="s">
        <v>43</v>
      </c>
      <c r="J86" s="4" t="s">
        <v>250</v>
      </c>
      <c r="K86" s="4" t="s">
        <v>82</v>
      </c>
      <c r="L86" s="24">
        <f>Tableau3[[#This Row],[LLS]]+Tableau3[[#This Row],[LLTS]]+Tableau3[[#This Row],[PLS]]+Tableau3[[#This Row],[REHAB]]</f>
        <v>40</v>
      </c>
      <c r="M86" s="23">
        <f>IFERROR(Tableau3[[#This Row],[LLS]]+Tableau3[[#This Row],[LLTS]]+Tableau3[[#This Row],[PLS]],"-")</f>
        <v>40</v>
      </c>
      <c r="N86" s="25"/>
      <c r="O86" s="25"/>
      <c r="P86" s="4">
        <v>40</v>
      </c>
      <c r="Q86" s="25"/>
      <c r="R86" s="32">
        <v>3064.24</v>
      </c>
      <c r="S86" s="27">
        <v>3596.91</v>
      </c>
      <c r="T86" s="56">
        <f>Tableau3[[#This Row],[SHAB y/c V]]/Tableau3[[#This Row],[N]]</f>
        <v>76.605999999999995</v>
      </c>
      <c r="U86" s="56">
        <f>Tableau3[[#This Row],[SF priorisée]]/Tableau3[[#This Row],[N]]</f>
        <v>89.922749999999994</v>
      </c>
      <c r="V86" s="57">
        <f>IFERROR(Tableau3[[#This Row],[SHAB y/c V]]/Tableau3[[#This Row],[SF priorisée]],"-")</f>
        <v>0.85190899966916045</v>
      </c>
      <c r="W86" s="56"/>
      <c r="X86" s="43" t="s">
        <v>93</v>
      </c>
      <c r="Y86" s="43" t="s">
        <v>392</v>
      </c>
      <c r="Z86" s="47">
        <v>8048510</v>
      </c>
      <c r="AA86" s="58">
        <f>IFERROR(Tableau3[[#This Row],[Prix Achat TTC]]/Tableau3[[#This Row],[SHAB y/c V]],"-")</f>
        <v>2626.5925645510797</v>
      </c>
      <c r="AB86" s="58">
        <f>IFERROR(Tableau3[[#This Row],[Prix Achat TTC]]/Tableau3[[#This Row],[SF priorisée]],"-")</f>
        <v>2237.6178442051651</v>
      </c>
      <c r="AC86" s="58">
        <f>IFERROR(Tableau3[[#This Row],[Prix Achat TTC]]/Tableau3[[#This Row],[N]],"-")</f>
        <v>201212.75</v>
      </c>
      <c r="AD86" s="62">
        <v>44461</v>
      </c>
      <c r="AE86" s="62">
        <v>44705</v>
      </c>
      <c r="AF86" s="62">
        <v>44706</v>
      </c>
      <c r="AG86" s="58">
        <f>IFERROR((DATEDIF(Tableau3[[#This Row],[Demande LBU]],Tableau3[[#This Row],[Arrêté LBU]],"d"))/30,0)</f>
        <v>8.1333333333333329</v>
      </c>
      <c r="AH86" s="68">
        <v>44833</v>
      </c>
      <c r="AI86" s="68">
        <v>44921</v>
      </c>
      <c r="AJ86" s="73">
        <f>IFERROR((DATEDIF(Tableau3[[#This Row],[Dde édition prêt]],Tableau3[[#This Row],[Contrat de prêt]],"d"))/30,"-")</f>
        <v>2.9333333333333331</v>
      </c>
      <c r="AK86" s="68">
        <f>EOMONTH(Tableau3[[#This Row],[Contrat de prêt]],0)+1</f>
        <v>44927</v>
      </c>
      <c r="AL86" s="68">
        <v>44930</v>
      </c>
      <c r="AM86" s="68">
        <v>44927</v>
      </c>
      <c r="AN8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46023</v>
      </c>
      <c r="AO86" s="79"/>
      <c r="AP86" s="2" t="str">
        <f>IF(Tableau3[[#This Row],[Montant des loyers perçus avant 1e échéance]]&lt;Tableau3[[#This Row],[Montant échéance annuelle]],"oui","non")</f>
        <v>non</v>
      </c>
      <c r="AS86" s="79">
        <f>Tableau3[[#This Row],[Mois de loyers avant 1e échéance]]-Tableau3[[#This Row],[Montant échéance annuelle]]</f>
        <v>0</v>
      </c>
      <c r="AU86" s="86">
        <v>45017</v>
      </c>
      <c r="AV86" s="97"/>
      <c r="AW86" s="56">
        <f>IFERROR((DATEDIF(Tableau3[[#This Row],[Arrêté LBU]],Tableau3[[#This Row],[OS démarrage]],"d"))/30,0)</f>
        <v>10.4</v>
      </c>
      <c r="AX86" s="107">
        <v>24</v>
      </c>
      <c r="AY86" s="112"/>
      <c r="AZ86" s="110"/>
      <c r="BA86" s="116">
        <f>DATE(YEAR(Tableau3[[#This Row],[OS démarrage]]),MONTH(Tableau3[[#This Row],[OS démarrage]])+Tableau3[[#This Row],[Délai chantier initial]],DAY(Tableau3[[#This Row],[OS démarrage]]))</f>
        <v>45748</v>
      </c>
      <c r="BB8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45778</v>
      </c>
      <c r="BC86" s="121">
        <f>(Tableau3[[#This Row],[Date réception entreprise recalée]]-Tableau3[[#This Row],[Date réception entreprise prévue initialement]])/30</f>
        <v>1</v>
      </c>
      <c r="BD86" s="126"/>
      <c r="BE86" s="124"/>
      <c r="BF86" s="124"/>
      <c r="BG86" s="124"/>
      <c r="BH86" s="137">
        <f>IFERROR((Tableau3[[#This Row],[Date Livraison VEFA estimée avec retards constatés]]-Tableau3[[#This Row],[Date livraison contractuelle y/c avenant]])/30,"-")</f>
        <v>0</v>
      </c>
      <c r="BI86" s="138">
        <f>Tableau3[[#This Row],[Date Livraison VEFA estimée avec retards constatés]]-Tableau3[[#This Row],[Date livraison contractuelle y/c avenant]]</f>
        <v>0</v>
      </c>
      <c r="BJ8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7" spans="1:62" x14ac:dyDescent="0.3">
      <c r="A87" s="7" t="s">
        <v>276</v>
      </c>
      <c r="B87" s="4" t="s">
        <v>33</v>
      </c>
      <c r="C87" s="4" t="s">
        <v>21</v>
      </c>
      <c r="D87" s="4">
        <v>2022</v>
      </c>
      <c r="E87" s="4" t="s">
        <v>277</v>
      </c>
      <c r="F87" s="4" t="s">
        <v>27</v>
      </c>
      <c r="G87" s="4"/>
      <c r="H87" s="4" t="s">
        <v>23</v>
      </c>
      <c r="I87" s="4" t="s">
        <v>40</v>
      </c>
      <c r="J87" s="4" t="s">
        <v>278</v>
      </c>
      <c r="K87" s="8" t="s">
        <v>81</v>
      </c>
      <c r="L87" s="24">
        <f>Tableau3[[#This Row],[LLS]]+Tableau3[[#This Row],[LLTS]]+Tableau3[[#This Row],[PLS]]+Tableau3[[#This Row],[REHAB]]</f>
        <v>18</v>
      </c>
      <c r="M87" s="23">
        <f>IFERROR(Tableau3[[#This Row],[LLS]]+Tableau3[[#This Row],[LLTS]]+Tableau3[[#This Row],[PLS]],"-")</f>
        <v>18</v>
      </c>
      <c r="N87" s="25"/>
      <c r="O87" s="4">
        <v>18</v>
      </c>
      <c r="P87" s="25"/>
      <c r="Q87" s="25"/>
      <c r="R87" s="32">
        <v>1299.5999999999999</v>
      </c>
      <c r="S87" s="27">
        <v>1481.6</v>
      </c>
      <c r="T87" s="56">
        <f>Tableau3[[#This Row],[SHAB y/c V]]/Tableau3[[#This Row],[N]]</f>
        <v>72.199999999999989</v>
      </c>
      <c r="U87" s="56">
        <f>Tableau3[[#This Row],[SF priorisée]]/Tableau3[[#This Row],[N]]</f>
        <v>82.311111111111103</v>
      </c>
      <c r="V87" s="57">
        <f>IFERROR(Tableau3[[#This Row],[SHAB y/c V]]/Tableau3[[#This Row],[SF priorisée]],"-")</f>
        <v>0.87715982721382291</v>
      </c>
      <c r="W87" s="56"/>
      <c r="X87" s="43" t="s">
        <v>390</v>
      </c>
      <c r="Y87" s="43" t="s">
        <v>392</v>
      </c>
      <c r="Z87" s="5"/>
      <c r="AA87" s="58">
        <f>IFERROR(Tableau3[[#This Row],[Prix Achat TTC]]/Tableau3[[#This Row],[SHAB y/c V]],"-")</f>
        <v>0</v>
      </c>
      <c r="AB87" s="58">
        <f>IFERROR(Tableau3[[#This Row],[Prix Achat TTC]]/Tableau3[[#This Row],[SF priorisée]],"-")</f>
        <v>0</v>
      </c>
      <c r="AC87" s="58">
        <f>IFERROR(Tableau3[[#This Row],[Prix Achat TTC]]/Tableau3[[#This Row],[N]],"-")</f>
        <v>0</v>
      </c>
      <c r="AD87" s="62">
        <v>44609</v>
      </c>
      <c r="AE87" s="62">
        <v>44735</v>
      </c>
      <c r="AF87" s="62">
        <v>44760</v>
      </c>
      <c r="AG87" s="58">
        <f>IFERROR((DATEDIF(Tableau3[[#This Row],[Demande LBU]],Tableau3[[#This Row],[Arrêté LBU]],"d"))/30,0)</f>
        <v>4.2</v>
      </c>
      <c r="AH87" s="68"/>
      <c r="AI87" s="68"/>
      <c r="AJ87" s="73">
        <f>IFERROR((DATEDIF(Tableau3[[#This Row],[Dde édition prêt]],Tableau3[[#This Row],[Contrat de prêt]],"d"))/30,"-")</f>
        <v>0</v>
      </c>
      <c r="AK87" s="68">
        <f>EOMONTH(Tableau3[[#This Row],[Contrat de prêt]],0)+1</f>
        <v>32</v>
      </c>
      <c r="AL87" s="68"/>
      <c r="AM87" s="68"/>
      <c r="AN8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7" s="79"/>
      <c r="AP87" s="2" t="str">
        <f>IF(Tableau3[[#This Row],[Montant des loyers perçus avant 1e échéance]]&lt;Tableau3[[#This Row],[Montant échéance annuelle]],"oui","non")</f>
        <v>non</v>
      </c>
      <c r="AS87" s="79">
        <f>Tableau3[[#This Row],[Mois de loyers avant 1e échéance]]-Tableau3[[#This Row],[Montant échéance annuelle]]</f>
        <v>0</v>
      </c>
      <c r="AU87" s="86">
        <v>45219</v>
      </c>
      <c r="AV87" s="97"/>
      <c r="AW87" s="56">
        <f>IFERROR((DATEDIF(Tableau3[[#This Row],[Arrêté LBU]],Tableau3[[#This Row],[OS démarrage]],"d"))/30,0)</f>
        <v>16.133333333333333</v>
      </c>
      <c r="AX87" s="107">
        <v>20</v>
      </c>
      <c r="AY87" s="112"/>
      <c r="AZ87" s="110"/>
      <c r="BA87" s="116">
        <f>DATE(YEAR(Tableau3[[#This Row],[OS démarrage]]),MONTH(Tableau3[[#This Row],[OS démarrage]])+Tableau3[[#This Row],[Délai chantier initial]],DAY(Tableau3[[#This Row],[OS démarrage]]))</f>
        <v>45828</v>
      </c>
      <c r="BB8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45858</v>
      </c>
      <c r="BC87" s="121">
        <f>(Tableau3[[#This Row],[Date réception entreprise recalée]]-Tableau3[[#This Row],[Date réception entreprise prévue initialement]])/30</f>
        <v>1</v>
      </c>
      <c r="BD87" s="126"/>
      <c r="BE87" s="124"/>
      <c r="BF87" s="124"/>
      <c r="BG87" s="124"/>
      <c r="BH87" s="137">
        <f>IFERROR((Tableau3[[#This Row],[Date Livraison VEFA estimée avec retards constatés]]-Tableau3[[#This Row],[Date livraison contractuelle y/c avenant]])/30,"-")</f>
        <v>0</v>
      </c>
      <c r="BI87" s="138">
        <f>Tableau3[[#This Row],[Date Livraison VEFA estimée avec retards constatés]]-Tableau3[[#This Row],[Date livraison contractuelle y/c avenant]]</f>
        <v>0</v>
      </c>
      <c r="BJ8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8" spans="1:62" x14ac:dyDescent="0.3">
      <c r="A88" s="6" t="s">
        <v>279</v>
      </c>
      <c r="B88" s="4" t="s">
        <v>55</v>
      </c>
      <c r="C88" s="4" t="s">
        <v>12</v>
      </c>
      <c r="D88" s="4">
        <v>2022</v>
      </c>
      <c r="E88" s="4" t="s">
        <v>280</v>
      </c>
      <c r="F88" s="5"/>
      <c r="G88" s="5"/>
      <c r="H88" s="5"/>
      <c r="I88" s="17"/>
      <c r="J88" s="4" t="s">
        <v>250</v>
      </c>
      <c r="K88" s="4" t="s">
        <v>82</v>
      </c>
      <c r="L88" s="24">
        <f>Tableau3[[#This Row],[LLS]]+Tableau3[[#This Row],[LLTS]]+Tableau3[[#This Row],[PLS]]+Tableau3[[#This Row],[REHAB]]</f>
        <v>34</v>
      </c>
      <c r="M88" s="23">
        <f>IFERROR(Tableau3[[#This Row],[LLS]]+Tableau3[[#This Row],[LLTS]]+Tableau3[[#This Row],[PLS]],"-")</f>
        <v>34</v>
      </c>
      <c r="N88" s="25"/>
      <c r="O88" s="25"/>
      <c r="P88" s="4">
        <v>34</v>
      </c>
      <c r="Q88" s="25"/>
      <c r="R88" s="32">
        <v>2624</v>
      </c>
      <c r="S88" s="27">
        <v>3074.37</v>
      </c>
      <c r="T88" s="56">
        <f>Tableau3[[#This Row],[SHAB y/c V]]/Tableau3[[#This Row],[N]]</f>
        <v>77.17647058823529</v>
      </c>
      <c r="U88" s="56">
        <f>Tableau3[[#This Row],[SF priorisée]]/Tableau3[[#This Row],[N]]</f>
        <v>90.422647058823529</v>
      </c>
      <c r="V88" s="57">
        <f>IFERROR(Tableau3[[#This Row],[SHAB y/c V]]/Tableau3[[#This Row],[SF priorisée]],"-")</f>
        <v>0.85350819842764536</v>
      </c>
      <c r="W88" s="56"/>
      <c r="X88" s="43" t="s">
        <v>93</v>
      </c>
      <c r="Y88" s="43" t="s">
        <v>392</v>
      </c>
      <c r="Z88" s="49">
        <v>6979840</v>
      </c>
      <c r="AA88" s="58">
        <f>IFERROR(Tableau3[[#This Row],[Prix Achat TTC]]/Tableau3[[#This Row],[SHAB y/c V]],"-")</f>
        <v>2660</v>
      </c>
      <c r="AB88" s="58">
        <f>IFERROR(Tableau3[[#This Row],[Prix Achat TTC]]/Tableau3[[#This Row],[SF priorisée]],"-")</f>
        <v>2270.3318078175366</v>
      </c>
      <c r="AC88" s="58">
        <f>IFERROR(Tableau3[[#This Row],[Prix Achat TTC]]/Tableau3[[#This Row],[N]],"-")</f>
        <v>205289.41176470587</v>
      </c>
      <c r="AD88" s="62">
        <v>44461</v>
      </c>
      <c r="AE88" s="62">
        <v>44705</v>
      </c>
      <c r="AF88" s="62">
        <v>44706</v>
      </c>
      <c r="AG88" s="58">
        <f>IFERROR((DATEDIF(Tableau3[[#This Row],[Demande LBU]],Tableau3[[#This Row],[Arrêté LBU]],"d"))/30,0)</f>
        <v>8.1333333333333329</v>
      </c>
      <c r="AH88" s="68">
        <v>44833</v>
      </c>
      <c r="AI88" s="68"/>
      <c r="AJ88" s="73" t="str">
        <f>IFERROR((DATEDIF(Tableau3[[#This Row],[Dde édition prêt]],Tableau3[[#This Row],[Contrat de prêt]],"d"))/30,"-")</f>
        <v>-</v>
      </c>
      <c r="AK88" s="68">
        <f>EOMONTH(Tableau3[[#This Row],[Contrat de prêt]],0)+1</f>
        <v>32</v>
      </c>
      <c r="AL88" s="68"/>
      <c r="AM88" s="68"/>
      <c r="AN8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8" s="79"/>
      <c r="AP88" s="2" t="str">
        <f>IF(Tableau3[[#This Row],[Montant des loyers perçus avant 1e échéance]]&lt;Tableau3[[#This Row],[Montant échéance annuelle]],"oui","non")</f>
        <v>non</v>
      </c>
      <c r="AS88" s="79">
        <f>Tableau3[[#This Row],[Mois de loyers avant 1e échéance]]-Tableau3[[#This Row],[Montant échéance annuelle]]</f>
        <v>0</v>
      </c>
      <c r="AU88" s="86">
        <v>45170</v>
      </c>
      <c r="AV88" s="97"/>
      <c r="AW88" s="56">
        <f>IFERROR((DATEDIF(Tableau3[[#This Row],[Arrêté LBU]],Tableau3[[#This Row],[OS démarrage]],"d"))/30,0)</f>
        <v>15.5</v>
      </c>
      <c r="AX88" s="107">
        <v>24</v>
      </c>
      <c r="AY88" s="112"/>
      <c r="AZ88" s="110"/>
      <c r="BA88" s="116">
        <f>DATE(YEAR(Tableau3[[#This Row],[OS démarrage]]),MONTH(Tableau3[[#This Row],[OS démarrage]])+Tableau3[[#This Row],[Délai chantier initial]],DAY(Tableau3[[#This Row],[OS démarrage]]))</f>
        <v>45901</v>
      </c>
      <c r="BB8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45931</v>
      </c>
      <c r="BC88" s="121">
        <f>(Tableau3[[#This Row],[Date réception entreprise recalée]]-Tableau3[[#This Row],[Date réception entreprise prévue initialement]])/30</f>
        <v>1</v>
      </c>
      <c r="BD88" s="126"/>
      <c r="BE88" s="124"/>
      <c r="BF88" s="124"/>
      <c r="BG88" s="124"/>
      <c r="BH88" s="137">
        <f>IFERROR((Tableau3[[#This Row],[Date Livraison VEFA estimée avec retards constatés]]-Tableau3[[#This Row],[Date livraison contractuelle y/c avenant]])/30,"-")</f>
        <v>0</v>
      </c>
      <c r="BI88" s="138">
        <f>Tableau3[[#This Row],[Date Livraison VEFA estimée avec retards constatés]]-Tableau3[[#This Row],[Date livraison contractuelle y/c avenant]]</f>
        <v>0</v>
      </c>
      <c r="BJ8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89" spans="1:62" x14ac:dyDescent="0.3">
      <c r="A89" s="18" t="s">
        <v>281</v>
      </c>
      <c r="B89" s="4" t="s">
        <v>55</v>
      </c>
      <c r="C89" s="4" t="s">
        <v>12</v>
      </c>
      <c r="D89" s="4">
        <v>2022</v>
      </c>
      <c r="E89" s="4" t="s">
        <v>282</v>
      </c>
      <c r="F89" s="5"/>
      <c r="G89" s="5"/>
      <c r="H89" s="5"/>
      <c r="I89" s="17"/>
      <c r="J89" s="4"/>
      <c r="K89" s="4" t="s">
        <v>80</v>
      </c>
      <c r="L89" s="24">
        <f>Tableau3[[#This Row],[LLS]]+Tableau3[[#This Row],[LLTS]]+Tableau3[[#This Row],[PLS]]+Tableau3[[#This Row],[REHAB]]</f>
        <v>15</v>
      </c>
      <c r="M89" s="23">
        <f>IFERROR(Tableau3[[#This Row],[LLS]]+Tableau3[[#This Row],[LLTS]]+Tableau3[[#This Row],[PLS]],"-")</f>
        <v>15</v>
      </c>
      <c r="N89" s="4">
        <v>15</v>
      </c>
      <c r="O89" s="25"/>
      <c r="P89" s="25"/>
      <c r="Q89" s="25"/>
      <c r="R89" s="32">
        <v>1214.3</v>
      </c>
      <c r="S89" s="27">
        <v>1401.8</v>
      </c>
      <c r="T89" s="56">
        <f>Tableau3[[#This Row],[SHAB y/c V]]/Tableau3[[#This Row],[N]]</f>
        <v>80.953333333333333</v>
      </c>
      <c r="U89" s="56">
        <f>Tableau3[[#This Row],[SF priorisée]]/Tableau3[[#This Row],[N]]</f>
        <v>93.453333333333333</v>
      </c>
      <c r="V89" s="57">
        <f>IFERROR(Tableau3[[#This Row],[SHAB y/c V]]/Tableau3[[#This Row],[SF priorisée]],"-")</f>
        <v>0.86624340134113287</v>
      </c>
      <c r="W89" s="56"/>
      <c r="X89" s="43" t="s">
        <v>390</v>
      </c>
      <c r="Y89" s="43" t="s">
        <v>392</v>
      </c>
      <c r="Z89" s="5"/>
      <c r="AA89" s="58">
        <f>IFERROR(Tableau3[[#This Row],[Prix Achat TTC]]/Tableau3[[#This Row],[SHAB y/c V]],"-")</f>
        <v>0</v>
      </c>
      <c r="AB89" s="58">
        <f>IFERROR(Tableau3[[#This Row],[Prix Achat TTC]]/Tableau3[[#This Row],[SF priorisée]],"-")</f>
        <v>0</v>
      </c>
      <c r="AC89" s="58">
        <f>IFERROR(Tableau3[[#This Row],[Prix Achat TTC]]/Tableau3[[#This Row],[N]],"-")</f>
        <v>0</v>
      </c>
      <c r="AD89" s="62">
        <v>44613</v>
      </c>
      <c r="AE89" s="62">
        <v>44804</v>
      </c>
      <c r="AF89" s="62">
        <v>44824</v>
      </c>
      <c r="AG89" s="58">
        <f>IFERROR((DATEDIF(Tableau3[[#This Row],[Demande LBU]],Tableau3[[#This Row],[Arrêté LBU]],"d"))/30,0)</f>
        <v>6.3666666666666663</v>
      </c>
      <c r="AH89" s="68"/>
      <c r="AI89" s="68"/>
      <c r="AJ89" s="73">
        <f>IFERROR((DATEDIF(Tableau3[[#This Row],[Dde édition prêt]],Tableau3[[#This Row],[Contrat de prêt]],"d"))/30,"-")</f>
        <v>0</v>
      </c>
      <c r="AK89" s="68">
        <f>EOMONTH(Tableau3[[#This Row],[Contrat de prêt]],0)+1</f>
        <v>32</v>
      </c>
      <c r="AL89" s="68"/>
      <c r="AM89" s="68"/>
      <c r="AN8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89" s="79"/>
      <c r="AP89" s="2" t="str">
        <f>IF(Tableau3[[#This Row],[Montant des loyers perçus avant 1e échéance]]&lt;Tableau3[[#This Row],[Montant échéance annuelle]],"oui","non")</f>
        <v>non</v>
      </c>
      <c r="AS89" s="79">
        <f>Tableau3[[#This Row],[Mois de loyers avant 1e échéance]]-Tableau3[[#This Row],[Montant échéance annuelle]]</f>
        <v>0</v>
      </c>
      <c r="AU89" s="86">
        <v>45366</v>
      </c>
      <c r="AV89" s="97"/>
      <c r="AW89" s="56">
        <f>IFERROR((DATEDIF(Tableau3[[#This Row],[Arrêté LBU]],Tableau3[[#This Row],[OS démarrage]],"d"))/30,0)</f>
        <v>18.733333333333334</v>
      </c>
      <c r="AX89" s="107">
        <v>20</v>
      </c>
      <c r="AY89" s="112"/>
      <c r="AZ89" s="110"/>
      <c r="BA89" s="116">
        <f>DATE(YEAR(Tableau3[[#This Row],[OS démarrage]]),MONTH(Tableau3[[#This Row],[OS démarrage]])+Tableau3[[#This Row],[Délai chantier initial]],DAY(Tableau3[[#This Row],[OS démarrage]]))</f>
        <v>45976</v>
      </c>
      <c r="BB8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46006</v>
      </c>
      <c r="BC89" s="121">
        <f>(Tableau3[[#This Row],[Date réception entreprise recalée]]-Tableau3[[#This Row],[Date réception entreprise prévue initialement]])/30</f>
        <v>1</v>
      </c>
      <c r="BD89" s="126"/>
      <c r="BE89" s="124"/>
      <c r="BF89" s="124"/>
      <c r="BG89" s="124"/>
      <c r="BH89" s="137">
        <f>IFERROR((Tableau3[[#This Row],[Date Livraison VEFA estimée avec retards constatés]]-Tableau3[[#This Row],[Date livraison contractuelle y/c avenant]])/30,"-")</f>
        <v>0</v>
      </c>
      <c r="BI89" s="138">
        <f>Tableau3[[#This Row],[Date Livraison VEFA estimée avec retards constatés]]-Tableau3[[#This Row],[Date livraison contractuelle y/c avenant]]</f>
        <v>0</v>
      </c>
      <c r="BJ8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0" spans="1:62" x14ac:dyDescent="0.3">
      <c r="A90" s="18" t="s">
        <v>283</v>
      </c>
      <c r="B90" s="4" t="s">
        <v>55</v>
      </c>
      <c r="C90" s="4" t="s">
        <v>12</v>
      </c>
      <c r="D90" s="4">
        <v>2022</v>
      </c>
      <c r="E90" s="4" t="s">
        <v>282</v>
      </c>
      <c r="F90" s="4" t="s">
        <v>34</v>
      </c>
      <c r="G90" s="4"/>
      <c r="H90" s="4" t="s">
        <v>18</v>
      </c>
      <c r="I90" s="6" t="s">
        <v>36</v>
      </c>
      <c r="J90" s="4" t="s">
        <v>284</v>
      </c>
      <c r="K90" s="4" t="s">
        <v>81</v>
      </c>
      <c r="L90" s="24">
        <f>Tableau3[[#This Row],[LLS]]+Tableau3[[#This Row],[LLTS]]+Tableau3[[#This Row],[PLS]]+Tableau3[[#This Row],[REHAB]]</f>
        <v>18</v>
      </c>
      <c r="M90" s="23">
        <f>IFERROR(Tableau3[[#This Row],[LLS]]+Tableau3[[#This Row],[LLTS]]+Tableau3[[#This Row],[PLS]],"-")</f>
        <v>18</v>
      </c>
      <c r="N90" s="25"/>
      <c r="O90" s="4">
        <v>18</v>
      </c>
      <c r="P90" s="25"/>
      <c r="Q90" s="25"/>
      <c r="R90" s="32">
        <v>914.4</v>
      </c>
      <c r="S90" s="27">
        <v>1024.9000000000001</v>
      </c>
      <c r="T90" s="56">
        <f>Tableau3[[#This Row],[SHAB y/c V]]/Tableau3[[#This Row],[N]]</f>
        <v>50.8</v>
      </c>
      <c r="U90" s="56">
        <f>Tableau3[[#This Row],[SF priorisée]]/Tableau3[[#This Row],[N]]</f>
        <v>56.938888888888897</v>
      </c>
      <c r="V90" s="57">
        <f>IFERROR(Tableau3[[#This Row],[SHAB y/c V]]/Tableau3[[#This Row],[SF priorisée]],"-")</f>
        <v>0.89218460337593897</v>
      </c>
      <c r="W90" s="56"/>
      <c r="X90" s="43" t="s">
        <v>390</v>
      </c>
      <c r="Y90" s="43" t="s">
        <v>392</v>
      </c>
      <c r="Z90" s="5"/>
      <c r="AA90" s="58">
        <f>IFERROR(Tableau3[[#This Row],[Prix Achat TTC]]/Tableau3[[#This Row],[SHAB y/c V]],"-")</f>
        <v>0</v>
      </c>
      <c r="AB90" s="58">
        <f>IFERROR(Tableau3[[#This Row],[Prix Achat TTC]]/Tableau3[[#This Row],[SF priorisée]],"-")</f>
        <v>0</v>
      </c>
      <c r="AC90" s="58">
        <f>IFERROR(Tableau3[[#This Row],[Prix Achat TTC]]/Tableau3[[#This Row],[N]],"-")</f>
        <v>0</v>
      </c>
      <c r="AD90" s="62">
        <v>44613</v>
      </c>
      <c r="AE90" s="62">
        <v>44804</v>
      </c>
      <c r="AF90" s="62">
        <v>44824</v>
      </c>
      <c r="AG90" s="58">
        <f>IFERROR((DATEDIF(Tableau3[[#This Row],[Demande LBU]],Tableau3[[#This Row],[Arrêté LBU]],"d"))/30,0)</f>
        <v>6.3666666666666663</v>
      </c>
      <c r="AH90" s="68"/>
      <c r="AI90" s="68"/>
      <c r="AJ90" s="73">
        <f>IFERROR((DATEDIF(Tableau3[[#This Row],[Dde édition prêt]],Tableau3[[#This Row],[Contrat de prêt]],"d"))/30,"-")</f>
        <v>0</v>
      </c>
      <c r="AK90" s="68">
        <f>EOMONTH(Tableau3[[#This Row],[Contrat de prêt]],0)+1</f>
        <v>32</v>
      </c>
      <c r="AL90" s="68"/>
      <c r="AM90" s="68"/>
      <c r="AN9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0" s="79"/>
      <c r="AP90" s="2" t="str">
        <f>IF(Tableau3[[#This Row],[Montant des loyers perçus avant 1e échéance]]&lt;Tableau3[[#This Row],[Montant échéance annuelle]],"oui","non")</f>
        <v>non</v>
      </c>
      <c r="AS90" s="79">
        <f>Tableau3[[#This Row],[Mois de loyers avant 1e échéance]]-Tableau3[[#This Row],[Montant échéance annuelle]]</f>
        <v>0</v>
      </c>
      <c r="AU90" s="86">
        <v>45366</v>
      </c>
      <c r="AV90" s="97"/>
      <c r="AW90" s="56">
        <f>IFERROR((DATEDIF(Tableau3[[#This Row],[Arrêté LBU]],Tableau3[[#This Row],[OS démarrage]],"d"))/30,0)</f>
        <v>18.733333333333334</v>
      </c>
      <c r="AX90" s="107">
        <v>20</v>
      </c>
      <c r="AY90" s="112"/>
      <c r="AZ90" s="110"/>
      <c r="BA90" s="116">
        <f>DATE(YEAR(Tableau3[[#This Row],[OS démarrage]]),MONTH(Tableau3[[#This Row],[OS démarrage]])+Tableau3[[#This Row],[Délai chantier initial]],DAY(Tableau3[[#This Row],[OS démarrage]]))</f>
        <v>45976</v>
      </c>
      <c r="BB9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46006</v>
      </c>
      <c r="BC90" s="121">
        <f>(Tableau3[[#This Row],[Date réception entreprise recalée]]-Tableau3[[#This Row],[Date réception entreprise prévue initialement]])/30</f>
        <v>1</v>
      </c>
      <c r="BD90" s="126"/>
      <c r="BE90" s="124"/>
      <c r="BF90" s="124"/>
      <c r="BG90" s="124"/>
      <c r="BH90" s="137">
        <f>IFERROR((Tableau3[[#This Row],[Date Livraison VEFA estimée avec retards constatés]]-Tableau3[[#This Row],[Date livraison contractuelle y/c avenant]])/30,"-")</f>
        <v>0</v>
      </c>
      <c r="BI90" s="138">
        <f>Tableau3[[#This Row],[Date Livraison VEFA estimée avec retards constatés]]-Tableau3[[#This Row],[Date livraison contractuelle y/c avenant]]</f>
        <v>0</v>
      </c>
      <c r="BJ9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1" spans="1:62" x14ac:dyDescent="0.3">
      <c r="A91" s="6" t="s">
        <v>285</v>
      </c>
      <c r="B91" s="4" t="s">
        <v>55</v>
      </c>
      <c r="C91" s="4" t="s">
        <v>12</v>
      </c>
      <c r="D91" s="4">
        <v>2022</v>
      </c>
      <c r="E91" s="4" t="s">
        <v>286</v>
      </c>
      <c r="F91" s="5"/>
      <c r="G91" s="5"/>
      <c r="H91" s="5"/>
      <c r="I91" s="17"/>
      <c r="J91" s="4" t="s">
        <v>250</v>
      </c>
      <c r="K91" s="4" t="s">
        <v>82</v>
      </c>
      <c r="L91" s="24">
        <f>Tableau3[[#This Row],[LLS]]+Tableau3[[#This Row],[LLTS]]+Tableau3[[#This Row],[PLS]]+Tableau3[[#This Row],[REHAB]]</f>
        <v>36</v>
      </c>
      <c r="M91" s="23">
        <f>IFERROR(Tableau3[[#This Row],[LLS]]+Tableau3[[#This Row],[LLTS]]+Tableau3[[#This Row],[PLS]],"-")</f>
        <v>36</v>
      </c>
      <c r="N91" s="25"/>
      <c r="O91" s="25"/>
      <c r="P91" s="4">
        <v>36</v>
      </c>
      <c r="Q91" s="25"/>
      <c r="R91" s="32">
        <v>2611.2399999999998</v>
      </c>
      <c r="S91" s="27">
        <v>3013.87</v>
      </c>
      <c r="T91" s="56">
        <f>Tableau3[[#This Row],[SHAB y/c V]]/Tableau3[[#This Row],[N]]</f>
        <v>72.534444444444432</v>
      </c>
      <c r="U91" s="56">
        <f>Tableau3[[#This Row],[SF priorisée]]/Tableau3[[#This Row],[N]]</f>
        <v>83.718611111111102</v>
      </c>
      <c r="V91" s="57">
        <f>IFERROR(Tableau3[[#This Row],[SHAB y/c V]]/Tableau3[[#This Row],[SF priorisée]],"-")</f>
        <v>0.86640764200181153</v>
      </c>
      <c r="W91" s="56"/>
      <c r="X91" s="43" t="s">
        <v>93</v>
      </c>
      <c r="Y91" s="43" t="s">
        <v>392</v>
      </c>
      <c r="Z91" s="49">
        <v>7024238.0199999996</v>
      </c>
      <c r="AA91" s="58">
        <f>IFERROR(Tableau3[[#This Row],[Prix Achat TTC]]/Tableau3[[#This Row],[SHAB y/c V]],"-")</f>
        <v>2690.0009267627643</v>
      </c>
      <c r="AB91" s="58">
        <f>IFERROR(Tableau3[[#This Row],[Prix Achat TTC]]/Tableau3[[#This Row],[SF priorisée]],"-")</f>
        <v>2330.6373599392141</v>
      </c>
      <c r="AC91" s="58">
        <f>IFERROR(Tableau3[[#This Row],[Prix Achat TTC]]/Tableau3[[#This Row],[N]],"-")</f>
        <v>195117.72277777776</v>
      </c>
      <c r="AD91" s="62">
        <v>44461</v>
      </c>
      <c r="AE91" s="62">
        <v>44705</v>
      </c>
      <c r="AF91" s="62">
        <v>44706</v>
      </c>
      <c r="AG91" s="58">
        <f>IFERROR((DATEDIF(Tableau3[[#This Row],[Demande LBU]],Tableau3[[#This Row],[Arrêté LBU]],"d"))/30,0)</f>
        <v>8.1333333333333329</v>
      </c>
      <c r="AH91" s="68">
        <v>44833</v>
      </c>
      <c r="AI91" s="68"/>
      <c r="AJ91" s="73" t="str">
        <f>IFERROR((DATEDIF(Tableau3[[#This Row],[Dde édition prêt]],Tableau3[[#This Row],[Contrat de prêt]],"d"))/30,"-")</f>
        <v>-</v>
      </c>
      <c r="AK91" s="68">
        <f>EOMONTH(Tableau3[[#This Row],[Contrat de prêt]],0)+1</f>
        <v>32</v>
      </c>
      <c r="AL91" s="68"/>
      <c r="AM91" s="68"/>
      <c r="AN9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1" s="79"/>
      <c r="AP91" s="2" t="str">
        <f>IF(Tableau3[[#This Row],[Montant des loyers perçus avant 1e échéance]]&lt;Tableau3[[#This Row],[Montant échéance annuelle]],"oui","non")</f>
        <v>non</v>
      </c>
      <c r="AS91" s="79">
        <f>Tableau3[[#This Row],[Mois de loyers avant 1e échéance]]-Tableau3[[#This Row],[Montant échéance annuelle]]</f>
        <v>0</v>
      </c>
      <c r="AU91" s="86">
        <v>45413</v>
      </c>
      <c r="AV91" s="97"/>
      <c r="AW91" s="56">
        <f>IFERROR((DATEDIF(Tableau3[[#This Row],[Arrêté LBU]],Tableau3[[#This Row],[OS démarrage]],"d"))/30,0)</f>
        <v>23.6</v>
      </c>
      <c r="AX91" s="107">
        <v>24</v>
      </c>
      <c r="AY91" s="112"/>
      <c r="AZ91" s="110"/>
      <c r="BA91" s="116">
        <f>DATE(YEAR(Tableau3[[#This Row],[OS démarrage]]),MONTH(Tableau3[[#This Row],[OS démarrage]])+Tableau3[[#This Row],[Délai chantier initial]],DAY(Tableau3[[#This Row],[OS démarrage]]))</f>
        <v>46143</v>
      </c>
      <c r="BB9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46174</v>
      </c>
      <c r="BC91" s="121">
        <f>(Tableau3[[#This Row],[Date réception entreprise recalée]]-Tableau3[[#This Row],[Date réception entreprise prévue initialement]])/30</f>
        <v>1.0333333333333334</v>
      </c>
      <c r="BD91" s="126"/>
      <c r="BE91" s="124"/>
      <c r="BF91" s="124"/>
      <c r="BG91" s="124"/>
      <c r="BH91" s="137">
        <f>IFERROR((Tableau3[[#This Row],[Date Livraison VEFA estimée avec retards constatés]]-Tableau3[[#This Row],[Date livraison contractuelle y/c avenant]])/30,"-")</f>
        <v>0</v>
      </c>
      <c r="BI91" s="138">
        <f>Tableau3[[#This Row],[Date Livraison VEFA estimée avec retards constatés]]-Tableau3[[#This Row],[Date livraison contractuelle y/c avenant]]</f>
        <v>0</v>
      </c>
      <c r="BJ9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2" spans="1:62" x14ac:dyDescent="0.3">
      <c r="A92" s="6" t="s">
        <v>287</v>
      </c>
      <c r="B92" s="4" t="s">
        <v>55</v>
      </c>
      <c r="C92" s="4" t="s">
        <v>12</v>
      </c>
      <c r="D92" s="4">
        <v>2022</v>
      </c>
      <c r="E92" s="4" t="s">
        <v>288</v>
      </c>
      <c r="F92" s="5"/>
      <c r="G92" s="5"/>
      <c r="H92" s="5"/>
      <c r="I92" s="17"/>
      <c r="J92" s="4" t="s">
        <v>250</v>
      </c>
      <c r="K92" s="4" t="s">
        <v>80</v>
      </c>
      <c r="L92" s="24">
        <f>Tableau3[[#This Row],[LLS]]+Tableau3[[#This Row],[LLTS]]+Tableau3[[#This Row],[PLS]]+Tableau3[[#This Row],[REHAB]]</f>
        <v>48</v>
      </c>
      <c r="M92" s="23">
        <f>IFERROR(Tableau3[[#This Row],[LLS]]+Tableau3[[#This Row],[LLTS]]+Tableau3[[#This Row],[PLS]],"-")</f>
        <v>48</v>
      </c>
      <c r="N92" s="4">
        <v>48</v>
      </c>
      <c r="O92" s="25"/>
      <c r="P92" s="25"/>
      <c r="Q92" s="25"/>
      <c r="R92" s="32">
        <v>3790.1</v>
      </c>
      <c r="S92" s="27">
        <v>4421.78</v>
      </c>
      <c r="T92" s="56">
        <f>Tableau3[[#This Row],[SHAB y/c V]]/Tableau3[[#This Row],[N]]</f>
        <v>78.96041666666666</v>
      </c>
      <c r="U92" s="56">
        <f>Tableau3[[#This Row],[SF priorisée]]/Tableau3[[#This Row],[N]]</f>
        <v>92.120416666666657</v>
      </c>
      <c r="V92" s="57">
        <f>IFERROR(Tableau3[[#This Row],[SHAB y/c V]]/Tableau3[[#This Row],[SF priorisée]],"-")</f>
        <v>0.85714350329505318</v>
      </c>
      <c r="W92" s="56"/>
      <c r="X92" s="43" t="s">
        <v>93</v>
      </c>
      <c r="Y92" s="43" t="s">
        <v>392</v>
      </c>
      <c r="Z92" s="47">
        <v>9475249.9900000002</v>
      </c>
      <c r="AA92" s="58">
        <f>IFERROR(Tableau3[[#This Row],[Prix Achat TTC]]/Tableau3[[#This Row],[SHAB y/c V]],"-")</f>
        <v>2499.9999973615472</v>
      </c>
      <c r="AB92" s="58">
        <f>IFERROR(Tableau3[[#This Row],[Prix Achat TTC]]/Tableau3[[#This Row],[SF priorisée]],"-")</f>
        <v>2142.8587559761004</v>
      </c>
      <c r="AC92" s="58">
        <f>IFERROR(Tableau3[[#This Row],[Prix Achat TTC]]/Tableau3[[#This Row],[N]],"-")</f>
        <v>197401.04145833335</v>
      </c>
      <c r="AD92" s="62">
        <v>44461</v>
      </c>
      <c r="AE92" s="62">
        <v>44701</v>
      </c>
      <c r="AF92" s="62">
        <v>44712</v>
      </c>
      <c r="AG92" s="58">
        <f>IFERROR((DATEDIF(Tableau3[[#This Row],[Demande LBU]],Tableau3[[#This Row],[Arrêté LBU]],"d"))/30,0)</f>
        <v>8</v>
      </c>
      <c r="AH92" s="70">
        <v>45031</v>
      </c>
      <c r="AI92" s="68"/>
      <c r="AJ92" s="73" t="str">
        <f>IFERROR((DATEDIF(Tableau3[[#This Row],[Dde édition prêt]],Tableau3[[#This Row],[Contrat de prêt]],"d"))/30,"-")</f>
        <v>-</v>
      </c>
      <c r="AK92" s="68">
        <f>EOMONTH(Tableau3[[#This Row],[Contrat de prêt]],0)+1</f>
        <v>32</v>
      </c>
      <c r="AL92" s="68"/>
      <c r="AM92" s="68"/>
      <c r="AN9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2" s="79"/>
      <c r="AP92" s="2" t="str">
        <f>IF(Tableau3[[#This Row],[Montant des loyers perçus avant 1e échéance]]&lt;Tableau3[[#This Row],[Montant échéance annuelle]],"oui","non")</f>
        <v>non</v>
      </c>
      <c r="AS92" s="79">
        <f>Tableau3[[#This Row],[Mois de loyers avant 1e échéance]]-Tableau3[[#This Row],[Montant échéance annuelle]]</f>
        <v>0</v>
      </c>
      <c r="AU92" s="86">
        <v>45413</v>
      </c>
      <c r="AV92" s="97"/>
      <c r="AW92" s="56">
        <f>IFERROR((DATEDIF(Tableau3[[#This Row],[Arrêté LBU]],Tableau3[[#This Row],[OS démarrage]],"d"))/30,0)</f>
        <v>23.733333333333334</v>
      </c>
      <c r="AX92" s="107">
        <v>24</v>
      </c>
      <c r="AY92" s="112"/>
      <c r="AZ92" s="110"/>
      <c r="BA92" s="116">
        <f>DATE(YEAR(Tableau3[[#This Row],[OS démarrage]]),MONTH(Tableau3[[#This Row],[OS démarrage]])+Tableau3[[#This Row],[Délai chantier initial]],DAY(Tableau3[[#This Row],[OS démarrage]]))</f>
        <v>46143</v>
      </c>
      <c r="BB9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46174</v>
      </c>
      <c r="BC92" s="121">
        <f>(Tableau3[[#This Row],[Date réception entreprise recalée]]-Tableau3[[#This Row],[Date réception entreprise prévue initialement]])/30</f>
        <v>1.0333333333333334</v>
      </c>
      <c r="BD92" s="126"/>
      <c r="BE92" s="124"/>
      <c r="BF92" s="124"/>
      <c r="BG92" s="124"/>
      <c r="BH92" s="137">
        <f>IFERROR((Tableau3[[#This Row],[Date Livraison VEFA estimée avec retards constatés]]-Tableau3[[#This Row],[Date livraison contractuelle y/c avenant]])/30,"-")</f>
        <v>0</v>
      </c>
      <c r="BI92" s="138">
        <f>Tableau3[[#This Row],[Date Livraison VEFA estimée avec retards constatés]]-Tableau3[[#This Row],[Date livraison contractuelle y/c avenant]]</f>
        <v>0</v>
      </c>
      <c r="BJ9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3" spans="1:62" x14ac:dyDescent="0.3">
      <c r="A93" s="6" t="s">
        <v>289</v>
      </c>
      <c r="B93" s="4" t="s">
        <v>55</v>
      </c>
      <c r="C93" s="4" t="s">
        <v>12</v>
      </c>
      <c r="D93" s="4">
        <v>2022</v>
      </c>
      <c r="E93" s="4" t="s">
        <v>288</v>
      </c>
      <c r="F93" s="5"/>
      <c r="G93" s="5"/>
      <c r="H93" s="5"/>
      <c r="I93" s="17"/>
      <c r="J93" s="4" t="s">
        <v>250</v>
      </c>
      <c r="K93" s="4" t="s">
        <v>81</v>
      </c>
      <c r="L93" s="24">
        <f>Tableau3[[#This Row],[LLS]]+Tableau3[[#This Row],[LLTS]]+Tableau3[[#This Row],[PLS]]+Tableau3[[#This Row],[REHAB]]</f>
        <v>18</v>
      </c>
      <c r="M93" s="23">
        <f>IFERROR(Tableau3[[#This Row],[LLS]]+Tableau3[[#This Row],[LLTS]]+Tableau3[[#This Row],[PLS]],"-")</f>
        <v>18</v>
      </c>
      <c r="N93" s="25"/>
      <c r="O93" s="4">
        <v>18</v>
      </c>
      <c r="P93" s="25"/>
      <c r="Q93" s="25"/>
      <c r="R93" s="32">
        <v>728.46</v>
      </c>
      <c r="S93" s="27">
        <v>871.55</v>
      </c>
      <c r="T93" s="56">
        <f>Tableau3[[#This Row],[SHAB y/c V]]/Tableau3[[#This Row],[N]]</f>
        <v>40.47</v>
      </c>
      <c r="U93" s="56">
        <f>Tableau3[[#This Row],[SF priorisée]]/Tableau3[[#This Row],[N]]</f>
        <v>48.419444444444444</v>
      </c>
      <c r="V93" s="57">
        <f>IFERROR(Tableau3[[#This Row],[SHAB y/c V]]/Tableau3[[#This Row],[SF priorisée]],"-")</f>
        <v>0.83582123802420982</v>
      </c>
      <c r="W93" s="56"/>
      <c r="X93" s="43" t="s">
        <v>93</v>
      </c>
      <c r="Y93" s="43" t="s">
        <v>392</v>
      </c>
      <c r="Z93" s="49">
        <v>2003266.69</v>
      </c>
      <c r="AA93" s="58">
        <f>IFERROR(Tableau3[[#This Row],[Prix Achat TTC]]/Tableau3[[#This Row],[SHAB y/c V]],"-")</f>
        <v>2750.0023199626607</v>
      </c>
      <c r="AB93" s="58">
        <f>IFERROR(Tableau3[[#This Row],[Prix Achat TTC]]/Tableau3[[#This Row],[SF priorisée]],"-")</f>
        <v>2298.5103436406403</v>
      </c>
      <c r="AC93" s="58">
        <f>IFERROR(Tableau3[[#This Row],[Prix Achat TTC]]/Tableau3[[#This Row],[N]],"-")</f>
        <v>111292.59388888889</v>
      </c>
      <c r="AD93" s="62">
        <v>44461</v>
      </c>
      <c r="AE93" s="62">
        <v>44701</v>
      </c>
      <c r="AF93" s="62">
        <v>44712</v>
      </c>
      <c r="AG93" s="58">
        <f>IFERROR((DATEDIF(Tableau3[[#This Row],[Demande LBU]],Tableau3[[#This Row],[Arrêté LBU]],"d"))/30,0)</f>
        <v>8</v>
      </c>
      <c r="AH93" s="70">
        <v>45031</v>
      </c>
      <c r="AI93" s="68"/>
      <c r="AJ93" s="73" t="str">
        <f>IFERROR((DATEDIF(Tableau3[[#This Row],[Dde édition prêt]],Tableau3[[#This Row],[Contrat de prêt]],"d"))/30,"-")</f>
        <v>-</v>
      </c>
      <c r="AK93" s="68">
        <f>EOMONTH(Tableau3[[#This Row],[Contrat de prêt]],0)+1</f>
        <v>32</v>
      </c>
      <c r="AL93" s="68"/>
      <c r="AM93" s="68"/>
      <c r="AN9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3" s="79"/>
      <c r="AP93" s="2" t="str">
        <f>IF(Tableau3[[#This Row],[Montant des loyers perçus avant 1e échéance]]&lt;Tableau3[[#This Row],[Montant échéance annuelle]],"oui","non")</f>
        <v>non</v>
      </c>
      <c r="AS93" s="79">
        <f>Tableau3[[#This Row],[Mois de loyers avant 1e échéance]]-Tableau3[[#This Row],[Montant échéance annuelle]]</f>
        <v>0</v>
      </c>
      <c r="AU93" s="86">
        <v>45413</v>
      </c>
      <c r="AV93" s="97"/>
      <c r="AW93" s="56">
        <f>IFERROR((DATEDIF(Tableau3[[#This Row],[Arrêté LBU]],Tableau3[[#This Row],[OS démarrage]],"d"))/30,0)</f>
        <v>23.733333333333334</v>
      </c>
      <c r="AX93" s="107">
        <v>24</v>
      </c>
      <c r="AY93" s="112"/>
      <c r="AZ93" s="110"/>
      <c r="BA93" s="116">
        <f>DATE(YEAR(Tableau3[[#This Row],[OS démarrage]]),MONTH(Tableau3[[#This Row],[OS démarrage]])+Tableau3[[#This Row],[Délai chantier initial]],DAY(Tableau3[[#This Row],[OS démarrage]]))</f>
        <v>46143</v>
      </c>
      <c r="BB9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46174</v>
      </c>
      <c r="BC93" s="121">
        <f>(Tableau3[[#This Row],[Date réception entreprise recalée]]-Tableau3[[#This Row],[Date réception entreprise prévue initialement]])/30</f>
        <v>1.0333333333333334</v>
      </c>
      <c r="BD93" s="126"/>
      <c r="BE93" s="124"/>
      <c r="BF93" s="124"/>
      <c r="BG93" s="124"/>
      <c r="BH93" s="137">
        <f>IFERROR((Tableau3[[#This Row],[Date Livraison VEFA estimée avec retards constatés]]-Tableau3[[#This Row],[Date livraison contractuelle y/c avenant]])/30,"-")</f>
        <v>0</v>
      </c>
      <c r="BI93" s="138">
        <f>Tableau3[[#This Row],[Date Livraison VEFA estimée avec retards constatés]]-Tableau3[[#This Row],[Date livraison contractuelle y/c avenant]]</f>
        <v>0</v>
      </c>
      <c r="BJ9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4" spans="1:62" x14ac:dyDescent="0.3">
      <c r="A94" s="3" t="s">
        <v>290</v>
      </c>
      <c r="B94" s="4" t="s">
        <v>55</v>
      </c>
      <c r="C94" s="4" t="s">
        <v>12</v>
      </c>
      <c r="D94" s="4">
        <v>2023</v>
      </c>
      <c r="E94" s="4" t="s">
        <v>291</v>
      </c>
      <c r="F94" s="4" t="s">
        <v>45</v>
      </c>
      <c r="G94" s="4"/>
      <c r="H94" s="4" t="s">
        <v>18</v>
      </c>
      <c r="I94" s="6" t="s">
        <v>29</v>
      </c>
      <c r="J94" s="4" t="s">
        <v>292</v>
      </c>
      <c r="K94" s="4" t="s">
        <v>81</v>
      </c>
      <c r="L94" s="24">
        <f>Tableau3[[#This Row],[LLS]]+Tableau3[[#This Row],[LLTS]]+Tableau3[[#This Row],[PLS]]+Tableau3[[#This Row],[REHAB]]</f>
        <v>39</v>
      </c>
      <c r="M94" s="23">
        <f>IFERROR(Tableau3[[#This Row],[LLS]]+Tableau3[[#This Row],[LLTS]]+Tableau3[[#This Row],[PLS]],"-")</f>
        <v>39</v>
      </c>
      <c r="N94" s="25"/>
      <c r="O94" s="4">
        <v>39</v>
      </c>
      <c r="P94" s="25"/>
      <c r="Q94" s="25"/>
      <c r="R94" s="32">
        <v>1861.08</v>
      </c>
      <c r="S94" s="27">
        <v>2214.67</v>
      </c>
      <c r="T94" s="56">
        <f>Tableau3[[#This Row],[SHAB y/c V]]/Tableau3[[#This Row],[N]]</f>
        <v>47.72</v>
      </c>
      <c r="U94" s="56">
        <f>Tableau3[[#This Row],[SF priorisée]]/Tableau3[[#This Row],[N]]</f>
        <v>56.786410256410257</v>
      </c>
      <c r="V94" s="57">
        <f>IFERROR(Tableau3[[#This Row],[SHAB y/c V]]/Tableau3[[#This Row],[SF priorisée]],"-")</f>
        <v>0.84034190195378988</v>
      </c>
      <c r="W94" s="56"/>
      <c r="X94" s="43" t="s">
        <v>390</v>
      </c>
      <c r="Y94" s="43" t="s">
        <v>392</v>
      </c>
      <c r="Z94" s="5"/>
      <c r="AA94" s="58">
        <f>IFERROR(Tableau3[[#This Row],[Prix Achat TTC]]/Tableau3[[#This Row],[SHAB y/c V]],"-")</f>
        <v>0</v>
      </c>
      <c r="AB94" s="58">
        <f>IFERROR(Tableau3[[#This Row],[Prix Achat TTC]]/Tableau3[[#This Row],[SF priorisée]],"-")</f>
        <v>0</v>
      </c>
      <c r="AC94" s="58">
        <f>IFERROR(Tableau3[[#This Row],[Prix Achat TTC]]/Tableau3[[#This Row],[N]],"-")</f>
        <v>0</v>
      </c>
      <c r="AD94" s="62">
        <v>45030</v>
      </c>
      <c r="AE94" s="62"/>
      <c r="AF94" s="62"/>
      <c r="AG94" s="58">
        <f>IFERROR((DATEDIF(Tableau3[[#This Row],[Demande LBU]],Tableau3[[#This Row],[Arrêté LBU]],"d"))/30,0)</f>
        <v>0</v>
      </c>
      <c r="AH94" s="68"/>
      <c r="AI94" s="68"/>
      <c r="AJ94" s="73">
        <f>IFERROR((DATEDIF(Tableau3[[#This Row],[Dde édition prêt]],Tableau3[[#This Row],[Contrat de prêt]],"d"))/30,"-")</f>
        <v>0</v>
      </c>
      <c r="AK94" s="68">
        <f>EOMONTH(Tableau3[[#This Row],[Contrat de prêt]],0)+1</f>
        <v>32</v>
      </c>
      <c r="AL94" s="68"/>
      <c r="AM94" s="68"/>
      <c r="AN9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4" s="79"/>
      <c r="AP94" s="2" t="str">
        <f>IF(Tableau3[[#This Row],[Montant des loyers perçus avant 1e échéance]]&lt;Tableau3[[#This Row],[Montant échéance annuelle]],"oui","non")</f>
        <v>non</v>
      </c>
      <c r="AS94" s="79">
        <f>Tableau3[[#This Row],[Mois de loyers avant 1e échéance]]-Tableau3[[#This Row],[Montant échéance annuelle]]</f>
        <v>0</v>
      </c>
      <c r="AU94" s="86">
        <v>45444</v>
      </c>
      <c r="AV94" s="97"/>
      <c r="AW94" s="56">
        <f>IFERROR((DATEDIF(Tableau3[[#This Row],[Arrêté LBU]],Tableau3[[#This Row],[OS démarrage]],"d"))/30,0)</f>
        <v>1514.8</v>
      </c>
      <c r="AX94" s="107">
        <v>24</v>
      </c>
      <c r="AY94" s="112"/>
      <c r="AZ94" s="84"/>
      <c r="BA94" s="116">
        <f>DATE(YEAR(Tableau3[[#This Row],[OS démarrage]]),MONTH(Tableau3[[#This Row],[OS démarrage]])+Tableau3[[#This Row],[Délai chantier initial]],DAY(Tableau3[[#This Row],[OS démarrage]]))</f>
        <v>46174</v>
      </c>
      <c r="BB9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46204</v>
      </c>
      <c r="BC94" s="121">
        <f>(Tableau3[[#This Row],[Date réception entreprise recalée]]-Tableau3[[#This Row],[Date réception entreprise prévue initialement]])/30</f>
        <v>1</v>
      </c>
      <c r="BD94" s="126"/>
      <c r="BE94" s="124"/>
      <c r="BF94" s="124"/>
      <c r="BG94" s="124"/>
      <c r="BH94" s="137">
        <f>IFERROR((Tableau3[[#This Row],[Date Livraison VEFA estimée avec retards constatés]]-Tableau3[[#This Row],[Date livraison contractuelle y/c avenant]])/30,"-")</f>
        <v>0</v>
      </c>
      <c r="BI94" s="138">
        <f>Tableau3[[#This Row],[Date Livraison VEFA estimée avec retards constatés]]-Tableau3[[#This Row],[Date livraison contractuelle y/c avenant]]</f>
        <v>0</v>
      </c>
      <c r="BJ9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5" spans="1:62" x14ac:dyDescent="0.3">
      <c r="A95" s="6" t="s">
        <v>293</v>
      </c>
      <c r="B95" s="4" t="s">
        <v>37</v>
      </c>
      <c r="C95" s="4" t="s">
        <v>16</v>
      </c>
      <c r="D95" s="4">
        <v>2023</v>
      </c>
      <c r="E95" s="4" t="s">
        <v>294</v>
      </c>
      <c r="F95" s="4" t="s">
        <v>27</v>
      </c>
      <c r="G95" s="4"/>
      <c r="H95" s="4" t="s">
        <v>23</v>
      </c>
      <c r="I95" s="6" t="s">
        <v>32</v>
      </c>
      <c r="J95" s="4" t="s">
        <v>295</v>
      </c>
      <c r="K95" s="4" t="s">
        <v>81</v>
      </c>
      <c r="L95" s="24">
        <f>Tableau3[[#This Row],[LLS]]+Tableau3[[#This Row],[LLTS]]+Tableau3[[#This Row],[PLS]]+Tableau3[[#This Row],[REHAB]]</f>
        <v>55</v>
      </c>
      <c r="M95" s="23">
        <f>IFERROR(Tableau3[[#This Row],[LLS]]+Tableau3[[#This Row],[LLTS]]+Tableau3[[#This Row],[PLS]],"-")</f>
        <v>55</v>
      </c>
      <c r="N95" s="25"/>
      <c r="O95" s="4">
        <v>55</v>
      </c>
      <c r="P95" s="25"/>
      <c r="Q95" s="25"/>
      <c r="R95" s="32">
        <v>4011</v>
      </c>
      <c r="S95" s="27">
        <v>4241.25</v>
      </c>
      <c r="T95" s="56">
        <f>Tableau3[[#This Row],[SHAB y/c V]]/Tableau3[[#This Row],[N]]</f>
        <v>72.927272727272722</v>
      </c>
      <c r="U95" s="56">
        <f>Tableau3[[#This Row],[SF priorisée]]/Tableau3[[#This Row],[N]]</f>
        <v>77.11363636363636</v>
      </c>
      <c r="V95" s="57">
        <f>IFERROR(Tableau3[[#This Row],[SHAB y/c V]]/Tableau3[[#This Row],[SF priorisée]],"-")</f>
        <v>0.94571175950486297</v>
      </c>
      <c r="W95" s="56"/>
      <c r="X95" s="43" t="s">
        <v>390</v>
      </c>
      <c r="Y95" s="43" t="s">
        <v>392</v>
      </c>
      <c r="Z95" s="5"/>
      <c r="AA95" s="58">
        <f>IFERROR(Tableau3[[#This Row],[Prix Achat TTC]]/Tableau3[[#This Row],[SHAB y/c V]],"-")</f>
        <v>0</v>
      </c>
      <c r="AB95" s="58">
        <f>IFERROR(Tableau3[[#This Row],[Prix Achat TTC]]/Tableau3[[#This Row],[SF priorisée]],"-")</f>
        <v>0</v>
      </c>
      <c r="AC95" s="58">
        <f>IFERROR(Tableau3[[#This Row],[Prix Achat TTC]]/Tableau3[[#This Row],[N]],"-")</f>
        <v>0</v>
      </c>
      <c r="AD95" s="62">
        <v>44985</v>
      </c>
      <c r="AE95" s="62"/>
      <c r="AF95" s="62"/>
      <c r="AG95" s="58">
        <f>IFERROR((DATEDIF(Tableau3[[#This Row],[Demande LBU]],Tableau3[[#This Row],[Arrêté LBU]],"d"))/30,0)</f>
        <v>0</v>
      </c>
      <c r="AH95" s="68"/>
      <c r="AI95" s="68"/>
      <c r="AJ95" s="73">
        <f>IFERROR((DATEDIF(Tableau3[[#This Row],[Dde édition prêt]],Tableau3[[#This Row],[Contrat de prêt]],"d"))/30,"-")</f>
        <v>0</v>
      </c>
      <c r="AK95" s="68">
        <f>EOMONTH(Tableau3[[#This Row],[Contrat de prêt]],0)+1</f>
        <v>32</v>
      </c>
      <c r="AL95" s="68"/>
      <c r="AM95" s="68">
        <v>42157</v>
      </c>
      <c r="AN9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43253</v>
      </c>
      <c r="AO95" s="79"/>
      <c r="AP95" s="2" t="str">
        <f>IF(Tableau3[[#This Row],[Montant des loyers perçus avant 1e échéance]]&lt;Tableau3[[#This Row],[Montant échéance annuelle]],"oui","non")</f>
        <v>non</v>
      </c>
      <c r="AS95" s="79">
        <f>Tableau3[[#This Row],[Mois de loyers avant 1e échéance]]-Tableau3[[#This Row],[Montant échéance annuelle]]</f>
        <v>0</v>
      </c>
      <c r="AU95" s="87">
        <v>45488</v>
      </c>
      <c r="AV95" s="97"/>
      <c r="AW95" s="56">
        <f>IFERROR((DATEDIF(Tableau3[[#This Row],[Arrêté LBU]],Tableau3[[#This Row],[OS démarrage]],"d"))/30,0)</f>
        <v>1516.2666666666667</v>
      </c>
      <c r="AX95" s="107">
        <v>28</v>
      </c>
      <c r="AY95" s="112"/>
      <c r="AZ95" s="110"/>
      <c r="BA95" s="116">
        <f>DATE(YEAR(Tableau3[[#This Row],[OS démarrage]]),MONTH(Tableau3[[#This Row],[OS démarrage]])+Tableau3[[#This Row],[Délai chantier initial]],DAY(Tableau3[[#This Row],[OS démarrage]]))</f>
        <v>46341</v>
      </c>
      <c r="BB9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46371</v>
      </c>
      <c r="BC95" s="121">
        <f>(Tableau3[[#This Row],[Date réception entreprise recalée]]-Tableau3[[#This Row],[Date réception entreprise prévue initialement]])/30</f>
        <v>1</v>
      </c>
      <c r="BD95" s="126"/>
      <c r="BE95" s="124"/>
      <c r="BF95" s="124"/>
      <c r="BG95" s="124"/>
      <c r="BH95" s="137">
        <f>IFERROR((Tableau3[[#This Row],[Date Livraison VEFA estimée avec retards constatés]]-Tableau3[[#This Row],[Date livraison contractuelle y/c avenant]])/30,"-")</f>
        <v>0</v>
      </c>
      <c r="BI95" s="138">
        <f>Tableau3[[#This Row],[Date Livraison VEFA estimée avec retards constatés]]-Tableau3[[#This Row],[Date livraison contractuelle y/c avenant]]</f>
        <v>0</v>
      </c>
      <c r="BJ9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6" spans="1:62" x14ac:dyDescent="0.3">
      <c r="A96" s="6" t="s">
        <v>296</v>
      </c>
      <c r="B96" s="4" t="s">
        <v>37</v>
      </c>
      <c r="C96" s="4" t="s">
        <v>16</v>
      </c>
      <c r="D96" s="4">
        <v>2023</v>
      </c>
      <c r="E96" s="4" t="s">
        <v>297</v>
      </c>
      <c r="F96" s="4" t="s">
        <v>27</v>
      </c>
      <c r="G96" s="4"/>
      <c r="H96" s="4" t="s">
        <v>23</v>
      </c>
      <c r="I96" s="6" t="s">
        <v>32</v>
      </c>
      <c r="J96" s="4" t="s">
        <v>298</v>
      </c>
      <c r="K96" s="4" t="s">
        <v>81</v>
      </c>
      <c r="L96" s="24">
        <f>Tableau3[[#This Row],[LLS]]+Tableau3[[#This Row],[LLTS]]+Tableau3[[#This Row],[PLS]]+Tableau3[[#This Row],[REHAB]]</f>
        <v>18</v>
      </c>
      <c r="M96" s="23">
        <f>IFERROR(Tableau3[[#This Row],[LLS]]+Tableau3[[#This Row],[LLTS]]+Tableau3[[#This Row],[PLS]],"-")</f>
        <v>18</v>
      </c>
      <c r="N96" s="25"/>
      <c r="O96" s="4">
        <v>18</v>
      </c>
      <c r="P96" s="25"/>
      <c r="Q96" s="25"/>
      <c r="R96" s="32">
        <v>1182.1600000000001</v>
      </c>
      <c r="S96" s="27">
        <v>1301.1400000000001</v>
      </c>
      <c r="T96" s="56">
        <f>Tableau3[[#This Row],[SHAB y/c V]]/Tableau3[[#This Row],[N]]</f>
        <v>65.675555555555562</v>
      </c>
      <c r="U96" s="56">
        <f>Tableau3[[#This Row],[SF priorisée]]/Tableau3[[#This Row],[N]]</f>
        <v>72.285555555555561</v>
      </c>
      <c r="V96" s="57">
        <f>IFERROR(Tableau3[[#This Row],[SHAB y/c V]]/Tableau3[[#This Row],[SF priorisée]],"-")</f>
        <v>0.90855711145610774</v>
      </c>
      <c r="W96" s="56"/>
      <c r="X96" s="43" t="s">
        <v>390</v>
      </c>
      <c r="Y96" s="43" t="s">
        <v>392</v>
      </c>
      <c r="Z96" s="5"/>
      <c r="AA96" s="58">
        <f>IFERROR(Tableau3[[#This Row],[Prix Achat TTC]]/Tableau3[[#This Row],[SHAB y/c V]],"-")</f>
        <v>0</v>
      </c>
      <c r="AB96" s="58">
        <f>IFERROR(Tableau3[[#This Row],[Prix Achat TTC]]/Tableau3[[#This Row],[SF priorisée]],"-")</f>
        <v>0</v>
      </c>
      <c r="AC96" s="58">
        <f>IFERROR(Tableau3[[#This Row],[Prix Achat TTC]]/Tableau3[[#This Row],[N]],"-")</f>
        <v>0</v>
      </c>
      <c r="AD96" s="62">
        <v>44985</v>
      </c>
      <c r="AE96" s="62"/>
      <c r="AF96" s="62"/>
      <c r="AG96" s="58">
        <f>IFERROR((DATEDIF(Tableau3[[#This Row],[Demande LBU]],Tableau3[[#This Row],[Arrêté LBU]],"d"))/30,0)</f>
        <v>0</v>
      </c>
      <c r="AH96" s="68"/>
      <c r="AI96" s="68"/>
      <c r="AJ96" s="73">
        <f>IFERROR((DATEDIF(Tableau3[[#This Row],[Dde édition prêt]],Tableau3[[#This Row],[Contrat de prêt]],"d"))/30,"-")</f>
        <v>0</v>
      </c>
      <c r="AK96" s="68">
        <f>EOMONTH(Tableau3[[#This Row],[Contrat de prêt]],0)+1</f>
        <v>32</v>
      </c>
      <c r="AL96" s="68"/>
      <c r="AM96" s="68">
        <v>42158</v>
      </c>
      <c r="AN9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43254</v>
      </c>
      <c r="AO96" s="79"/>
      <c r="AP96" s="2" t="str">
        <f>IF(Tableau3[[#This Row],[Montant des loyers perçus avant 1e échéance]]&lt;Tableau3[[#This Row],[Montant échéance annuelle]],"oui","non")</f>
        <v>non</v>
      </c>
      <c r="AS96" s="79">
        <f>Tableau3[[#This Row],[Mois de loyers avant 1e échéance]]-Tableau3[[#This Row],[Montant échéance annuelle]]</f>
        <v>0</v>
      </c>
      <c r="AU96" s="87">
        <v>45488</v>
      </c>
      <c r="AV96" s="97"/>
      <c r="AW96" s="56">
        <f>IFERROR((DATEDIF(Tableau3[[#This Row],[Arrêté LBU]],Tableau3[[#This Row],[OS démarrage]],"d"))/30,0)</f>
        <v>1516.2666666666667</v>
      </c>
      <c r="AX96" s="107">
        <v>20</v>
      </c>
      <c r="AY96" s="112"/>
      <c r="AZ96" s="110"/>
      <c r="BA96" s="116">
        <f>DATE(YEAR(Tableau3[[#This Row],[OS démarrage]]),MONTH(Tableau3[[#This Row],[OS démarrage]])+Tableau3[[#This Row],[Délai chantier initial]],DAY(Tableau3[[#This Row],[OS démarrage]]))</f>
        <v>46096</v>
      </c>
      <c r="BB9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46127</v>
      </c>
      <c r="BC96" s="121">
        <f>(Tableau3[[#This Row],[Date réception entreprise recalée]]-Tableau3[[#This Row],[Date réception entreprise prévue initialement]])/30</f>
        <v>1.0333333333333334</v>
      </c>
      <c r="BD96" s="126"/>
      <c r="BE96" s="124"/>
      <c r="BF96" s="124"/>
      <c r="BG96" s="124"/>
      <c r="BH96" s="137">
        <f>IFERROR((Tableau3[[#This Row],[Date Livraison VEFA estimée avec retards constatés]]-Tableau3[[#This Row],[Date livraison contractuelle y/c avenant]])/30,"-")</f>
        <v>0</v>
      </c>
      <c r="BI96" s="138">
        <f>Tableau3[[#This Row],[Date Livraison VEFA estimée avec retards constatés]]-Tableau3[[#This Row],[Date livraison contractuelle y/c avenant]]</f>
        <v>0</v>
      </c>
      <c r="BJ9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7" spans="1:62" x14ac:dyDescent="0.3">
      <c r="A97" s="11" t="s">
        <v>299</v>
      </c>
      <c r="B97" s="4" t="s">
        <v>11</v>
      </c>
      <c r="C97" s="4" t="s">
        <v>21</v>
      </c>
      <c r="D97" s="4">
        <v>2023</v>
      </c>
      <c r="E97" s="4" t="s">
        <v>300</v>
      </c>
      <c r="F97" s="5"/>
      <c r="G97" s="5"/>
      <c r="H97" s="5"/>
      <c r="I97" s="17"/>
      <c r="J97" s="4" t="s">
        <v>301</v>
      </c>
      <c r="K97" s="4" t="s">
        <v>80</v>
      </c>
      <c r="L97" s="24">
        <f>Tableau3[[#This Row],[LLS]]+Tableau3[[#This Row],[LLTS]]+Tableau3[[#This Row],[PLS]]+Tableau3[[#This Row],[REHAB]]</f>
        <v>36</v>
      </c>
      <c r="M97" s="23">
        <f>IFERROR(Tableau3[[#This Row],[LLS]]+Tableau3[[#This Row],[LLTS]]+Tableau3[[#This Row],[PLS]],"-")</f>
        <v>36</v>
      </c>
      <c r="N97" s="7">
        <v>36</v>
      </c>
      <c r="O97" s="25"/>
      <c r="P97" s="25"/>
      <c r="Q97" s="25"/>
      <c r="R97" s="37">
        <v>2467.8000000000002</v>
      </c>
      <c r="S97" s="27">
        <v>2876.42</v>
      </c>
      <c r="T97" s="56">
        <f>Tableau3[[#This Row],[SHAB y/c V]]/Tableau3[[#This Row],[N]]</f>
        <v>68.550000000000011</v>
      </c>
      <c r="U97" s="56">
        <f>Tableau3[[#This Row],[SF priorisée]]/Tableau3[[#This Row],[N]]</f>
        <v>79.900555555555556</v>
      </c>
      <c r="V97" s="57">
        <f>IFERROR(Tableau3[[#This Row],[SHAB y/c V]]/Tableau3[[#This Row],[SF priorisée]],"-")</f>
        <v>0.85794146890926926</v>
      </c>
      <c r="W97" s="56"/>
      <c r="X97" s="43" t="s">
        <v>93</v>
      </c>
      <c r="Y97" s="43" t="s">
        <v>392</v>
      </c>
      <c r="Z97" s="26">
        <v>6595727.7769341907</v>
      </c>
      <c r="AA97" s="58">
        <f>IFERROR(Tableau3[[#This Row],[Prix Achat TTC]]/Tableau3[[#This Row],[SHAB y/c V]],"-")</f>
        <v>2672.7156888460127</v>
      </c>
      <c r="AB97" s="58">
        <f>IFERROR(Tableau3[[#This Row],[Prix Achat TTC]]/Tableau3[[#This Row],[SF priorisée]],"-")</f>
        <v>2293.0336240653974</v>
      </c>
      <c r="AC97" s="58">
        <f>IFERROR(Tableau3[[#This Row],[Prix Achat TTC]]/Tableau3[[#This Row],[N]],"-")</f>
        <v>183214.66047039418</v>
      </c>
      <c r="AD97" s="62">
        <v>45028</v>
      </c>
      <c r="AE97" s="62"/>
      <c r="AF97" s="64"/>
      <c r="AG97" s="58">
        <f>IFERROR((DATEDIF(Tableau3[[#This Row],[Demande LBU]],Tableau3[[#This Row],[Arrêté LBU]],"d"))/30,0)</f>
        <v>0</v>
      </c>
      <c r="AH97" s="71"/>
      <c r="AI97" s="68"/>
      <c r="AJ97" s="73">
        <f>IFERROR((DATEDIF(Tableau3[[#This Row],[Dde édition prêt]],Tableau3[[#This Row],[Contrat de prêt]],"d"))/30,"-")</f>
        <v>0</v>
      </c>
      <c r="AK97" s="68">
        <f>EOMONTH(Tableau3[[#This Row],[Contrat de prêt]],0)+1</f>
        <v>32</v>
      </c>
      <c r="AL97" s="68"/>
      <c r="AM97" s="71"/>
      <c r="AN97" s="71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7" s="80"/>
      <c r="AP97" s="2" t="str">
        <f>IF(Tableau3[[#This Row],[Montant des loyers perçus avant 1e échéance]]&lt;Tableau3[[#This Row],[Montant échéance annuelle]],"oui","non")</f>
        <v>non</v>
      </c>
      <c r="AS97" s="80">
        <f>Tableau3[[#This Row],[Mois de loyers avant 1e échéance]]-Tableau3[[#This Row],[Montant échéance annuelle]]</f>
        <v>0</v>
      </c>
      <c r="AU97" s="87">
        <v>45323</v>
      </c>
      <c r="AV97" s="97"/>
      <c r="AW97" s="56">
        <f>IFERROR((DATEDIF(Tableau3[[#This Row],[Arrêté LBU]],Tableau3[[#This Row],[OS démarrage]],"d"))/30,0)</f>
        <v>1510.7666666666667</v>
      </c>
      <c r="AX97" s="107">
        <v>24</v>
      </c>
      <c r="AY97" s="112"/>
      <c r="AZ97" s="110"/>
      <c r="BA97" s="116">
        <f>DATE(YEAR(Tableau3[[#This Row],[OS démarrage]]),MONTH(Tableau3[[#This Row],[OS démarrage]])+Tableau3[[#This Row],[Délai chantier initial]],DAY(Tableau3[[#This Row],[OS démarrage]]))</f>
        <v>46054</v>
      </c>
      <c r="BB9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46082</v>
      </c>
      <c r="BC97" s="121">
        <f>(Tableau3[[#This Row],[Date réception entreprise recalée]]-Tableau3[[#This Row],[Date réception entreprise prévue initialement]])/30</f>
        <v>0.93333333333333335</v>
      </c>
      <c r="BD97" s="126"/>
      <c r="BE97" s="124"/>
      <c r="BF97" s="124"/>
      <c r="BG97" s="124"/>
      <c r="BH97" s="137">
        <f>IFERROR((Tableau3[[#This Row],[Date Livraison VEFA estimée avec retards constatés]]-Tableau3[[#This Row],[Date livraison contractuelle y/c avenant]])/30,"-")</f>
        <v>0</v>
      </c>
      <c r="BI97" s="138">
        <f>Tableau3[[#This Row],[Date Livraison VEFA estimée avec retards constatés]]-Tableau3[[#This Row],[Date livraison contractuelle y/c avenant]]</f>
        <v>0</v>
      </c>
      <c r="BJ9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8" spans="1:62" x14ac:dyDescent="0.3">
      <c r="A98" s="11" t="s">
        <v>302</v>
      </c>
      <c r="B98" s="4" t="s">
        <v>11</v>
      </c>
      <c r="C98" s="4" t="s">
        <v>21</v>
      </c>
      <c r="D98" s="4">
        <v>2023</v>
      </c>
      <c r="E98" s="4" t="s">
        <v>300</v>
      </c>
      <c r="F98" s="4" t="s">
        <v>22</v>
      </c>
      <c r="G98" s="4"/>
      <c r="H98" s="4" t="s">
        <v>9</v>
      </c>
      <c r="I98" s="6" t="s">
        <v>32</v>
      </c>
      <c r="J98" s="4" t="s">
        <v>301</v>
      </c>
      <c r="K98" s="4" t="s">
        <v>81</v>
      </c>
      <c r="L98" s="24">
        <f>Tableau3[[#This Row],[LLS]]+Tableau3[[#This Row],[LLTS]]+Tableau3[[#This Row],[PLS]]+Tableau3[[#This Row],[REHAB]]</f>
        <v>21</v>
      </c>
      <c r="M98" s="23">
        <f>IFERROR(Tableau3[[#This Row],[LLS]]+Tableau3[[#This Row],[LLTS]]+Tableau3[[#This Row],[PLS]],"-")</f>
        <v>21</v>
      </c>
      <c r="N98" s="25"/>
      <c r="O98" s="7">
        <v>21</v>
      </c>
      <c r="P98" s="25"/>
      <c r="Q98" s="25"/>
      <c r="R98" s="37">
        <v>974.33999999999992</v>
      </c>
      <c r="S98" s="27">
        <v>1274.68</v>
      </c>
      <c r="T98" s="56">
        <f>Tableau3[[#This Row],[SHAB y/c V]]/Tableau3[[#This Row],[N]]</f>
        <v>46.397142857142853</v>
      </c>
      <c r="U98" s="56">
        <f>Tableau3[[#This Row],[SF priorisée]]/Tableau3[[#This Row],[N]]</f>
        <v>60.699047619047619</v>
      </c>
      <c r="V98" s="57">
        <f>IFERROR(Tableau3[[#This Row],[SHAB y/c V]]/Tableau3[[#This Row],[SF priorisée]],"-")</f>
        <v>0.76438007970627908</v>
      </c>
      <c r="W98" s="56"/>
      <c r="X98" s="43" t="s">
        <v>93</v>
      </c>
      <c r="Y98" s="43" t="s">
        <v>392</v>
      </c>
      <c r="Z98" s="26">
        <v>3006902.7983074551</v>
      </c>
      <c r="AA98" s="58">
        <f>IFERROR(Tableau3[[#This Row],[Prix Achat TTC]]/Tableau3[[#This Row],[SHAB y/c V]],"-")</f>
        <v>3086.0919168949804</v>
      </c>
      <c r="AB98" s="58">
        <f>IFERROR(Tableau3[[#This Row],[Prix Achat TTC]]/Tableau3[[#This Row],[SF priorisée]],"-")</f>
        <v>2358.9471854170888</v>
      </c>
      <c r="AC98" s="58">
        <f>IFERROR(Tableau3[[#This Row],[Prix Achat TTC]]/Tableau3[[#This Row],[N]],"-")</f>
        <v>143185.84753845024</v>
      </c>
      <c r="AD98" s="62">
        <v>45028</v>
      </c>
      <c r="AE98" s="62"/>
      <c r="AF98" s="62"/>
      <c r="AG98" s="58">
        <f>IFERROR((DATEDIF(Tableau3[[#This Row],[Demande LBU]],Tableau3[[#This Row],[Arrêté LBU]],"d"))/30,0)</f>
        <v>0</v>
      </c>
      <c r="AH98" s="68"/>
      <c r="AI98" s="68"/>
      <c r="AJ98" s="73">
        <f>IFERROR((DATEDIF(Tableau3[[#This Row],[Dde édition prêt]],Tableau3[[#This Row],[Contrat de prêt]],"d"))/30,"-")</f>
        <v>0</v>
      </c>
      <c r="AK98" s="68">
        <f>EOMONTH(Tableau3[[#This Row],[Contrat de prêt]],0)+1</f>
        <v>32</v>
      </c>
      <c r="AL98" s="68"/>
      <c r="AM98" s="68"/>
      <c r="AN9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8" s="79"/>
      <c r="AP98" s="2" t="str">
        <f>IF(Tableau3[[#This Row],[Montant des loyers perçus avant 1e échéance]]&lt;Tableau3[[#This Row],[Montant échéance annuelle]],"oui","non")</f>
        <v>non</v>
      </c>
      <c r="AS98" s="79">
        <f>Tableau3[[#This Row],[Mois de loyers avant 1e échéance]]-Tableau3[[#This Row],[Montant échéance annuelle]]</f>
        <v>0</v>
      </c>
      <c r="AU98" s="87">
        <v>45323</v>
      </c>
      <c r="AV98" s="97"/>
      <c r="AW98" s="56">
        <f>IFERROR((DATEDIF(Tableau3[[#This Row],[Arrêté LBU]],Tableau3[[#This Row],[OS démarrage]],"d"))/30,0)</f>
        <v>1510.7666666666667</v>
      </c>
      <c r="AX98" s="107">
        <v>24</v>
      </c>
      <c r="AY98" s="112"/>
      <c r="AZ98" s="110"/>
      <c r="BA98" s="116">
        <f>DATE(YEAR(Tableau3[[#This Row],[OS démarrage]]),MONTH(Tableau3[[#This Row],[OS démarrage]])+Tableau3[[#This Row],[Délai chantier initial]],DAY(Tableau3[[#This Row],[OS démarrage]]))</f>
        <v>46054</v>
      </c>
      <c r="BB9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46082</v>
      </c>
      <c r="BC98" s="121">
        <f>(Tableau3[[#This Row],[Date réception entreprise recalée]]-Tableau3[[#This Row],[Date réception entreprise prévue initialement]])/30</f>
        <v>0.93333333333333335</v>
      </c>
      <c r="BD98" s="126"/>
      <c r="BE98" s="124"/>
      <c r="BF98" s="124"/>
      <c r="BG98" s="124"/>
      <c r="BH98" s="137">
        <f>IFERROR((Tableau3[[#This Row],[Date Livraison VEFA estimée avec retards constatés]]-Tableau3[[#This Row],[Date livraison contractuelle y/c avenant]])/30,"-")</f>
        <v>0</v>
      </c>
      <c r="BI98" s="138">
        <f>Tableau3[[#This Row],[Date Livraison VEFA estimée avec retards constatés]]-Tableau3[[#This Row],[Date livraison contractuelle y/c avenant]]</f>
        <v>0</v>
      </c>
      <c r="BJ9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99" spans="1:62" x14ac:dyDescent="0.3">
      <c r="A99" s="6" t="s">
        <v>303</v>
      </c>
      <c r="B99" s="4" t="s">
        <v>55</v>
      </c>
      <c r="C99" s="4" t="s">
        <v>12</v>
      </c>
      <c r="D99" s="4">
        <v>2023</v>
      </c>
      <c r="E99" s="4" t="s">
        <v>304</v>
      </c>
      <c r="F99" s="4" t="s">
        <v>45</v>
      </c>
      <c r="G99" s="4"/>
      <c r="H99" s="4" t="s">
        <v>18</v>
      </c>
      <c r="I99" s="6" t="s">
        <v>32</v>
      </c>
      <c r="J99" s="4" t="s">
        <v>305</v>
      </c>
      <c r="K99" s="4" t="s">
        <v>80</v>
      </c>
      <c r="L99" s="24">
        <f>Tableau3[[#This Row],[LLS]]+Tableau3[[#This Row],[LLTS]]+Tableau3[[#This Row],[PLS]]+Tableau3[[#This Row],[REHAB]]</f>
        <v>24</v>
      </c>
      <c r="M99" s="23">
        <f>IFERROR(Tableau3[[#This Row],[LLS]]+Tableau3[[#This Row],[LLTS]]+Tableau3[[#This Row],[PLS]],"-")</f>
        <v>24</v>
      </c>
      <c r="N99" s="7">
        <v>24</v>
      </c>
      <c r="O99" s="25"/>
      <c r="P99" s="25"/>
      <c r="Q99" s="25"/>
      <c r="R99" s="32">
        <v>1541.31</v>
      </c>
      <c r="S99" s="27">
        <v>1949.31</v>
      </c>
      <c r="T99" s="56">
        <f>Tableau3[[#This Row],[SHAB y/c V]]/Tableau3[[#This Row],[N]]</f>
        <v>64.221249999999998</v>
      </c>
      <c r="U99" s="56">
        <f>Tableau3[[#This Row],[SF priorisée]]/Tableau3[[#This Row],[N]]</f>
        <v>81.221249999999998</v>
      </c>
      <c r="V99" s="57">
        <f>IFERROR(Tableau3[[#This Row],[SHAB y/c V]]/Tableau3[[#This Row],[SF priorisée]],"-")</f>
        <v>0.79069516905982118</v>
      </c>
      <c r="W99" s="56"/>
      <c r="X99" s="43" t="s">
        <v>93</v>
      </c>
      <c r="Y99" s="43" t="s">
        <v>392</v>
      </c>
      <c r="Z99" s="47">
        <v>4644368.7029999997</v>
      </c>
      <c r="AA99" s="58">
        <f>IFERROR(Tableau3[[#This Row],[Prix Achat TTC]]/Tableau3[[#This Row],[SHAB y/c V]],"-")</f>
        <v>3013.2606049399537</v>
      </c>
      <c r="AB99" s="58">
        <f>IFERROR(Tableau3[[#This Row],[Prix Achat TTC]]/Tableau3[[#This Row],[SF priorisée]],"-")</f>
        <v>2382.5706034442956</v>
      </c>
      <c r="AC99" s="58">
        <f>IFERROR(Tableau3[[#This Row],[Prix Achat TTC]]/Tableau3[[#This Row],[N]],"-")</f>
        <v>193515.36262499998</v>
      </c>
      <c r="AD99" s="62">
        <v>44979</v>
      </c>
      <c r="AE99" s="62"/>
      <c r="AF99" s="62"/>
      <c r="AG99" s="58">
        <f>IFERROR((DATEDIF(Tableau3[[#This Row],[Demande LBU]],Tableau3[[#This Row],[Arrêté LBU]],"d"))/30,0)</f>
        <v>0</v>
      </c>
      <c r="AH99" s="70"/>
      <c r="AI99" s="68"/>
      <c r="AJ99" s="73">
        <f>IFERROR((DATEDIF(Tableau3[[#This Row],[Dde édition prêt]],Tableau3[[#This Row],[Contrat de prêt]],"d"))/30,"-")</f>
        <v>0</v>
      </c>
      <c r="AK99" s="68">
        <f>EOMONTH(Tableau3[[#This Row],[Contrat de prêt]],0)+1</f>
        <v>32</v>
      </c>
      <c r="AL99" s="68"/>
      <c r="AM99" s="68"/>
      <c r="AN9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99" s="79"/>
      <c r="AP99" s="2" t="str">
        <f>IF(Tableau3[[#This Row],[Montant des loyers perçus avant 1e échéance]]&lt;Tableau3[[#This Row],[Montant échéance annuelle]],"oui","non")</f>
        <v>non</v>
      </c>
      <c r="AS99" s="79">
        <f>Tableau3[[#This Row],[Mois de loyers avant 1e échéance]]-Tableau3[[#This Row],[Montant échéance annuelle]]</f>
        <v>0</v>
      </c>
      <c r="AU99" s="87">
        <v>45337</v>
      </c>
      <c r="AV99" s="97"/>
      <c r="AW99" s="56">
        <f>IFERROR((DATEDIF(Tableau3[[#This Row],[Arrêté LBU]],Tableau3[[#This Row],[OS démarrage]],"d"))/30,0)</f>
        <v>1511.2333333333333</v>
      </c>
      <c r="AX99" s="107">
        <v>24</v>
      </c>
      <c r="AY99" s="112"/>
      <c r="AZ99" s="110"/>
      <c r="BA99" s="116">
        <f>DATE(YEAR(Tableau3[[#This Row],[OS démarrage]]),MONTH(Tableau3[[#This Row],[OS démarrage]])+Tableau3[[#This Row],[Délai chantier initial]],DAY(Tableau3[[#This Row],[OS démarrage]]))</f>
        <v>46068</v>
      </c>
      <c r="BB9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99" s="121">
        <f>(Tableau3[[#This Row],[Date réception entreprise recalée]]-Tableau3[[#This Row],[Date réception entreprise prévue initialement]])/30</f>
        <v>0.93333333333333335</v>
      </c>
      <c r="BD99" s="126"/>
      <c r="BE99" s="124"/>
      <c r="BF99" s="124"/>
      <c r="BG99" s="124"/>
      <c r="BH99" s="137">
        <f>IFERROR((Tableau3[[#This Row],[Date Livraison VEFA estimée avec retards constatés]]-Tableau3[[#This Row],[Date livraison contractuelle y/c avenant]])/30,"-")</f>
        <v>0</v>
      </c>
      <c r="BI99" s="138">
        <f>Tableau3[[#This Row],[Date Livraison VEFA estimée avec retards constatés]]-Tableau3[[#This Row],[Date livraison contractuelle y/c avenant]]</f>
        <v>0</v>
      </c>
      <c r="BJ9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00" spans="1:62" x14ac:dyDescent="0.3">
      <c r="A100" s="6" t="s">
        <v>306</v>
      </c>
      <c r="B100" s="4" t="s">
        <v>55</v>
      </c>
      <c r="C100" s="4" t="s">
        <v>12</v>
      </c>
      <c r="D100" s="4">
        <v>2023</v>
      </c>
      <c r="E100" s="4" t="s">
        <v>304</v>
      </c>
      <c r="F100" s="5"/>
      <c r="G100" s="5"/>
      <c r="H100" s="5"/>
      <c r="I100" s="6" t="s">
        <v>32</v>
      </c>
      <c r="J100" s="4" t="s">
        <v>305</v>
      </c>
      <c r="K100" s="4" t="s">
        <v>81</v>
      </c>
      <c r="L100" s="24">
        <f>Tableau3[[#This Row],[LLS]]+Tableau3[[#This Row],[LLTS]]+Tableau3[[#This Row],[PLS]]+Tableau3[[#This Row],[REHAB]]</f>
        <v>38</v>
      </c>
      <c r="M100" s="23">
        <f>IFERROR(Tableau3[[#This Row],[LLS]]+Tableau3[[#This Row],[LLTS]]+Tableau3[[#This Row],[PLS]],"-")</f>
        <v>38</v>
      </c>
      <c r="N100" s="25"/>
      <c r="O100" s="7">
        <v>38</v>
      </c>
      <c r="P100" s="25"/>
      <c r="Q100" s="25"/>
      <c r="R100" s="32">
        <v>1802</v>
      </c>
      <c r="S100" s="27">
        <v>2248</v>
      </c>
      <c r="T100" s="56">
        <f>Tableau3[[#This Row],[SHAB y/c V]]/Tableau3[[#This Row],[N]]</f>
        <v>47.421052631578945</v>
      </c>
      <c r="U100" s="56">
        <f>Tableau3[[#This Row],[SF priorisée]]/Tableau3[[#This Row],[N]]</f>
        <v>59.157894736842103</v>
      </c>
      <c r="V100" s="57">
        <f>IFERROR(Tableau3[[#This Row],[SHAB y/c V]]/Tableau3[[#This Row],[SF priorisée]],"-")</f>
        <v>0.80160142348754448</v>
      </c>
      <c r="W100" s="56"/>
      <c r="X100" s="43" t="s">
        <v>93</v>
      </c>
      <c r="Y100" s="43" t="s">
        <v>392</v>
      </c>
      <c r="Z100" s="47">
        <v>5740273.3470000001</v>
      </c>
      <c r="AA100" s="58">
        <f>IFERROR(Tableau3[[#This Row],[Prix Achat TTC]]/Tableau3[[#This Row],[SHAB y/c V]],"-")</f>
        <v>3185.5013024417312</v>
      </c>
      <c r="AB100" s="58">
        <f>IFERROR(Tableau3[[#This Row],[Prix Achat TTC]]/Tableau3[[#This Row],[SF priorisée]],"-")</f>
        <v>2553.5023785587191</v>
      </c>
      <c r="AC100" s="58">
        <f>IFERROR(Tableau3[[#This Row],[Prix Achat TTC]]/Tableau3[[#This Row],[N]],"-")</f>
        <v>151059.82492105264</v>
      </c>
      <c r="AD100" s="62">
        <v>44979</v>
      </c>
      <c r="AE100" s="62"/>
      <c r="AF100" s="62"/>
      <c r="AG100" s="58">
        <f>IFERROR((DATEDIF(Tableau3[[#This Row],[Demande LBU]],Tableau3[[#This Row],[Arrêté LBU]],"d"))/30,0)</f>
        <v>0</v>
      </c>
      <c r="AH100" s="70"/>
      <c r="AI100" s="68"/>
      <c r="AJ100" s="73">
        <f>IFERROR((DATEDIF(Tableau3[[#This Row],[Dde édition prêt]],Tableau3[[#This Row],[Contrat de prêt]],"d"))/30,"-")</f>
        <v>0</v>
      </c>
      <c r="AK100" s="68">
        <f>EOMONTH(Tableau3[[#This Row],[Contrat de prêt]],0)+1</f>
        <v>32</v>
      </c>
      <c r="AL100" s="68"/>
      <c r="AM100" s="68"/>
      <c r="AN10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0" s="79"/>
      <c r="AP100" s="2" t="str">
        <f>IF(Tableau3[[#This Row],[Montant des loyers perçus avant 1e échéance]]&lt;Tableau3[[#This Row],[Montant échéance annuelle]],"oui","non")</f>
        <v>non</v>
      </c>
      <c r="AS100" s="79">
        <f>Tableau3[[#This Row],[Mois de loyers avant 1e échéance]]-Tableau3[[#This Row],[Montant échéance annuelle]]</f>
        <v>0</v>
      </c>
      <c r="AU100" s="87">
        <v>45337</v>
      </c>
      <c r="AV100" s="97"/>
      <c r="AW100" s="56">
        <f>IFERROR((DATEDIF(Tableau3[[#This Row],[Arrêté LBU]],Tableau3[[#This Row],[OS démarrage]],"d"))/30,0)</f>
        <v>1511.2333333333333</v>
      </c>
      <c r="AX100" s="107">
        <v>24</v>
      </c>
      <c r="AY100" s="112"/>
      <c r="AZ100" s="110"/>
      <c r="BA100" s="116">
        <f>DATE(YEAR(Tableau3[[#This Row],[OS démarrage]]),MONTH(Tableau3[[#This Row],[OS démarrage]])+Tableau3[[#This Row],[Délai chantier initial]],DAY(Tableau3[[#This Row],[OS démarrage]]))</f>
        <v>46068</v>
      </c>
      <c r="BB10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100" s="121">
        <f>(Tableau3[[#This Row],[Date réception entreprise recalée]]-Tableau3[[#This Row],[Date réception entreprise prévue initialement]])/30</f>
        <v>0.93333333333333335</v>
      </c>
      <c r="BD100" s="126"/>
      <c r="BE100" s="124"/>
      <c r="BF100" s="124"/>
      <c r="BG100" s="124"/>
      <c r="BH100" s="137">
        <f>IFERROR((Tableau3[[#This Row],[Date Livraison VEFA estimée avec retards constatés]]-Tableau3[[#This Row],[Date livraison contractuelle y/c avenant]])/30,"-")</f>
        <v>0</v>
      </c>
      <c r="BI100" s="138">
        <f>Tableau3[[#This Row],[Date Livraison VEFA estimée avec retards constatés]]-Tableau3[[#This Row],[Date livraison contractuelle y/c avenant]]</f>
        <v>0</v>
      </c>
      <c r="BJ10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01" spans="1:62" x14ac:dyDescent="0.3">
      <c r="A101" s="6" t="s">
        <v>307</v>
      </c>
      <c r="B101" s="4" t="s">
        <v>55</v>
      </c>
      <c r="C101" s="4" t="s">
        <v>12</v>
      </c>
      <c r="D101" s="4">
        <v>2023</v>
      </c>
      <c r="E101" s="4" t="s">
        <v>304</v>
      </c>
      <c r="F101" s="5"/>
      <c r="G101" s="5"/>
      <c r="H101" s="5"/>
      <c r="I101" s="6" t="s">
        <v>32</v>
      </c>
      <c r="J101" s="4" t="s">
        <v>305</v>
      </c>
      <c r="K101" s="4" t="s">
        <v>82</v>
      </c>
      <c r="L101" s="24">
        <f>Tableau3[[#This Row],[LLS]]+Tableau3[[#This Row],[LLTS]]+Tableau3[[#This Row],[PLS]]+Tableau3[[#This Row],[REHAB]]</f>
        <v>26</v>
      </c>
      <c r="M101" s="23">
        <f>IFERROR(Tableau3[[#This Row],[LLS]]+Tableau3[[#This Row],[LLTS]]+Tableau3[[#This Row],[PLS]],"-")</f>
        <v>26</v>
      </c>
      <c r="N101" s="25"/>
      <c r="O101" s="25"/>
      <c r="P101" s="7">
        <v>26</v>
      </c>
      <c r="Q101" s="25"/>
      <c r="R101" s="32">
        <v>1869.18</v>
      </c>
      <c r="S101" s="27">
        <v>2119.1799999999998</v>
      </c>
      <c r="T101" s="56">
        <f>Tableau3[[#This Row],[SHAB y/c V]]/Tableau3[[#This Row],[N]]</f>
        <v>71.89153846153846</v>
      </c>
      <c r="U101" s="56">
        <f>Tableau3[[#This Row],[SF priorisée]]/Tableau3[[#This Row],[N]]</f>
        <v>81.506923076923073</v>
      </c>
      <c r="V101" s="57">
        <f>IFERROR(Tableau3[[#This Row],[SHAB y/c V]]/Tableau3[[#This Row],[SF priorisée]],"-")</f>
        <v>0.88202984173123578</v>
      </c>
      <c r="W101" s="56"/>
      <c r="X101" s="43" t="s">
        <v>93</v>
      </c>
      <c r="Y101" s="43" t="s">
        <v>392</v>
      </c>
      <c r="Z101" s="47">
        <v>5313049.17</v>
      </c>
      <c r="AA101" s="58">
        <f>IFERROR(Tableau3[[#This Row],[Prix Achat TTC]]/Tableau3[[#This Row],[SHAB y/c V]],"-")</f>
        <v>2842.4491862741947</v>
      </c>
      <c r="AB101" s="58">
        <f>IFERROR(Tableau3[[#This Row],[Prix Achat TTC]]/Tableau3[[#This Row],[SF priorisée]],"-")</f>
        <v>2507.1250058985079</v>
      </c>
      <c r="AC101" s="58">
        <f>IFERROR(Tableau3[[#This Row],[Prix Achat TTC]]/Tableau3[[#This Row],[N]],"-")</f>
        <v>204348.04499999998</v>
      </c>
      <c r="AD101" s="62">
        <v>44979</v>
      </c>
      <c r="AE101" s="62"/>
      <c r="AF101" s="62"/>
      <c r="AG101" s="58">
        <f>IFERROR((DATEDIF(Tableau3[[#This Row],[Demande LBU]],Tableau3[[#This Row],[Arrêté LBU]],"d"))/30,0)</f>
        <v>0</v>
      </c>
      <c r="AH101" s="70"/>
      <c r="AI101" s="68"/>
      <c r="AJ101" s="73">
        <f>IFERROR((DATEDIF(Tableau3[[#This Row],[Dde édition prêt]],Tableau3[[#This Row],[Contrat de prêt]],"d"))/30,"-")</f>
        <v>0</v>
      </c>
      <c r="AK101" s="68">
        <f>EOMONTH(Tableau3[[#This Row],[Contrat de prêt]],0)+1</f>
        <v>32</v>
      </c>
      <c r="AL101" s="68"/>
      <c r="AM101" s="68"/>
      <c r="AN10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1" s="79"/>
      <c r="AP101" s="2" t="str">
        <f>IF(Tableau3[[#This Row],[Montant des loyers perçus avant 1e échéance]]&lt;Tableau3[[#This Row],[Montant échéance annuelle]],"oui","non")</f>
        <v>non</v>
      </c>
      <c r="AS101" s="79">
        <f>Tableau3[[#This Row],[Mois de loyers avant 1e échéance]]-Tableau3[[#This Row],[Montant échéance annuelle]]</f>
        <v>0</v>
      </c>
      <c r="AU101" s="87">
        <v>45337</v>
      </c>
      <c r="AV101" s="97"/>
      <c r="AW101" s="56">
        <f>IFERROR((DATEDIF(Tableau3[[#This Row],[Arrêté LBU]],Tableau3[[#This Row],[OS démarrage]],"d"))/30,0)</f>
        <v>1511.2333333333333</v>
      </c>
      <c r="AX101" s="107">
        <v>24</v>
      </c>
      <c r="AY101" s="112"/>
      <c r="AZ101" s="110"/>
      <c r="BA101" s="116">
        <f>DATE(YEAR(Tableau3[[#This Row],[OS démarrage]]),MONTH(Tableau3[[#This Row],[OS démarrage]])+Tableau3[[#This Row],[Délai chantier initial]],DAY(Tableau3[[#This Row],[OS démarrage]]))</f>
        <v>46068</v>
      </c>
      <c r="BB10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101" s="121">
        <f>(Tableau3[[#This Row],[Date réception entreprise recalée]]-Tableau3[[#This Row],[Date réception entreprise prévue initialement]])/30</f>
        <v>0.93333333333333335</v>
      </c>
      <c r="BD101" s="126"/>
      <c r="BE101" s="124"/>
      <c r="BF101" s="124"/>
      <c r="BG101" s="124"/>
      <c r="BH101" s="137">
        <f>IFERROR((Tableau3[[#This Row],[Date Livraison VEFA estimée avec retards constatés]]-Tableau3[[#This Row],[Date livraison contractuelle y/c avenant]])/30,"-")</f>
        <v>0</v>
      </c>
      <c r="BI101" s="138">
        <f>Tableau3[[#This Row],[Date Livraison VEFA estimée avec retards constatés]]-Tableau3[[#This Row],[Date livraison contractuelle y/c avenant]]</f>
        <v>0</v>
      </c>
      <c r="BJ10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02" spans="1:62" x14ac:dyDescent="0.3">
      <c r="A102" s="20" t="s">
        <v>308</v>
      </c>
      <c r="B102" s="4" t="s">
        <v>55</v>
      </c>
      <c r="C102" s="4" t="s">
        <v>12</v>
      </c>
      <c r="D102" s="4">
        <v>2023</v>
      </c>
      <c r="E102" s="4" t="s">
        <v>309</v>
      </c>
      <c r="F102" s="4" t="s">
        <v>27</v>
      </c>
      <c r="G102" s="4"/>
      <c r="H102" s="4" t="s">
        <v>35</v>
      </c>
      <c r="I102" s="6" t="s">
        <v>32</v>
      </c>
      <c r="J102" s="4" t="s">
        <v>310</v>
      </c>
      <c r="K102" s="4" t="s">
        <v>81</v>
      </c>
      <c r="L102" s="24">
        <f>Tableau3[[#This Row],[LLS]]+Tableau3[[#This Row],[LLTS]]+Tableau3[[#This Row],[PLS]]+Tableau3[[#This Row],[REHAB]]</f>
        <v>28</v>
      </c>
      <c r="M102" s="23">
        <f>IFERROR(Tableau3[[#This Row],[LLS]]+Tableau3[[#This Row],[LLTS]]+Tableau3[[#This Row],[PLS]],"-")</f>
        <v>28</v>
      </c>
      <c r="N102" s="25"/>
      <c r="O102" s="4">
        <v>28</v>
      </c>
      <c r="P102" s="25"/>
      <c r="Q102" s="25"/>
      <c r="R102" s="32">
        <v>1400.84</v>
      </c>
      <c r="S102" s="27">
        <v>1704.93</v>
      </c>
      <c r="T102" s="56">
        <f>Tableau3[[#This Row],[SHAB y/c V]]/Tableau3[[#This Row],[N]]</f>
        <v>50.029999999999994</v>
      </c>
      <c r="U102" s="56">
        <f>Tableau3[[#This Row],[SF priorisée]]/Tableau3[[#This Row],[N]]</f>
        <v>60.890357142857148</v>
      </c>
      <c r="V102" s="57">
        <f>IFERROR(Tableau3[[#This Row],[SHAB y/c V]]/Tableau3[[#This Row],[SF priorisée]],"-")</f>
        <v>0.82164077117535605</v>
      </c>
      <c r="W102" s="56"/>
      <c r="X102" s="43" t="s">
        <v>93</v>
      </c>
      <c r="Y102" s="43" t="s">
        <v>392</v>
      </c>
      <c r="Z102" s="47">
        <v>3535100</v>
      </c>
      <c r="AA102" s="58">
        <f>IFERROR(Tableau3[[#This Row],[Prix Achat TTC]]/Tableau3[[#This Row],[SHAB y/c V]],"-")</f>
        <v>2523.5572941949117</v>
      </c>
      <c r="AB102" s="58">
        <f>IFERROR(Tableau3[[#This Row],[Prix Achat TTC]]/Tableau3[[#This Row],[SF priorisée]],"-")</f>
        <v>2073.4575613075021</v>
      </c>
      <c r="AC102" s="58">
        <f>IFERROR(Tableau3[[#This Row],[Prix Achat TTC]]/Tableau3[[#This Row],[N]],"-")</f>
        <v>126253.57142857143</v>
      </c>
      <c r="AD102" s="62">
        <v>44994</v>
      </c>
      <c r="AE102" s="62"/>
      <c r="AF102" s="62"/>
      <c r="AG102" s="58">
        <f>IFERROR((DATEDIF(Tableau3[[#This Row],[Demande LBU]],Tableau3[[#This Row],[Arrêté LBU]],"d"))/30,0)</f>
        <v>0</v>
      </c>
      <c r="AH102" s="70"/>
      <c r="AI102" s="68"/>
      <c r="AJ102" s="73">
        <f>IFERROR((DATEDIF(Tableau3[[#This Row],[Dde édition prêt]],Tableau3[[#This Row],[Contrat de prêt]],"d"))/30,"-")</f>
        <v>0</v>
      </c>
      <c r="AK102" s="68">
        <f>EOMONTH(Tableau3[[#This Row],[Contrat de prêt]],0)+1</f>
        <v>32</v>
      </c>
      <c r="AL102" s="68"/>
      <c r="AM102" s="68">
        <v>42151</v>
      </c>
      <c r="AN10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43247</v>
      </c>
      <c r="AO102" s="79"/>
      <c r="AP102" s="2" t="str">
        <f>IF(Tableau3[[#This Row],[Montant des loyers perçus avant 1e échéance]]&lt;Tableau3[[#This Row],[Montant échéance annuelle]],"oui","non")</f>
        <v>non</v>
      </c>
      <c r="AS102" s="79">
        <f>Tableau3[[#This Row],[Mois de loyers avant 1e échéance]]-Tableau3[[#This Row],[Montant échéance annuelle]]</f>
        <v>0</v>
      </c>
      <c r="AU102" s="87">
        <v>45323</v>
      </c>
      <c r="AV102" s="97"/>
      <c r="AW102" s="56">
        <f>IFERROR((DATEDIF(Tableau3[[#This Row],[Arrêté LBU]],Tableau3[[#This Row],[OS démarrage]],"d"))/30,0)</f>
        <v>1510.7666666666667</v>
      </c>
      <c r="AX102" s="107">
        <v>24</v>
      </c>
      <c r="AY102" s="112"/>
      <c r="AZ102" s="110"/>
      <c r="BA102" s="116">
        <f>DATE(YEAR(Tableau3[[#This Row],[OS démarrage]]),MONTH(Tableau3[[#This Row],[OS démarrage]])+Tableau3[[#This Row],[Délai chantier initial]],DAY(Tableau3[[#This Row],[OS démarrage]]))</f>
        <v>46054</v>
      </c>
      <c r="BB10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46082</v>
      </c>
      <c r="BC102" s="121">
        <f>(Tableau3[[#This Row],[Date réception entreprise recalée]]-Tableau3[[#This Row],[Date réception entreprise prévue initialement]])/30</f>
        <v>0.93333333333333335</v>
      </c>
      <c r="BD102" s="126"/>
      <c r="BE102" s="124"/>
      <c r="BF102" s="124"/>
      <c r="BG102" s="124"/>
      <c r="BH102" s="137">
        <f>IFERROR((Tableau3[[#This Row],[Date Livraison VEFA estimée avec retards constatés]]-Tableau3[[#This Row],[Date livraison contractuelle y/c avenant]])/30,"-")</f>
        <v>0</v>
      </c>
      <c r="BI102" s="138">
        <f>Tableau3[[#This Row],[Date Livraison VEFA estimée avec retards constatés]]-Tableau3[[#This Row],[Date livraison contractuelle y/c avenant]]</f>
        <v>0</v>
      </c>
      <c r="BJ10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03" spans="1:62" x14ac:dyDescent="0.3">
      <c r="A103" s="20" t="s">
        <v>311</v>
      </c>
      <c r="B103" s="4" t="s">
        <v>55</v>
      </c>
      <c r="C103" s="4" t="s">
        <v>12</v>
      </c>
      <c r="D103" s="4">
        <v>2023</v>
      </c>
      <c r="E103" s="4" t="s">
        <v>309</v>
      </c>
      <c r="F103" s="5"/>
      <c r="G103" s="5"/>
      <c r="H103" s="5"/>
      <c r="I103" s="6" t="s">
        <v>32</v>
      </c>
      <c r="J103" s="4" t="s">
        <v>310</v>
      </c>
      <c r="K103" s="4" t="s">
        <v>82</v>
      </c>
      <c r="L103" s="24">
        <f>Tableau3[[#This Row],[LLS]]+Tableau3[[#This Row],[LLTS]]+Tableau3[[#This Row],[PLS]]+Tableau3[[#This Row],[REHAB]]</f>
        <v>25</v>
      </c>
      <c r="M103" s="23">
        <f>IFERROR(Tableau3[[#This Row],[LLS]]+Tableau3[[#This Row],[LLTS]]+Tableau3[[#This Row],[PLS]],"-")</f>
        <v>25</v>
      </c>
      <c r="N103" s="25"/>
      <c r="O103" s="25"/>
      <c r="P103" s="4">
        <v>25</v>
      </c>
      <c r="Q103" s="25"/>
      <c r="R103" s="32">
        <v>1922.74</v>
      </c>
      <c r="S103" s="27">
        <v>2249.5500000000002</v>
      </c>
      <c r="T103" s="56">
        <f>Tableau3[[#This Row],[SHAB y/c V]]/Tableau3[[#This Row],[N]]</f>
        <v>76.909599999999998</v>
      </c>
      <c r="U103" s="56">
        <f>Tableau3[[#This Row],[SF priorisée]]/Tableau3[[#This Row],[N]]</f>
        <v>89.982000000000014</v>
      </c>
      <c r="V103" s="57">
        <f>IFERROR(Tableau3[[#This Row],[SHAB y/c V]]/Tableau3[[#This Row],[SF priorisée]],"-")</f>
        <v>0.85472205552221547</v>
      </c>
      <c r="W103" s="56"/>
      <c r="X103" s="43" t="s">
        <v>93</v>
      </c>
      <c r="Y103" s="43" t="s">
        <v>392</v>
      </c>
      <c r="Z103" s="47">
        <v>5037937</v>
      </c>
      <c r="AA103" s="58">
        <f>IFERROR(Tableau3[[#This Row],[Prix Achat TTC]]/Tableau3[[#This Row],[SHAB y/c V]],"-")</f>
        <v>2620.1862966391714</v>
      </c>
      <c r="AB103" s="58">
        <f>IFERROR(Tableau3[[#This Row],[Prix Achat TTC]]/Tableau3[[#This Row],[SF priorisée]],"-")</f>
        <v>2239.531017314574</v>
      </c>
      <c r="AC103" s="58">
        <f>IFERROR(Tableau3[[#This Row],[Prix Achat TTC]]/Tableau3[[#This Row],[N]],"-")</f>
        <v>201517.48</v>
      </c>
      <c r="AD103" s="62">
        <v>44994</v>
      </c>
      <c r="AE103" s="62"/>
      <c r="AF103" s="62"/>
      <c r="AG103" s="58">
        <f>IFERROR((DATEDIF(Tableau3[[#This Row],[Demande LBU]],Tableau3[[#This Row],[Arrêté LBU]],"d"))/30,0)</f>
        <v>0</v>
      </c>
      <c r="AH103" s="70"/>
      <c r="AI103" s="68"/>
      <c r="AJ103" s="73">
        <f>IFERROR((DATEDIF(Tableau3[[#This Row],[Dde édition prêt]],Tableau3[[#This Row],[Contrat de prêt]],"d"))/30,"-")</f>
        <v>0</v>
      </c>
      <c r="AK103" s="68">
        <f>EOMONTH(Tableau3[[#This Row],[Contrat de prêt]],0)+1</f>
        <v>32</v>
      </c>
      <c r="AL103" s="68"/>
      <c r="AM103" s="68">
        <v>42152</v>
      </c>
      <c r="AN10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43248</v>
      </c>
      <c r="AO103" s="79"/>
      <c r="AP103" s="2" t="str">
        <f>IF(Tableau3[[#This Row],[Montant des loyers perçus avant 1e échéance]]&lt;Tableau3[[#This Row],[Montant échéance annuelle]],"oui","non")</f>
        <v>non</v>
      </c>
      <c r="AS103" s="79">
        <f>Tableau3[[#This Row],[Mois de loyers avant 1e échéance]]-Tableau3[[#This Row],[Montant échéance annuelle]]</f>
        <v>0</v>
      </c>
      <c r="AU103" s="87">
        <v>45323</v>
      </c>
      <c r="AV103" s="97"/>
      <c r="AW103" s="56">
        <f>IFERROR((DATEDIF(Tableau3[[#This Row],[Arrêté LBU]],Tableau3[[#This Row],[OS démarrage]],"d"))/30,0)</f>
        <v>1510.7666666666667</v>
      </c>
      <c r="AX103" s="107">
        <v>24</v>
      </c>
      <c r="AY103" s="112"/>
      <c r="AZ103" s="110"/>
      <c r="BA103" s="116">
        <f>DATE(YEAR(Tableau3[[#This Row],[OS démarrage]]),MONTH(Tableau3[[#This Row],[OS démarrage]])+Tableau3[[#This Row],[Délai chantier initial]],DAY(Tableau3[[#This Row],[OS démarrage]]))</f>
        <v>46054</v>
      </c>
      <c r="BB10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46082</v>
      </c>
      <c r="BC103" s="121">
        <f>(Tableau3[[#This Row],[Date réception entreprise recalée]]-Tableau3[[#This Row],[Date réception entreprise prévue initialement]])/30</f>
        <v>0.93333333333333335</v>
      </c>
      <c r="BD103" s="126"/>
      <c r="BE103" s="124"/>
      <c r="BF103" s="124"/>
      <c r="BG103" s="124"/>
      <c r="BH103" s="137">
        <f>IFERROR((Tableau3[[#This Row],[Date Livraison VEFA estimée avec retards constatés]]-Tableau3[[#This Row],[Date livraison contractuelle y/c avenant]])/30,"-")</f>
        <v>0</v>
      </c>
      <c r="BI103" s="138">
        <f>Tableau3[[#This Row],[Date Livraison VEFA estimée avec retards constatés]]-Tableau3[[#This Row],[Date livraison contractuelle y/c avenant]]</f>
        <v>0</v>
      </c>
      <c r="BJ10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04" spans="1:62" x14ac:dyDescent="0.3">
      <c r="A104" s="19" t="s">
        <v>312</v>
      </c>
      <c r="B104" s="4" t="s">
        <v>44</v>
      </c>
      <c r="C104" s="4" t="s">
        <v>26</v>
      </c>
      <c r="D104" s="4">
        <v>2024</v>
      </c>
      <c r="E104" s="4"/>
      <c r="F104" s="4" t="s">
        <v>17</v>
      </c>
      <c r="G104" s="4"/>
      <c r="H104" s="4" t="s">
        <v>23</v>
      </c>
      <c r="I104" s="6" t="s">
        <v>14</v>
      </c>
      <c r="J104" s="4" t="s">
        <v>313</v>
      </c>
      <c r="K104" s="4" t="s">
        <v>389</v>
      </c>
      <c r="L104" s="24">
        <f>Tableau3[[#This Row],[LLS]]+Tableau3[[#This Row],[LLTS]]+Tableau3[[#This Row],[PLS]]+Tableau3[[#This Row],[REHAB]]</f>
        <v>46</v>
      </c>
      <c r="M104" s="23">
        <f>IFERROR(Tableau3[[#This Row],[LLS]]+Tableau3[[#This Row],[LLTS]]+Tableau3[[#This Row],[PLS]],"-")</f>
        <v>0</v>
      </c>
      <c r="N104" s="25"/>
      <c r="O104" s="25"/>
      <c r="P104" s="25"/>
      <c r="Q104" s="4">
        <v>46</v>
      </c>
      <c r="R104" s="36"/>
      <c r="S104" s="31"/>
      <c r="T104" s="56">
        <f>Tableau3[[#This Row],[SHAB y/c V]]/Tableau3[[#This Row],[N]]</f>
        <v>0</v>
      </c>
      <c r="U104" s="56">
        <f>Tableau3[[#This Row],[SF priorisée]]/Tableau3[[#This Row],[N]]</f>
        <v>0</v>
      </c>
      <c r="V104" s="57" t="str">
        <f>IFERROR(Tableau3[[#This Row],[SHAB y/c V]]/Tableau3[[#This Row],[SF priorisée]],"-")</f>
        <v>-</v>
      </c>
      <c r="W104" s="56"/>
      <c r="X104" s="44"/>
      <c r="Y104" s="45" t="s">
        <v>392</v>
      </c>
      <c r="Z104" s="30"/>
      <c r="AA104" s="58" t="str">
        <f>IFERROR(Tableau3[[#This Row],[Prix Achat TTC]]/Tableau3[[#This Row],[SHAB y/c V]],"-")</f>
        <v>-</v>
      </c>
      <c r="AB104" s="58" t="str">
        <f>IFERROR(Tableau3[[#This Row],[Prix Achat TTC]]/Tableau3[[#This Row],[SF priorisée]],"-")</f>
        <v>-</v>
      </c>
      <c r="AC104" s="58">
        <f>IFERROR(Tableau3[[#This Row],[Prix Achat TTC]]/Tableau3[[#This Row],[N]],"-")</f>
        <v>0</v>
      </c>
      <c r="AD104" s="62"/>
      <c r="AE104" s="62"/>
      <c r="AF104" s="62"/>
      <c r="AG104" s="58">
        <f>IFERROR((DATEDIF(Tableau3[[#This Row],[Demande LBU]],Tableau3[[#This Row],[Arrêté LBU]],"d"))/30,0)</f>
        <v>0</v>
      </c>
      <c r="AH104" s="68"/>
      <c r="AI104" s="68"/>
      <c r="AJ104" s="73">
        <f>IFERROR((DATEDIF(Tableau3[[#This Row],[Dde édition prêt]],Tableau3[[#This Row],[Contrat de prêt]],"d"))/30,"-")</f>
        <v>0</v>
      </c>
      <c r="AK104" s="68">
        <f>EOMONTH(Tableau3[[#This Row],[Contrat de prêt]],0)+1</f>
        <v>32</v>
      </c>
      <c r="AL104" s="68"/>
      <c r="AM104" s="68"/>
      <c r="AN10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4" s="79"/>
      <c r="AP104" s="2" t="str">
        <f>IF(Tableau3[[#This Row],[Montant des loyers perçus avant 1e échéance]]&lt;Tableau3[[#This Row],[Montant échéance annuelle]],"oui","non")</f>
        <v>non</v>
      </c>
      <c r="AS104" s="79">
        <f>Tableau3[[#This Row],[Mois de loyers avant 1e échéance]]-Tableau3[[#This Row],[Montant échéance annuelle]]</f>
        <v>0</v>
      </c>
      <c r="AU104" s="86">
        <v>45703</v>
      </c>
      <c r="AV104" s="97"/>
      <c r="AW104" s="56">
        <f>IFERROR((DATEDIF(Tableau3[[#This Row],[Arrêté LBU]],Tableau3[[#This Row],[OS démarrage]],"d"))/30,0)</f>
        <v>1523.4333333333334</v>
      </c>
      <c r="AX104" s="107">
        <v>12</v>
      </c>
      <c r="AY104" s="112"/>
      <c r="AZ104" s="110"/>
      <c r="BA104" s="116">
        <f>DATE(YEAR(Tableau3[[#This Row],[OS démarrage]]),MONTH(Tableau3[[#This Row],[OS démarrage]])+Tableau3[[#This Row],[Délai chantier initial]],DAY(Tableau3[[#This Row],[OS démarrage]]))</f>
        <v>46068</v>
      </c>
      <c r="BB10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104" s="121">
        <f>(Tableau3[[#This Row],[Date réception entreprise recalée]]-Tableau3[[#This Row],[Date réception entreprise prévue initialement]])/30</f>
        <v>0.93333333333333335</v>
      </c>
      <c r="BD104" s="126"/>
      <c r="BE104" s="124"/>
      <c r="BF104" s="124"/>
      <c r="BG104" s="124"/>
      <c r="BH104" s="137">
        <f>IFERROR((Tableau3[[#This Row],[Date Livraison VEFA estimée avec retards constatés]]-Tableau3[[#This Row],[Date livraison contractuelle y/c avenant]])/30,"-")</f>
        <v>0</v>
      </c>
      <c r="BI104" s="138">
        <f>Tableau3[[#This Row],[Date Livraison VEFA estimée avec retards constatés]]-Tableau3[[#This Row],[Date livraison contractuelle y/c avenant]]</f>
        <v>0</v>
      </c>
      <c r="BJ104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05" spans="1:62" x14ac:dyDescent="0.3">
      <c r="A105" s="19" t="s">
        <v>314</v>
      </c>
      <c r="B105" s="4" t="s">
        <v>41</v>
      </c>
      <c r="C105" s="4" t="s">
        <v>12</v>
      </c>
      <c r="D105" s="4">
        <v>2024</v>
      </c>
      <c r="E105" s="4"/>
      <c r="F105" s="4" t="s">
        <v>38</v>
      </c>
      <c r="G105" s="4"/>
      <c r="H105" s="4" t="s">
        <v>13</v>
      </c>
      <c r="I105" s="6" t="s">
        <v>14</v>
      </c>
      <c r="J105" s="4"/>
      <c r="K105" s="4" t="s">
        <v>389</v>
      </c>
      <c r="L105" s="24">
        <f>Tableau3[[#This Row],[LLS]]+Tableau3[[#This Row],[LLTS]]+Tableau3[[#This Row],[PLS]]+Tableau3[[#This Row],[REHAB]]</f>
        <v>45</v>
      </c>
      <c r="M105" s="23">
        <f>IFERROR(Tableau3[[#This Row],[LLS]]+Tableau3[[#This Row],[LLTS]]+Tableau3[[#This Row],[PLS]],"-")</f>
        <v>0</v>
      </c>
      <c r="N105" s="25"/>
      <c r="O105" s="25"/>
      <c r="P105" s="25"/>
      <c r="Q105" s="4">
        <v>45</v>
      </c>
      <c r="R105" s="36"/>
      <c r="S105" s="31"/>
      <c r="T105" s="56">
        <f>Tableau3[[#This Row],[SHAB y/c V]]/Tableau3[[#This Row],[N]]</f>
        <v>0</v>
      </c>
      <c r="U105" s="56">
        <f>Tableau3[[#This Row],[SF priorisée]]/Tableau3[[#This Row],[N]]</f>
        <v>0</v>
      </c>
      <c r="V105" s="57" t="str">
        <f>IFERROR(Tableau3[[#This Row],[SHAB y/c V]]/Tableau3[[#This Row],[SF priorisée]],"-")</f>
        <v>-</v>
      </c>
      <c r="W105" s="56"/>
      <c r="X105" s="44"/>
      <c r="Y105" s="45" t="s">
        <v>392</v>
      </c>
      <c r="Z105" s="30"/>
      <c r="AA105" s="58" t="str">
        <f>IFERROR(Tableau3[[#This Row],[Prix Achat TTC]]/Tableau3[[#This Row],[SHAB y/c V]],"-")</f>
        <v>-</v>
      </c>
      <c r="AB105" s="58" t="str">
        <f>IFERROR(Tableau3[[#This Row],[Prix Achat TTC]]/Tableau3[[#This Row],[SF priorisée]],"-")</f>
        <v>-</v>
      </c>
      <c r="AC105" s="58">
        <f>IFERROR(Tableau3[[#This Row],[Prix Achat TTC]]/Tableau3[[#This Row],[N]],"-")</f>
        <v>0</v>
      </c>
      <c r="AD105" s="62"/>
      <c r="AE105" s="62"/>
      <c r="AF105" s="62"/>
      <c r="AG105" s="58">
        <f>IFERROR((DATEDIF(Tableau3[[#This Row],[Demande LBU]],Tableau3[[#This Row],[Arrêté LBU]],"d"))/30,0)</f>
        <v>0</v>
      </c>
      <c r="AH105" s="68"/>
      <c r="AI105" s="68"/>
      <c r="AJ105" s="73">
        <f>IFERROR((DATEDIF(Tableau3[[#This Row],[Dde édition prêt]],Tableau3[[#This Row],[Contrat de prêt]],"d"))/30,"-")</f>
        <v>0</v>
      </c>
      <c r="AK105" s="68">
        <f>EOMONTH(Tableau3[[#This Row],[Contrat de prêt]],0)+1</f>
        <v>32</v>
      </c>
      <c r="AL105" s="68"/>
      <c r="AM105" s="68"/>
      <c r="AN10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5" s="79"/>
      <c r="AP105" s="2" t="str">
        <f>IF(Tableau3[[#This Row],[Montant des loyers perçus avant 1e échéance]]&lt;Tableau3[[#This Row],[Montant échéance annuelle]],"oui","non")</f>
        <v>non</v>
      </c>
      <c r="AS105" s="79">
        <f>Tableau3[[#This Row],[Mois de loyers avant 1e échéance]]-Tableau3[[#This Row],[Montant échéance annuelle]]</f>
        <v>0</v>
      </c>
      <c r="AU105" s="86">
        <v>45703</v>
      </c>
      <c r="AV105" s="97"/>
      <c r="AW105" s="56">
        <f>IFERROR((DATEDIF(Tableau3[[#This Row],[Arrêté LBU]],Tableau3[[#This Row],[OS démarrage]],"d"))/30,0)</f>
        <v>1523.4333333333334</v>
      </c>
      <c r="AX105" s="107">
        <v>12</v>
      </c>
      <c r="AY105" s="112"/>
      <c r="AZ105" s="110"/>
      <c r="BA105" s="116">
        <f>DATE(YEAR(Tableau3[[#This Row],[OS démarrage]]),MONTH(Tableau3[[#This Row],[OS démarrage]])+Tableau3[[#This Row],[Délai chantier initial]],DAY(Tableau3[[#This Row],[OS démarrage]]))</f>
        <v>46068</v>
      </c>
      <c r="BB10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105" s="121">
        <f>(Tableau3[[#This Row],[Date réception entreprise recalée]]-Tableau3[[#This Row],[Date réception entreprise prévue initialement]])/30</f>
        <v>0.93333333333333335</v>
      </c>
      <c r="BD105" s="126"/>
      <c r="BE105" s="124"/>
      <c r="BF105" s="124"/>
      <c r="BG105" s="124"/>
      <c r="BH105" s="137">
        <f>IFERROR((Tableau3[[#This Row],[Date Livraison VEFA estimée avec retards constatés]]-Tableau3[[#This Row],[Date livraison contractuelle y/c avenant]])/30,"-")</f>
        <v>0</v>
      </c>
      <c r="BI105" s="138">
        <f>Tableau3[[#This Row],[Date Livraison VEFA estimée avec retards constatés]]-Tableau3[[#This Row],[Date livraison contractuelle y/c avenant]]</f>
        <v>0</v>
      </c>
      <c r="BJ105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06" spans="1:62" x14ac:dyDescent="0.3">
      <c r="A106" s="19" t="s">
        <v>315</v>
      </c>
      <c r="B106" s="4" t="s">
        <v>11</v>
      </c>
      <c r="C106" s="4" t="s">
        <v>21</v>
      </c>
      <c r="D106" s="4">
        <v>2024</v>
      </c>
      <c r="E106" s="4"/>
      <c r="F106" s="4" t="s">
        <v>17</v>
      </c>
      <c r="G106" s="4"/>
      <c r="H106" s="4" t="s">
        <v>18</v>
      </c>
      <c r="I106" s="6" t="s">
        <v>14</v>
      </c>
      <c r="J106" s="4"/>
      <c r="K106" s="4" t="s">
        <v>389</v>
      </c>
      <c r="L106" s="24">
        <f>Tableau3[[#This Row],[LLS]]+Tableau3[[#This Row],[LLTS]]+Tableau3[[#This Row],[PLS]]+Tableau3[[#This Row],[REHAB]]</f>
        <v>30</v>
      </c>
      <c r="M106" s="23">
        <f>IFERROR(Tableau3[[#This Row],[LLS]]+Tableau3[[#This Row],[LLTS]]+Tableau3[[#This Row],[PLS]],"-")</f>
        <v>0</v>
      </c>
      <c r="N106" s="25"/>
      <c r="O106" s="25"/>
      <c r="P106" s="25"/>
      <c r="Q106" s="4">
        <v>30</v>
      </c>
      <c r="R106" s="36"/>
      <c r="S106" s="31"/>
      <c r="T106" s="56">
        <f>Tableau3[[#This Row],[SHAB y/c V]]/Tableau3[[#This Row],[N]]</f>
        <v>0</v>
      </c>
      <c r="U106" s="56">
        <f>Tableau3[[#This Row],[SF priorisée]]/Tableau3[[#This Row],[N]]</f>
        <v>0</v>
      </c>
      <c r="V106" s="57" t="str">
        <f>IFERROR(Tableau3[[#This Row],[SHAB y/c V]]/Tableau3[[#This Row],[SF priorisée]],"-")</f>
        <v>-</v>
      </c>
      <c r="W106" s="56"/>
      <c r="X106" s="44"/>
      <c r="Y106" s="45"/>
      <c r="Z106" s="30"/>
      <c r="AA106" s="58" t="str">
        <f>IFERROR(Tableau3[[#This Row],[Prix Achat TTC]]/Tableau3[[#This Row],[SHAB y/c V]],"-")</f>
        <v>-</v>
      </c>
      <c r="AB106" s="58" t="str">
        <f>IFERROR(Tableau3[[#This Row],[Prix Achat TTC]]/Tableau3[[#This Row],[SF priorisée]],"-")</f>
        <v>-</v>
      </c>
      <c r="AC106" s="58">
        <f>IFERROR(Tableau3[[#This Row],[Prix Achat TTC]]/Tableau3[[#This Row],[N]],"-")</f>
        <v>0</v>
      </c>
      <c r="AD106" s="62"/>
      <c r="AE106" s="62"/>
      <c r="AF106" s="62"/>
      <c r="AG106" s="58">
        <f>IFERROR((DATEDIF(Tableau3[[#This Row],[Demande LBU]],Tableau3[[#This Row],[Arrêté LBU]],"d"))/30,0)</f>
        <v>0</v>
      </c>
      <c r="AH106" s="68"/>
      <c r="AI106" s="68"/>
      <c r="AJ106" s="73">
        <f>IFERROR((DATEDIF(Tableau3[[#This Row],[Dde édition prêt]],Tableau3[[#This Row],[Contrat de prêt]],"d"))/30,"-")</f>
        <v>0</v>
      </c>
      <c r="AK106" s="68">
        <f>EOMONTH(Tableau3[[#This Row],[Contrat de prêt]],0)+1</f>
        <v>32</v>
      </c>
      <c r="AL106" s="68"/>
      <c r="AM106" s="68"/>
      <c r="AN10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6" s="79"/>
      <c r="AP106" s="2" t="str">
        <f>IF(Tableau3[[#This Row],[Montant des loyers perçus avant 1e échéance]]&lt;Tableau3[[#This Row],[Montant échéance annuelle]],"oui","non")</f>
        <v>non</v>
      </c>
      <c r="AS106" s="79">
        <f>Tableau3[[#This Row],[Mois de loyers avant 1e échéance]]-Tableau3[[#This Row],[Montant échéance annuelle]]</f>
        <v>0</v>
      </c>
      <c r="AU106" s="86">
        <v>45703</v>
      </c>
      <c r="AV106" s="97"/>
      <c r="AW106" s="56">
        <f>IFERROR((DATEDIF(Tableau3[[#This Row],[Arrêté LBU]],Tableau3[[#This Row],[OS démarrage]],"d"))/30,0)</f>
        <v>1523.4333333333334</v>
      </c>
      <c r="AX106" s="107">
        <v>12</v>
      </c>
      <c r="AY106" s="112"/>
      <c r="AZ106" s="110"/>
      <c r="BA106" s="116">
        <f>DATE(YEAR(Tableau3[[#This Row],[OS démarrage]]),MONTH(Tableau3[[#This Row],[OS démarrage]])+Tableau3[[#This Row],[Délai chantier initial]],DAY(Tableau3[[#This Row],[OS démarrage]]))</f>
        <v>46068</v>
      </c>
      <c r="BB10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46096</v>
      </c>
      <c r="BC106" s="121">
        <f>(Tableau3[[#This Row],[Date réception entreprise recalée]]-Tableau3[[#This Row],[Date réception entreprise prévue initialement]])/30</f>
        <v>0.93333333333333335</v>
      </c>
      <c r="BD106" s="126"/>
      <c r="BE106" s="124"/>
      <c r="BF106" s="124"/>
      <c r="BG106" s="124"/>
      <c r="BH106" s="137">
        <f>IFERROR((Tableau3[[#This Row],[Date Livraison VEFA estimée avec retards constatés]]-Tableau3[[#This Row],[Date livraison contractuelle y/c avenant]])/30,"-")</f>
        <v>0</v>
      </c>
      <c r="BI106" s="138">
        <f>Tableau3[[#This Row],[Date Livraison VEFA estimée avec retards constatés]]-Tableau3[[#This Row],[Date livraison contractuelle y/c avenant]]</f>
        <v>0</v>
      </c>
      <c r="BJ106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07" spans="1:62" x14ac:dyDescent="0.3">
      <c r="A107" s="19" t="s">
        <v>316</v>
      </c>
      <c r="B107" s="4" t="s">
        <v>41</v>
      </c>
      <c r="C107" s="4" t="s">
        <v>12</v>
      </c>
      <c r="D107" s="4">
        <v>2024</v>
      </c>
      <c r="E107" s="4"/>
      <c r="F107" s="4" t="s">
        <v>17</v>
      </c>
      <c r="G107" s="4"/>
      <c r="H107" s="4" t="s">
        <v>28</v>
      </c>
      <c r="I107" s="6" t="s">
        <v>14</v>
      </c>
      <c r="J107" s="4"/>
      <c r="K107" s="4" t="s">
        <v>389</v>
      </c>
      <c r="L107" s="24">
        <f>Tableau3[[#This Row],[LLS]]+Tableau3[[#This Row],[LLTS]]+Tableau3[[#This Row],[PLS]]+Tableau3[[#This Row],[REHAB]]</f>
        <v>29</v>
      </c>
      <c r="M107" s="23">
        <f>IFERROR(Tableau3[[#This Row],[LLS]]+Tableau3[[#This Row],[LLTS]]+Tableau3[[#This Row],[PLS]],"-")</f>
        <v>0</v>
      </c>
      <c r="N107" s="25"/>
      <c r="O107" s="25"/>
      <c r="P107" s="25"/>
      <c r="Q107" s="4">
        <v>29</v>
      </c>
      <c r="R107" s="36"/>
      <c r="S107" s="31"/>
      <c r="T107" s="56">
        <f>Tableau3[[#This Row],[SHAB y/c V]]/Tableau3[[#This Row],[N]]</f>
        <v>0</v>
      </c>
      <c r="U107" s="56">
        <f>Tableau3[[#This Row],[SF priorisée]]/Tableau3[[#This Row],[N]]</f>
        <v>0</v>
      </c>
      <c r="V107" s="57" t="str">
        <f>IFERROR(Tableau3[[#This Row],[SHAB y/c V]]/Tableau3[[#This Row],[SF priorisée]],"-")</f>
        <v>-</v>
      </c>
      <c r="W107" s="56"/>
      <c r="X107" s="44"/>
      <c r="Y107" s="45"/>
      <c r="Z107" s="5"/>
      <c r="AA107" s="58" t="str">
        <f>IFERROR(Tableau3[[#This Row],[Prix Achat TTC]]/Tableau3[[#This Row],[SHAB y/c V]],"-")</f>
        <v>-</v>
      </c>
      <c r="AB107" s="58" t="str">
        <f>IFERROR(Tableau3[[#This Row],[Prix Achat TTC]]/Tableau3[[#This Row],[SF priorisée]],"-")</f>
        <v>-</v>
      </c>
      <c r="AC107" s="58">
        <f>IFERROR(Tableau3[[#This Row],[Prix Achat TTC]]/Tableau3[[#This Row],[N]],"-")</f>
        <v>0</v>
      </c>
      <c r="AD107" s="62"/>
      <c r="AE107" s="62"/>
      <c r="AF107" s="62"/>
      <c r="AG107" s="58">
        <f>IFERROR((DATEDIF(Tableau3[[#This Row],[Demande LBU]],Tableau3[[#This Row],[Arrêté LBU]],"d"))/30,0)</f>
        <v>0</v>
      </c>
      <c r="AH107" s="68"/>
      <c r="AI107" s="68"/>
      <c r="AJ107" s="73">
        <f>IFERROR((DATEDIF(Tableau3[[#This Row],[Dde édition prêt]],Tableau3[[#This Row],[Contrat de prêt]],"d"))/30,"-")</f>
        <v>0</v>
      </c>
      <c r="AK107" s="68">
        <f>EOMONTH(Tableau3[[#This Row],[Contrat de prêt]],0)+1</f>
        <v>32</v>
      </c>
      <c r="AL107" s="68"/>
      <c r="AM107" s="68"/>
      <c r="AN10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7" s="79"/>
      <c r="AP107" s="2" t="str">
        <f>IF(Tableau3[[#This Row],[Montant des loyers perçus avant 1e échéance]]&lt;Tableau3[[#This Row],[Montant échéance annuelle]],"oui","non")</f>
        <v>non</v>
      </c>
      <c r="AS107" s="79">
        <f>Tableau3[[#This Row],[Mois de loyers avant 1e échéance]]-Tableau3[[#This Row],[Montant échéance annuelle]]</f>
        <v>0</v>
      </c>
      <c r="AU107" s="86">
        <v>45711</v>
      </c>
      <c r="AV107" s="97"/>
      <c r="AW107" s="56">
        <f>IFERROR((DATEDIF(Tableau3[[#This Row],[Arrêté LBU]],Tableau3[[#This Row],[OS démarrage]],"d"))/30,0)</f>
        <v>1523.7</v>
      </c>
      <c r="AX107" s="107">
        <v>12</v>
      </c>
      <c r="AY107" s="112"/>
      <c r="AZ107" s="110"/>
      <c r="BA107" s="116">
        <f>DATE(YEAR(Tableau3[[#This Row],[OS démarrage]]),MONTH(Tableau3[[#This Row],[OS démarrage]])+Tableau3[[#This Row],[Délai chantier initial]],DAY(Tableau3[[#This Row],[OS démarrage]]))</f>
        <v>46076</v>
      </c>
      <c r="BB10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46104</v>
      </c>
      <c r="BC107" s="121">
        <f>(Tableau3[[#This Row],[Date réception entreprise recalée]]-Tableau3[[#This Row],[Date réception entreprise prévue initialement]])/30</f>
        <v>0.93333333333333335</v>
      </c>
      <c r="BD107" s="126"/>
      <c r="BE107" s="124"/>
      <c r="BF107" s="124"/>
      <c r="BG107" s="124"/>
      <c r="BH107" s="137">
        <f>IFERROR((Tableau3[[#This Row],[Date Livraison VEFA estimée avec retards constatés]]-Tableau3[[#This Row],[Date livraison contractuelle y/c avenant]])/30,"-")</f>
        <v>0</v>
      </c>
      <c r="BI107" s="138">
        <f>Tableau3[[#This Row],[Date Livraison VEFA estimée avec retards constatés]]-Tableau3[[#This Row],[Date livraison contractuelle y/c avenant]]</f>
        <v>0</v>
      </c>
      <c r="BJ107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08" spans="1:62" x14ac:dyDescent="0.3">
      <c r="A108" s="19" t="s">
        <v>317</v>
      </c>
      <c r="B108" s="4" t="s">
        <v>41</v>
      </c>
      <c r="C108" s="4" t="s">
        <v>12</v>
      </c>
      <c r="D108" s="4">
        <v>2024</v>
      </c>
      <c r="E108" s="4"/>
      <c r="F108" s="4" t="s">
        <v>38</v>
      </c>
      <c r="G108" s="4"/>
      <c r="H108" s="4" t="s">
        <v>28</v>
      </c>
      <c r="I108" s="6" t="s">
        <v>14</v>
      </c>
      <c r="J108" s="4"/>
      <c r="K108" s="4" t="s">
        <v>389</v>
      </c>
      <c r="L108" s="24">
        <f>Tableau3[[#This Row],[LLS]]+Tableau3[[#This Row],[LLTS]]+Tableau3[[#This Row],[PLS]]+Tableau3[[#This Row],[REHAB]]</f>
        <v>22</v>
      </c>
      <c r="M108" s="23">
        <f>IFERROR(Tableau3[[#This Row],[LLS]]+Tableau3[[#This Row],[LLTS]]+Tableau3[[#This Row],[PLS]],"-")</f>
        <v>0</v>
      </c>
      <c r="N108" s="25"/>
      <c r="O108" s="25"/>
      <c r="P108" s="25"/>
      <c r="Q108" s="4">
        <v>22</v>
      </c>
      <c r="R108" s="36"/>
      <c r="S108" s="31"/>
      <c r="T108" s="56">
        <f>Tableau3[[#This Row],[SHAB y/c V]]/Tableau3[[#This Row],[N]]</f>
        <v>0</v>
      </c>
      <c r="U108" s="56">
        <f>Tableau3[[#This Row],[SF priorisée]]/Tableau3[[#This Row],[N]]</f>
        <v>0</v>
      </c>
      <c r="V108" s="57" t="str">
        <f>IFERROR(Tableau3[[#This Row],[SHAB y/c V]]/Tableau3[[#This Row],[SF priorisée]],"-")</f>
        <v>-</v>
      </c>
      <c r="W108" s="56"/>
      <c r="X108" s="44"/>
      <c r="Y108" s="45"/>
      <c r="Z108" s="30"/>
      <c r="AA108" s="58" t="str">
        <f>IFERROR(Tableau3[[#This Row],[Prix Achat TTC]]/Tableau3[[#This Row],[SHAB y/c V]],"-")</f>
        <v>-</v>
      </c>
      <c r="AB108" s="58" t="str">
        <f>IFERROR(Tableau3[[#This Row],[Prix Achat TTC]]/Tableau3[[#This Row],[SF priorisée]],"-")</f>
        <v>-</v>
      </c>
      <c r="AC108" s="58">
        <f>IFERROR(Tableau3[[#This Row],[Prix Achat TTC]]/Tableau3[[#This Row],[N]],"-")</f>
        <v>0</v>
      </c>
      <c r="AD108" s="62"/>
      <c r="AE108" s="62"/>
      <c r="AF108" s="62"/>
      <c r="AG108" s="58">
        <f>IFERROR((DATEDIF(Tableau3[[#This Row],[Demande LBU]],Tableau3[[#This Row],[Arrêté LBU]],"d"))/30,0)</f>
        <v>0</v>
      </c>
      <c r="AH108" s="68"/>
      <c r="AI108" s="68"/>
      <c r="AJ108" s="73">
        <f>IFERROR((DATEDIF(Tableau3[[#This Row],[Dde édition prêt]],Tableau3[[#This Row],[Contrat de prêt]],"d"))/30,"-")</f>
        <v>0</v>
      </c>
      <c r="AK108" s="68">
        <f>EOMONTH(Tableau3[[#This Row],[Contrat de prêt]],0)+1</f>
        <v>32</v>
      </c>
      <c r="AL108" s="68"/>
      <c r="AM108" s="68"/>
      <c r="AN10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8" s="79"/>
      <c r="AP108" s="2" t="str">
        <f>IF(Tableau3[[#This Row],[Montant des loyers perçus avant 1e échéance]]&lt;Tableau3[[#This Row],[Montant échéance annuelle]],"oui","non")</f>
        <v>non</v>
      </c>
      <c r="AS108" s="79">
        <f>Tableau3[[#This Row],[Mois de loyers avant 1e échéance]]-Tableau3[[#This Row],[Montant échéance annuelle]]</f>
        <v>0</v>
      </c>
      <c r="AU108" s="86">
        <v>45711</v>
      </c>
      <c r="AV108" s="97"/>
      <c r="AW108" s="56">
        <f>IFERROR((DATEDIF(Tableau3[[#This Row],[Arrêté LBU]],Tableau3[[#This Row],[OS démarrage]],"d"))/30,0)</f>
        <v>1523.7</v>
      </c>
      <c r="AX108" s="107">
        <v>12</v>
      </c>
      <c r="AY108" s="112"/>
      <c r="AZ108" s="110"/>
      <c r="BA108" s="116">
        <f>DATE(YEAR(Tableau3[[#This Row],[OS démarrage]]),MONTH(Tableau3[[#This Row],[OS démarrage]])+Tableau3[[#This Row],[Délai chantier initial]],DAY(Tableau3[[#This Row],[OS démarrage]]))</f>
        <v>46076</v>
      </c>
      <c r="BB10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46104</v>
      </c>
      <c r="BC108" s="121">
        <f>(Tableau3[[#This Row],[Date réception entreprise recalée]]-Tableau3[[#This Row],[Date réception entreprise prévue initialement]])/30</f>
        <v>0.93333333333333335</v>
      </c>
      <c r="BD108" s="126"/>
      <c r="BE108" s="124"/>
      <c r="BF108" s="124"/>
      <c r="BG108" s="124"/>
      <c r="BH108" s="137">
        <f>IFERROR((Tableau3[[#This Row],[Date Livraison VEFA estimée avec retards constatés]]-Tableau3[[#This Row],[Date livraison contractuelle y/c avenant]])/30,"-")</f>
        <v>0</v>
      </c>
      <c r="BI108" s="138">
        <f>Tableau3[[#This Row],[Date Livraison VEFA estimée avec retards constatés]]-Tableau3[[#This Row],[Date livraison contractuelle y/c avenant]]</f>
        <v>0</v>
      </c>
      <c r="BJ10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09" spans="1:62" x14ac:dyDescent="0.3">
      <c r="A109" s="6" t="s">
        <v>318</v>
      </c>
      <c r="B109" s="4" t="s">
        <v>25</v>
      </c>
      <c r="C109" s="4" t="s">
        <v>21</v>
      </c>
      <c r="D109" s="4">
        <v>2024</v>
      </c>
      <c r="E109" s="4"/>
      <c r="F109" s="4" t="s">
        <v>45</v>
      </c>
      <c r="G109" s="4"/>
      <c r="H109" s="4" t="s">
        <v>39</v>
      </c>
      <c r="I109" s="6" t="s">
        <v>14</v>
      </c>
      <c r="J109" s="4" t="s">
        <v>319</v>
      </c>
      <c r="K109" s="4" t="s">
        <v>80</v>
      </c>
      <c r="L109" s="24">
        <f>Tableau3[[#This Row],[LLS]]+Tableau3[[#This Row],[LLTS]]+Tableau3[[#This Row],[PLS]]+Tableau3[[#This Row],[REHAB]]</f>
        <v>20</v>
      </c>
      <c r="M109" s="23">
        <f>IFERROR(Tableau3[[#This Row],[LLS]]+Tableau3[[#This Row],[LLTS]]+Tableau3[[#This Row],[PLS]],"-")</f>
        <v>20</v>
      </c>
      <c r="N109" s="4">
        <v>20</v>
      </c>
      <c r="O109" s="25"/>
      <c r="P109" s="25"/>
      <c r="Q109" s="25"/>
      <c r="R109" s="32">
        <v>1290</v>
      </c>
      <c r="S109" s="27">
        <v>1655</v>
      </c>
      <c r="T109" s="56">
        <f>Tableau3[[#This Row],[SHAB y/c V]]/Tableau3[[#This Row],[N]]</f>
        <v>64.5</v>
      </c>
      <c r="U109" s="56">
        <f>Tableau3[[#This Row],[SF priorisée]]/Tableau3[[#This Row],[N]]</f>
        <v>82.75</v>
      </c>
      <c r="V109" s="57">
        <f>IFERROR(Tableau3[[#This Row],[SHAB y/c V]]/Tableau3[[#This Row],[SF priorisée]],"-")</f>
        <v>0.77945619335347427</v>
      </c>
      <c r="W109" s="56"/>
      <c r="X109" s="43" t="s">
        <v>390</v>
      </c>
      <c r="Y109" s="43" t="s">
        <v>392</v>
      </c>
      <c r="Z109" s="5"/>
      <c r="AA109" s="58">
        <f>IFERROR(Tableau3[[#This Row],[Prix Achat TTC]]/Tableau3[[#This Row],[SHAB y/c V]],"-")</f>
        <v>0</v>
      </c>
      <c r="AB109" s="58">
        <f>IFERROR(Tableau3[[#This Row],[Prix Achat TTC]]/Tableau3[[#This Row],[SF priorisée]],"-")</f>
        <v>0</v>
      </c>
      <c r="AC109" s="58">
        <f>IFERROR(Tableau3[[#This Row],[Prix Achat TTC]]/Tableau3[[#This Row],[N]],"-")</f>
        <v>0</v>
      </c>
      <c r="AD109" s="62"/>
      <c r="AE109" s="62"/>
      <c r="AF109" s="64"/>
      <c r="AG109" s="58">
        <f>IFERROR((DATEDIF(Tableau3[[#This Row],[Demande LBU]],Tableau3[[#This Row],[Arrêté LBU]],"d"))/30,0)</f>
        <v>0</v>
      </c>
      <c r="AH109" s="71"/>
      <c r="AI109" s="68"/>
      <c r="AJ109" s="73">
        <f>IFERROR((DATEDIF(Tableau3[[#This Row],[Dde édition prêt]],Tableau3[[#This Row],[Contrat de prêt]],"d"))/30,"-")</f>
        <v>0</v>
      </c>
      <c r="AK109" s="68">
        <f>EOMONTH(Tableau3[[#This Row],[Contrat de prêt]],0)+1</f>
        <v>32</v>
      </c>
      <c r="AL109" s="68"/>
      <c r="AM109" s="68"/>
      <c r="AN10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09" s="79"/>
      <c r="AP109" s="2" t="str">
        <f>IF(Tableau3[[#This Row],[Montant des loyers perçus avant 1e échéance]]&lt;Tableau3[[#This Row],[Montant échéance annuelle]],"oui","non")</f>
        <v>non</v>
      </c>
      <c r="AS109" s="79">
        <f>Tableau3[[#This Row],[Mois de loyers avant 1e échéance]]-Tableau3[[#This Row],[Montant échéance annuelle]]</f>
        <v>0</v>
      </c>
      <c r="AU109" s="86">
        <v>45703</v>
      </c>
      <c r="AV109" s="97"/>
      <c r="AW109" s="56">
        <f>IFERROR((DATEDIF(Tableau3[[#This Row],[Arrêté LBU]],Tableau3[[#This Row],[OS démarrage]],"d"))/30,0)</f>
        <v>1523.4333333333334</v>
      </c>
      <c r="AX109" s="107">
        <v>18</v>
      </c>
      <c r="AY109" s="112"/>
      <c r="AZ109" s="110"/>
      <c r="BA109" s="116">
        <f>DATE(YEAR(Tableau3[[#This Row],[OS démarrage]]),MONTH(Tableau3[[#This Row],[OS démarrage]])+Tableau3[[#This Row],[Délai chantier initial]],DAY(Tableau3[[#This Row],[OS démarrage]]))</f>
        <v>46249</v>
      </c>
      <c r="BB10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09" s="121">
        <f>(Tableau3[[#This Row],[Date réception entreprise recalée]]-Tableau3[[#This Row],[Date réception entreprise prévue initialement]])/30</f>
        <v>1.0333333333333334</v>
      </c>
      <c r="BD109" s="126"/>
      <c r="BE109" s="124"/>
      <c r="BF109" s="124"/>
      <c r="BG109" s="124"/>
      <c r="BH109" s="137">
        <f>IFERROR((Tableau3[[#This Row],[Date Livraison VEFA estimée avec retards constatés]]-Tableau3[[#This Row],[Date livraison contractuelle y/c avenant]])/30,"-")</f>
        <v>0</v>
      </c>
      <c r="BI109" s="138">
        <f>Tableau3[[#This Row],[Date Livraison VEFA estimée avec retards constatés]]-Tableau3[[#This Row],[Date livraison contractuelle y/c avenant]]</f>
        <v>0</v>
      </c>
      <c r="BJ10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0" spans="1:62" x14ac:dyDescent="0.3">
      <c r="A110" s="6" t="s">
        <v>320</v>
      </c>
      <c r="B110" s="4" t="s">
        <v>25</v>
      </c>
      <c r="C110" s="4" t="s">
        <v>21</v>
      </c>
      <c r="D110" s="4">
        <v>2024</v>
      </c>
      <c r="E110" s="4"/>
      <c r="F110" s="4" t="s">
        <v>45</v>
      </c>
      <c r="G110" s="4"/>
      <c r="H110" s="8" t="s">
        <v>9</v>
      </c>
      <c r="I110" s="4" t="s">
        <v>24</v>
      </c>
      <c r="J110" s="4" t="s">
        <v>321</v>
      </c>
      <c r="K110" s="4" t="s">
        <v>82</v>
      </c>
      <c r="L110" s="24">
        <f>Tableau3[[#This Row],[LLS]]+Tableau3[[#This Row],[LLTS]]+Tableau3[[#This Row],[PLS]]+Tableau3[[#This Row],[REHAB]]</f>
        <v>18</v>
      </c>
      <c r="M110" s="23">
        <f>IFERROR(Tableau3[[#This Row],[LLS]]+Tableau3[[#This Row],[LLTS]]+Tableau3[[#This Row],[PLS]],"-")</f>
        <v>18</v>
      </c>
      <c r="N110" s="25"/>
      <c r="O110" s="25"/>
      <c r="P110" s="4">
        <v>18</v>
      </c>
      <c r="Q110" s="25"/>
      <c r="R110" s="32">
        <v>1224</v>
      </c>
      <c r="S110" s="27">
        <v>1240</v>
      </c>
      <c r="T110" s="56">
        <f>Tableau3[[#This Row],[SHAB y/c V]]/Tableau3[[#This Row],[N]]</f>
        <v>68</v>
      </c>
      <c r="U110" s="56">
        <f>Tableau3[[#This Row],[SF priorisée]]/Tableau3[[#This Row],[N]]</f>
        <v>68.888888888888886</v>
      </c>
      <c r="V110" s="57">
        <f>IFERROR(Tableau3[[#This Row],[SHAB y/c V]]/Tableau3[[#This Row],[SF priorisée]],"-")</f>
        <v>0.98709677419354835</v>
      </c>
      <c r="W110" s="56"/>
      <c r="X110" s="43" t="s">
        <v>390</v>
      </c>
      <c r="Y110" s="43" t="s">
        <v>392</v>
      </c>
      <c r="Z110" s="51"/>
      <c r="AA110" s="58">
        <f>IFERROR(Tableau3[[#This Row],[Prix Achat TTC]]/Tableau3[[#This Row],[SHAB y/c V]],"-")</f>
        <v>0</v>
      </c>
      <c r="AB110" s="58">
        <f>IFERROR(Tableau3[[#This Row],[Prix Achat TTC]]/Tableau3[[#This Row],[SF priorisée]],"-")</f>
        <v>0</v>
      </c>
      <c r="AC110" s="58">
        <f>IFERROR(Tableau3[[#This Row],[Prix Achat TTC]]/Tableau3[[#This Row],[N]],"-")</f>
        <v>0</v>
      </c>
      <c r="AD110" s="62"/>
      <c r="AE110" s="62"/>
      <c r="AF110" s="62"/>
      <c r="AG110" s="58">
        <f>IFERROR((DATEDIF(Tableau3[[#This Row],[Demande LBU]],Tableau3[[#This Row],[Arrêté LBU]],"d"))/30,0)</f>
        <v>0</v>
      </c>
      <c r="AH110" s="68"/>
      <c r="AI110" s="68"/>
      <c r="AJ110" s="73">
        <f>IFERROR((DATEDIF(Tableau3[[#This Row],[Dde édition prêt]],Tableau3[[#This Row],[Contrat de prêt]],"d"))/30,"-")</f>
        <v>0</v>
      </c>
      <c r="AK110" s="68">
        <f>EOMONTH(Tableau3[[#This Row],[Contrat de prêt]],0)+1</f>
        <v>32</v>
      </c>
      <c r="AL110" s="68"/>
      <c r="AM110" s="68"/>
      <c r="AN11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0" s="79"/>
      <c r="AP110" s="2" t="str">
        <f>IF(Tableau3[[#This Row],[Montant des loyers perçus avant 1e échéance]]&lt;Tableau3[[#This Row],[Montant échéance annuelle]],"oui","non")</f>
        <v>non</v>
      </c>
      <c r="AS110" s="79">
        <f>Tableau3[[#This Row],[Mois de loyers avant 1e échéance]]-Tableau3[[#This Row],[Montant échéance annuelle]]</f>
        <v>0</v>
      </c>
      <c r="AU110" s="86">
        <v>45703</v>
      </c>
      <c r="AV110" s="95"/>
      <c r="AW110" s="56">
        <f>IFERROR((DATEDIF(Tableau3[[#This Row],[Arrêté LBU]],Tableau3[[#This Row],[OS démarrage]],"d"))/30,0)</f>
        <v>1523.4333333333334</v>
      </c>
      <c r="AX110" s="105">
        <v>18</v>
      </c>
      <c r="AY110" s="112"/>
      <c r="AZ110" s="84"/>
      <c r="BA110" s="116">
        <f>DATE(YEAR(Tableau3[[#This Row],[OS démarrage]]),MONTH(Tableau3[[#This Row],[OS démarrage]])+Tableau3[[#This Row],[Délai chantier initial]],DAY(Tableau3[[#This Row],[OS démarrage]]))</f>
        <v>46249</v>
      </c>
      <c r="BB11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0" s="121">
        <f>(Tableau3[[#This Row],[Date réception entreprise recalée]]-Tableau3[[#This Row],[Date réception entreprise prévue initialement]])/30</f>
        <v>1.0333333333333334</v>
      </c>
      <c r="BD110" s="126"/>
      <c r="BE110" s="124"/>
      <c r="BF110" s="124"/>
      <c r="BG110" s="124"/>
      <c r="BH110" s="137">
        <f>IFERROR((Tableau3[[#This Row],[Date Livraison VEFA estimée avec retards constatés]]-Tableau3[[#This Row],[Date livraison contractuelle y/c avenant]])/30,"-")</f>
        <v>0</v>
      </c>
      <c r="BI110" s="138">
        <f>Tableau3[[#This Row],[Date Livraison VEFA estimée avec retards constatés]]-Tableau3[[#This Row],[Date livraison contractuelle y/c avenant]]</f>
        <v>0</v>
      </c>
      <c r="BJ11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1" spans="1:62" x14ac:dyDescent="0.3">
      <c r="A111" s="6" t="s">
        <v>322</v>
      </c>
      <c r="B111" s="4" t="s">
        <v>25</v>
      </c>
      <c r="C111" s="4" t="s">
        <v>21</v>
      </c>
      <c r="D111" s="4">
        <v>2024</v>
      </c>
      <c r="E111" s="4"/>
      <c r="F111" s="4"/>
      <c r="G111" s="4"/>
      <c r="H111" s="4"/>
      <c r="I111" s="6" t="s">
        <v>14</v>
      </c>
      <c r="J111" s="4" t="s">
        <v>323</v>
      </c>
      <c r="K111" s="4" t="s">
        <v>80</v>
      </c>
      <c r="L111" s="24">
        <f>Tableau3[[#This Row],[LLS]]+Tableau3[[#This Row],[LLTS]]+Tableau3[[#This Row],[PLS]]+Tableau3[[#This Row],[REHAB]]</f>
        <v>20</v>
      </c>
      <c r="M111" s="23">
        <f>IFERROR(Tableau3[[#This Row],[LLS]]+Tableau3[[#This Row],[LLTS]]+Tableau3[[#This Row],[PLS]],"-")</f>
        <v>20</v>
      </c>
      <c r="N111" s="4">
        <v>20</v>
      </c>
      <c r="O111" s="25"/>
      <c r="P111" s="25"/>
      <c r="Q111" s="25"/>
      <c r="R111" s="32"/>
      <c r="S111" s="27"/>
      <c r="T111" s="56">
        <f>Tableau3[[#This Row],[SHAB y/c V]]/Tableau3[[#This Row],[N]]</f>
        <v>0</v>
      </c>
      <c r="U111" s="56">
        <f>Tableau3[[#This Row],[SF priorisée]]/Tableau3[[#This Row],[N]]</f>
        <v>0</v>
      </c>
      <c r="V111" s="57" t="str">
        <f>IFERROR(Tableau3[[#This Row],[SHAB y/c V]]/Tableau3[[#This Row],[SF priorisée]],"-")</f>
        <v>-</v>
      </c>
      <c r="W111" s="56"/>
      <c r="X111" s="43" t="s">
        <v>390</v>
      </c>
      <c r="Y111" s="43" t="s">
        <v>392</v>
      </c>
      <c r="Z111" s="5"/>
      <c r="AA111" s="58" t="str">
        <f>IFERROR(Tableau3[[#This Row],[Prix Achat TTC]]/Tableau3[[#This Row],[SHAB y/c V]],"-")</f>
        <v>-</v>
      </c>
      <c r="AB111" s="58" t="str">
        <f>IFERROR(Tableau3[[#This Row],[Prix Achat TTC]]/Tableau3[[#This Row],[SF priorisée]],"-")</f>
        <v>-</v>
      </c>
      <c r="AC111" s="58">
        <f>IFERROR(Tableau3[[#This Row],[Prix Achat TTC]]/Tableau3[[#This Row],[N]],"-")</f>
        <v>0</v>
      </c>
      <c r="AD111" s="62"/>
      <c r="AE111" s="62"/>
      <c r="AF111" s="62"/>
      <c r="AG111" s="58">
        <f>IFERROR((DATEDIF(Tableau3[[#This Row],[Demande LBU]],Tableau3[[#This Row],[Arrêté LBU]],"d"))/30,0)</f>
        <v>0</v>
      </c>
      <c r="AH111" s="68"/>
      <c r="AI111" s="68"/>
      <c r="AJ111" s="73">
        <f>IFERROR((DATEDIF(Tableau3[[#This Row],[Dde édition prêt]],Tableau3[[#This Row],[Contrat de prêt]],"d"))/30,"-")</f>
        <v>0</v>
      </c>
      <c r="AK111" s="68">
        <f>EOMONTH(Tableau3[[#This Row],[Contrat de prêt]],0)+1</f>
        <v>32</v>
      </c>
      <c r="AL111" s="68"/>
      <c r="AM111" s="68"/>
      <c r="AN11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1" s="79"/>
      <c r="AP111" s="2" t="str">
        <f>IF(Tableau3[[#This Row],[Montant des loyers perçus avant 1e échéance]]&lt;Tableau3[[#This Row],[Montant échéance annuelle]],"oui","non")</f>
        <v>non</v>
      </c>
      <c r="AS111" s="79">
        <f>Tableau3[[#This Row],[Mois de loyers avant 1e échéance]]-Tableau3[[#This Row],[Montant échéance annuelle]]</f>
        <v>0</v>
      </c>
      <c r="AU111" s="86">
        <v>45703</v>
      </c>
      <c r="AV111" s="97"/>
      <c r="AW111" s="56">
        <f>IFERROR((DATEDIF(Tableau3[[#This Row],[Arrêté LBU]],Tableau3[[#This Row],[OS démarrage]],"d"))/30,0)</f>
        <v>1523.4333333333334</v>
      </c>
      <c r="AX111" s="107">
        <v>18</v>
      </c>
      <c r="AY111" s="112"/>
      <c r="AZ111" s="110"/>
      <c r="BA111" s="116">
        <f>DATE(YEAR(Tableau3[[#This Row],[OS démarrage]]),MONTH(Tableau3[[#This Row],[OS démarrage]])+Tableau3[[#This Row],[Délai chantier initial]],DAY(Tableau3[[#This Row],[OS démarrage]]))</f>
        <v>46249</v>
      </c>
      <c r="BB11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1" s="121">
        <f>(Tableau3[[#This Row],[Date réception entreprise recalée]]-Tableau3[[#This Row],[Date réception entreprise prévue initialement]])/30</f>
        <v>1.0333333333333334</v>
      </c>
      <c r="BD111" s="126"/>
      <c r="BE111" s="124"/>
      <c r="BF111" s="124"/>
      <c r="BG111" s="124"/>
      <c r="BH111" s="137">
        <f>IFERROR((Tableau3[[#This Row],[Date Livraison VEFA estimée avec retards constatés]]-Tableau3[[#This Row],[Date livraison contractuelle y/c avenant]])/30,"-")</f>
        <v>0</v>
      </c>
      <c r="BI111" s="138">
        <f>Tableau3[[#This Row],[Date Livraison VEFA estimée avec retards constatés]]-Tableau3[[#This Row],[Date livraison contractuelle y/c avenant]]</f>
        <v>0</v>
      </c>
      <c r="BJ11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2" spans="1:62" x14ac:dyDescent="0.3">
      <c r="A112" s="6" t="s">
        <v>324</v>
      </c>
      <c r="B112" s="4" t="s">
        <v>25</v>
      </c>
      <c r="C112" s="4" t="s">
        <v>21</v>
      </c>
      <c r="D112" s="4">
        <v>2024</v>
      </c>
      <c r="E112" s="4"/>
      <c r="F112" s="5"/>
      <c r="G112" s="5"/>
      <c r="H112" s="4"/>
      <c r="I112" s="6"/>
      <c r="J112" s="4" t="s">
        <v>325</v>
      </c>
      <c r="K112" s="4" t="s">
        <v>82</v>
      </c>
      <c r="L112" s="24">
        <f>Tableau3[[#This Row],[LLS]]+Tableau3[[#This Row],[LLTS]]+Tableau3[[#This Row],[PLS]]+Tableau3[[#This Row],[REHAB]]</f>
        <v>15</v>
      </c>
      <c r="M112" s="23">
        <f>IFERROR(Tableau3[[#This Row],[LLS]]+Tableau3[[#This Row],[LLTS]]+Tableau3[[#This Row],[PLS]],"-")</f>
        <v>15</v>
      </c>
      <c r="N112" s="25"/>
      <c r="O112" s="25"/>
      <c r="P112" s="4">
        <v>15</v>
      </c>
      <c r="Q112" s="25"/>
      <c r="R112" s="32"/>
      <c r="S112" s="27"/>
      <c r="T112" s="56">
        <f>Tableau3[[#This Row],[SHAB y/c V]]/Tableau3[[#This Row],[N]]</f>
        <v>0</v>
      </c>
      <c r="U112" s="56">
        <f>Tableau3[[#This Row],[SF priorisée]]/Tableau3[[#This Row],[N]]</f>
        <v>0</v>
      </c>
      <c r="V112" s="57" t="str">
        <f>IFERROR(Tableau3[[#This Row],[SHAB y/c V]]/Tableau3[[#This Row],[SF priorisée]],"-")</f>
        <v>-</v>
      </c>
      <c r="W112" s="56"/>
      <c r="X112" s="43" t="s">
        <v>390</v>
      </c>
      <c r="Y112" s="43" t="s">
        <v>392</v>
      </c>
      <c r="Z112" s="5"/>
      <c r="AA112" s="58" t="str">
        <f>IFERROR(Tableau3[[#This Row],[Prix Achat TTC]]/Tableau3[[#This Row],[SHAB y/c V]],"-")</f>
        <v>-</v>
      </c>
      <c r="AB112" s="58" t="str">
        <f>IFERROR(Tableau3[[#This Row],[Prix Achat TTC]]/Tableau3[[#This Row],[SF priorisée]],"-")</f>
        <v>-</v>
      </c>
      <c r="AC112" s="58">
        <f>IFERROR(Tableau3[[#This Row],[Prix Achat TTC]]/Tableau3[[#This Row],[N]],"-")</f>
        <v>0</v>
      </c>
      <c r="AD112" s="62"/>
      <c r="AE112" s="62"/>
      <c r="AF112" s="62"/>
      <c r="AG112" s="58">
        <f>IFERROR((DATEDIF(Tableau3[[#This Row],[Demande LBU]],Tableau3[[#This Row],[Arrêté LBU]],"d"))/30,0)</f>
        <v>0</v>
      </c>
      <c r="AH112" s="68"/>
      <c r="AI112" s="68"/>
      <c r="AJ112" s="73">
        <f>IFERROR((DATEDIF(Tableau3[[#This Row],[Dde édition prêt]],Tableau3[[#This Row],[Contrat de prêt]],"d"))/30,"-")</f>
        <v>0</v>
      </c>
      <c r="AK112" s="68">
        <f>EOMONTH(Tableau3[[#This Row],[Contrat de prêt]],0)+1</f>
        <v>32</v>
      </c>
      <c r="AL112" s="68"/>
      <c r="AM112" s="68"/>
      <c r="AN11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2" s="79"/>
      <c r="AP112" s="2" t="str">
        <f>IF(Tableau3[[#This Row],[Montant des loyers perçus avant 1e échéance]]&lt;Tableau3[[#This Row],[Montant échéance annuelle]],"oui","non")</f>
        <v>non</v>
      </c>
      <c r="AS112" s="79">
        <f>Tableau3[[#This Row],[Mois de loyers avant 1e échéance]]-Tableau3[[#This Row],[Montant échéance annuelle]]</f>
        <v>0</v>
      </c>
      <c r="AU112" s="86">
        <v>45703</v>
      </c>
      <c r="AV112" s="97"/>
      <c r="AW112" s="56">
        <f>IFERROR((DATEDIF(Tableau3[[#This Row],[Arrêté LBU]],Tableau3[[#This Row],[OS démarrage]],"d"))/30,0)</f>
        <v>1523.4333333333334</v>
      </c>
      <c r="AX112" s="107">
        <v>18</v>
      </c>
      <c r="AY112" s="112"/>
      <c r="AZ112" s="110"/>
      <c r="BA112" s="116">
        <f>DATE(YEAR(Tableau3[[#This Row],[OS démarrage]]),MONTH(Tableau3[[#This Row],[OS démarrage]])+Tableau3[[#This Row],[Délai chantier initial]],DAY(Tableau3[[#This Row],[OS démarrage]]))</f>
        <v>46249</v>
      </c>
      <c r="BB11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2" s="121">
        <f>(Tableau3[[#This Row],[Date réception entreprise recalée]]-Tableau3[[#This Row],[Date réception entreprise prévue initialement]])/30</f>
        <v>1.0333333333333334</v>
      </c>
      <c r="BD112" s="126"/>
      <c r="BE112" s="124"/>
      <c r="BF112" s="124"/>
      <c r="BG112" s="124"/>
      <c r="BH112" s="137">
        <f>IFERROR((Tableau3[[#This Row],[Date Livraison VEFA estimée avec retards constatés]]-Tableau3[[#This Row],[Date livraison contractuelle y/c avenant]])/30,"-")</f>
        <v>0</v>
      </c>
      <c r="BI112" s="138">
        <f>Tableau3[[#This Row],[Date Livraison VEFA estimée avec retards constatés]]-Tableau3[[#This Row],[Date livraison contractuelle y/c avenant]]</f>
        <v>0</v>
      </c>
      <c r="BJ11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3" spans="1:62" x14ac:dyDescent="0.3">
      <c r="A113" s="6" t="s">
        <v>326</v>
      </c>
      <c r="B113" s="4" t="s">
        <v>25</v>
      </c>
      <c r="C113" s="4" t="s">
        <v>21</v>
      </c>
      <c r="D113" s="4">
        <v>2024</v>
      </c>
      <c r="E113" s="4"/>
      <c r="F113" s="5"/>
      <c r="G113" s="5"/>
      <c r="H113" s="4"/>
      <c r="I113" s="6"/>
      <c r="J113" s="4" t="s">
        <v>327</v>
      </c>
      <c r="K113" s="4" t="s">
        <v>81</v>
      </c>
      <c r="L113" s="24">
        <f>Tableau3[[#This Row],[LLS]]+Tableau3[[#This Row],[LLTS]]+Tableau3[[#This Row],[PLS]]+Tableau3[[#This Row],[REHAB]]</f>
        <v>51</v>
      </c>
      <c r="M113" s="23">
        <f>IFERROR(Tableau3[[#This Row],[LLS]]+Tableau3[[#This Row],[LLTS]]+Tableau3[[#This Row],[PLS]],"-")</f>
        <v>51</v>
      </c>
      <c r="N113" s="25"/>
      <c r="O113" s="4">
        <v>51</v>
      </c>
      <c r="P113" s="25"/>
      <c r="Q113" s="25"/>
      <c r="R113" s="32"/>
      <c r="S113" s="27"/>
      <c r="T113" s="56">
        <f>Tableau3[[#This Row],[SHAB y/c V]]/Tableau3[[#This Row],[N]]</f>
        <v>0</v>
      </c>
      <c r="U113" s="56">
        <f>Tableau3[[#This Row],[SF priorisée]]/Tableau3[[#This Row],[N]]</f>
        <v>0</v>
      </c>
      <c r="V113" s="57" t="str">
        <f>IFERROR(Tableau3[[#This Row],[SHAB y/c V]]/Tableau3[[#This Row],[SF priorisée]],"-")</f>
        <v>-</v>
      </c>
      <c r="W113" s="56"/>
      <c r="X113" s="43" t="s">
        <v>390</v>
      </c>
      <c r="Y113" s="43" t="s">
        <v>392</v>
      </c>
      <c r="Z113" s="5"/>
      <c r="AA113" s="58" t="str">
        <f>IFERROR(Tableau3[[#This Row],[Prix Achat TTC]]/Tableau3[[#This Row],[SHAB y/c V]],"-")</f>
        <v>-</v>
      </c>
      <c r="AB113" s="58" t="str">
        <f>IFERROR(Tableau3[[#This Row],[Prix Achat TTC]]/Tableau3[[#This Row],[SF priorisée]],"-")</f>
        <v>-</v>
      </c>
      <c r="AC113" s="58">
        <f>IFERROR(Tableau3[[#This Row],[Prix Achat TTC]]/Tableau3[[#This Row],[N]],"-")</f>
        <v>0</v>
      </c>
      <c r="AD113" s="62"/>
      <c r="AE113" s="62"/>
      <c r="AF113" s="62"/>
      <c r="AG113" s="58">
        <f>IFERROR((DATEDIF(Tableau3[[#This Row],[Demande LBU]],Tableau3[[#This Row],[Arrêté LBU]],"d"))/30,0)</f>
        <v>0</v>
      </c>
      <c r="AH113" s="68"/>
      <c r="AI113" s="68"/>
      <c r="AJ113" s="73">
        <f>IFERROR((DATEDIF(Tableau3[[#This Row],[Dde édition prêt]],Tableau3[[#This Row],[Contrat de prêt]],"d"))/30,"-")</f>
        <v>0</v>
      </c>
      <c r="AK113" s="68">
        <f>EOMONTH(Tableau3[[#This Row],[Contrat de prêt]],0)+1</f>
        <v>32</v>
      </c>
      <c r="AL113" s="68"/>
      <c r="AM113" s="68"/>
      <c r="AN11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3" s="79"/>
      <c r="AP113" s="2" t="str">
        <f>IF(Tableau3[[#This Row],[Montant des loyers perçus avant 1e échéance]]&lt;Tableau3[[#This Row],[Montant échéance annuelle]],"oui","non")</f>
        <v>non</v>
      </c>
      <c r="AS113" s="79">
        <f>Tableau3[[#This Row],[Mois de loyers avant 1e échéance]]-Tableau3[[#This Row],[Montant échéance annuelle]]</f>
        <v>0</v>
      </c>
      <c r="AU113" s="86">
        <v>45703</v>
      </c>
      <c r="AV113" s="97"/>
      <c r="AW113" s="56">
        <f>IFERROR((DATEDIF(Tableau3[[#This Row],[Arrêté LBU]],Tableau3[[#This Row],[OS démarrage]],"d"))/30,0)</f>
        <v>1523.4333333333334</v>
      </c>
      <c r="AX113" s="107">
        <v>18</v>
      </c>
      <c r="AY113" s="112"/>
      <c r="AZ113" s="110"/>
      <c r="BA113" s="116">
        <f>DATE(YEAR(Tableau3[[#This Row],[OS démarrage]]),MONTH(Tableau3[[#This Row],[OS démarrage]])+Tableau3[[#This Row],[Délai chantier initial]],DAY(Tableau3[[#This Row],[OS démarrage]]))</f>
        <v>46249</v>
      </c>
      <c r="BB11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3" s="121">
        <f>(Tableau3[[#This Row],[Date réception entreprise recalée]]-Tableau3[[#This Row],[Date réception entreprise prévue initialement]])/30</f>
        <v>1.0333333333333334</v>
      </c>
      <c r="BD113" s="126"/>
      <c r="BE113" s="124"/>
      <c r="BF113" s="124"/>
      <c r="BG113" s="124"/>
      <c r="BH113" s="137">
        <f>IFERROR((Tableau3[[#This Row],[Date Livraison VEFA estimée avec retards constatés]]-Tableau3[[#This Row],[Date livraison contractuelle y/c avenant]])/30,"-")</f>
        <v>0</v>
      </c>
      <c r="BI113" s="138">
        <f>Tableau3[[#This Row],[Date Livraison VEFA estimée avec retards constatés]]-Tableau3[[#This Row],[Date livraison contractuelle y/c avenant]]</f>
        <v>0</v>
      </c>
      <c r="BJ11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4" spans="1:62" x14ac:dyDescent="0.3">
      <c r="A114" s="6" t="s">
        <v>328</v>
      </c>
      <c r="B114" s="4" t="s">
        <v>25</v>
      </c>
      <c r="C114" s="4" t="s">
        <v>21</v>
      </c>
      <c r="D114" s="4">
        <v>2024</v>
      </c>
      <c r="E114" s="4"/>
      <c r="F114" s="5"/>
      <c r="G114" s="5"/>
      <c r="H114" s="4"/>
      <c r="I114" s="6"/>
      <c r="J114" s="4" t="s">
        <v>319</v>
      </c>
      <c r="K114" s="4" t="s">
        <v>81</v>
      </c>
      <c r="L114" s="24">
        <f>Tableau3[[#This Row],[LLS]]+Tableau3[[#This Row],[LLTS]]+Tableau3[[#This Row],[PLS]]+Tableau3[[#This Row],[REHAB]]</f>
        <v>25</v>
      </c>
      <c r="M114" s="23">
        <f>IFERROR(Tableau3[[#This Row],[LLS]]+Tableau3[[#This Row],[LLTS]]+Tableau3[[#This Row],[PLS]],"-")</f>
        <v>25</v>
      </c>
      <c r="N114" s="25"/>
      <c r="O114" s="4">
        <v>25</v>
      </c>
      <c r="P114" s="25"/>
      <c r="Q114" s="25"/>
      <c r="R114" s="32">
        <v>1070</v>
      </c>
      <c r="S114" s="27">
        <v>1526.25</v>
      </c>
      <c r="T114" s="56">
        <f>Tableau3[[#This Row],[SHAB y/c V]]/Tableau3[[#This Row],[N]]</f>
        <v>42.8</v>
      </c>
      <c r="U114" s="56">
        <f>Tableau3[[#This Row],[SF priorisée]]/Tableau3[[#This Row],[N]]</f>
        <v>61.05</v>
      </c>
      <c r="V114" s="57">
        <f>IFERROR(Tableau3[[#This Row],[SHAB y/c V]]/Tableau3[[#This Row],[SF priorisée]],"-")</f>
        <v>0.70106470106470109</v>
      </c>
      <c r="W114" s="56"/>
      <c r="X114" s="43" t="s">
        <v>390</v>
      </c>
      <c r="Y114" s="43" t="s">
        <v>392</v>
      </c>
      <c r="Z114" s="5"/>
      <c r="AA114" s="58">
        <f>IFERROR(Tableau3[[#This Row],[Prix Achat TTC]]/Tableau3[[#This Row],[SHAB y/c V]],"-")</f>
        <v>0</v>
      </c>
      <c r="AB114" s="58">
        <f>IFERROR(Tableau3[[#This Row],[Prix Achat TTC]]/Tableau3[[#This Row],[SF priorisée]],"-")</f>
        <v>0</v>
      </c>
      <c r="AC114" s="58">
        <f>IFERROR(Tableau3[[#This Row],[Prix Achat TTC]]/Tableau3[[#This Row],[N]],"-")</f>
        <v>0</v>
      </c>
      <c r="AD114" s="62"/>
      <c r="AE114" s="62"/>
      <c r="AF114" s="64"/>
      <c r="AG114" s="58">
        <f>IFERROR((DATEDIF(Tableau3[[#This Row],[Demande LBU]],Tableau3[[#This Row],[Arrêté LBU]],"d"))/30,0)</f>
        <v>0</v>
      </c>
      <c r="AH114" s="71"/>
      <c r="AI114" s="68"/>
      <c r="AJ114" s="73">
        <f>IFERROR((DATEDIF(Tableau3[[#This Row],[Dde édition prêt]],Tableau3[[#This Row],[Contrat de prêt]],"d"))/30,"-")</f>
        <v>0</v>
      </c>
      <c r="AK114" s="68">
        <f>EOMONTH(Tableau3[[#This Row],[Contrat de prêt]],0)+1</f>
        <v>32</v>
      </c>
      <c r="AL114" s="68"/>
      <c r="AM114" s="68"/>
      <c r="AN11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4" s="79"/>
      <c r="AP114" s="2" t="str">
        <f>IF(Tableau3[[#This Row],[Montant des loyers perçus avant 1e échéance]]&lt;Tableau3[[#This Row],[Montant échéance annuelle]],"oui","non")</f>
        <v>non</v>
      </c>
      <c r="AS114" s="79">
        <f>Tableau3[[#This Row],[Mois de loyers avant 1e échéance]]-Tableau3[[#This Row],[Montant échéance annuelle]]</f>
        <v>0</v>
      </c>
      <c r="AU114" s="86">
        <v>45703</v>
      </c>
      <c r="AV114" s="97"/>
      <c r="AW114" s="56">
        <f>IFERROR((DATEDIF(Tableau3[[#This Row],[Arrêté LBU]],Tableau3[[#This Row],[OS démarrage]],"d"))/30,0)</f>
        <v>1523.4333333333334</v>
      </c>
      <c r="AX114" s="107">
        <v>18</v>
      </c>
      <c r="AY114" s="112"/>
      <c r="AZ114" s="110"/>
      <c r="BA114" s="116">
        <f>DATE(YEAR(Tableau3[[#This Row],[OS démarrage]]),MONTH(Tableau3[[#This Row],[OS démarrage]])+Tableau3[[#This Row],[Délai chantier initial]],DAY(Tableau3[[#This Row],[OS démarrage]]))</f>
        <v>46249</v>
      </c>
      <c r="BB11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4" s="121">
        <f>(Tableau3[[#This Row],[Date réception entreprise recalée]]-Tableau3[[#This Row],[Date réception entreprise prévue initialement]])/30</f>
        <v>1.0333333333333334</v>
      </c>
      <c r="BD114" s="126"/>
      <c r="BE114" s="124"/>
      <c r="BF114" s="124"/>
      <c r="BG114" s="124"/>
      <c r="BH114" s="137">
        <f>IFERROR((Tableau3[[#This Row],[Date Livraison VEFA estimée avec retards constatés]]-Tableau3[[#This Row],[Date livraison contractuelle y/c avenant]])/30,"-")</f>
        <v>0</v>
      </c>
      <c r="BI114" s="138">
        <f>Tableau3[[#This Row],[Date Livraison VEFA estimée avec retards constatés]]-Tableau3[[#This Row],[Date livraison contractuelle y/c avenant]]</f>
        <v>0</v>
      </c>
      <c r="BJ11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5" spans="1:62" x14ac:dyDescent="0.3">
      <c r="A115" s="6" t="s">
        <v>329</v>
      </c>
      <c r="B115" s="4" t="s">
        <v>25</v>
      </c>
      <c r="C115" s="4" t="s">
        <v>21</v>
      </c>
      <c r="D115" s="4">
        <v>2024</v>
      </c>
      <c r="E115" s="4"/>
      <c r="F115" s="5"/>
      <c r="G115" s="5"/>
      <c r="H115" s="5"/>
      <c r="I115" s="6"/>
      <c r="J115" s="4" t="s">
        <v>321</v>
      </c>
      <c r="K115" s="4" t="s">
        <v>80</v>
      </c>
      <c r="L115" s="24">
        <f>Tableau3[[#This Row],[LLS]]+Tableau3[[#This Row],[LLTS]]+Tableau3[[#This Row],[PLS]]+Tableau3[[#This Row],[REHAB]]</f>
        <v>21</v>
      </c>
      <c r="M115" s="23">
        <f>IFERROR(Tableau3[[#This Row],[LLS]]+Tableau3[[#This Row],[LLTS]]+Tableau3[[#This Row],[PLS]],"-")</f>
        <v>21</v>
      </c>
      <c r="N115" s="4">
        <v>21</v>
      </c>
      <c r="O115" s="25"/>
      <c r="P115" s="25"/>
      <c r="Q115" s="25"/>
      <c r="R115" s="32">
        <v>1104</v>
      </c>
      <c r="S115" s="27">
        <v>1350.5</v>
      </c>
      <c r="T115" s="56">
        <f>Tableau3[[#This Row],[SHAB y/c V]]/Tableau3[[#This Row],[N]]</f>
        <v>52.571428571428569</v>
      </c>
      <c r="U115" s="56">
        <f>Tableau3[[#This Row],[SF priorisée]]/Tableau3[[#This Row],[N]]</f>
        <v>64.30952380952381</v>
      </c>
      <c r="V115" s="57">
        <f>IFERROR(Tableau3[[#This Row],[SHAB y/c V]]/Tableau3[[#This Row],[SF priorisée]],"-")</f>
        <v>0.81747500925583116</v>
      </c>
      <c r="W115" s="56"/>
      <c r="X115" s="43" t="s">
        <v>390</v>
      </c>
      <c r="Y115" s="43" t="s">
        <v>392</v>
      </c>
      <c r="Z115" s="51"/>
      <c r="AA115" s="58">
        <f>IFERROR(Tableau3[[#This Row],[Prix Achat TTC]]/Tableau3[[#This Row],[SHAB y/c V]],"-")</f>
        <v>0</v>
      </c>
      <c r="AB115" s="58">
        <f>IFERROR(Tableau3[[#This Row],[Prix Achat TTC]]/Tableau3[[#This Row],[SF priorisée]],"-")</f>
        <v>0</v>
      </c>
      <c r="AC115" s="58">
        <f>IFERROR(Tableau3[[#This Row],[Prix Achat TTC]]/Tableau3[[#This Row],[N]],"-")</f>
        <v>0</v>
      </c>
      <c r="AD115" s="62"/>
      <c r="AE115" s="62"/>
      <c r="AF115" s="64"/>
      <c r="AG115" s="58">
        <f>IFERROR((DATEDIF(Tableau3[[#This Row],[Demande LBU]],Tableau3[[#This Row],[Arrêté LBU]],"d"))/30,0)</f>
        <v>0</v>
      </c>
      <c r="AH115" s="71"/>
      <c r="AI115" s="68"/>
      <c r="AJ115" s="73">
        <f>IFERROR((DATEDIF(Tableau3[[#This Row],[Dde édition prêt]],Tableau3[[#This Row],[Contrat de prêt]],"d"))/30,"-")</f>
        <v>0</v>
      </c>
      <c r="AK115" s="68">
        <f>EOMONTH(Tableau3[[#This Row],[Contrat de prêt]],0)+1</f>
        <v>32</v>
      </c>
      <c r="AL115" s="68"/>
      <c r="AM115" s="68"/>
      <c r="AN11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5" s="79"/>
      <c r="AP115" s="2" t="str">
        <f>IF(Tableau3[[#This Row],[Montant des loyers perçus avant 1e échéance]]&lt;Tableau3[[#This Row],[Montant échéance annuelle]],"oui","non")</f>
        <v>non</v>
      </c>
      <c r="AS115" s="79">
        <f>Tableau3[[#This Row],[Mois de loyers avant 1e échéance]]-Tableau3[[#This Row],[Montant échéance annuelle]]</f>
        <v>0</v>
      </c>
      <c r="AU115" s="86">
        <v>45703</v>
      </c>
      <c r="AV115" s="97"/>
      <c r="AW115" s="56">
        <f>IFERROR((DATEDIF(Tableau3[[#This Row],[Arrêté LBU]],Tableau3[[#This Row],[OS démarrage]],"d"))/30,0)</f>
        <v>1523.4333333333334</v>
      </c>
      <c r="AX115" s="107">
        <v>18</v>
      </c>
      <c r="AY115" s="112"/>
      <c r="AZ115" s="110"/>
      <c r="BA115" s="116">
        <f>DATE(YEAR(Tableau3[[#This Row],[OS démarrage]]),MONTH(Tableau3[[#This Row],[OS démarrage]])+Tableau3[[#This Row],[Délai chantier initial]],DAY(Tableau3[[#This Row],[OS démarrage]]))</f>
        <v>46249</v>
      </c>
      <c r="BB11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5" s="121">
        <f>(Tableau3[[#This Row],[Date réception entreprise recalée]]-Tableau3[[#This Row],[Date réception entreprise prévue initialement]])/30</f>
        <v>1.0333333333333334</v>
      </c>
      <c r="BD115" s="126"/>
      <c r="BE115" s="124"/>
      <c r="BF115" s="124"/>
      <c r="BG115" s="124"/>
      <c r="BH115" s="137">
        <f>IFERROR((Tableau3[[#This Row],[Date Livraison VEFA estimée avec retards constatés]]-Tableau3[[#This Row],[Date livraison contractuelle y/c avenant]])/30,"-")</f>
        <v>0</v>
      </c>
      <c r="BI115" s="138">
        <f>Tableau3[[#This Row],[Date Livraison VEFA estimée avec retards constatés]]-Tableau3[[#This Row],[Date livraison contractuelle y/c avenant]]</f>
        <v>0</v>
      </c>
      <c r="BJ11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6" spans="1:62" x14ac:dyDescent="0.3">
      <c r="A116" s="11" t="s">
        <v>330</v>
      </c>
      <c r="B116" s="4" t="s">
        <v>55</v>
      </c>
      <c r="C116" s="4" t="s">
        <v>12</v>
      </c>
      <c r="D116" s="4">
        <v>2024</v>
      </c>
      <c r="E116" s="4"/>
      <c r="F116" s="4" t="s">
        <v>34</v>
      </c>
      <c r="G116" s="4"/>
      <c r="H116" s="4" t="s">
        <v>13</v>
      </c>
      <c r="I116" s="6" t="s">
        <v>14</v>
      </c>
      <c r="J116" s="21" t="s">
        <v>331</v>
      </c>
      <c r="K116" s="4" t="s">
        <v>82</v>
      </c>
      <c r="L116" s="24">
        <f>Tableau3[[#This Row],[LLS]]+Tableau3[[#This Row],[LLTS]]+Tableau3[[#This Row],[PLS]]+Tableau3[[#This Row],[REHAB]]</f>
        <v>35</v>
      </c>
      <c r="M116" s="23">
        <f>IFERROR(Tableau3[[#This Row],[LLS]]+Tableau3[[#This Row],[LLTS]]+Tableau3[[#This Row],[PLS]],"-")</f>
        <v>35</v>
      </c>
      <c r="N116" s="25"/>
      <c r="O116" s="25"/>
      <c r="P116" s="7">
        <v>35</v>
      </c>
      <c r="Q116" s="25"/>
      <c r="R116" s="37">
        <v>2635</v>
      </c>
      <c r="S116" s="27">
        <v>3096.5</v>
      </c>
      <c r="T116" s="56">
        <f>Tableau3[[#This Row],[SHAB y/c V]]/Tableau3[[#This Row],[N]]</f>
        <v>75.285714285714292</v>
      </c>
      <c r="U116" s="56">
        <f>Tableau3[[#This Row],[SF priorisée]]/Tableau3[[#This Row],[N]]</f>
        <v>88.471428571428575</v>
      </c>
      <c r="V116" s="57">
        <f>IFERROR(Tableau3[[#This Row],[SHAB y/c V]]/Tableau3[[#This Row],[SF priorisée]],"-")</f>
        <v>0.8509607621508154</v>
      </c>
      <c r="W116" s="56"/>
      <c r="X116" s="43" t="s">
        <v>390</v>
      </c>
      <c r="Y116" s="43" t="s">
        <v>392</v>
      </c>
      <c r="Z116" s="30"/>
      <c r="AA116" s="58">
        <f>IFERROR(Tableau3[[#This Row],[Prix Achat TTC]]/Tableau3[[#This Row],[SHAB y/c V]],"-")</f>
        <v>0</v>
      </c>
      <c r="AB116" s="58">
        <f>IFERROR(Tableau3[[#This Row],[Prix Achat TTC]]/Tableau3[[#This Row],[SF priorisée]],"-")</f>
        <v>0</v>
      </c>
      <c r="AC116" s="58">
        <f>IFERROR(Tableau3[[#This Row],[Prix Achat TTC]]/Tableau3[[#This Row],[N]],"-")</f>
        <v>0</v>
      </c>
      <c r="AD116" s="62"/>
      <c r="AE116" s="62"/>
      <c r="AF116" s="62"/>
      <c r="AG116" s="58">
        <f>IFERROR((DATEDIF(Tableau3[[#This Row],[Demande LBU]],Tableau3[[#This Row],[Arrêté LBU]],"d"))/30,0)</f>
        <v>0</v>
      </c>
      <c r="AH116" s="68"/>
      <c r="AI116" s="68"/>
      <c r="AJ116" s="73">
        <f>IFERROR((DATEDIF(Tableau3[[#This Row],[Dde édition prêt]],Tableau3[[#This Row],[Contrat de prêt]],"d"))/30,"-")</f>
        <v>0</v>
      </c>
      <c r="AK116" s="68">
        <f>EOMONTH(Tableau3[[#This Row],[Contrat de prêt]],0)+1</f>
        <v>32</v>
      </c>
      <c r="AL116" s="68"/>
      <c r="AM116" s="68"/>
      <c r="AN11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6" s="79"/>
      <c r="AP116" s="2" t="str">
        <f>IF(Tableau3[[#This Row],[Montant des loyers perçus avant 1e échéance]]&lt;Tableau3[[#This Row],[Montant échéance annuelle]],"oui","non")</f>
        <v>non</v>
      </c>
      <c r="AS116" s="79">
        <f>Tableau3[[#This Row],[Mois de loyers avant 1e échéance]]-Tableau3[[#This Row],[Montant échéance annuelle]]</f>
        <v>0</v>
      </c>
      <c r="AU116" s="86">
        <v>45703</v>
      </c>
      <c r="AV116" s="97"/>
      <c r="AW116" s="56">
        <f>IFERROR((DATEDIF(Tableau3[[#This Row],[Arrêté LBU]],Tableau3[[#This Row],[OS démarrage]],"d"))/30,0)</f>
        <v>1523.4333333333334</v>
      </c>
      <c r="AX116" s="107">
        <v>19</v>
      </c>
      <c r="AY116" s="112"/>
      <c r="AZ116" s="110"/>
      <c r="BA116" s="116">
        <f>DATE(YEAR(Tableau3[[#This Row],[OS démarrage]]),MONTH(Tableau3[[#This Row],[OS démarrage]])+Tableau3[[#This Row],[Délai chantier initial]],DAY(Tableau3[[#This Row],[OS démarrage]]))</f>
        <v>46280</v>
      </c>
      <c r="BB11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46310</v>
      </c>
      <c r="BC116" s="121">
        <f>(Tableau3[[#This Row],[Date réception entreprise recalée]]-Tableau3[[#This Row],[Date réception entreprise prévue initialement]])/30</f>
        <v>1</v>
      </c>
      <c r="BD116" s="126"/>
      <c r="BE116" s="124"/>
      <c r="BF116" s="124"/>
      <c r="BG116" s="124"/>
      <c r="BH116" s="137">
        <f>IFERROR((Tableau3[[#This Row],[Date Livraison VEFA estimée avec retards constatés]]-Tableau3[[#This Row],[Date livraison contractuelle y/c avenant]])/30,"-")</f>
        <v>0</v>
      </c>
      <c r="BI116" s="138">
        <f>Tableau3[[#This Row],[Date Livraison VEFA estimée avec retards constatés]]-Tableau3[[#This Row],[Date livraison contractuelle y/c avenant]]</f>
        <v>0</v>
      </c>
      <c r="BJ11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7" spans="1:62" x14ac:dyDescent="0.3">
      <c r="A117" s="4" t="s">
        <v>332</v>
      </c>
      <c r="B117" s="4" t="s">
        <v>25</v>
      </c>
      <c r="C117" s="4" t="s">
        <v>21</v>
      </c>
      <c r="D117" s="4">
        <v>2024</v>
      </c>
      <c r="E117" s="4" t="s">
        <v>333</v>
      </c>
      <c r="F117" s="4" t="s">
        <v>45</v>
      </c>
      <c r="G117" s="4"/>
      <c r="H117" s="4" t="s">
        <v>13</v>
      </c>
      <c r="I117" s="6" t="s">
        <v>56</v>
      </c>
      <c r="J117" s="4"/>
      <c r="K117" s="4" t="s">
        <v>80</v>
      </c>
      <c r="L117" s="24">
        <f>Tableau3[[#This Row],[LLS]]+Tableau3[[#This Row],[LLTS]]+Tableau3[[#This Row],[PLS]]+Tableau3[[#This Row],[REHAB]]</f>
        <v>22</v>
      </c>
      <c r="M117" s="23">
        <f>IFERROR(Tableau3[[#This Row],[LLS]]+Tableau3[[#This Row],[LLTS]]+Tableau3[[#This Row],[PLS]],"-")</f>
        <v>22</v>
      </c>
      <c r="N117" s="4">
        <v>22</v>
      </c>
      <c r="O117" s="25"/>
      <c r="P117" s="25"/>
      <c r="Q117" s="25"/>
      <c r="R117" s="26">
        <v>2317.79</v>
      </c>
      <c r="S117" s="27">
        <v>2595.59</v>
      </c>
      <c r="T117" s="56">
        <f>Tableau3[[#This Row],[SHAB y/c V]]/Tableau3[[#This Row],[N]]</f>
        <v>105.35409090909091</v>
      </c>
      <c r="U117" s="56">
        <f>Tableau3[[#This Row],[SF priorisée]]/Tableau3[[#This Row],[N]]</f>
        <v>117.98136363636364</v>
      </c>
      <c r="V117" s="57">
        <f>IFERROR(Tableau3[[#This Row],[SHAB y/c V]]/Tableau3[[#This Row],[SF priorisée]],"-")</f>
        <v>0.89297231072704075</v>
      </c>
      <c r="W117" s="56">
        <v>523.54</v>
      </c>
      <c r="X117" s="43" t="s">
        <v>390</v>
      </c>
      <c r="Y117" s="43" t="s">
        <v>392</v>
      </c>
      <c r="Z117" s="5"/>
      <c r="AA117" s="58">
        <f>IFERROR(Tableau3[[#This Row],[Prix Achat TTC]]/Tableau3[[#This Row],[SHAB y/c V]],"-")</f>
        <v>0</v>
      </c>
      <c r="AB117" s="58">
        <f>IFERROR(Tableau3[[#This Row],[Prix Achat TTC]]/Tableau3[[#This Row],[SF priorisée]],"-")</f>
        <v>0</v>
      </c>
      <c r="AC117" s="58">
        <f>IFERROR(Tableau3[[#This Row],[Prix Achat TTC]]/Tableau3[[#This Row],[N]],"-")</f>
        <v>0</v>
      </c>
      <c r="AD117" s="62">
        <v>43189</v>
      </c>
      <c r="AE117" s="62">
        <v>43334</v>
      </c>
      <c r="AF117" s="62"/>
      <c r="AG117" s="58">
        <f>IFERROR((DATEDIF(Tableau3[[#This Row],[Demande LBU]],Tableau3[[#This Row],[Arrêté LBU]],"d"))/30,0)</f>
        <v>4.833333333333333</v>
      </c>
      <c r="AH117" s="68"/>
      <c r="AI117" s="68"/>
      <c r="AJ117" s="73">
        <f>IFERROR((DATEDIF(Tableau3[[#This Row],[Dde édition prêt]],Tableau3[[#This Row],[Contrat de prêt]],"d"))/30,"-")</f>
        <v>0</v>
      </c>
      <c r="AK117" s="68">
        <f>EOMONTH(Tableau3[[#This Row],[Contrat de prêt]],0)+1</f>
        <v>32</v>
      </c>
      <c r="AL117" s="68"/>
      <c r="AM117" s="68"/>
      <c r="AN11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7" s="79"/>
      <c r="AP117" s="2" t="str">
        <f>IF(Tableau3[[#This Row],[Montant des loyers perçus avant 1e échéance]]&lt;Tableau3[[#This Row],[Montant échéance annuelle]],"oui","non")</f>
        <v>non</v>
      </c>
      <c r="AS117" s="79">
        <f>Tableau3[[#This Row],[Mois de loyers avant 1e échéance]]-Tableau3[[#This Row],[Montant échéance annuelle]]</f>
        <v>0</v>
      </c>
      <c r="AU117" s="86">
        <v>45703</v>
      </c>
      <c r="AV117" s="97"/>
      <c r="AW117" s="56">
        <f>IFERROR((DATEDIF(Tableau3[[#This Row],[Arrêté LBU]],Tableau3[[#This Row],[OS démarrage]],"d"))/30,0)</f>
        <v>78.966666666666669</v>
      </c>
      <c r="AX117" s="107">
        <v>18</v>
      </c>
      <c r="AY117" s="112"/>
      <c r="AZ117" s="110"/>
      <c r="BA117" s="116">
        <f>DATE(YEAR(Tableau3[[#This Row],[OS démarrage]]),MONTH(Tableau3[[#This Row],[OS démarrage]])+Tableau3[[#This Row],[Délai chantier initial]],DAY(Tableau3[[#This Row],[OS démarrage]]))</f>
        <v>46249</v>
      </c>
      <c r="BB11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7" s="121">
        <f>(Tableau3[[#This Row],[Date réception entreprise recalée]]-Tableau3[[#This Row],[Date réception entreprise prévue initialement]])/30</f>
        <v>1.0333333333333334</v>
      </c>
      <c r="BD117" s="126"/>
      <c r="BE117" s="124"/>
      <c r="BF117" s="124"/>
      <c r="BG117" s="124"/>
      <c r="BH117" s="137">
        <f>IFERROR((Tableau3[[#This Row],[Date Livraison VEFA estimée avec retards constatés]]-Tableau3[[#This Row],[Date livraison contractuelle y/c avenant]])/30,"-")</f>
        <v>0</v>
      </c>
      <c r="BI117" s="138">
        <f>Tableau3[[#This Row],[Date Livraison VEFA estimée avec retards constatés]]-Tableau3[[#This Row],[Date livraison contractuelle y/c avenant]]</f>
        <v>0</v>
      </c>
      <c r="BJ11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8" spans="1:62" x14ac:dyDescent="0.3">
      <c r="A118" s="4" t="s">
        <v>334</v>
      </c>
      <c r="B118" s="4" t="s">
        <v>25</v>
      </c>
      <c r="C118" s="4" t="s">
        <v>21</v>
      </c>
      <c r="D118" s="4">
        <v>2024</v>
      </c>
      <c r="E118" s="4" t="s">
        <v>335</v>
      </c>
      <c r="F118" s="4" t="s">
        <v>45</v>
      </c>
      <c r="G118" s="4"/>
      <c r="H118" s="4" t="s">
        <v>9</v>
      </c>
      <c r="I118" s="6" t="s">
        <v>56</v>
      </c>
      <c r="J118" s="4" t="s">
        <v>336</v>
      </c>
      <c r="K118" s="4" t="s">
        <v>81</v>
      </c>
      <c r="L118" s="24">
        <f>Tableau3[[#This Row],[LLS]]+Tableau3[[#This Row],[LLTS]]+Tableau3[[#This Row],[PLS]]+Tableau3[[#This Row],[REHAB]]</f>
        <v>30</v>
      </c>
      <c r="M118" s="23">
        <f>IFERROR(Tableau3[[#This Row],[LLS]]+Tableau3[[#This Row],[LLTS]]+Tableau3[[#This Row],[PLS]],"-")</f>
        <v>30</v>
      </c>
      <c r="N118" s="25"/>
      <c r="O118" s="4">
        <v>30</v>
      </c>
      <c r="P118" s="25"/>
      <c r="Q118" s="25"/>
      <c r="R118" s="26">
        <v>1932.4899999999998</v>
      </c>
      <c r="S118" s="27">
        <v>2240.2350000000001</v>
      </c>
      <c r="T118" s="56">
        <f>Tableau3[[#This Row],[SHAB y/c V]]/Tableau3[[#This Row],[N]]</f>
        <v>64.416333333333327</v>
      </c>
      <c r="U118" s="56">
        <f>Tableau3[[#This Row],[SF priorisée]]/Tableau3[[#This Row],[N]]</f>
        <v>74.674500000000009</v>
      </c>
      <c r="V118" s="57">
        <f>IFERROR(Tableau3[[#This Row],[SHAB y/c V]]/Tableau3[[#This Row],[SF priorisée]],"-")</f>
        <v>0.86262825105401875</v>
      </c>
      <c r="W118" s="56">
        <v>403.92</v>
      </c>
      <c r="X118" s="43" t="s">
        <v>390</v>
      </c>
      <c r="Y118" s="43" t="s">
        <v>392</v>
      </c>
      <c r="Z118" s="5"/>
      <c r="AA118" s="58">
        <f>IFERROR(Tableau3[[#This Row],[Prix Achat TTC]]/Tableau3[[#This Row],[SHAB y/c V]],"-")</f>
        <v>0</v>
      </c>
      <c r="AB118" s="58">
        <f>IFERROR(Tableau3[[#This Row],[Prix Achat TTC]]/Tableau3[[#This Row],[SF priorisée]],"-")</f>
        <v>0</v>
      </c>
      <c r="AC118" s="58">
        <f>IFERROR(Tableau3[[#This Row],[Prix Achat TTC]]/Tableau3[[#This Row],[N]],"-")</f>
        <v>0</v>
      </c>
      <c r="AD118" s="62">
        <v>43189</v>
      </c>
      <c r="AE118" s="62">
        <v>43287</v>
      </c>
      <c r="AF118" s="62"/>
      <c r="AG118" s="58">
        <f>IFERROR((DATEDIF(Tableau3[[#This Row],[Demande LBU]],Tableau3[[#This Row],[Arrêté LBU]],"d"))/30,0)</f>
        <v>3.2666666666666666</v>
      </c>
      <c r="AH118" s="70"/>
      <c r="AI118" s="70"/>
      <c r="AJ118" s="73">
        <f>IFERROR((DATEDIF(Tableau3[[#This Row],[Dde édition prêt]],Tableau3[[#This Row],[Contrat de prêt]],"d"))/30,"-")</f>
        <v>0</v>
      </c>
      <c r="AK118" s="70">
        <f>EOMONTH(Tableau3[[#This Row],[Contrat de prêt]],0)+1</f>
        <v>32</v>
      </c>
      <c r="AL118" s="70"/>
      <c r="AM118" s="68"/>
      <c r="AN11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8" s="79"/>
      <c r="AP118" s="2" t="str">
        <f>IF(Tableau3[[#This Row],[Montant des loyers perçus avant 1e échéance]]&lt;Tableau3[[#This Row],[Montant échéance annuelle]],"oui","non")</f>
        <v>non</v>
      </c>
      <c r="AS118" s="79">
        <f>Tableau3[[#This Row],[Mois de loyers avant 1e échéance]]-Tableau3[[#This Row],[Montant échéance annuelle]]</f>
        <v>0</v>
      </c>
      <c r="AU118" s="86">
        <v>45703</v>
      </c>
      <c r="AV118" s="97"/>
      <c r="AW118" s="56">
        <f>IFERROR((DATEDIF(Tableau3[[#This Row],[Arrêté LBU]],Tableau3[[#This Row],[OS démarrage]],"d"))/30,0)</f>
        <v>80.533333333333331</v>
      </c>
      <c r="AX118" s="107">
        <v>18</v>
      </c>
      <c r="AY118" s="112"/>
      <c r="AZ118" s="110"/>
      <c r="BA118" s="116">
        <f>DATE(YEAR(Tableau3[[#This Row],[OS démarrage]]),MONTH(Tableau3[[#This Row],[OS démarrage]])+Tableau3[[#This Row],[Délai chantier initial]],DAY(Tableau3[[#This Row],[OS démarrage]]))</f>
        <v>46249</v>
      </c>
      <c r="BB11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46280</v>
      </c>
      <c r="BC118" s="121">
        <f>(Tableau3[[#This Row],[Date réception entreprise recalée]]-Tableau3[[#This Row],[Date réception entreprise prévue initialement]])/30</f>
        <v>1.0333333333333334</v>
      </c>
      <c r="BD118" s="126"/>
      <c r="BE118" s="124"/>
      <c r="BF118" s="124"/>
      <c r="BG118" s="124"/>
      <c r="BH118" s="137">
        <f>IFERROR((Tableau3[[#This Row],[Date Livraison VEFA estimée avec retards constatés]]-Tableau3[[#This Row],[Date livraison contractuelle y/c avenant]])/30,"-")</f>
        <v>0</v>
      </c>
      <c r="BI118" s="138">
        <f>Tableau3[[#This Row],[Date Livraison VEFA estimée avec retards constatés]]-Tableau3[[#This Row],[Date livraison contractuelle y/c avenant]]</f>
        <v>0</v>
      </c>
      <c r="BJ11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19" spans="1:62" x14ac:dyDescent="0.3">
      <c r="A119" s="19" t="s">
        <v>337</v>
      </c>
      <c r="B119" s="4" t="s">
        <v>41</v>
      </c>
      <c r="C119" s="4" t="s">
        <v>12</v>
      </c>
      <c r="D119" s="4">
        <v>2025</v>
      </c>
      <c r="E119" s="4"/>
      <c r="F119" s="4"/>
      <c r="G119" s="4"/>
      <c r="H119" s="4"/>
      <c r="I119" s="6"/>
      <c r="J119" s="4"/>
      <c r="K119" s="4" t="s">
        <v>389</v>
      </c>
      <c r="L119" s="24">
        <f>Tableau3[[#This Row],[LLS]]+Tableau3[[#This Row],[LLTS]]+Tableau3[[#This Row],[PLS]]+Tableau3[[#This Row],[REHAB]]</f>
        <v>45</v>
      </c>
      <c r="M119" s="23">
        <f>IFERROR(Tableau3[[#This Row],[LLS]]+Tableau3[[#This Row],[LLTS]]+Tableau3[[#This Row],[PLS]],"-")</f>
        <v>0</v>
      </c>
      <c r="N119" s="25"/>
      <c r="O119" s="25"/>
      <c r="P119" s="25"/>
      <c r="Q119" s="4">
        <v>45</v>
      </c>
      <c r="R119" s="36"/>
      <c r="S119" s="31"/>
      <c r="T119" s="56">
        <f>Tableau3[[#This Row],[SHAB y/c V]]/Tableau3[[#This Row],[N]]</f>
        <v>0</v>
      </c>
      <c r="U119" s="56">
        <f>Tableau3[[#This Row],[SF priorisée]]/Tableau3[[#This Row],[N]]</f>
        <v>0</v>
      </c>
      <c r="V119" s="57" t="str">
        <f>IFERROR(Tableau3[[#This Row],[SHAB y/c V]]/Tableau3[[#This Row],[SF priorisée]],"-")</f>
        <v>-</v>
      </c>
      <c r="W119" s="56"/>
      <c r="X119" s="44"/>
      <c r="Y119" s="43"/>
      <c r="Z119" s="5"/>
      <c r="AA119" s="58" t="str">
        <f>IFERROR(Tableau3[[#This Row],[Prix Achat TTC]]/Tableau3[[#This Row],[SHAB y/c V]],"-")</f>
        <v>-</v>
      </c>
      <c r="AB119" s="58" t="str">
        <f>IFERROR(Tableau3[[#This Row],[Prix Achat TTC]]/Tableau3[[#This Row],[SF priorisée]],"-")</f>
        <v>-</v>
      </c>
      <c r="AC119" s="58">
        <f>IFERROR(Tableau3[[#This Row],[Prix Achat TTC]]/Tableau3[[#This Row],[N]],"-")</f>
        <v>0</v>
      </c>
      <c r="AD119" s="62"/>
      <c r="AE119" s="62"/>
      <c r="AF119" s="62"/>
      <c r="AG119" s="58">
        <f>IFERROR((DATEDIF(Tableau3[[#This Row],[Demande LBU]],Tableau3[[#This Row],[Arrêté LBU]],"d"))/30,0)</f>
        <v>0</v>
      </c>
      <c r="AH119" s="68"/>
      <c r="AI119" s="68"/>
      <c r="AJ119" s="73">
        <f>IFERROR((DATEDIF(Tableau3[[#This Row],[Dde édition prêt]],Tableau3[[#This Row],[Contrat de prêt]],"d"))/30,"-")</f>
        <v>0</v>
      </c>
      <c r="AK119" s="68">
        <f>EOMONTH(Tableau3[[#This Row],[Contrat de prêt]],0)+1</f>
        <v>32</v>
      </c>
      <c r="AL119" s="68"/>
      <c r="AM119" s="68"/>
      <c r="AN11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19" s="79"/>
      <c r="AP119" s="2" t="str">
        <f>IF(Tableau3[[#This Row],[Montant des loyers perçus avant 1e échéance]]&lt;Tableau3[[#This Row],[Montant échéance annuelle]],"oui","non")</f>
        <v>non</v>
      </c>
      <c r="AS119" s="79">
        <f>Tableau3[[#This Row],[Mois de loyers avant 1e échéance]]-Tableau3[[#This Row],[Montant échéance annuelle]]</f>
        <v>0</v>
      </c>
      <c r="AU119" s="86">
        <v>46349</v>
      </c>
      <c r="AV119" s="97"/>
      <c r="AW119" s="56">
        <f>IFERROR((DATEDIF(Tableau3[[#This Row],[Arrêté LBU]],Tableau3[[#This Row],[OS démarrage]],"d"))/30,0)</f>
        <v>1544.9666666666667</v>
      </c>
      <c r="AX119" s="107">
        <v>12</v>
      </c>
      <c r="AY119" s="112"/>
      <c r="AZ119" s="110"/>
      <c r="BA119" s="116">
        <f>DATE(YEAR(Tableau3[[#This Row],[OS démarrage]]),MONTH(Tableau3[[#This Row],[OS démarrage]])+Tableau3[[#This Row],[Délai chantier initial]],DAY(Tableau3[[#This Row],[OS démarrage]]))</f>
        <v>46714</v>
      </c>
      <c r="BB11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46744</v>
      </c>
      <c r="BC119" s="121">
        <f>(Tableau3[[#This Row],[Date réception entreprise recalée]]-Tableau3[[#This Row],[Date réception entreprise prévue initialement]])/30</f>
        <v>1</v>
      </c>
      <c r="BD119" s="126"/>
      <c r="BE119" s="124"/>
      <c r="BF119" s="124"/>
      <c r="BG119" s="124"/>
      <c r="BH119" s="137">
        <f>IFERROR((Tableau3[[#This Row],[Date Livraison VEFA estimée avec retards constatés]]-Tableau3[[#This Row],[Date livraison contractuelle y/c avenant]])/30,"-")</f>
        <v>0</v>
      </c>
      <c r="BI119" s="138">
        <f>Tableau3[[#This Row],[Date Livraison VEFA estimée avec retards constatés]]-Tableau3[[#This Row],[Date livraison contractuelle y/c avenant]]</f>
        <v>0</v>
      </c>
      <c r="BJ11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0" spans="1:62" x14ac:dyDescent="0.3">
      <c r="A120" s="14" t="s">
        <v>338</v>
      </c>
      <c r="B120" s="4" t="s">
        <v>41</v>
      </c>
      <c r="C120" s="4" t="s">
        <v>12</v>
      </c>
      <c r="D120" s="4">
        <v>2025</v>
      </c>
      <c r="E120" s="4"/>
      <c r="F120" s="4"/>
      <c r="G120" s="4"/>
      <c r="H120" s="4"/>
      <c r="I120" s="6"/>
      <c r="J120" s="4"/>
      <c r="K120" s="4" t="s">
        <v>389</v>
      </c>
      <c r="L120" s="24">
        <f>Tableau3[[#This Row],[LLS]]+Tableau3[[#This Row],[LLTS]]+Tableau3[[#This Row],[PLS]]+Tableau3[[#This Row],[REHAB]]</f>
        <v>12</v>
      </c>
      <c r="M120" s="23">
        <f>IFERROR(Tableau3[[#This Row],[LLS]]+Tableau3[[#This Row],[LLTS]]+Tableau3[[#This Row],[PLS]],"-")</f>
        <v>0</v>
      </c>
      <c r="N120" s="25"/>
      <c r="O120" s="25"/>
      <c r="P120" s="25"/>
      <c r="Q120" s="4">
        <v>12</v>
      </c>
      <c r="R120" s="36"/>
      <c r="S120" s="31"/>
      <c r="T120" s="56">
        <f>Tableau3[[#This Row],[SHAB y/c V]]/Tableau3[[#This Row],[N]]</f>
        <v>0</v>
      </c>
      <c r="U120" s="56">
        <f>Tableau3[[#This Row],[SF priorisée]]/Tableau3[[#This Row],[N]]</f>
        <v>0</v>
      </c>
      <c r="V120" s="57" t="str">
        <f>IFERROR(Tableau3[[#This Row],[SHAB y/c V]]/Tableau3[[#This Row],[SF priorisée]],"-")</f>
        <v>-</v>
      </c>
      <c r="W120" s="56"/>
      <c r="X120" s="44"/>
      <c r="Y120" s="43"/>
      <c r="Z120" s="5"/>
      <c r="AA120" s="58" t="str">
        <f>IFERROR(Tableau3[[#This Row],[Prix Achat TTC]]/Tableau3[[#This Row],[SHAB y/c V]],"-")</f>
        <v>-</v>
      </c>
      <c r="AB120" s="58" t="str">
        <f>IFERROR(Tableau3[[#This Row],[Prix Achat TTC]]/Tableau3[[#This Row],[SF priorisée]],"-")</f>
        <v>-</v>
      </c>
      <c r="AC120" s="58">
        <f>IFERROR(Tableau3[[#This Row],[Prix Achat TTC]]/Tableau3[[#This Row],[N]],"-")</f>
        <v>0</v>
      </c>
      <c r="AD120" s="62"/>
      <c r="AE120" s="62"/>
      <c r="AF120" s="62"/>
      <c r="AG120" s="58">
        <f>IFERROR((DATEDIF(Tableau3[[#This Row],[Demande LBU]],Tableau3[[#This Row],[Arrêté LBU]],"d"))/30,0)</f>
        <v>0</v>
      </c>
      <c r="AH120" s="68"/>
      <c r="AI120" s="68"/>
      <c r="AJ120" s="73">
        <f>IFERROR((DATEDIF(Tableau3[[#This Row],[Dde édition prêt]],Tableau3[[#This Row],[Contrat de prêt]],"d"))/30,"-")</f>
        <v>0</v>
      </c>
      <c r="AK120" s="68">
        <f>EOMONTH(Tableau3[[#This Row],[Contrat de prêt]],0)+1</f>
        <v>32</v>
      </c>
      <c r="AL120" s="68"/>
      <c r="AM120" s="68"/>
      <c r="AN12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0" s="79"/>
      <c r="AP120" s="2" t="str">
        <f>IF(Tableau3[[#This Row],[Montant des loyers perçus avant 1e échéance]]&lt;Tableau3[[#This Row],[Montant échéance annuelle]],"oui","non")</f>
        <v>non</v>
      </c>
      <c r="AS120" s="79">
        <f>Tableau3[[#This Row],[Mois de loyers avant 1e échéance]]-Tableau3[[#This Row],[Montant échéance annuelle]]</f>
        <v>0</v>
      </c>
      <c r="AU120" s="86">
        <v>46349</v>
      </c>
      <c r="AV120" s="97"/>
      <c r="AW120" s="56">
        <f>IFERROR((DATEDIF(Tableau3[[#This Row],[Arrêté LBU]],Tableau3[[#This Row],[OS démarrage]],"d"))/30,0)</f>
        <v>1544.9666666666667</v>
      </c>
      <c r="AX120" s="107">
        <v>12</v>
      </c>
      <c r="AY120" s="112"/>
      <c r="AZ120" s="110"/>
      <c r="BA120" s="116">
        <f>DATE(YEAR(Tableau3[[#This Row],[OS démarrage]]),MONTH(Tableau3[[#This Row],[OS démarrage]])+Tableau3[[#This Row],[Délai chantier initial]],DAY(Tableau3[[#This Row],[OS démarrage]]))</f>
        <v>46714</v>
      </c>
      <c r="BB12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46744</v>
      </c>
      <c r="BC120" s="121">
        <f>(Tableau3[[#This Row],[Date réception entreprise recalée]]-Tableau3[[#This Row],[Date réception entreprise prévue initialement]])/30</f>
        <v>1</v>
      </c>
      <c r="BD120" s="126"/>
      <c r="BE120" s="124"/>
      <c r="BF120" s="124"/>
      <c r="BG120" s="124"/>
      <c r="BH120" s="137">
        <f>IFERROR((Tableau3[[#This Row],[Date Livraison VEFA estimée avec retards constatés]]-Tableau3[[#This Row],[Date livraison contractuelle y/c avenant]])/30,"-")</f>
        <v>0</v>
      </c>
      <c r="BI120" s="138">
        <f>Tableau3[[#This Row],[Date Livraison VEFA estimée avec retards constatés]]-Tableau3[[#This Row],[Date livraison contractuelle y/c avenant]]</f>
        <v>0</v>
      </c>
      <c r="BJ120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1" spans="1:62" x14ac:dyDescent="0.3">
      <c r="A121" s="19" t="s">
        <v>339</v>
      </c>
      <c r="B121" s="4" t="s">
        <v>55</v>
      </c>
      <c r="C121" s="4" t="s">
        <v>12</v>
      </c>
      <c r="D121" s="4">
        <v>2025</v>
      </c>
      <c r="E121" s="4"/>
      <c r="F121" s="4"/>
      <c r="G121" s="4"/>
      <c r="H121" s="4"/>
      <c r="I121" s="6"/>
      <c r="J121" s="4"/>
      <c r="K121" s="4" t="s">
        <v>389</v>
      </c>
      <c r="L121" s="24">
        <f>Tableau3[[#This Row],[LLS]]+Tableau3[[#This Row],[LLTS]]+Tableau3[[#This Row],[PLS]]+Tableau3[[#This Row],[REHAB]]</f>
        <v>93</v>
      </c>
      <c r="M121" s="23">
        <f>IFERROR(Tableau3[[#This Row],[LLS]]+Tableau3[[#This Row],[LLTS]]+Tableau3[[#This Row],[PLS]],"-")</f>
        <v>0</v>
      </c>
      <c r="N121" s="25"/>
      <c r="O121" s="25"/>
      <c r="P121" s="25"/>
      <c r="Q121" s="4">
        <v>93</v>
      </c>
      <c r="R121" s="36"/>
      <c r="S121" s="31"/>
      <c r="T121" s="56">
        <f>Tableau3[[#This Row],[SHAB y/c V]]/Tableau3[[#This Row],[N]]</f>
        <v>0</v>
      </c>
      <c r="U121" s="56">
        <f>Tableau3[[#This Row],[SF priorisée]]/Tableau3[[#This Row],[N]]</f>
        <v>0</v>
      </c>
      <c r="V121" s="57" t="str">
        <f>IFERROR(Tableau3[[#This Row],[SHAB y/c V]]/Tableau3[[#This Row],[SF priorisée]],"-")</f>
        <v>-</v>
      </c>
      <c r="W121" s="56"/>
      <c r="X121" s="44"/>
      <c r="Y121" s="43"/>
      <c r="Z121" s="30"/>
      <c r="AA121" s="58" t="str">
        <f>IFERROR(Tableau3[[#This Row],[Prix Achat TTC]]/Tableau3[[#This Row],[SHAB y/c V]],"-")</f>
        <v>-</v>
      </c>
      <c r="AB121" s="58" t="str">
        <f>IFERROR(Tableau3[[#This Row],[Prix Achat TTC]]/Tableau3[[#This Row],[SF priorisée]],"-")</f>
        <v>-</v>
      </c>
      <c r="AC121" s="58">
        <f>IFERROR(Tableau3[[#This Row],[Prix Achat TTC]]/Tableau3[[#This Row],[N]],"-")</f>
        <v>0</v>
      </c>
      <c r="AD121" s="62"/>
      <c r="AE121" s="62"/>
      <c r="AF121" s="62"/>
      <c r="AG121" s="58">
        <f>IFERROR((DATEDIF(Tableau3[[#This Row],[Demande LBU]],Tableau3[[#This Row],[Arrêté LBU]],"d"))/30,0)</f>
        <v>0</v>
      </c>
      <c r="AH121" s="68"/>
      <c r="AI121" s="68"/>
      <c r="AJ121" s="73">
        <f>IFERROR((DATEDIF(Tableau3[[#This Row],[Dde édition prêt]],Tableau3[[#This Row],[Contrat de prêt]],"d"))/30,"-")</f>
        <v>0</v>
      </c>
      <c r="AK121" s="68">
        <f>EOMONTH(Tableau3[[#This Row],[Contrat de prêt]],0)+1</f>
        <v>32</v>
      </c>
      <c r="AL121" s="68"/>
      <c r="AM121" s="68"/>
      <c r="AN12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1" s="79"/>
      <c r="AP121" s="2" t="str">
        <f>IF(Tableau3[[#This Row],[Montant des loyers perçus avant 1e échéance]]&lt;Tableau3[[#This Row],[Montant échéance annuelle]],"oui","non")</f>
        <v>non</v>
      </c>
      <c r="AS121" s="79">
        <f>Tableau3[[#This Row],[Mois de loyers avant 1e échéance]]-Tableau3[[#This Row],[Montant échéance annuelle]]</f>
        <v>0</v>
      </c>
      <c r="AU121" s="86">
        <v>46349</v>
      </c>
      <c r="AV121" s="97"/>
      <c r="AW121" s="56">
        <f>IFERROR((DATEDIF(Tableau3[[#This Row],[Arrêté LBU]],Tableau3[[#This Row],[OS démarrage]],"d"))/30,0)</f>
        <v>1544.9666666666667</v>
      </c>
      <c r="AX121" s="107">
        <v>12</v>
      </c>
      <c r="AY121" s="112"/>
      <c r="AZ121" s="110"/>
      <c r="BA121" s="116">
        <f>DATE(YEAR(Tableau3[[#This Row],[OS démarrage]]),MONTH(Tableau3[[#This Row],[OS démarrage]])+Tableau3[[#This Row],[Délai chantier initial]],DAY(Tableau3[[#This Row],[OS démarrage]]))</f>
        <v>46714</v>
      </c>
      <c r="BB12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46744</v>
      </c>
      <c r="BC121" s="121">
        <f>(Tableau3[[#This Row],[Date réception entreprise recalée]]-Tableau3[[#This Row],[Date réception entreprise prévue initialement]])/30</f>
        <v>1</v>
      </c>
      <c r="BD121" s="126"/>
      <c r="BE121" s="124"/>
      <c r="BF121" s="124"/>
      <c r="BG121" s="124"/>
      <c r="BH121" s="137">
        <f>IFERROR((Tableau3[[#This Row],[Date Livraison VEFA estimée avec retards constatés]]-Tableau3[[#This Row],[Date livraison contractuelle y/c avenant]])/30,"-")</f>
        <v>0</v>
      </c>
      <c r="BI121" s="138">
        <f>Tableau3[[#This Row],[Date Livraison VEFA estimée avec retards constatés]]-Tableau3[[#This Row],[Date livraison contractuelle y/c avenant]]</f>
        <v>0</v>
      </c>
      <c r="BJ121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2" spans="1:62" x14ac:dyDescent="0.3">
      <c r="A122" s="19" t="s">
        <v>340</v>
      </c>
      <c r="B122" s="4" t="s">
        <v>11</v>
      </c>
      <c r="C122" s="4" t="s">
        <v>21</v>
      </c>
      <c r="D122" s="4">
        <v>2025</v>
      </c>
      <c r="E122" s="4"/>
      <c r="F122" s="4"/>
      <c r="G122" s="4"/>
      <c r="H122" s="4"/>
      <c r="I122" s="6"/>
      <c r="J122" s="4"/>
      <c r="K122" s="4" t="s">
        <v>389</v>
      </c>
      <c r="L122" s="24">
        <f>Tableau3[[#This Row],[LLS]]+Tableau3[[#This Row],[LLTS]]+Tableau3[[#This Row],[PLS]]+Tableau3[[#This Row],[REHAB]]</f>
        <v>29</v>
      </c>
      <c r="M122" s="23">
        <f>IFERROR(Tableau3[[#This Row],[LLS]]+Tableau3[[#This Row],[LLTS]]+Tableau3[[#This Row],[PLS]],"-")</f>
        <v>0</v>
      </c>
      <c r="N122" s="25"/>
      <c r="O122" s="25"/>
      <c r="P122" s="25"/>
      <c r="Q122" s="4">
        <v>29</v>
      </c>
      <c r="R122" s="36"/>
      <c r="S122" s="31"/>
      <c r="T122" s="56">
        <f>Tableau3[[#This Row],[SHAB y/c V]]/Tableau3[[#This Row],[N]]</f>
        <v>0</v>
      </c>
      <c r="U122" s="56">
        <f>Tableau3[[#This Row],[SF priorisée]]/Tableau3[[#This Row],[N]]</f>
        <v>0</v>
      </c>
      <c r="V122" s="57" t="str">
        <f>IFERROR(Tableau3[[#This Row],[SHAB y/c V]]/Tableau3[[#This Row],[SF priorisée]],"-")</f>
        <v>-</v>
      </c>
      <c r="W122" s="56"/>
      <c r="X122" s="44"/>
      <c r="Y122" s="43"/>
      <c r="Z122" s="30"/>
      <c r="AA122" s="58" t="str">
        <f>IFERROR(Tableau3[[#This Row],[Prix Achat TTC]]/Tableau3[[#This Row],[SHAB y/c V]],"-")</f>
        <v>-</v>
      </c>
      <c r="AB122" s="58" t="str">
        <f>IFERROR(Tableau3[[#This Row],[Prix Achat TTC]]/Tableau3[[#This Row],[SF priorisée]],"-")</f>
        <v>-</v>
      </c>
      <c r="AC122" s="58">
        <f>IFERROR(Tableau3[[#This Row],[Prix Achat TTC]]/Tableau3[[#This Row],[N]],"-")</f>
        <v>0</v>
      </c>
      <c r="AD122" s="62"/>
      <c r="AE122" s="62"/>
      <c r="AF122" s="62"/>
      <c r="AG122" s="58">
        <f>IFERROR((DATEDIF(Tableau3[[#This Row],[Demande LBU]],Tableau3[[#This Row],[Arrêté LBU]],"d"))/30,0)</f>
        <v>0</v>
      </c>
      <c r="AH122" s="68"/>
      <c r="AI122" s="68"/>
      <c r="AJ122" s="73">
        <f>IFERROR((DATEDIF(Tableau3[[#This Row],[Dde édition prêt]],Tableau3[[#This Row],[Contrat de prêt]],"d"))/30,"-")</f>
        <v>0</v>
      </c>
      <c r="AK122" s="68">
        <f>EOMONTH(Tableau3[[#This Row],[Contrat de prêt]],0)+1</f>
        <v>32</v>
      </c>
      <c r="AL122" s="68"/>
      <c r="AM122" s="68"/>
      <c r="AN12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2" s="79"/>
      <c r="AP122" s="2" t="str">
        <f>IF(Tableau3[[#This Row],[Montant des loyers perçus avant 1e échéance]]&lt;Tableau3[[#This Row],[Montant échéance annuelle]],"oui","non")</f>
        <v>non</v>
      </c>
      <c r="AS122" s="79">
        <f>Tableau3[[#This Row],[Mois de loyers avant 1e échéance]]-Tableau3[[#This Row],[Montant échéance annuelle]]</f>
        <v>0</v>
      </c>
      <c r="AU122" s="86">
        <v>46349</v>
      </c>
      <c r="AV122" s="97"/>
      <c r="AW122" s="56">
        <f>IFERROR((DATEDIF(Tableau3[[#This Row],[Arrêté LBU]],Tableau3[[#This Row],[OS démarrage]],"d"))/30,0)</f>
        <v>1544.9666666666667</v>
      </c>
      <c r="AX122" s="107">
        <v>12</v>
      </c>
      <c r="AY122" s="112"/>
      <c r="AZ122" s="110"/>
      <c r="BA122" s="116">
        <f>DATE(YEAR(Tableau3[[#This Row],[OS démarrage]]),MONTH(Tableau3[[#This Row],[OS démarrage]])+Tableau3[[#This Row],[Délai chantier initial]],DAY(Tableau3[[#This Row],[OS démarrage]]))</f>
        <v>46714</v>
      </c>
      <c r="BB12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46744</v>
      </c>
      <c r="BC122" s="121">
        <f>(Tableau3[[#This Row],[Date réception entreprise recalée]]-Tableau3[[#This Row],[Date réception entreprise prévue initialement]])/30</f>
        <v>1</v>
      </c>
      <c r="BD122" s="126"/>
      <c r="BE122" s="124"/>
      <c r="BF122" s="124"/>
      <c r="BG122" s="124"/>
      <c r="BH122" s="137">
        <f>IFERROR((Tableau3[[#This Row],[Date Livraison VEFA estimée avec retards constatés]]-Tableau3[[#This Row],[Date livraison contractuelle y/c avenant]])/30,"-")</f>
        <v>0</v>
      </c>
      <c r="BI122" s="138">
        <f>Tableau3[[#This Row],[Date Livraison VEFA estimée avec retards constatés]]-Tableau3[[#This Row],[Date livraison contractuelle y/c avenant]]</f>
        <v>0</v>
      </c>
      <c r="BJ122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3" spans="1:62" x14ac:dyDescent="0.3">
      <c r="A123" s="19" t="s">
        <v>341</v>
      </c>
      <c r="B123" s="4" t="s">
        <v>41</v>
      </c>
      <c r="C123" s="4" t="s">
        <v>12</v>
      </c>
      <c r="D123" s="4">
        <v>2025</v>
      </c>
      <c r="E123" s="4"/>
      <c r="F123" s="4"/>
      <c r="G123" s="4"/>
      <c r="H123" s="4"/>
      <c r="I123" s="6"/>
      <c r="J123" s="4"/>
      <c r="K123" s="4" t="s">
        <v>389</v>
      </c>
      <c r="L123" s="24">
        <f>Tableau3[[#This Row],[LLS]]+Tableau3[[#This Row],[LLTS]]+Tableau3[[#This Row],[PLS]]+Tableau3[[#This Row],[REHAB]]</f>
        <v>32</v>
      </c>
      <c r="M123" s="23">
        <f>IFERROR(Tableau3[[#This Row],[LLS]]+Tableau3[[#This Row],[LLTS]]+Tableau3[[#This Row],[PLS]],"-")</f>
        <v>0</v>
      </c>
      <c r="N123" s="25"/>
      <c r="O123" s="25"/>
      <c r="P123" s="25"/>
      <c r="Q123" s="4">
        <v>32</v>
      </c>
      <c r="R123" s="36"/>
      <c r="S123" s="31"/>
      <c r="T123" s="56">
        <f>Tableau3[[#This Row],[SHAB y/c V]]/Tableau3[[#This Row],[N]]</f>
        <v>0</v>
      </c>
      <c r="U123" s="56">
        <f>Tableau3[[#This Row],[SF priorisée]]/Tableau3[[#This Row],[N]]</f>
        <v>0</v>
      </c>
      <c r="V123" s="57" t="str">
        <f>IFERROR(Tableau3[[#This Row],[SHAB y/c V]]/Tableau3[[#This Row],[SF priorisée]],"-")</f>
        <v>-</v>
      </c>
      <c r="W123" s="56"/>
      <c r="X123" s="44"/>
      <c r="Y123" s="45"/>
      <c r="Z123" s="30"/>
      <c r="AA123" s="58" t="str">
        <f>IFERROR(Tableau3[[#This Row],[Prix Achat TTC]]/Tableau3[[#This Row],[SHAB y/c V]],"-")</f>
        <v>-</v>
      </c>
      <c r="AB123" s="58" t="str">
        <f>IFERROR(Tableau3[[#This Row],[Prix Achat TTC]]/Tableau3[[#This Row],[SF priorisée]],"-")</f>
        <v>-</v>
      </c>
      <c r="AC123" s="58">
        <f>IFERROR(Tableau3[[#This Row],[Prix Achat TTC]]/Tableau3[[#This Row],[N]],"-")</f>
        <v>0</v>
      </c>
      <c r="AD123" s="62"/>
      <c r="AE123" s="62"/>
      <c r="AF123" s="62"/>
      <c r="AG123" s="58">
        <f>IFERROR((DATEDIF(Tableau3[[#This Row],[Demande LBU]],Tableau3[[#This Row],[Arrêté LBU]],"d"))/30,0)</f>
        <v>0</v>
      </c>
      <c r="AH123" s="68"/>
      <c r="AI123" s="68"/>
      <c r="AJ123" s="73">
        <f>IFERROR((DATEDIF(Tableau3[[#This Row],[Dde édition prêt]],Tableau3[[#This Row],[Contrat de prêt]],"d"))/30,"-")</f>
        <v>0</v>
      </c>
      <c r="AK123" s="68">
        <f>EOMONTH(Tableau3[[#This Row],[Contrat de prêt]],0)+1</f>
        <v>32</v>
      </c>
      <c r="AL123" s="68"/>
      <c r="AM123" s="68"/>
      <c r="AN12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3" s="79"/>
      <c r="AP123" s="2" t="str">
        <f>IF(Tableau3[[#This Row],[Montant des loyers perçus avant 1e échéance]]&lt;Tableau3[[#This Row],[Montant échéance annuelle]],"oui","non")</f>
        <v>non</v>
      </c>
      <c r="AS123" s="79">
        <f>Tableau3[[#This Row],[Mois de loyers avant 1e échéance]]-Tableau3[[#This Row],[Montant échéance annuelle]]</f>
        <v>0</v>
      </c>
      <c r="AU123" s="86">
        <v>46349</v>
      </c>
      <c r="AV123" s="97"/>
      <c r="AW123" s="56">
        <f>IFERROR((DATEDIF(Tableau3[[#This Row],[Arrêté LBU]],Tableau3[[#This Row],[OS démarrage]],"d"))/30,0)</f>
        <v>1544.9666666666667</v>
      </c>
      <c r="AX123" s="107">
        <v>12</v>
      </c>
      <c r="AY123" s="112"/>
      <c r="AZ123" s="110"/>
      <c r="BA123" s="116">
        <f>DATE(YEAR(Tableau3[[#This Row],[OS démarrage]]),MONTH(Tableau3[[#This Row],[OS démarrage]])+Tableau3[[#This Row],[Délai chantier initial]],DAY(Tableau3[[#This Row],[OS démarrage]]))</f>
        <v>46714</v>
      </c>
      <c r="BB12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46744</v>
      </c>
      <c r="BC123" s="121">
        <f>(Tableau3[[#This Row],[Date réception entreprise recalée]]-Tableau3[[#This Row],[Date réception entreprise prévue initialement]])/30</f>
        <v>1</v>
      </c>
      <c r="BD123" s="126"/>
      <c r="BE123" s="124"/>
      <c r="BF123" s="124"/>
      <c r="BG123" s="124"/>
      <c r="BH123" s="137">
        <f>IFERROR((Tableau3[[#This Row],[Date Livraison VEFA estimée avec retards constatés]]-Tableau3[[#This Row],[Date livraison contractuelle y/c avenant]])/30,"-")</f>
        <v>0</v>
      </c>
      <c r="BI123" s="138">
        <f>Tableau3[[#This Row],[Date Livraison VEFA estimée avec retards constatés]]-Tableau3[[#This Row],[Date livraison contractuelle y/c avenant]]</f>
        <v>0</v>
      </c>
      <c r="BJ12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4" spans="1:62" x14ac:dyDescent="0.3">
      <c r="A124" s="8" t="s">
        <v>342</v>
      </c>
      <c r="B124" s="4" t="s">
        <v>55</v>
      </c>
      <c r="C124" s="4" t="s">
        <v>12</v>
      </c>
      <c r="D124" s="4">
        <v>2025</v>
      </c>
      <c r="E124" s="4"/>
      <c r="F124" s="4"/>
      <c r="G124" s="4"/>
      <c r="H124" s="4"/>
      <c r="I124" s="6" t="s">
        <v>14</v>
      </c>
      <c r="J124" s="4" t="s">
        <v>343</v>
      </c>
      <c r="K124" s="4" t="s">
        <v>81</v>
      </c>
      <c r="L124" s="24">
        <f>Tableau3[[#This Row],[LLS]]+Tableau3[[#This Row],[LLTS]]+Tableau3[[#This Row],[PLS]]+Tableau3[[#This Row],[REHAB]]</f>
        <v>40</v>
      </c>
      <c r="M124" s="23">
        <f>IFERROR(Tableau3[[#This Row],[LLS]]+Tableau3[[#This Row],[LLTS]]+Tableau3[[#This Row],[PLS]],"-")</f>
        <v>40</v>
      </c>
      <c r="N124" s="25"/>
      <c r="O124" s="38">
        <v>40</v>
      </c>
      <c r="P124" s="25"/>
      <c r="Q124" s="25"/>
      <c r="R124" s="32"/>
      <c r="S124" s="27"/>
      <c r="T124" s="56">
        <f>Tableau3[[#This Row],[SHAB y/c V]]/Tableau3[[#This Row],[N]]</f>
        <v>0</v>
      </c>
      <c r="U124" s="56">
        <f>Tableau3[[#This Row],[SF priorisée]]/Tableau3[[#This Row],[N]]</f>
        <v>0</v>
      </c>
      <c r="V124" s="57" t="str">
        <f>IFERROR(Tableau3[[#This Row],[SHAB y/c V]]/Tableau3[[#This Row],[SF priorisée]],"-")</f>
        <v>-</v>
      </c>
      <c r="W124" s="56"/>
      <c r="X124" s="43" t="s">
        <v>390</v>
      </c>
      <c r="Y124" s="43" t="s">
        <v>392</v>
      </c>
      <c r="Z124" s="5"/>
      <c r="AA124" s="58" t="str">
        <f>IFERROR(Tableau3[[#This Row],[Prix Achat TTC]]/Tableau3[[#This Row],[SHAB y/c V]],"-")</f>
        <v>-</v>
      </c>
      <c r="AB124" s="58" t="str">
        <f>IFERROR(Tableau3[[#This Row],[Prix Achat TTC]]/Tableau3[[#This Row],[SF priorisée]],"-")</f>
        <v>-</v>
      </c>
      <c r="AC124" s="58">
        <f>IFERROR(Tableau3[[#This Row],[Prix Achat TTC]]/Tableau3[[#This Row],[N]],"-")</f>
        <v>0</v>
      </c>
      <c r="AD124" s="62"/>
      <c r="AE124" s="62"/>
      <c r="AF124" s="62"/>
      <c r="AG124" s="58">
        <f>IFERROR((DATEDIF(Tableau3[[#This Row],[Demande LBU]],Tableau3[[#This Row],[Arrêté LBU]],"d"))/30,0)</f>
        <v>0</v>
      </c>
      <c r="AH124" s="68"/>
      <c r="AI124" s="68"/>
      <c r="AJ124" s="73">
        <f>IFERROR((DATEDIF(Tableau3[[#This Row],[Dde édition prêt]],Tableau3[[#This Row],[Contrat de prêt]],"d"))/30,"-")</f>
        <v>0</v>
      </c>
      <c r="AK124" s="68">
        <f>EOMONTH(Tableau3[[#This Row],[Contrat de prêt]],0)+1</f>
        <v>32</v>
      </c>
      <c r="AL124" s="68"/>
      <c r="AM124" s="68"/>
      <c r="AN12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4" s="79"/>
      <c r="AP124" s="2" t="str">
        <f>IF(Tableau3[[#This Row],[Montant des loyers perçus avant 1e échéance]]&lt;Tableau3[[#This Row],[Montant échéance annuelle]],"oui","non")</f>
        <v>non</v>
      </c>
      <c r="AS124" s="79">
        <f>Tableau3[[#This Row],[Mois de loyers avant 1e échéance]]-Tableau3[[#This Row],[Montant échéance annuelle]]</f>
        <v>0</v>
      </c>
      <c r="AU124" s="86">
        <v>45703</v>
      </c>
      <c r="AV124" s="97"/>
      <c r="AW124" s="56">
        <f>IFERROR((DATEDIF(Tableau3[[#This Row],[Arrêté LBU]],Tableau3[[#This Row],[OS démarrage]],"d"))/30,0)</f>
        <v>1523.4333333333334</v>
      </c>
      <c r="AX124" s="107">
        <v>34</v>
      </c>
      <c r="AY124" s="112"/>
      <c r="AZ124" s="84"/>
      <c r="BA124" s="116">
        <f>DATE(YEAR(Tableau3[[#This Row],[OS démarrage]]),MONTH(Tableau3[[#This Row],[OS démarrage]])+Tableau3[[#This Row],[Délai chantier initial]],DAY(Tableau3[[#This Row],[OS démarrage]]))</f>
        <v>46736</v>
      </c>
      <c r="BB12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46767</v>
      </c>
      <c r="BC124" s="121">
        <f>(Tableau3[[#This Row],[Date réception entreprise recalée]]-Tableau3[[#This Row],[Date réception entreprise prévue initialement]])/30</f>
        <v>1.0333333333333334</v>
      </c>
      <c r="BD124" s="126"/>
      <c r="BE124" s="124"/>
      <c r="BF124" s="124"/>
      <c r="BG124" s="124"/>
      <c r="BH124" s="137">
        <f>IFERROR((Tableau3[[#This Row],[Date Livraison VEFA estimée avec retards constatés]]-Tableau3[[#This Row],[Date livraison contractuelle y/c avenant]])/30,"-")</f>
        <v>0</v>
      </c>
      <c r="BI124" s="138">
        <f>Tableau3[[#This Row],[Date Livraison VEFA estimée avec retards constatés]]-Tableau3[[#This Row],[Date livraison contractuelle y/c avenant]]</f>
        <v>0</v>
      </c>
      <c r="BJ12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25" spans="1:62" x14ac:dyDescent="0.3">
      <c r="A125" s="20" t="s">
        <v>344</v>
      </c>
      <c r="B125" s="4" t="s">
        <v>55</v>
      </c>
      <c r="C125" s="4" t="s">
        <v>12</v>
      </c>
      <c r="D125" s="4">
        <v>2025</v>
      </c>
      <c r="E125" s="4"/>
      <c r="F125" s="4"/>
      <c r="G125" s="4"/>
      <c r="H125" s="4" t="s">
        <v>9</v>
      </c>
      <c r="I125" s="6" t="s">
        <v>56</v>
      </c>
      <c r="J125" s="4" t="s">
        <v>345</v>
      </c>
      <c r="K125" s="4" t="s">
        <v>80</v>
      </c>
      <c r="L125" s="24">
        <f>Tableau3[[#This Row],[LLS]]+Tableau3[[#This Row],[LLTS]]+Tableau3[[#This Row],[PLS]]+Tableau3[[#This Row],[REHAB]]</f>
        <v>32</v>
      </c>
      <c r="M125" s="23">
        <f>IFERROR(Tableau3[[#This Row],[LLS]]+Tableau3[[#This Row],[LLTS]]+Tableau3[[#This Row],[PLS]],"-")</f>
        <v>32</v>
      </c>
      <c r="N125" s="4">
        <v>32</v>
      </c>
      <c r="O125" s="25"/>
      <c r="P125" s="25"/>
      <c r="Q125" s="25"/>
      <c r="R125" s="32">
        <v>2160</v>
      </c>
      <c r="S125" s="27">
        <v>2560</v>
      </c>
      <c r="T125" s="56">
        <f>Tableau3[[#This Row],[SHAB y/c V]]/Tableau3[[#This Row],[N]]</f>
        <v>67.5</v>
      </c>
      <c r="U125" s="56">
        <f>Tableau3[[#This Row],[SF priorisée]]/Tableau3[[#This Row],[N]]</f>
        <v>80</v>
      </c>
      <c r="V125" s="57">
        <f>IFERROR(Tableau3[[#This Row],[SHAB y/c V]]/Tableau3[[#This Row],[SF priorisée]],"-")</f>
        <v>0.84375</v>
      </c>
      <c r="W125" s="56"/>
      <c r="X125" s="43" t="s">
        <v>390</v>
      </c>
      <c r="Y125" s="43" t="s">
        <v>392</v>
      </c>
      <c r="Z125" s="52"/>
      <c r="AA125" s="58">
        <f>IFERROR(Tableau3[[#This Row],[Prix Achat TTC]]/Tableau3[[#This Row],[SHAB y/c V]],"-")</f>
        <v>0</v>
      </c>
      <c r="AB125" s="58">
        <f>IFERROR(Tableau3[[#This Row],[Prix Achat TTC]]/Tableau3[[#This Row],[SF priorisée]],"-")</f>
        <v>0</v>
      </c>
      <c r="AC125" s="58">
        <f>IFERROR(Tableau3[[#This Row],[Prix Achat TTC]]/Tableau3[[#This Row],[N]],"-")</f>
        <v>0</v>
      </c>
      <c r="AD125" s="62"/>
      <c r="AE125" s="62"/>
      <c r="AF125" s="62"/>
      <c r="AG125" s="58">
        <f>IFERROR((DATEDIF(Tableau3[[#This Row],[Demande LBU]],Tableau3[[#This Row],[Arrêté LBU]],"d"))/30,0)</f>
        <v>0</v>
      </c>
      <c r="AH125" s="68"/>
      <c r="AI125" s="68"/>
      <c r="AJ125" s="73">
        <f>IFERROR((DATEDIF(Tableau3[[#This Row],[Dde édition prêt]],Tableau3[[#This Row],[Contrat de prêt]],"d"))/30,"-")</f>
        <v>0</v>
      </c>
      <c r="AK125" s="68">
        <f>EOMONTH(Tableau3[[#This Row],[Contrat de prêt]],0)+1</f>
        <v>32</v>
      </c>
      <c r="AL125" s="68"/>
      <c r="AM125" s="68"/>
      <c r="AN12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5" s="79"/>
      <c r="AP125" s="2" t="str">
        <f>IF(Tableau3[[#This Row],[Montant des loyers perçus avant 1e échéance]]&lt;Tableau3[[#This Row],[Montant échéance annuelle]],"oui","non")</f>
        <v>non</v>
      </c>
      <c r="AS125" s="79">
        <f>Tableau3[[#This Row],[Mois de loyers avant 1e échéance]]-Tableau3[[#This Row],[Montant échéance annuelle]]</f>
        <v>0</v>
      </c>
      <c r="AU125" s="86">
        <v>45988</v>
      </c>
      <c r="AV125" s="97"/>
      <c r="AW125" s="56">
        <f>IFERROR((DATEDIF(Tableau3[[#This Row],[Arrêté LBU]],Tableau3[[#This Row],[OS démarrage]],"d"))/30,0)</f>
        <v>1532.9333333333334</v>
      </c>
      <c r="AX125" s="107">
        <v>26</v>
      </c>
      <c r="AY125" s="112"/>
      <c r="AZ125" s="110"/>
      <c r="BA125" s="116">
        <f>DATE(YEAR(Tableau3[[#This Row],[OS démarrage]]),MONTH(Tableau3[[#This Row],[OS démarrage]])+Tableau3[[#This Row],[Délai chantier initial]],DAY(Tableau3[[#This Row],[OS démarrage]]))</f>
        <v>46779</v>
      </c>
      <c r="BB12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46810</v>
      </c>
      <c r="BC125" s="121">
        <f>(Tableau3[[#This Row],[Date réception entreprise recalée]]-Tableau3[[#This Row],[Date réception entreprise prévue initialement]])/30</f>
        <v>1.0333333333333334</v>
      </c>
      <c r="BD125" s="126"/>
      <c r="BE125" s="124"/>
      <c r="BF125" s="124"/>
      <c r="BG125" s="124"/>
      <c r="BH125" s="137">
        <f>IFERROR((Tableau3[[#This Row],[Date Livraison VEFA estimée avec retards constatés]]-Tableau3[[#This Row],[Date livraison contractuelle y/c avenant]])/30,"-")</f>
        <v>0</v>
      </c>
      <c r="BI125" s="138">
        <f>Tableau3[[#This Row],[Date Livraison VEFA estimée avec retards constatés]]-Tableau3[[#This Row],[Date livraison contractuelle y/c avenant]]</f>
        <v>0</v>
      </c>
      <c r="BJ12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26" spans="1:62" x14ac:dyDescent="0.3">
      <c r="A126" s="20" t="s">
        <v>346</v>
      </c>
      <c r="B126" s="4" t="s">
        <v>55</v>
      </c>
      <c r="C126" s="4" t="s">
        <v>12</v>
      </c>
      <c r="D126" s="4">
        <v>2025</v>
      </c>
      <c r="E126" s="4"/>
      <c r="F126" s="5"/>
      <c r="G126" s="5"/>
      <c r="H126" s="5"/>
      <c r="I126" s="17"/>
      <c r="J126" s="4"/>
      <c r="K126" s="4" t="s">
        <v>81</v>
      </c>
      <c r="L126" s="24">
        <f>Tableau3[[#This Row],[LLS]]+Tableau3[[#This Row],[LLTS]]+Tableau3[[#This Row],[PLS]]+Tableau3[[#This Row],[REHAB]]</f>
        <v>18</v>
      </c>
      <c r="M126" s="23">
        <f>IFERROR(Tableau3[[#This Row],[LLS]]+Tableau3[[#This Row],[LLTS]]+Tableau3[[#This Row],[PLS]],"-")</f>
        <v>18</v>
      </c>
      <c r="N126" s="25"/>
      <c r="O126" s="4">
        <v>18</v>
      </c>
      <c r="P126" s="25"/>
      <c r="Q126" s="25"/>
      <c r="R126" s="32">
        <v>912</v>
      </c>
      <c r="S126" s="27">
        <v>1137</v>
      </c>
      <c r="T126" s="56">
        <f>Tableau3[[#This Row],[SHAB y/c V]]/Tableau3[[#This Row],[N]]</f>
        <v>50.666666666666664</v>
      </c>
      <c r="U126" s="56">
        <f>Tableau3[[#This Row],[SF priorisée]]/Tableau3[[#This Row],[N]]</f>
        <v>63.166666666666664</v>
      </c>
      <c r="V126" s="57">
        <f>IFERROR(Tableau3[[#This Row],[SHAB y/c V]]/Tableau3[[#This Row],[SF priorisée]],"-")</f>
        <v>0.80211081794195249</v>
      </c>
      <c r="W126" s="56"/>
      <c r="X126" s="43" t="s">
        <v>390</v>
      </c>
      <c r="Y126" s="43" t="s">
        <v>392</v>
      </c>
      <c r="Z126" s="52"/>
      <c r="AA126" s="58">
        <f>IFERROR(Tableau3[[#This Row],[Prix Achat TTC]]/Tableau3[[#This Row],[SHAB y/c V]],"-")</f>
        <v>0</v>
      </c>
      <c r="AB126" s="58">
        <f>IFERROR(Tableau3[[#This Row],[Prix Achat TTC]]/Tableau3[[#This Row],[SF priorisée]],"-")</f>
        <v>0</v>
      </c>
      <c r="AC126" s="58">
        <f>IFERROR(Tableau3[[#This Row],[Prix Achat TTC]]/Tableau3[[#This Row],[N]],"-")</f>
        <v>0</v>
      </c>
      <c r="AD126" s="62"/>
      <c r="AE126" s="62"/>
      <c r="AF126" s="62"/>
      <c r="AG126" s="58">
        <f>IFERROR((DATEDIF(Tableau3[[#This Row],[Demande LBU]],Tableau3[[#This Row],[Arrêté LBU]],"d"))/30,0)</f>
        <v>0</v>
      </c>
      <c r="AH126" s="68"/>
      <c r="AI126" s="68"/>
      <c r="AJ126" s="73">
        <f>IFERROR((DATEDIF(Tableau3[[#This Row],[Dde édition prêt]],Tableau3[[#This Row],[Contrat de prêt]],"d"))/30,"-")</f>
        <v>0</v>
      </c>
      <c r="AK126" s="68">
        <f>EOMONTH(Tableau3[[#This Row],[Contrat de prêt]],0)+1</f>
        <v>32</v>
      </c>
      <c r="AL126" s="68"/>
      <c r="AM126" s="68"/>
      <c r="AN12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6" s="79"/>
      <c r="AP126" s="2" t="str">
        <f>IF(Tableau3[[#This Row],[Montant des loyers perçus avant 1e échéance]]&lt;Tableau3[[#This Row],[Montant échéance annuelle]],"oui","non")</f>
        <v>non</v>
      </c>
      <c r="AS126" s="79">
        <f>Tableau3[[#This Row],[Mois de loyers avant 1e échéance]]-Tableau3[[#This Row],[Montant échéance annuelle]]</f>
        <v>0</v>
      </c>
      <c r="AU126" s="86">
        <v>45988</v>
      </c>
      <c r="AV126" s="97"/>
      <c r="AW126" s="56">
        <f>IFERROR((DATEDIF(Tableau3[[#This Row],[Arrêté LBU]],Tableau3[[#This Row],[OS démarrage]],"d"))/30,0)</f>
        <v>1532.9333333333334</v>
      </c>
      <c r="AX126" s="107">
        <v>27</v>
      </c>
      <c r="AY126" s="112"/>
      <c r="AZ126" s="110"/>
      <c r="BA126" s="116">
        <f>DATE(YEAR(Tableau3[[#This Row],[OS démarrage]]),MONTH(Tableau3[[#This Row],[OS démarrage]])+Tableau3[[#This Row],[Délai chantier initial]],DAY(Tableau3[[#This Row],[OS démarrage]]))</f>
        <v>46810</v>
      </c>
      <c r="BB12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46839</v>
      </c>
      <c r="BC126" s="121">
        <f>(Tableau3[[#This Row],[Date réception entreprise recalée]]-Tableau3[[#This Row],[Date réception entreprise prévue initialement]])/30</f>
        <v>0.96666666666666667</v>
      </c>
      <c r="BD126" s="126"/>
      <c r="BE126" s="124"/>
      <c r="BF126" s="124"/>
      <c r="BG126" s="124"/>
      <c r="BH126" s="137">
        <f>IFERROR((Tableau3[[#This Row],[Date Livraison VEFA estimée avec retards constatés]]-Tableau3[[#This Row],[Date livraison contractuelle y/c avenant]])/30,"-")</f>
        <v>0</v>
      </c>
      <c r="BI126" s="138">
        <f>Tableau3[[#This Row],[Date Livraison VEFA estimée avec retards constatés]]-Tableau3[[#This Row],[Date livraison contractuelle y/c avenant]]</f>
        <v>0</v>
      </c>
      <c r="BJ12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27" spans="1:62" x14ac:dyDescent="0.3">
      <c r="A127" s="20" t="s">
        <v>347</v>
      </c>
      <c r="B127" s="4" t="s">
        <v>55</v>
      </c>
      <c r="C127" s="4" t="s">
        <v>12</v>
      </c>
      <c r="D127" s="4">
        <v>2025</v>
      </c>
      <c r="E127" s="4"/>
      <c r="F127" s="4"/>
      <c r="G127" s="4"/>
      <c r="H127" s="4"/>
      <c r="I127" s="6" t="s">
        <v>14</v>
      </c>
      <c r="J127" s="4" t="s">
        <v>348</v>
      </c>
      <c r="K127" s="4" t="s">
        <v>81</v>
      </c>
      <c r="L127" s="24">
        <f>Tableau3[[#This Row],[LLS]]+Tableau3[[#This Row],[LLTS]]+Tableau3[[#This Row],[PLS]]+Tableau3[[#This Row],[REHAB]]</f>
        <v>150</v>
      </c>
      <c r="M127" s="23">
        <f>IFERROR(Tableau3[[#This Row],[LLS]]+Tableau3[[#This Row],[LLTS]]+Tableau3[[#This Row],[PLS]],"-")</f>
        <v>150</v>
      </c>
      <c r="N127" s="25"/>
      <c r="O127" s="38">
        <v>150</v>
      </c>
      <c r="P127" s="25"/>
      <c r="Q127" s="25"/>
      <c r="R127" s="32"/>
      <c r="S127" s="27"/>
      <c r="T127" s="56">
        <f>Tableau3[[#This Row],[SHAB y/c V]]/Tableau3[[#This Row],[N]]</f>
        <v>0</v>
      </c>
      <c r="U127" s="56">
        <f>Tableau3[[#This Row],[SF priorisée]]/Tableau3[[#This Row],[N]]</f>
        <v>0</v>
      </c>
      <c r="V127" s="57" t="str">
        <f>IFERROR(Tableau3[[#This Row],[SHAB y/c V]]/Tableau3[[#This Row],[SF priorisée]],"-")</f>
        <v>-</v>
      </c>
      <c r="W127" s="56"/>
      <c r="X127" s="43" t="s">
        <v>390</v>
      </c>
      <c r="Y127" s="43" t="s">
        <v>392</v>
      </c>
      <c r="Z127" s="5"/>
      <c r="AA127" s="58" t="str">
        <f>IFERROR(Tableau3[[#This Row],[Prix Achat TTC]]/Tableau3[[#This Row],[SHAB y/c V]],"-")</f>
        <v>-</v>
      </c>
      <c r="AB127" s="58" t="str">
        <f>IFERROR(Tableau3[[#This Row],[Prix Achat TTC]]/Tableau3[[#This Row],[SF priorisée]],"-")</f>
        <v>-</v>
      </c>
      <c r="AC127" s="58">
        <f>IFERROR(Tableau3[[#This Row],[Prix Achat TTC]]/Tableau3[[#This Row],[N]],"-")</f>
        <v>0</v>
      </c>
      <c r="AD127" s="65"/>
      <c r="AE127" s="65"/>
      <c r="AF127" s="65"/>
      <c r="AG127" s="58">
        <f>IFERROR((DATEDIF(Tableau3[[#This Row],[Demande LBU]],Tableau3[[#This Row],[Arrêté LBU]],"d"))/30,0)</f>
        <v>0</v>
      </c>
      <c r="AH127" s="69"/>
      <c r="AI127" s="69"/>
      <c r="AJ127" s="73">
        <f>IFERROR((DATEDIF(Tableau3[[#This Row],[Dde édition prêt]],Tableau3[[#This Row],[Contrat de prêt]],"d"))/30,"-")</f>
        <v>0</v>
      </c>
      <c r="AK127" s="69">
        <f>EOMONTH(Tableau3[[#This Row],[Contrat de prêt]],0)+1</f>
        <v>32</v>
      </c>
      <c r="AL127" s="69"/>
      <c r="AM127" s="69"/>
      <c r="AN127" s="69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7" s="81"/>
      <c r="AP127" s="2" t="str">
        <f>IF(Tableau3[[#This Row],[Montant des loyers perçus avant 1e échéance]]&lt;Tableau3[[#This Row],[Montant échéance annuelle]],"oui","non")</f>
        <v>non</v>
      </c>
      <c r="AS127" s="81">
        <f>Tableau3[[#This Row],[Mois de loyers avant 1e échéance]]-Tableau3[[#This Row],[Montant échéance annuelle]]</f>
        <v>0</v>
      </c>
      <c r="AU127" s="86">
        <v>45988</v>
      </c>
      <c r="AV127" s="98"/>
      <c r="AW127" s="56">
        <f>IFERROR((DATEDIF(Tableau3[[#This Row],[Arrêté LBU]],Tableau3[[#This Row],[OS démarrage]],"d"))/30,0)</f>
        <v>1532.9333333333334</v>
      </c>
      <c r="AX127" s="108">
        <v>41</v>
      </c>
      <c r="AY127" s="112"/>
      <c r="AZ127" s="110"/>
      <c r="BA127" s="116">
        <f>DATE(YEAR(Tableau3[[#This Row],[OS démarrage]]),MONTH(Tableau3[[#This Row],[OS démarrage]])+Tableau3[[#This Row],[Délai chantier initial]],DAY(Tableau3[[#This Row],[OS démarrage]]))</f>
        <v>47235</v>
      </c>
      <c r="BB12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47265</v>
      </c>
      <c r="BC127" s="121">
        <f>(Tableau3[[#This Row],[Date réception entreprise recalée]]-Tableau3[[#This Row],[Date réception entreprise prévue initialement]])/30</f>
        <v>1</v>
      </c>
      <c r="BD127" s="127"/>
      <c r="BE127" s="129"/>
      <c r="BF127" s="129"/>
      <c r="BG127" s="129"/>
      <c r="BH127" s="137">
        <f>IFERROR((Tableau3[[#This Row],[Date Livraison VEFA estimée avec retards constatés]]-Tableau3[[#This Row],[Date livraison contractuelle y/c avenant]])/30,"-")</f>
        <v>0</v>
      </c>
      <c r="BI127" s="138">
        <f>Tableau3[[#This Row],[Date Livraison VEFA estimée avec retards constatés]]-Tableau3[[#This Row],[Date livraison contractuelle y/c avenant]]</f>
        <v>0</v>
      </c>
      <c r="BJ12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28" spans="1:62" x14ac:dyDescent="0.3">
      <c r="A128" s="19" t="s">
        <v>349</v>
      </c>
      <c r="B128" s="4" t="s">
        <v>20</v>
      </c>
      <c r="C128" s="4" t="s">
        <v>12</v>
      </c>
      <c r="D128" s="4">
        <v>2026</v>
      </c>
      <c r="E128" s="4"/>
      <c r="F128" s="4"/>
      <c r="G128" s="4"/>
      <c r="H128" s="4"/>
      <c r="I128" s="6"/>
      <c r="J128" s="4"/>
      <c r="K128" s="4" t="s">
        <v>389</v>
      </c>
      <c r="L128" s="24">
        <f>Tableau3[[#This Row],[LLS]]+Tableau3[[#This Row],[LLTS]]+Tableau3[[#This Row],[PLS]]+Tableau3[[#This Row],[REHAB]]</f>
        <v>14</v>
      </c>
      <c r="M128" s="23">
        <f>IFERROR(Tableau3[[#This Row],[LLS]]+Tableau3[[#This Row],[LLTS]]+Tableau3[[#This Row],[PLS]],"-")</f>
        <v>0</v>
      </c>
      <c r="N128" s="25"/>
      <c r="O128" s="25"/>
      <c r="P128" s="25"/>
      <c r="Q128" s="4">
        <v>14</v>
      </c>
      <c r="R128" s="36"/>
      <c r="S128" s="31"/>
      <c r="T128" s="56">
        <f>Tableau3[[#This Row],[SHAB y/c V]]/Tableau3[[#This Row],[N]]</f>
        <v>0</v>
      </c>
      <c r="U128" s="56">
        <f>Tableau3[[#This Row],[SF priorisée]]/Tableau3[[#This Row],[N]]</f>
        <v>0</v>
      </c>
      <c r="V128" s="57" t="str">
        <f>IFERROR(Tableau3[[#This Row],[SHAB y/c V]]/Tableau3[[#This Row],[SF priorisée]],"-")</f>
        <v>-</v>
      </c>
      <c r="W128" s="56"/>
      <c r="X128" s="44"/>
      <c r="Y128" s="43"/>
      <c r="Z128" s="30"/>
      <c r="AA128" s="58" t="str">
        <f>IFERROR(Tableau3[[#This Row],[Prix Achat TTC]]/Tableau3[[#This Row],[SHAB y/c V]],"-")</f>
        <v>-</v>
      </c>
      <c r="AB128" s="58" t="str">
        <f>IFERROR(Tableau3[[#This Row],[Prix Achat TTC]]/Tableau3[[#This Row],[SF priorisée]],"-")</f>
        <v>-</v>
      </c>
      <c r="AC128" s="58">
        <f>IFERROR(Tableau3[[#This Row],[Prix Achat TTC]]/Tableau3[[#This Row],[N]],"-")</f>
        <v>0</v>
      </c>
      <c r="AD128" s="62"/>
      <c r="AE128" s="62"/>
      <c r="AF128" s="62"/>
      <c r="AG128" s="58">
        <f>IFERROR((DATEDIF(Tableau3[[#This Row],[Demande LBU]],Tableau3[[#This Row],[Arrêté LBU]],"d"))/30,0)</f>
        <v>0</v>
      </c>
      <c r="AH128" s="68"/>
      <c r="AI128" s="68"/>
      <c r="AJ128" s="73">
        <f>IFERROR((DATEDIF(Tableau3[[#This Row],[Dde édition prêt]],Tableau3[[#This Row],[Contrat de prêt]],"d"))/30,"-")</f>
        <v>0</v>
      </c>
      <c r="AK128" s="68">
        <f>EOMONTH(Tableau3[[#This Row],[Contrat de prêt]],0)+1</f>
        <v>32</v>
      </c>
      <c r="AL128" s="68"/>
      <c r="AM128" s="68"/>
      <c r="AN12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8" s="79"/>
      <c r="AP128" s="2" t="str">
        <f>IF(Tableau3[[#This Row],[Montant des loyers perçus avant 1e échéance]]&lt;Tableau3[[#This Row],[Montant échéance annuelle]],"oui","non")</f>
        <v>non</v>
      </c>
      <c r="AS128" s="79">
        <f>Tableau3[[#This Row],[Mois de loyers avant 1e échéance]]-Tableau3[[#This Row],[Montant échéance annuelle]]</f>
        <v>0</v>
      </c>
      <c r="AU128" s="86">
        <v>46631</v>
      </c>
      <c r="AV128" s="99"/>
      <c r="AW128" s="56">
        <f>IFERROR((DATEDIF(Tableau3[[#This Row],[Arrêté LBU]],Tableau3[[#This Row],[OS démarrage]],"d"))/30,0)</f>
        <v>1554.3666666666666</v>
      </c>
      <c r="AX128" s="107">
        <v>12</v>
      </c>
      <c r="AY128" s="112"/>
      <c r="AZ128" s="110"/>
      <c r="BA128" s="116">
        <f>DATE(YEAR(Tableau3[[#This Row],[OS démarrage]]),MONTH(Tableau3[[#This Row],[OS démarrage]])+Tableau3[[#This Row],[Délai chantier initial]],DAY(Tableau3[[#This Row],[OS démarrage]]))</f>
        <v>46997</v>
      </c>
      <c r="BB12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28" s="121">
        <f>(Tableau3[[#This Row],[Date réception entreprise recalée]]-Tableau3[[#This Row],[Date réception entreprise prévue initialement]])/30</f>
        <v>1</v>
      </c>
      <c r="BD128" s="126"/>
      <c r="BE128" s="124"/>
      <c r="BF128" s="124"/>
      <c r="BG128" s="124"/>
      <c r="BH128" s="137">
        <f>IFERROR((Tableau3[[#This Row],[Date Livraison VEFA estimée avec retards constatés]]-Tableau3[[#This Row],[Date livraison contractuelle y/c avenant]])/30,"-")</f>
        <v>0</v>
      </c>
      <c r="BI128" s="138">
        <f>Tableau3[[#This Row],[Date Livraison VEFA estimée avec retards constatés]]-Tableau3[[#This Row],[Date livraison contractuelle y/c avenant]]</f>
        <v>0</v>
      </c>
      <c r="BJ12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29" spans="1:62" x14ac:dyDescent="0.3">
      <c r="A129" s="19" t="s">
        <v>350</v>
      </c>
      <c r="B129" s="4" t="s">
        <v>55</v>
      </c>
      <c r="C129" s="4" t="s">
        <v>12</v>
      </c>
      <c r="D129" s="4">
        <v>2026</v>
      </c>
      <c r="E129" s="4"/>
      <c r="F129" s="4"/>
      <c r="G129" s="4"/>
      <c r="H129" s="4"/>
      <c r="I129" s="6"/>
      <c r="J129" s="4"/>
      <c r="K129" s="4" t="s">
        <v>389</v>
      </c>
      <c r="L129" s="24">
        <f>Tableau3[[#This Row],[LLS]]+Tableau3[[#This Row],[LLTS]]+Tableau3[[#This Row],[PLS]]+Tableau3[[#This Row],[REHAB]]</f>
        <v>24</v>
      </c>
      <c r="M129" s="23">
        <f>IFERROR(Tableau3[[#This Row],[LLS]]+Tableau3[[#This Row],[LLTS]]+Tableau3[[#This Row],[PLS]],"-")</f>
        <v>0</v>
      </c>
      <c r="N129" s="25"/>
      <c r="O129" s="25"/>
      <c r="P129" s="25"/>
      <c r="Q129" s="4">
        <v>24</v>
      </c>
      <c r="R129" s="36"/>
      <c r="S129" s="31"/>
      <c r="T129" s="56">
        <f>Tableau3[[#This Row],[SHAB y/c V]]/Tableau3[[#This Row],[N]]</f>
        <v>0</v>
      </c>
      <c r="U129" s="56">
        <f>Tableau3[[#This Row],[SF priorisée]]/Tableau3[[#This Row],[N]]</f>
        <v>0</v>
      </c>
      <c r="V129" s="57" t="str">
        <f>IFERROR(Tableau3[[#This Row],[SHAB y/c V]]/Tableau3[[#This Row],[SF priorisée]],"-")</f>
        <v>-</v>
      </c>
      <c r="W129" s="56"/>
      <c r="X129" s="44"/>
      <c r="Y129" s="43"/>
      <c r="Z129" s="30"/>
      <c r="AA129" s="58" t="str">
        <f>IFERROR(Tableau3[[#This Row],[Prix Achat TTC]]/Tableau3[[#This Row],[SHAB y/c V]],"-")</f>
        <v>-</v>
      </c>
      <c r="AB129" s="58" t="str">
        <f>IFERROR(Tableau3[[#This Row],[Prix Achat TTC]]/Tableau3[[#This Row],[SF priorisée]],"-")</f>
        <v>-</v>
      </c>
      <c r="AC129" s="58">
        <f>IFERROR(Tableau3[[#This Row],[Prix Achat TTC]]/Tableau3[[#This Row],[N]],"-")</f>
        <v>0</v>
      </c>
      <c r="AD129" s="65"/>
      <c r="AE129" s="65"/>
      <c r="AF129" s="65"/>
      <c r="AG129" s="58">
        <f>IFERROR((DATEDIF(Tableau3[[#This Row],[Demande LBU]],Tableau3[[#This Row],[Arrêté LBU]],"d"))/30,0)</f>
        <v>0</v>
      </c>
      <c r="AH129" s="69"/>
      <c r="AI129" s="69"/>
      <c r="AJ129" s="73">
        <f>IFERROR((DATEDIF(Tableau3[[#This Row],[Dde édition prêt]],Tableau3[[#This Row],[Contrat de prêt]],"d"))/30,"-")</f>
        <v>0</v>
      </c>
      <c r="AK129" s="69">
        <f>EOMONTH(Tableau3[[#This Row],[Contrat de prêt]],0)+1</f>
        <v>32</v>
      </c>
      <c r="AL129" s="69"/>
      <c r="AM129" s="69"/>
      <c r="AN129" s="69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29" s="81"/>
      <c r="AP129" s="2" t="str">
        <f>IF(Tableau3[[#This Row],[Montant des loyers perçus avant 1e échéance]]&lt;Tableau3[[#This Row],[Montant échéance annuelle]],"oui","non")</f>
        <v>non</v>
      </c>
      <c r="AS129" s="81">
        <f>Tableau3[[#This Row],[Mois de loyers avant 1e échéance]]-Tableau3[[#This Row],[Montant échéance annuelle]]</f>
        <v>0</v>
      </c>
      <c r="AU129" s="86">
        <v>46631</v>
      </c>
      <c r="AV129" s="98"/>
      <c r="AW129" s="56">
        <f>IFERROR((DATEDIF(Tableau3[[#This Row],[Arrêté LBU]],Tableau3[[#This Row],[OS démarrage]],"d"))/30,0)</f>
        <v>1554.3666666666666</v>
      </c>
      <c r="AX129" s="108">
        <v>12</v>
      </c>
      <c r="AY129" s="112"/>
      <c r="AZ129" s="110"/>
      <c r="BA129" s="116">
        <f>DATE(YEAR(Tableau3[[#This Row],[OS démarrage]]),MONTH(Tableau3[[#This Row],[OS démarrage]])+Tableau3[[#This Row],[Délai chantier initial]],DAY(Tableau3[[#This Row],[OS démarrage]]))</f>
        <v>46997</v>
      </c>
      <c r="BB12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29" s="121">
        <f>(Tableau3[[#This Row],[Date réception entreprise recalée]]-Tableau3[[#This Row],[Date réception entreprise prévue initialement]])/30</f>
        <v>1</v>
      </c>
      <c r="BD129" s="127"/>
      <c r="BE129" s="129"/>
      <c r="BF129" s="129"/>
      <c r="BG129" s="129"/>
      <c r="BH129" s="137">
        <f>IFERROR((Tableau3[[#This Row],[Date Livraison VEFA estimée avec retards constatés]]-Tableau3[[#This Row],[Date livraison contractuelle y/c avenant]])/30,"-")</f>
        <v>0</v>
      </c>
      <c r="BI129" s="138">
        <f>Tableau3[[#This Row],[Date Livraison VEFA estimée avec retards constatés]]-Tableau3[[#This Row],[Date livraison contractuelle y/c avenant]]</f>
        <v>0</v>
      </c>
      <c r="BJ12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0" spans="1:62" x14ac:dyDescent="0.3">
      <c r="A130" s="19" t="s">
        <v>351</v>
      </c>
      <c r="B130" s="4" t="s">
        <v>41</v>
      </c>
      <c r="C130" s="4" t="s">
        <v>12</v>
      </c>
      <c r="D130" s="4">
        <v>2026</v>
      </c>
      <c r="E130" s="4"/>
      <c r="F130" s="4"/>
      <c r="G130" s="4"/>
      <c r="H130" s="4"/>
      <c r="I130" s="6"/>
      <c r="J130" s="4"/>
      <c r="K130" s="4" t="s">
        <v>389</v>
      </c>
      <c r="L130" s="24">
        <f>Tableau3[[#This Row],[LLS]]+Tableau3[[#This Row],[LLTS]]+Tableau3[[#This Row],[PLS]]+Tableau3[[#This Row],[REHAB]]</f>
        <v>16</v>
      </c>
      <c r="M130" s="23">
        <f>IFERROR(Tableau3[[#This Row],[LLS]]+Tableau3[[#This Row],[LLTS]]+Tableau3[[#This Row],[PLS]],"-")</f>
        <v>0</v>
      </c>
      <c r="N130" s="25"/>
      <c r="O130" s="25"/>
      <c r="P130" s="25"/>
      <c r="Q130" s="4">
        <v>16</v>
      </c>
      <c r="R130" s="36"/>
      <c r="S130" s="31"/>
      <c r="T130" s="56">
        <f>Tableau3[[#This Row],[SHAB y/c V]]/Tableau3[[#This Row],[N]]</f>
        <v>0</v>
      </c>
      <c r="U130" s="56">
        <f>Tableau3[[#This Row],[SF priorisée]]/Tableau3[[#This Row],[N]]</f>
        <v>0</v>
      </c>
      <c r="V130" s="57" t="str">
        <f>IFERROR(Tableau3[[#This Row],[SHAB y/c V]]/Tableau3[[#This Row],[SF priorisée]],"-")</f>
        <v>-</v>
      </c>
      <c r="W130" s="56"/>
      <c r="X130" s="44"/>
      <c r="Y130" s="43"/>
      <c r="Z130" s="30"/>
      <c r="AA130" s="58" t="str">
        <f>IFERROR(Tableau3[[#This Row],[Prix Achat TTC]]/Tableau3[[#This Row],[SHAB y/c V]],"-")</f>
        <v>-</v>
      </c>
      <c r="AB130" s="58" t="str">
        <f>IFERROR(Tableau3[[#This Row],[Prix Achat TTC]]/Tableau3[[#This Row],[SF priorisée]],"-")</f>
        <v>-</v>
      </c>
      <c r="AC130" s="58">
        <f>IFERROR(Tableau3[[#This Row],[Prix Achat TTC]]/Tableau3[[#This Row],[N]],"-")</f>
        <v>0</v>
      </c>
      <c r="AD130" s="62"/>
      <c r="AE130" s="62"/>
      <c r="AF130" s="62"/>
      <c r="AG130" s="58">
        <f>IFERROR((DATEDIF(Tableau3[[#This Row],[Demande LBU]],Tableau3[[#This Row],[Arrêté LBU]],"d"))/30,0)</f>
        <v>0</v>
      </c>
      <c r="AH130" s="68"/>
      <c r="AI130" s="68"/>
      <c r="AJ130" s="73">
        <f>IFERROR((DATEDIF(Tableau3[[#This Row],[Dde édition prêt]],Tableau3[[#This Row],[Contrat de prêt]],"d"))/30,"-")</f>
        <v>0</v>
      </c>
      <c r="AK130" s="68">
        <f>EOMONTH(Tableau3[[#This Row],[Contrat de prêt]],0)+1</f>
        <v>32</v>
      </c>
      <c r="AL130" s="68"/>
      <c r="AM130" s="68"/>
      <c r="AN13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0" s="79"/>
      <c r="AP130" s="2" t="str">
        <f>IF(Tableau3[[#This Row],[Montant des loyers perçus avant 1e échéance]]&lt;Tableau3[[#This Row],[Montant échéance annuelle]],"oui","non")</f>
        <v>non</v>
      </c>
      <c r="AS130" s="79">
        <f>Tableau3[[#This Row],[Mois de loyers avant 1e échéance]]-Tableau3[[#This Row],[Montant échéance annuelle]]</f>
        <v>0</v>
      </c>
      <c r="AU130" s="86">
        <v>46631</v>
      </c>
      <c r="AV130" s="97"/>
      <c r="AW130" s="56">
        <f>IFERROR((DATEDIF(Tableau3[[#This Row],[Arrêté LBU]],Tableau3[[#This Row],[OS démarrage]],"d"))/30,0)</f>
        <v>1554.3666666666666</v>
      </c>
      <c r="AX130" s="107">
        <v>12</v>
      </c>
      <c r="AY130" s="112"/>
      <c r="AZ130" s="110"/>
      <c r="BA130" s="116">
        <f>DATE(YEAR(Tableau3[[#This Row],[OS démarrage]]),MONTH(Tableau3[[#This Row],[OS démarrage]])+Tableau3[[#This Row],[Délai chantier initial]],DAY(Tableau3[[#This Row],[OS démarrage]]))</f>
        <v>46997</v>
      </c>
      <c r="BB13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30" s="121">
        <f>(Tableau3[[#This Row],[Date réception entreprise recalée]]-Tableau3[[#This Row],[Date réception entreprise prévue initialement]])/30</f>
        <v>1</v>
      </c>
      <c r="BD130" s="126"/>
      <c r="BE130" s="124"/>
      <c r="BF130" s="124"/>
      <c r="BG130" s="124"/>
      <c r="BH130" s="137">
        <f>IFERROR((Tableau3[[#This Row],[Date Livraison VEFA estimée avec retards constatés]]-Tableau3[[#This Row],[Date livraison contractuelle y/c avenant]])/30,"-")</f>
        <v>0</v>
      </c>
      <c r="BI130" s="138">
        <f>Tableau3[[#This Row],[Date Livraison VEFA estimée avec retards constatés]]-Tableau3[[#This Row],[Date livraison contractuelle y/c avenant]]</f>
        <v>0</v>
      </c>
      <c r="BJ130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1" spans="1:62" x14ac:dyDescent="0.3">
      <c r="A131" s="19" t="s">
        <v>352</v>
      </c>
      <c r="B131" s="4" t="s">
        <v>11</v>
      </c>
      <c r="C131" s="4" t="s">
        <v>21</v>
      </c>
      <c r="D131" s="4">
        <v>2026</v>
      </c>
      <c r="E131" s="4"/>
      <c r="F131" s="4"/>
      <c r="G131" s="4"/>
      <c r="H131" s="4"/>
      <c r="I131" s="6"/>
      <c r="J131" s="4"/>
      <c r="K131" s="4" t="s">
        <v>389</v>
      </c>
      <c r="L131" s="24">
        <f>Tableau3[[#This Row],[LLS]]+Tableau3[[#This Row],[LLTS]]+Tableau3[[#This Row],[PLS]]+Tableau3[[#This Row],[REHAB]]</f>
        <v>48</v>
      </c>
      <c r="M131" s="23">
        <f>IFERROR(Tableau3[[#This Row],[LLS]]+Tableau3[[#This Row],[LLTS]]+Tableau3[[#This Row],[PLS]],"-")</f>
        <v>0</v>
      </c>
      <c r="N131" s="25"/>
      <c r="O131" s="25"/>
      <c r="P131" s="25"/>
      <c r="Q131" s="4">
        <v>48</v>
      </c>
      <c r="R131" s="36"/>
      <c r="S131" s="31"/>
      <c r="T131" s="56">
        <f>Tableau3[[#This Row],[SHAB y/c V]]/Tableau3[[#This Row],[N]]</f>
        <v>0</v>
      </c>
      <c r="U131" s="56">
        <f>Tableau3[[#This Row],[SF priorisée]]/Tableau3[[#This Row],[N]]</f>
        <v>0</v>
      </c>
      <c r="V131" s="57" t="str">
        <f>IFERROR(Tableau3[[#This Row],[SHAB y/c V]]/Tableau3[[#This Row],[SF priorisée]],"-")</f>
        <v>-</v>
      </c>
      <c r="W131" s="56"/>
      <c r="X131" s="44"/>
      <c r="Y131" s="43"/>
      <c r="Z131" s="30"/>
      <c r="AA131" s="58" t="str">
        <f>IFERROR(Tableau3[[#This Row],[Prix Achat TTC]]/Tableau3[[#This Row],[SHAB y/c V]],"-")</f>
        <v>-</v>
      </c>
      <c r="AB131" s="58" t="str">
        <f>IFERROR(Tableau3[[#This Row],[Prix Achat TTC]]/Tableau3[[#This Row],[SF priorisée]],"-")</f>
        <v>-</v>
      </c>
      <c r="AC131" s="58">
        <f>IFERROR(Tableau3[[#This Row],[Prix Achat TTC]]/Tableau3[[#This Row],[N]],"-")</f>
        <v>0</v>
      </c>
      <c r="AD131" s="62"/>
      <c r="AE131" s="62"/>
      <c r="AF131" s="62"/>
      <c r="AG131" s="58">
        <f>IFERROR((DATEDIF(Tableau3[[#This Row],[Demande LBU]],Tableau3[[#This Row],[Arrêté LBU]],"d"))/30,0)</f>
        <v>0</v>
      </c>
      <c r="AH131" s="68"/>
      <c r="AI131" s="68"/>
      <c r="AJ131" s="73">
        <f>IFERROR((DATEDIF(Tableau3[[#This Row],[Dde édition prêt]],Tableau3[[#This Row],[Contrat de prêt]],"d"))/30,"-")</f>
        <v>0</v>
      </c>
      <c r="AK131" s="68">
        <f>EOMONTH(Tableau3[[#This Row],[Contrat de prêt]],0)+1</f>
        <v>32</v>
      </c>
      <c r="AL131" s="68"/>
      <c r="AM131" s="68"/>
      <c r="AN13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1" s="79"/>
      <c r="AP131" s="2" t="str">
        <f>IF(Tableau3[[#This Row],[Montant des loyers perçus avant 1e échéance]]&lt;Tableau3[[#This Row],[Montant échéance annuelle]],"oui","non")</f>
        <v>non</v>
      </c>
      <c r="AS131" s="79">
        <f>Tableau3[[#This Row],[Mois de loyers avant 1e échéance]]-Tableau3[[#This Row],[Montant échéance annuelle]]</f>
        <v>0</v>
      </c>
      <c r="AU131" s="86">
        <v>46631</v>
      </c>
      <c r="AV131" s="97"/>
      <c r="AW131" s="56">
        <f>IFERROR((DATEDIF(Tableau3[[#This Row],[Arrêté LBU]],Tableau3[[#This Row],[OS démarrage]],"d"))/30,0)</f>
        <v>1554.3666666666666</v>
      </c>
      <c r="AX131" s="107">
        <v>12</v>
      </c>
      <c r="AY131" s="112"/>
      <c r="AZ131" s="110"/>
      <c r="BA131" s="116">
        <f>DATE(YEAR(Tableau3[[#This Row],[OS démarrage]]),MONTH(Tableau3[[#This Row],[OS démarrage]])+Tableau3[[#This Row],[Délai chantier initial]],DAY(Tableau3[[#This Row],[OS démarrage]]))</f>
        <v>46997</v>
      </c>
      <c r="BB13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31" s="121">
        <f>(Tableau3[[#This Row],[Date réception entreprise recalée]]-Tableau3[[#This Row],[Date réception entreprise prévue initialement]])/30</f>
        <v>1</v>
      </c>
      <c r="BD131" s="126"/>
      <c r="BE131" s="124"/>
      <c r="BF131" s="124"/>
      <c r="BG131" s="124"/>
      <c r="BH131" s="137">
        <f>IFERROR((Tableau3[[#This Row],[Date Livraison VEFA estimée avec retards constatés]]-Tableau3[[#This Row],[Date livraison contractuelle y/c avenant]])/30,"-")</f>
        <v>0</v>
      </c>
      <c r="BI131" s="138">
        <f>Tableau3[[#This Row],[Date Livraison VEFA estimée avec retards constatés]]-Tableau3[[#This Row],[Date livraison contractuelle y/c avenant]]</f>
        <v>0</v>
      </c>
      <c r="BJ131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2" spans="1:62" x14ac:dyDescent="0.3">
      <c r="A132" s="19" t="s">
        <v>353</v>
      </c>
      <c r="B132" s="4" t="s">
        <v>25</v>
      </c>
      <c r="C132" s="4" t="s">
        <v>21</v>
      </c>
      <c r="D132" s="4">
        <v>2026</v>
      </c>
      <c r="E132" s="4"/>
      <c r="F132" s="4"/>
      <c r="G132" s="4"/>
      <c r="H132" s="4"/>
      <c r="I132" s="6"/>
      <c r="J132" s="4"/>
      <c r="K132" s="4" t="s">
        <v>389</v>
      </c>
      <c r="L132" s="24">
        <f>Tableau3[[#This Row],[LLS]]+Tableau3[[#This Row],[LLTS]]+Tableau3[[#This Row],[PLS]]+Tableau3[[#This Row],[REHAB]]</f>
        <v>44</v>
      </c>
      <c r="M132" s="23">
        <f>IFERROR(Tableau3[[#This Row],[LLS]]+Tableau3[[#This Row],[LLTS]]+Tableau3[[#This Row],[PLS]],"-")</f>
        <v>0</v>
      </c>
      <c r="N132" s="25"/>
      <c r="O132" s="25"/>
      <c r="P132" s="25"/>
      <c r="Q132" s="4">
        <v>44</v>
      </c>
      <c r="R132" s="36"/>
      <c r="S132" s="31"/>
      <c r="T132" s="56">
        <f>Tableau3[[#This Row],[SHAB y/c V]]/Tableau3[[#This Row],[N]]</f>
        <v>0</v>
      </c>
      <c r="U132" s="56">
        <f>Tableau3[[#This Row],[SF priorisée]]/Tableau3[[#This Row],[N]]</f>
        <v>0</v>
      </c>
      <c r="V132" s="57" t="str">
        <f>IFERROR(Tableau3[[#This Row],[SHAB y/c V]]/Tableau3[[#This Row],[SF priorisée]],"-")</f>
        <v>-</v>
      </c>
      <c r="W132" s="56"/>
      <c r="X132" s="44"/>
      <c r="Y132" s="43"/>
      <c r="Z132" s="30"/>
      <c r="AA132" s="58" t="str">
        <f>IFERROR(Tableau3[[#This Row],[Prix Achat TTC]]/Tableau3[[#This Row],[SHAB y/c V]],"-")</f>
        <v>-</v>
      </c>
      <c r="AB132" s="58" t="str">
        <f>IFERROR(Tableau3[[#This Row],[Prix Achat TTC]]/Tableau3[[#This Row],[SF priorisée]],"-")</f>
        <v>-</v>
      </c>
      <c r="AC132" s="58">
        <f>IFERROR(Tableau3[[#This Row],[Prix Achat TTC]]/Tableau3[[#This Row],[N]],"-")</f>
        <v>0</v>
      </c>
      <c r="AD132" s="62"/>
      <c r="AE132" s="62"/>
      <c r="AF132" s="62"/>
      <c r="AG132" s="58">
        <f>IFERROR((DATEDIF(Tableau3[[#This Row],[Demande LBU]],Tableau3[[#This Row],[Arrêté LBU]],"d"))/30,0)</f>
        <v>0</v>
      </c>
      <c r="AH132" s="68"/>
      <c r="AI132" s="68"/>
      <c r="AJ132" s="73">
        <f>IFERROR((DATEDIF(Tableau3[[#This Row],[Dde édition prêt]],Tableau3[[#This Row],[Contrat de prêt]],"d"))/30,"-")</f>
        <v>0</v>
      </c>
      <c r="AK132" s="68">
        <f>EOMONTH(Tableau3[[#This Row],[Contrat de prêt]],0)+1</f>
        <v>32</v>
      </c>
      <c r="AL132" s="68"/>
      <c r="AM132" s="68"/>
      <c r="AN13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2" s="79"/>
      <c r="AP132" s="2" t="str">
        <f>IF(Tableau3[[#This Row],[Montant des loyers perçus avant 1e échéance]]&lt;Tableau3[[#This Row],[Montant échéance annuelle]],"oui","non")</f>
        <v>non</v>
      </c>
      <c r="AS132" s="79">
        <f>Tableau3[[#This Row],[Mois de loyers avant 1e échéance]]-Tableau3[[#This Row],[Montant échéance annuelle]]</f>
        <v>0</v>
      </c>
      <c r="AU132" s="86">
        <v>46631</v>
      </c>
      <c r="AV132" s="97"/>
      <c r="AW132" s="56">
        <f>IFERROR((DATEDIF(Tableau3[[#This Row],[Arrêté LBU]],Tableau3[[#This Row],[OS démarrage]],"d"))/30,0)</f>
        <v>1554.3666666666666</v>
      </c>
      <c r="AX132" s="107">
        <v>12</v>
      </c>
      <c r="AY132" s="112"/>
      <c r="AZ132" s="110"/>
      <c r="BA132" s="116">
        <f>DATE(YEAR(Tableau3[[#This Row],[OS démarrage]]),MONTH(Tableau3[[#This Row],[OS démarrage]])+Tableau3[[#This Row],[Délai chantier initial]],DAY(Tableau3[[#This Row],[OS démarrage]]))</f>
        <v>46997</v>
      </c>
      <c r="BB13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32" s="121">
        <f>(Tableau3[[#This Row],[Date réception entreprise recalée]]-Tableau3[[#This Row],[Date réception entreprise prévue initialement]])/30</f>
        <v>1</v>
      </c>
      <c r="BD132" s="126"/>
      <c r="BE132" s="124"/>
      <c r="BF132" s="124"/>
      <c r="BG132" s="124"/>
      <c r="BH132" s="137">
        <f>IFERROR((Tableau3[[#This Row],[Date Livraison VEFA estimée avec retards constatés]]-Tableau3[[#This Row],[Date livraison contractuelle y/c avenant]])/30,"-")</f>
        <v>0</v>
      </c>
      <c r="BI132" s="138">
        <f>Tableau3[[#This Row],[Date Livraison VEFA estimée avec retards constatés]]-Tableau3[[#This Row],[Date livraison contractuelle y/c avenant]]</f>
        <v>0</v>
      </c>
      <c r="BJ132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3" spans="1:62" x14ac:dyDescent="0.3">
      <c r="A133" s="19" t="s">
        <v>354</v>
      </c>
      <c r="B133" s="4" t="s">
        <v>41</v>
      </c>
      <c r="C133" s="4" t="s">
        <v>12</v>
      </c>
      <c r="D133" s="4">
        <v>2026</v>
      </c>
      <c r="E133" s="4"/>
      <c r="F133" s="4"/>
      <c r="G133" s="4"/>
      <c r="H133" s="4"/>
      <c r="I133" s="6"/>
      <c r="J133" s="4"/>
      <c r="K133" s="4" t="s">
        <v>389</v>
      </c>
      <c r="L133" s="24">
        <f>Tableau3[[#This Row],[LLS]]+Tableau3[[#This Row],[LLTS]]+Tableau3[[#This Row],[PLS]]+Tableau3[[#This Row],[REHAB]]</f>
        <v>28</v>
      </c>
      <c r="M133" s="23">
        <f>IFERROR(Tableau3[[#This Row],[LLS]]+Tableau3[[#This Row],[LLTS]]+Tableau3[[#This Row],[PLS]],"-")</f>
        <v>0</v>
      </c>
      <c r="N133" s="25"/>
      <c r="O133" s="25"/>
      <c r="P133" s="25"/>
      <c r="Q133" s="4">
        <v>28</v>
      </c>
      <c r="R133" s="36"/>
      <c r="S133" s="31"/>
      <c r="T133" s="56">
        <f>Tableau3[[#This Row],[SHAB y/c V]]/Tableau3[[#This Row],[N]]</f>
        <v>0</v>
      </c>
      <c r="U133" s="56">
        <f>Tableau3[[#This Row],[SF priorisée]]/Tableau3[[#This Row],[N]]</f>
        <v>0</v>
      </c>
      <c r="V133" s="57" t="str">
        <f>IFERROR(Tableau3[[#This Row],[SHAB y/c V]]/Tableau3[[#This Row],[SF priorisée]],"-")</f>
        <v>-</v>
      </c>
      <c r="W133" s="56"/>
      <c r="X133" s="44"/>
      <c r="Y133" s="43"/>
      <c r="Z133" s="30"/>
      <c r="AA133" s="58" t="str">
        <f>IFERROR(Tableau3[[#This Row],[Prix Achat TTC]]/Tableau3[[#This Row],[SHAB y/c V]],"-")</f>
        <v>-</v>
      </c>
      <c r="AB133" s="58" t="str">
        <f>IFERROR(Tableau3[[#This Row],[Prix Achat TTC]]/Tableau3[[#This Row],[SF priorisée]],"-")</f>
        <v>-</v>
      </c>
      <c r="AC133" s="58">
        <f>IFERROR(Tableau3[[#This Row],[Prix Achat TTC]]/Tableau3[[#This Row],[N]],"-")</f>
        <v>0</v>
      </c>
      <c r="AD133" s="66"/>
      <c r="AE133" s="66"/>
      <c r="AF133" s="66"/>
      <c r="AG133" s="58">
        <f>IFERROR((DATEDIF(Tableau3[[#This Row],[Demande LBU]],Tableau3[[#This Row],[Arrêté LBU]],"d"))/30,0)</f>
        <v>0</v>
      </c>
      <c r="AH133" s="72"/>
      <c r="AI133" s="72"/>
      <c r="AJ133" s="73">
        <f>IFERROR((DATEDIF(Tableau3[[#This Row],[Dde édition prêt]],Tableau3[[#This Row],[Contrat de prêt]],"d"))/30,"-")</f>
        <v>0</v>
      </c>
      <c r="AK133" s="72">
        <f>EOMONTH(Tableau3[[#This Row],[Contrat de prêt]],0)+1</f>
        <v>32</v>
      </c>
      <c r="AL133" s="72"/>
      <c r="AM133" s="72"/>
      <c r="AN133" s="72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3" s="82"/>
      <c r="AP133" s="2" t="str">
        <f>IF(Tableau3[[#This Row],[Montant des loyers perçus avant 1e échéance]]&lt;Tableau3[[#This Row],[Montant échéance annuelle]],"oui","non")</f>
        <v>non</v>
      </c>
      <c r="AS133" s="82">
        <f>Tableau3[[#This Row],[Mois de loyers avant 1e échéance]]-Tableau3[[#This Row],[Montant échéance annuelle]]</f>
        <v>0</v>
      </c>
      <c r="AU133" s="86">
        <v>46631</v>
      </c>
      <c r="AV133" s="98"/>
      <c r="AW133" s="56">
        <f>IFERROR((DATEDIF(Tableau3[[#This Row],[Arrêté LBU]],Tableau3[[#This Row],[OS démarrage]],"d"))/30,0)</f>
        <v>1554.3666666666666</v>
      </c>
      <c r="AX133" s="108">
        <v>12</v>
      </c>
      <c r="AY133" s="112"/>
      <c r="AZ133" s="110"/>
      <c r="BA133" s="116">
        <f>DATE(YEAR(Tableau3[[#This Row],[OS démarrage]]),MONTH(Tableau3[[#This Row],[OS démarrage]])+Tableau3[[#This Row],[Délai chantier initial]],DAY(Tableau3[[#This Row],[OS démarrage]]))</f>
        <v>46997</v>
      </c>
      <c r="BB13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47027</v>
      </c>
      <c r="BC133" s="121">
        <f>(Tableau3[[#This Row],[Date réception entreprise recalée]]-Tableau3[[#This Row],[Date réception entreprise prévue initialement]])/30</f>
        <v>1</v>
      </c>
      <c r="BD133" s="127"/>
      <c r="BE133" s="129"/>
      <c r="BF133" s="129"/>
      <c r="BG133" s="129"/>
      <c r="BH133" s="137">
        <f>IFERROR((Tableau3[[#This Row],[Date Livraison VEFA estimée avec retards constatés]]-Tableau3[[#This Row],[Date livraison contractuelle y/c avenant]])/30,"-")</f>
        <v>0</v>
      </c>
      <c r="BI133" s="138">
        <f>Tableau3[[#This Row],[Date Livraison VEFA estimée avec retards constatés]]-Tableau3[[#This Row],[Date livraison contractuelle y/c avenant]]</f>
        <v>0</v>
      </c>
      <c r="BJ133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4" spans="1:62" x14ac:dyDescent="0.3">
      <c r="A134" s="19" t="s">
        <v>355</v>
      </c>
      <c r="B134" s="4" t="s">
        <v>11</v>
      </c>
      <c r="C134" s="4" t="s">
        <v>21</v>
      </c>
      <c r="D134" s="4">
        <v>2027</v>
      </c>
      <c r="E134" s="4"/>
      <c r="F134" s="4"/>
      <c r="G134" s="4"/>
      <c r="H134" s="4"/>
      <c r="I134" s="6"/>
      <c r="J134" s="4"/>
      <c r="K134" s="4" t="s">
        <v>389</v>
      </c>
      <c r="L134" s="24">
        <f>Tableau3[[#This Row],[LLS]]+Tableau3[[#This Row],[LLTS]]+Tableau3[[#This Row],[PLS]]+Tableau3[[#This Row],[REHAB]]</f>
        <v>36</v>
      </c>
      <c r="M134" s="23">
        <f>IFERROR(Tableau3[[#This Row],[LLS]]+Tableau3[[#This Row],[LLTS]]+Tableau3[[#This Row],[PLS]],"-")</f>
        <v>0</v>
      </c>
      <c r="N134" s="25"/>
      <c r="O134" s="25"/>
      <c r="P134" s="25"/>
      <c r="Q134" s="4">
        <v>36</v>
      </c>
      <c r="R134" s="36"/>
      <c r="S134" s="31"/>
      <c r="T134" s="56">
        <f>Tableau3[[#This Row],[SHAB y/c V]]/Tableau3[[#This Row],[N]]</f>
        <v>0</v>
      </c>
      <c r="U134" s="56">
        <f>Tableau3[[#This Row],[SF priorisée]]/Tableau3[[#This Row],[N]]</f>
        <v>0</v>
      </c>
      <c r="V134" s="57" t="str">
        <f>IFERROR(Tableau3[[#This Row],[SHAB y/c V]]/Tableau3[[#This Row],[SF priorisée]],"-")</f>
        <v>-</v>
      </c>
      <c r="W134" s="56"/>
      <c r="X134" s="44"/>
      <c r="Y134" s="43"/>
      <c r="Z134" s="30"/>
      <c r="AA134" s="58" t="str">
        <f>IFERROR(Tableau3[[#This Row],[Prix Achat TTC]]/Tableau3[[#This Row],[SHAB y/c V]],"-")</f>
        <v>-</v>
      </c>
      <c r="AB134" s="58" t="str">
        <f>IFERROR(Tableau3[[#This Row],[Prix Achat TTC]]/Tableau3[[#This Row],[SF priorisée]],"-")</f>
        <v>-</v>
      </c>
      <c r="AC134" s="58">
        <f>IFERROR(Tableau3[[#This Row],[Prix Achat TTC]]/Tableau3[[#This Row],[N]],"-")</f>
        <v>0</v>
      </c>
      <c r="AD134" s="62"/>
      <c r="AE134" s="62"/>
      <c r="AF134" s="62"/>
      <c r="AG134" s="58">
        <f>IFERROR((DATEDIF(Tableau3[[#This Row],[Demande LBU]],Tableau3[[#This Row],[Arrêté LBU]],"d"))/30,0)</f>
        <v>0</v>
      </c>
      <c r="AH134" s="68"/>
      <c r="AI134" s="68"/>
      <c r="AJ134" s="73">
        <f>IFERROR((DATEDIF(Tableau3[[#This Row],[Dde édition prêt]],Tableau3[[#This Row],[Contrat de prêt]],"d"))/30,"-")</f>
        <v>0</v>
      </c>
      <c r="AK134" s="68">
        <f>EOMONTH(Tableau3[[#This Row],[Contrat de prêt]],0)+1</f>
        <v>32</v>
      </c>
      <c r="AL134" s="68"/>
      <c r="AM134" s="68"/>
      <c r="AN13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4" s="79"/>
      <c r="AP134" s="2" t="str">
        <f>IF(Tableau3[[#This Row],[Montant des loyers perçus avant 1e échéance]]&lt;Tableau3[[#This Row],[Montant échéance annuelle]],"oui","non")</f>
        <v>non</v>
      </c>
      <c r="AS134" s="79">
        <f>Tableau3[[#This Row],[Mois de loyers avant 1e échéance]]-Tableau3[[#This Row],[Montant échéance annuelle]]</f>
        <v>0</v>
      </c>
      <c r="AU134" s="86">
        <v>46997</v>
      </c>
      <c r="AV134" s="97"/>
      <c r="AW134" s="56">
        <f>IFERROR((DATEDIF(Tableau3[[#This Row],[Arrêté LBU]],Tableau3[[#This Row],[OS démarrage]],"d"))/30,0)</f>
        <v>1566.5666666666666</v>
      </c>
      <c r="AX134" s="107">
        <v>12</v>
      </c>
      <c r="AY134" s="112"/>
      <c r="AZ134" s="110"/>
      <c r="BA134" s="116">
        <f>DATE(YEAR(Tableau3[[#This Row],[OS démarrage]]),MONTH(Tableau3[[#This Row],[OS démarrage]])+Tableau3[[#This Row],[Délai chantier initial]],DAY(Tableau3[[#This Row],[OS démarrage]]))</f>
        <v>47362</v>
      </c>
      <c r="BB13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47392</v>
      </c>
      <c r="BC134" s="121">
        <f>(Tableau3[[#This Row],[Date réception entreprise recalée]]-Tableau3[[#This Row],[Date réception entreprise prévue initialement]])/30</f>
        <v>1</v>
      </c>
      <c r="BD134" s="126"/>
      <c r="BE134" s="124"/>
      <c r="BF134" s="124"/>
      <c r="BG134" s="124"/>
      <c r="BH134" s="137">
        <f>IFERROR((Tableau3[[#This Row],[Date Livraison VEFA estimée avec retards constatés]]-Tableau3[[#This Row],[Date livraison contractuelle y/c avenant]])/30,"-")</f>
        <v>0</v>
      </c>
      <c r="BI134" s="138">
        <f>Tableau3[[#This Row],[Date Livraison VEFA estimée avec retards constatés]]-Tableau3[[#This Row],[Date livraison contractuelle y/c avenant]]</f>
        <v>0</v>
      </c>
      <c r="BJ134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5" spans="1:62" x14ac:dyDescent="0.3">
      <c r="A135" s="19" t="s">
        <v>356</v>
      </c>
      <c r="B135" s="4" t="s">
        <v>41</v>
      </c>
      <c r="C135" s="4" t="s">
        <v>12</v>
      </c>
      <c r="D135" s="4">
        <v>2027</v>
      </c>
      <c r="E135" s="4"/>
      <c r="F135" s="4"/>
      <c r="G135" s="4"/>
      <c r="H135" s="4"/>
      <c r="I135" s="6"/>
      <c r="J135" s="4"/>
      <c r="K135" s="4" t="s">
        <v>389</v>
      </c>
      <c r="L135" s="24">
        <f>Tableau3[[#This Row],[LLS]]+Tableau3[[#This Row],[LLTS]]+Tableau3[[#This Row],[PLS]]+Tableau3[[#This Row],[REHAB]]</f>
        <v>54</v>
      </c>
      <c r="M135" s="23">
        <f>IFERROR(Tableau3[[#This Row],[LLS]]+Tableau3[[#This Row],[LLTS]]+Tableau3[[#This Row],[PLS]],"-")</f>
        <v>0</v>
      </c>
      <c r="N135" s="25"/>
      <c r="O135" s="25"/>
      <c r="P135" s="25"/>
      <c r="Q135" s="4">
        <v>54</v>
      </c>
      <c r="R135" s="36"/>
      <c r="S135" s="31"/>
      <c r="T135" s="56">
        <f>Tableau3[[#This Row],[SHAB y/c V]]/Tableau3[[#This Row],[N]]</f>
        <v>0</v>
      </c>
      <c r="U135" s="56">
        <f>Tableau3[[#This Row],[SF priorisée]]/Tableau3[[#This Row],[N]]</f>
        <v>0</v>
      </c>
      <c r="V135" s="57" t="str">
        <f>IFERROR(Tableau3[[#This Row],[SHAB y/c V]]/Tableau3[[#This Row],[SF priorisée]],"-")</f>
        <v>-</v>
      </c>
      <c r="W135" s="56"/>
      <c r="X135" s="44"/>
      <c r="Y135" s="43" t="s">
        <v>392</v>
      </c>
      <c r="Z135" s="30"/>
      <c r="AA135" s="58" t="str">
        <f>IFERROR(Tableau3[[#This Row],[Prix Achat TTC]]/Tableau3[[#This Row],[SHAB y/c V]],"-")</f>
        <v>-</v>
      </c>
      <c r="AB135" s="58" t="str">
        <f>IFERROR(Tableau3[[#This Row],[Prix Achat TTC]]/Tableau3[[#This Row],[SF priorisée]],"-")</f>
        <v>-</v>
      </c>
      <c r="AC135" s="58">
        <f>IFERROR(Tableau3[[#This Row],[Prix Achat TTC]]/Tableau3[[#This Row],[N]],"-")</f>
        <v>0</v>
      </c>
      <c r="AD135" s="62"/>
      <c r="AE135" s="62"/>
      <c r="AF135" s="62"/>
      <c r="AG135" s="58">
        <f>IFERROR((DATEDIF(Tableau3[[#This Row],[Demande LBU]],Tableau3[[#This Row],[Arrêté LBU]],"d"))/30,0)</f>
        <v>0</v>
      </c>
      <c r="AH135" s="68"/>
      <c r="AI135" s="68"/>
      <c r="AJ135" s="73">
        <f>IFERROR((DATEDIF(Tableau3[[#This Row],[Dde édition prêt]],Tableau3[[#This Row],[Contrat de prêt]],"d"))/30,"-")</f>
        <v>0</v>
      </c>
      <c r="AK135" s="68">
        <f>EOMONTH(Tableau3[[#This Row],[Contrat de prêt]],0)+1</f>
        <v>32</v>
      </c>
      <c r="AL135" s="68"/>
      <c r="AM135" s="68"/>
      <c r="AN13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5" s="79"/>
      <c r="AP135" s="2" t="str">
        <f>IF(Tableau3[[#This Row],[Montant des loyers perçus avant 1e échéance]]&lt;Tableau3[[#This Row],[Montant échéance annuelle]],"oui","non")</f>
        <v>non</v>
      </c>
      <c r="AS135" s="79">
        <f>Tableau3[[#This Row],[Mois de loyers avant 1e échéance]]-Tableau3[[#This Row],[Montant échéance annuelle]]</f>
        <v>0</v>
      </c>
      <c r="AU135" s="86">
        <v>46997</v>
      </c>
      <c r="AV135" s="97"/>
      <c r="AW135" s="56">
        <f>IFERROR((DATEDIF(Tableau3[[#This Row],[Arrêté LBU]],Tableau3[[#This Row],[OS démarrage]],"d"))/30,0)</f>
        <v>1566.5666666666666</v>
      </c>
      <c r="AX135" s="107">
        <v>12</v>
      </c>
      <c r="AY135" s="112"/>
      <c r="AZ135" s="110"/>
      <c r="BA135" s="116">
        <f>DATE(YEAR(Tableau3[[#This Row],[OS démarrage]]),MONTH(Tableau3[[#This Row],[OS démarrage]])+Tableau3[[#This Row],[Délai chantier initial]],DAY(Tableau3[[#This Row],[OS démarrage]]))</f>
        <v>47362</v>
      </c>
      <c r="BB13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47392</v>
      </c>
      <c r="BC135" s="121">
        <f>(Tableau3[[#This Row],[Date réception entreprise recalée]]-Tableau3[[#This Row],[Date réception entreprise prévue initialement]])/30</f>
        <v>1</v>
      </c>
      <c r="BD135" s="126"/>
      <c r="BE135" s="124"/>
      <c r="BF135" s="124"/>
      <c r="BG135" s="124"/>
      <c r="BH135" s="137">
        <f>IFERROR((Tableau3[[#This Row],[Date Livraison VEFA estimée avec retards constatés]]-Tableau3[[#This Row],[Date livraison contractuelle y/c avenant]])/30,"-")</f>
        <v>0</v>
      </c>
      <c r="BI135" s="138">
        <f>Tableau3[[#This Row],[Date Livraison VEFA estimée avec retards constatés]]-Tableau3[[#This Row],[Date livraison contractuelle y/c avenant]]</f>
        <v>0</v>
      </c>
      <c r="BJ135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6" spans="1:62" x14ac:dyDescent="0.3">
      <c r="A136" s="19" t="s">
        <v>357</v>
      </c>
      <c r="B136" s="4" t="s">
        <v>55</v>
      </c>
      <c r="C136" s="4" t="s">
        <v>12</v>
      </c>
      <c r="D136" s="4">
        <v>2027</v>
      </c>
      <c r="E136" s="4"/>
      <c r="F136" s="4"/>
      <c r="G136" s="4"/>
      <c r="H136" s="4"/>
      <c r="I136" s="6"/>
      <c r="J136" s="4"/>
      <c r="K136" s="4" t="s">
        <v>389</v>
      </c>
      <c r="L136" s="24">
        <f>Tableau3[[#This Row],[LLS]]+Tableau3[[#This Row],[LLTS]]+Tableau3[[#This Row],[PLS]]+Tableau3[[#This Row],[REHAB]]</f>
        <v>29</v>
      </c>
      <c r="M136" s="23">
        <f>IFERROR(Tableau3[[#This Row],[LLS]]+Tableau3[[#This Row],[LLTS]]+Tableau3[[#This Row],[PLS]],"-")</f>
        <v>0</v>
      </c>
      <c r="N136" s="25"/>
      <c r="O136" s="25"/>
      <c r="P136" s="25"/>
      <c r="Q136" s="4">
        <v>29</v>
      </c>
      <c r="R136" s="36"/>
      <c r="S136" s="31"/>
      <c r="T136" s="56">
        <f>Tableau3[[#This Row],[SHAB y/c V]]/Tableau3[[#This Row],[N]]</f>
        <v>0</v>
      </c>
      <c r="U136" s="56">
        <f>Tableau3[[#This Row],[SF priorisée]]/Tableau3[[#This Row],[N]]</f>
        <v>0</v>
      </c>
      <c r="V136" s="57" t="str">
        <f>IFERROR(Tableau3[[#This Row],[SHAB y/c V]]/Tableau3[[#This Row],[SF priorisée]],"-")</f>
        <v>-</v>
      </c>
      <c r="W136" s="56"/>
      <c r="X136" s="44"/>
      <c r="Y136" s="43"/>
      <c r="Z136" s="30"/>
      <c r="AA136" s="58" t="str">
        <f>IFERROR(Tableau3[[#This Row],[Prix Achat TTC]]/Tableau3[[#This Row],[SHAB y/c V]],"-")</f>
        <v>-</v>
      </c>
      <c r="AB136" s="58" t="str">
        <f>IFERROR(Tableau3[[#This Row],[Prix Achat TTC]]/Tableau3[[#This Row],[SF priorisée]],"-")</f>
        <v>-</v>
      </c>
      <c r="AC136" s="58">
        <f>IFERROR(Tableau3[[#This Row],[Prix Achat TTC]]/Tableau3[[#This Row],[N]],"-")</f>
        <v>0</v>
      </c>
      <c r="AD136" s="62"/>
      <c r="AE136" s="62"/>
      <c r="AF136" s="62"/>
      <c r="AG136" s="58">
        <f>IFERROR((DATEDIF(Tableau3[[#This Row],[Demande LBU]],Tableau3[[#This Row],[Arrêté LBU]],"d"))/30,0)</f>
        <v>0</v>
      </c>
      <c r="AH136" s="68"/>
      <c r="AI136" s="68"/>
      <c r="AJ136" s="73">
        <f>IFERROR((DATEDIF(Tableau3[[#This Row],[Dde édition prêt]],Tableau3[[#This Row],[Contrat de prêt]],"d"))/30,"-")</f>
        <v>0</v>
      </c>
      <c r="AK136" s="68">
        <f>EOMONTH(Tableau3[[#This Row],[Contrat de prêt]],0)+1</f>
        <v>32</v>
      </c>
      <c r="AL136" s="68"/>
      <c r="AM136" s="68"/>
      <c r="AN13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6" s="79"/>
      <c r="AP136" s="2" t="str">
        <f>IF(Tableau3[[#This Row],[Montant des loyers perçus avant 1e échéance]]&lt;Tableau3[[#This Row],[Montant échéance annuelle]],"oui","non")</f>
        <v>non</v>
      </c>
      <c r="AS136" s="79">
        <f>Tableau3[[#This Row],[Mois de loyers avant 1e échéance]]-Tableau3[[#This Row],[Montant échéance annuelle]]</f>
        <v>0</v>
      </c>
      <c r="AU136" s="86">
        <v>46997</v>
      </c>
      <c r="AV136" s="97"/>
      <c r="AW136" s="56">
        <f>IFERROR((DATEDIF(Tableau3[[#This Row],[Arrêté LBU]],Tableau3[[#This Row],[OS démarrage]],"d"))/30,0)</f>
        <v>1566.5666666666666</v>
      </c>
      <c r="AX136" s="107">
        <v>12</v>
      </c>
      <c r="AY136" s="112"/>
      <c r="AZ136" s="110"/>
      <c r="BA136" s="116">
        <f>DATE(YEAR(Tableau3[[#This Row],[OS démarrage]]),MONTH(Tableau3[[#This Row],[OS démarrage]])+Tableau3[[#This Row],[Délai chantier initial]],DAY(Tableau3[[#This Row],[OS démarrage]]))</f>
        <v>47362</v>
      </c>
      <c r="BB13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47392</v>
      </c>
      <c r="BC136" s="121">
        <f>(Tableau3[[#This Row],[Date réception entreprise recalée]]-Tableau3[[#This Row],[Date réception entreprise prévue initialement]])/30</f>
        <v>1</v>
      </c>
      <c r="BD136" s="126"/>
      <c r="BE136" s="124"/>
      <c r="BF136" s="124"/>
      <c r="BG136" s="124"/>
      <c r="BH136" s="137">
        <f>IFERROR((Tableau3[[#This Row],[Date Livraison VEFA estimée avec retards constatés]]-Tableau3[[#This Row],[Date livraison contractuelle y/c avenant]])/30,"-")</f>
        <v>0</v>
      </c>
      <c r="BI136" s="138">
        <f>Tableau3[[#This Row],[Date Livraison VEFA estimée avec retards constatés]]-Tableau3[[#This Row],[Date livraison contractuelle y/c avenant]]</f>
        <v>0</v>
      </c>
      <c r="BJ136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7" spans="1:62" x14ac:dyDescent="0.3">
      <c r="A137" s="19" t="s">
        <v>358</v>
      </c>
      <c r="B137" s="4" t="s">
        <v>41</v>
      </c>
      <c r="C137" s="4" t="s">
        <v>12</v>
      </c>
      <c r="D137" s="4">
        <v>2027</v>
      </c>
      <c r="E137" s="4"/>
      <c r="F137" s="4"/>
      <c r="G137" s="4"/>
      <c r="H137" s="4"/>
      <c r="I137" s="6"/>
      <c r="J137" s="4"/>
      <c r="K137" s="4" t="s">
        <v>389</v>
      </c>
      <c r="L137" s="24">
        <f>Tableau3[[#This Row],[LLS]]+Tableau3[[#This Row],[LLTS]]+Tableau3[[#This Row],[PLS]]+Tableau3[[#This Row],[REHAB]]</f>
        <v>23</v>
      </c>
      <c r="M137" s="23">
        <f>IFERROR(Tableau3[[#This Row],[LLS]]+Tableau3[[#This Row],[LLTS]]+Tableau3[[#This Row],[PLS]],"-")</f>
        <v>0</v>
      </c>
      <c r="N137" s="25"/>
      <c r="O137" s="25"/>
      <c r="P137" s="25"/>
      <c r="Q137" s="4">
        <v>23</v>
      </c>
      <c r="R137" s="36"/>
      <c r="S137" s="31"/>
      <c r="T137" s="56">
        <f>Tableau3[[#This Row],[SHAB y/c V]]/Tableau3[[#This Row],[N]]</f>
        <v>0</v>
      </c>
      <c r="U137" s="56">
        <f>Tableau3[[#This Row],[SF priorisée]]/Tableau3[[#This Row],[N]]</f>
        <v>0</v>
      </c>
      <c r="V137" s="57" t="str">
        <f>IFERROR(Tableau3[[#This Row],[SHAB y/c V]]/Tableau3[[#This Row],[SF priorisée]],"-")</f>
        <v>-</v>
      </c>
      <c r="W137" s="56"/>
      <c r="X137" s="44"/>
      <c r="Y137" s="43"/>
      <c r="Z137" s="30"/>
      <c r="AA137" s="58" t="str">
        <f>IFERROR(Tableau3[[#This Row],[Prix Achat TTC]]/Tableau3[[#This Row],[SHAB y/c V]],"-")</f>
        <v>-</v>
      </c>
      <c r="AB137" s="58" t="str">
        <f>IFERROR(Tableau3[[#This Row],[Prix Achat TTC]]/Tableau3[[#This Row],[SF priorisée]],"-")</f>
        <v>-</v>
      </c>
      <c r="AC137" s="58">
        <f>IFERROR(Tableau3[[#This Row],[Prix Achat TTC]]/Tableau3[[#This Row],[N]],"-")</f>
        <v>0</v>
      </c>
      <c r="AD137" s="62"/>
      <c r="AE137" s="62"/>
      <c r="AF137" s="62"/>
      <c r="AG137" s="58">
        <f>IFERROR((DATEDIF(Tableau3[[#This Row],[Demande LBU]],Tableau3[[#This Row],[Arrêté LBU]],"d"))/30,0)</f>
        <v>0</v>
      </c>
      <c r="AH137" s="68"/>
      <c r="AI137" s="68"/>
      <c r="AJ137" s="73">
        <f>IFERROR((DATEDIF(Tableau3[[#This Row],[Dde édition prêt]],Tableau3[[#This Row],[Contrat de prêt]],"d"))/30,"-")</f>
        <v>0</v>
      </c>
      <c r="AK137" s="68">
        <f>EOMONTH(Tableau3[[#This Row],[Contrat de prêt]],0)+1</f>
        <v>32</v>
      </c>
      <c r="AL137" s="68"/>
      <c r="AM137" s="68"/>
      <c r="AN13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7" s="79"/>
      <c r="AP137" s="2" t="str">
        <f>IF(Tableau3[[#This Row],[Montant des loyers perçus avant 1e échéance]]&lt;Tableau3[[#This Row],[Montant échéance annuelle]],"oui","non")</f>
        <v>non</v>
      </c>
      <c r="AS137" s="79">
        <f>Tableau3[[#This Row],[Mois de loyers avant 1e échéance]]-Tableau3[[#This Row],[Montant échéance annuelle]]</f>
        <v>0</v>
      </c>
      <c r="AU137" s="86">
        <v>46997</v>
      </c>
      <c r="AV137" s="97"/>
      <c r="AW137" s="56">
        <f>IFERROR((DATEDIF(Tableau3[[#This Row],[Arrêté LBU]],Tableau3[[#This Row],[OS démarrage]],"d"))/30,0)</f>
        <v>1566.5666666666666</v>
      </c>
      <c r="AX137" s="107">
        <v>12</v>
      </c>
      <c r="AY137" s="112"/>
      <c r="AZ137" s="110"/>
      <c r="BA137" s="116">
        <f>DATE(YEAR(Tableau3[[#This Row],[OS démarrage]]),MONTH(Tableau3[[#This Row],[OS démarrage]])+Tableau3[[#This Row],[Délai chantier initial]],DAY(Tableau3[[#This Row],[OS démarrage]]))</f>
        <v>47362</v>
      </c>
      <c r="BB13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47392</v>
      </c>
      <c r="BC137" s="121">
        <f>(Tableau3[[#This Row],[Date réception entreprise recalée]]-Tableau3[[#This Row],[Date réception entreprise prévue initialement]])/30</f>
        <v>1</v>
      </c>
      <c r="BD137" s="126"/>
      <c r="BE137" s="124"/>
      <c r="BF137" s="124"/>
      <c r="BG137" s="124"/>
      <c r="BH137" s="137">
        <f>IFERROR((Tableau3[[#This Row],[Date Livraison VEFA estimée avec retards constatés]]-Tableau3[[#This Row],[Date livraison contractuelle y/c avenant]])/30,"-")</f>
        <v>0</v>
      </c>
      <c r="BI137" s="138">
        <f>Tableau3[[#This Row],[Date Livraison VEFA estimée avec retards constatés]]-Tableau3[[#This Row],[Date livraison contractuelle y/c avenant]]</f>
        <v>0</v>
      </c>
      <c r="BJ137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8" spans="1:62" x14ac:dyDescent="0.3">
      <c r="A138" s="19" t="s">
        <v>359</v>
      </c>
      <c r="B138" s="4" t="s">
        <v>55</v>
      </c>
      <c r="C138" s="4" t="s">
        <v>12</v>
      </c>
      <c r="D138" s="4">
        <v>2027</v>
      </c>
      <c r="E138" s="4"/>
      <c r="F138" s="4"/>
      <c r="G138" s="4"/>
      <c r="H138" s="4"/>
      <c r="I138" s="6"/>
      <c r="J138" s="4"/>
      <c r="K138" s="4" t="s">
        <v>389</v>
      </c>
      <c r="L138" s="24">
        <f>Tableau3[[#This Row],[LLS]]+Tableau3[[#This Row],[LLTS]]+Tableau3[[#This Row],[PLS]]+Tableau3[[#This Row],[REHAB]]</f>
        <v>55</v>
      </c>
      <c r="M138" s="23">
        <f>IFERROR(Tableau3[[#This Row],[LLS]]+Tableau3[[#This Row],[LLTS]]+Tableau3[[#This Row],[PLS]],"-")</f>
        <v>0</v>
      </c>
      <c r="N138" s="25"/>
      <c r="O138" s="25"/>
      <c r="P138" s="25"/>
      <c r="Q138" s="4">
        <v>55</v>
      </c>
      <c r="R138" s="36"/>
      <c r="S138" s="31"/>
      <c r="T138" s="56">
        <f>Tableau3[[#This Row],[SHAB y/c V]]/Tableau3[[#This Row],[N]]</f>
        <v>0</v>
      </c>
      <c r="U138" s="56">
        <f>Tableau3[[#This Row],[SF priorisée]]/Tableau3[[#This Row],[N]]</f>
        <v>0</v>
      </c>
      <c r="V138" s="57" t="str">
        <f>IFERROR(Tableau3[[#This Row],[SHAB y/c V]]/Tableau3[[#This Row],[SF priorisée]],"-")</f>
        <v>-</v>
      </c>
      <c r="W138" s="56"/>
      <c r="X138" s="44"/>
      <c r="Y138" s="43"/>
      <c r="Z138" s="30"/>
      <c r="AA138" s="58" t="str">
        <f>IFERROR(Tableau3[[#This Row],[Prix Achat TTC]]/Tableau3[[#This Row],[SHAB y/c V]],"-")</f>
        <v>-</v>
      </c>
      <c r="AB138" s="58" t="str">
        <f>IFERROR(Tableau3[[#This Row],[Prix Achat TTC]]/Tableau3[[#This Row],[SF priorisée]],"-")</f>
        <v>-</v>
      </c>
      <c r="AC138" s="58">
        <f>IFERROR(Tableau3[[#This Row],[Prix Achat TTC]]/Tableau3[[#This Row],[N]],"-")</f>
        <v>0</v>
      </c>
      <c r="AD138" s="62"/>
      <c r="AE138" s="62"/>
      <c r="AF138" s="62"/>
      <c r="AG138" s="58">
        <f>IFERROR((DATEDIF(Tableau3[[#This Row],[Demande LBU]],Tableau3[[#This Row],[Arrêté LBU]],"d"))/30,0)</f>
        <v>0</v>
      </c>
      <c r="AH138" s="68"/>
      <c r="AI138" s="68"/>
      <c r="AJ138" s="73">
        <f>IFERROR((DATEDIF(Tableau3[[#This Row],[Dde édition prêt]],Tableau3[[#This Row],[Contrat de prêt]],"d"))/30,"-")</f>
        <v>0</v>
      </c>
      <c r="AK138" s="68">
        <f>EOMONTH(Tableau3[[#This Row],[Contrat de prêt]],0)+1</f>
        <v>32</v>
      </c>
      <c r="AL138" s="68"/>
      <c r="AM138" s="68"/>
      <c r="AN13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8" s="79"/>
      <c r="AP138" s="2" t="str">
        <f>IF(Tableau3[[#This Row],[Montant des loyers perçus avant 1e échéance]]&lt;Tableau3[[#This Row],[Montant échéance annuelle]],"oui","non")</f>
        <v>non</v>
      </c>
      <c r="AS138" s="79">
        <f>Tableau3[[#This Row],[Mois de loyers avant 1e échéance]]-Tableau3[[#This Row],[Montant échéance annuelle]]</f>
        <v>0</v>
      </c>
      <c r="AU138" s="86">
        <v>46997</v>
      </c>
      <c r="AV138" s="97"/>
      <c r="AW138" s="56">
        <f>IFERROR((DATEDIF(Tableau3[[#This Row],[Arrêté LBU]],Tableau3[[#This Row],[OS démarrage]],"d"))/30,0)</f>
        <v>1566.5666666666666</v>
      </c>
      <c r="AX138" s="107">
        <v>12</v>
      </c>
      <c r="AY138" s="112"/>
      <c r="AZ138" s="110"/>
      <c r="BA138" s="116">
        <f>DATE(YEAR(Tableau3[[#This Row],[OS démarrage]]),MONTH(Tableau3[[#This Row],[OS démarrage]])+Tableau3[[#This Row],[Délai chantier initial]],DAY(Tableau3[[#This Row],[OS démarrage]]))</f>
        <v>47362</v>
      </c>
      <c r="BB13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47392</v>
      </c>
      <c r="BC138" s="121">
        <f>(Tableau3[[#This Row],[Date réception entreprise recalée]]-Tableau3[[#This Row],[Date réception entreprise prévue initialement]])/30</f>
        <v>1</v>
      </c>
      <c r="BD138" s="126"/>
      <c r="BE138" s="124"/>
      <c r="BF138" s="124"/>
      <c r="BG138" s="124"/>
      <c r="BH138" s="137">
        <f>IFERROR((Tableau3[[#This Row],[Date Livraison VEFA estimée avec retards constatés]]-Tableau3[[#This Row],[Date livraison contractuelle y/c avenant]])/30,"-")</f>
        <v>0</v>
      </c>
      <c r="BI138" s="138">
        <f>Tableau3[[#This Row],[Date Livraison VEFA estimée avec retards constatés]]-Tableau3[[#This Row],[Date livraison contractuelle y/c avenant]]</f>
        <v>0</v>
      </c>
      <c r="BJ138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39" spans="1:62" x14ac:dyDescent="0.3">
      <c r="A139" s="19" t="s">
        <v>360</v>
      </c>
      <c r="B139" s="4" t="s">
        <v>55</v>
      </c>
      <c r="C139" s="4" t="s">
        <v>12</v>
      </c>
      <c r="D139" s="4">
        <v>2028</v>
      </c>
      <c r="E139" s="4"/>
      <c r="F139" s="4"/>
      <c r="G139" s="4"/>
      <c r="H139" s="4"/>
      <c r="I139" s="6"/>
      <c r="J139" s="4"/>
      <c r="K139" s="4" t="s">
        <v>389</v>
      </c>
      <c r="L139" s="24">
        <f>Tableau3[[#This Row],[LLS]]+Tableau3[[#This Row],[LLTS]]+Tableau3[[#This Row],[PLS]]+Tableau3[[#This Row],[REHAB]]</f>
        <v>69</v>
      </c>
      <c r="M139" s="23">
        <f>IFERROR(Tableau3[[#This Row],[LLS]]+Tableau3[[#This Row],[LLTS]]+Tableau3[[#This Row],[PLS]],"-")</f>
        <v>0</v>
      </c>
      <c r="N139" s="25"/>
      <c r="O139" s="25"/>
      <c r="P139" s="25"/>
      <c r="Q139" s="4">
        <v>69</v>
      </c>
      <c r="R139" s="36"/>
      <c r="S139" s="31"/>
      <c r="T139" s="56">
        <f>Tableau3[[#This Row],[SHAB y/c V]]/Tableau3[[#This Row],[N]]</f>
        <v>0</v>
      </c>
      <c r="U139" s="56">
        <f>Tableau3[[#This Row],[SF priorisée]]/Tableau3[[#This Row],[N]]</f>
        <v>0</v>
      </c>
      <c r="V139" s="57" t="str">
        <f>IFERROR(Tableau3[[#This Row],[SHAB y/c V]]/Tableau3[[#This Row],[SF priorisée]],"-")</f>
        <v>-</v>
      </c>
      <c r="W139" s="56"/>
      <c r="X139" s="44"/>
      <c r="Y139" s="43"/>
      <c r="Z139" s="30"/>
      <c r="AA139" s="58" t="str">
        <f>IFERROR(Tableau3[[#This Row],[Prix Achat TTC]]/Tableau3[[#This Row],[SHAB y/c V]],"-")</f>
        <v>-</v>
      </c>
      <c r="AB139" s="58" t="str">
        <f>IFERROR(Tableau3[[#This Row],[Prix Achat TTC]]/Tableau3[[#This Row],[SF priorisée]],"-")</f>
        <v>-</v>
      </c>
      <c r="AC139" s="58">
        <f>IFERROR(Tableau3[[#This Row],[Prix Achat TTC]]/Tableau3[[#This Row],[N]],"-")</f>
        <v>0</v>
      </c>
      <c r="AD139" s="62"/>
      <c r="AE139" s="62"/>
      <c r="AF139" s="62"/>
      <c r="AG139" s="58">
        <f>IFERROR((DATEDIF(Tableau3[[#This Row],[Demande LBU]],Tableau3[[#This Row],[Arrêté LBU]],"d"))/30,0)</f>
        <v>0</v>
      </c>
      <c r="AH139" s="68"/>
      <c r="AI139" s="68"/>
      <c r="AJ139" s="73">
        <f>IFERROR((DATEDIF(Tableau3[[#This Row],[Dde édition prêt]],Tableau3[[#This Row],[Contrat de prêt]],"d"))/30,"-")</f>
        <v>0</v>
      </c>
      <c r="AK139" s="68">
        <f>EOMONTH(Tableau3[[#This Row],[Contrat de prêt]],0)+1</f>
        <v>32</v>
      </c>
      <c r="AL139" s="68"/>
      <c r="AM139" s="68"/>
      <c r="AN139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39" s="79"/>
      <c r="AP139" s="2" t="str">
        <f>IF(Tableau3[[#This Row],[Montant des loyers perçus avant 1e échéance]]&lt;Tableau3[[#This Row],[Montant échéance annuelle]],"oui","non")</f>
        <v>non</v>
      </c>
      <c r="AS139" s="79">
        <f>Tableau3[[#This Row],[Mois de loyers avant 1e échéance]]-Tableau3[[#This Row],[Montant échéance annuelle]]</f>
        <v>0</v>
      </c>
      <c r="AU139" s="86">
        <v>47362</v>
      </c>
      <c r="AV139" s="97"/>
      <c r="AW139" s="56">
        <f>IFERROR((DATEDIF(Tableau3[[#This Row],[Arrêté LBU]],Tableau3[[#This Row],[OS démarrage]],"d"))/30,0)</f>
        <v>1578.7333333333333</v>
      </c>
      <c r="AX139" s="107">
        <v>12</v>
      </c>
      <c r="AY139" s="112"/>
      <c r="AZ139" s="110"/>
      <c r="BA139" s="116">
        <f>DATE(YEAR(Tableau3[[#This Row],[OS démarrage]]),MONTH(Tableau3[[#This Row],[OS démarrage]])+Tableau3[[#This Row],[Délai chantier initial]],DAY(Tableau3[[#This Row],[OS démarrage]]))</f>
        <v>47727</v>
      </c>
      <c r="BB13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47757</v>
      </c>
      <c r="BC139" s="121">
        <f>(Tableau3[[#This Row],[Date réception entreprise recalée]]-Tableau3[[#This Row],[Date réception entreprise prévue initialement]])/30</f>
        <v>1</v>
      </c>
      <c r="BD139" s="126"/>
      <c r="BE139" s="124"/>
      <c r="BF139" s="124"/>
      <c r="BG139" s="124"/>
      <c r="BH139" s="137">
        <f>IFERROR((Tableau3[[#This Row],[Date Livraison VEFA estimée avec retards constatés]]-Tableau3[[#This Row],[Date livraison contractuelle y/c avenant]])/30,"-")</f>
        <v>0</v>
      </c>
      <c r="BI139" s="138">
        <f>Tableau3[[#This Row],[Date Livraison VEFA estimée avec retards constatés]]-Tableau3[[#This Row],[Date livraison contractuelle y/c avenant]]</f>
        <v>0</v>
      </c>
      <c r="BJ139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40" spans="1:62" x14ac:dyDescent="0.3">
      <c r="A140" s="19" t="s">
        <v>361</v>
      </c>
      <c r="B140" s="4" t="s">
        <v>11</v>
      </c>
      <c r="C140" s="4" t="s">
        <v>21</v>
      </c>
      <c r="D140" s="4">
        <v>2028</v>
      </c>
      <c r="E140" s="4"/>
      <c r="F140" s="4"/>
      <c r="G140" s="4"/>
      <c r="H140" s="4"/>
      <c r="I140" s="6"/>
      <c r="J140" s="4"/>
      <c r="K140" s="4" t="s">
        <v>389</v>
      </c>
      <c r="L140" s="24">
        <f>Tableau3[[#This Row],[LLS]]+Tableau3[[#This Row],[LLTS]]+Tableau3[[#This Row],[PLS]]+Tableau3[[#This Row],[REHAB]]</f>
        <v>38</v>
      </c>
      <c r="M140" s="23">
        <f>IFERROR(Tableau3[[#This Row],[LLS]]+Tableau3[[#This Row],[LLTS]]+Tableau3[[#This Row],[PLS]],"-")</f>
        <v>0</v>
      </c>
      <c r="N140" s="25"/>
      <c r="O140" s="25"/>
      <c r="P140" s="25"/>
      <c r="Q140" s="4">
        <v>38</v>
      </c>
      <c r="R140" s="36"/>
      <c r="S140" s="31"/>
      <c r="T140" s="56">
        <f>Tableau3[[#This Row],[SHAB y/c V]]/Tableau3[[#This Row],[N]]</f>
        <v>0</v>
      </c>
      <c r="U140" s="56">
        <f>Tableau3[[#This Row],[SF priorisée]]/Tableau3[[#This Row],[N]]</f>
        <v>0</v>
      </c>
      <c r="V140" s="57" t="str">
        <f>IFERROR(Tableau3[[#This Row],[SHAB y/c V]]/Tableau3[[#This Row],[SF priorisée]],"-")</f>
        <v>-</v>
      </c>
      <c r="W140" s="56"/>
      <c r="X140" s="44"/>
      <c r="Y140" s="43"/>
      <c r="Z140" s="30"/>
      <c r="AA140" s="58" t="str">
        <f>IFERROR(Tableau3[[#This Row],[Prix Achat TTC]]/Tableau3[[#This Row],[SHAB y/c V]],"-")</f>
        <v>-</v>
      </c>
      <c r="AB140" s="58" t="str">
        <f>IFERROR(Tableau3[[#This Row],[Prix Achat TTC]]/Tableau3[[#This Row],[SF priorisée]],"-")</f>
        <v>-</v>
      </c>
      <c r="AC140" s="58">
        <f>IFERROR(Tableau3[[#This Row],[Prix Achat TTC]]/Tableau3[[#This Row],[N]],"-")</f>
        <v>0</v>
      </c>
      <c r="AD140" s="62"/>
      <c r="AE140" s="62"/>
      <c r="AF140" s="62"/>
      <c r="AG140" s="58">
        <f>IFERROR((DATEDIF(Tableau3[[#This Row],[Demande LBU]],Tableau3[[#This Row],[Arrêté LBU]],"d"))/30,0)</f>
        <v>0</v>
      </c>
      <c r="AH140" s="68"/>
      <c r="AI140" s="68"/>
      <c r="AJ140" s="73">
        <f>IFERROR((DATEDIF(Tableau3[[#This Row],[Dde édition prêt]],Tableau3[[#This Row],[Contrat de prêt]],"d"))/30,"-")</f>
        <v>0</v>
      </c>
      <c r="AK140" s="68">
        <f>EOMONTH(Tableau3[[#This Row],[Contrat de prêt]],0)+1</f>
        <v>32</v>
      </c>
      <c r="AL140" s="68"/>
      <c r="AM140" s="68"/>
      <c r="AN14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0" s="79"/>
      <c r="AP140" s="2" t="str">
        <f>IF(Tableau3[[#This Row],[Montant des loyers perçus avant 1e échéance]]&lt;Tableau3[[#This Row],[Montant échéance annuelle]],"oui","non")</f>
        <v>non</v>
      </c>
      <c r="AS140" s="79">
        <f>Tableau3[[#This Row],[Mois de loyers avant 1e échéance]]-Tableau3[[#This Row],[Montant échéance annuelle]]</f>
        <v>0</v>
      </c>
      <c r="AU140" s="86">
        <v>47362</v>
      </c>
      <c r="AV140" s="97"/>
      <c r="AW140" s="56">
        <f>IFERROR((DATEDIF(Tableau3[[#This Row],[Arrêté LBU]],Tableau3[[#This Row],[OS démarrage]],"d"))/30,0)</f>
        <v>1578.7333333333333</v>
      </c>
      <c r="AX140" s="107">
        <v>12</v>
      </c>
      <c r="AY140" s="112"/>
      <c r="AZ140" s="110"/>
      <c r="BA140" s="116">
        <f>DATE(YEAR(Tableau3[[#This Row],[OS démarrage]]),MONTH(Tableau3[[#This Row],[OS démarrage]])+Tableau3[[#This Row],[Délai chantier initial]],DAY(Tableau3[[#This Row],[OS démarrage]]))</f>
        <v>47727</v>
      </c>
      <c r="BB14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47757</v>
      </c>
      <c r="BC140" s="121">
        <f>(Tableau3[[#This Row],[Date réception entreprise recalée]]-Tableau3[[#This Row],[Date réception entreprise prévue initialement]])/30</f>
        <v>1</v>
      </c>
      <c r="BD140" s="126"/>
      <c r="BE140" s="124"/>
      <c r="BF140" s="124"/>
      <c r="BG140" s="124"/>
      <c r="BH140" s="137">
        <f>IFERROR((Tableau3[[#This Row],[Date Livraison VEFA estimée avec retards constatés]]-Tableau3[[#This Row],[Date livraison contractuelle y/c avenant]])/30,"-")</f>
        <v>0</v>
      </c>
      <c r="BI140" s="138">
        <f>Tableau3[[#This Row],[Date Livraison VEFA estimée avec retards constatés]]-Tableau3[[#This Row],[Date livraison contractuelle y/c avenant]]</f>
        <v>0</v>
      </c>
      <c r="BJ140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41" spans="1:62" x14ac:dyDescent="0.3">
      <c r="A141" s="19" t="s">
        <v>362</v>
      </c>
      <c r="B141" s="4" t="s">
        <v>20</v>
      </c>
      <c r="C141" s="4" t="s">
        <v>12</v>
      </c>
      <c r="D141" s="4">
        <v>2028</v>
      </c>
      <c r="E141" s="4"/>
      <c r="F141" s="4"/>
      <c r="G141" s="4"/>
      <c r="H141" s="4"/>
      <c r="I141" s="6"/>
      <c r="J141" s="4"/>
      <c r="K141" s="4" t="s">
        <v>389</v>
      </c>
      <c r="L141" s="24">
        <f>Tableau3[[#This Row],[LLS]]+Tableau3[[#This Row],[LLTS]]+Tableau3[[#This Row],[PLS]]+Tableau3[[#This Row],[REHAB]]</f>
        <v>19</v>
      </c>
      <c r="M141" s="23">
        <f>IFERROR(Tableau3[[#This Row],[LLS]]+Tableau3[[#This Row],[LLTS]]+Tableau3[[#This Row],[PLS]],"-")</f>
        <v>0</v>
      </c>
      <c r="N141" s="25"/>
      <c r="O141" s="25"/>
      <c r="P141" s="25"/>
      <c r="Q141" s="4">
        <v>19</v>
      </c>
      <c r="R141" s="36"/>
      <c r="S141" s="31"/>
      <c r="T141" s="56">
        <f>Tableau3[[#This Row],[SHAB y/c V]]/Tableau3[[#This Row],[N]]</f>
        <v>0</v>
      </c>
      <c r="U141" s="56">
        <f>Tableau3[[#This Row],[SF priorisée]]/Tableau3[[#This Row],[N]]</f>
        <v>0</v>
      </c>
      <c r="V141" s="57" t="str">
        <f>IFERROR(Tableau3[[#This Row],[SHAB y/c V]]/Tableau3[[#This Row],[SF priorisée]],"-")</f>
        <v>-</v>
      </c>
      <c r="W141" s="56"/>
      <c r="X141" s="44"/>
      <c r="Y141" s="43"/>
      <c r="Z141" s="30"/>
      <c r="AA141" s="58" t="str">
        <f>IFERROR(Tableau3[[#This Row],[Prix Achat TTC]]/Tableau3[[#This Row],[SHAB y/c V]],"-")</f>
        <v>-</v>
      </c>
      <c r="AB141" s="58" t="str">
        <f>IFERROR(Tableau3[[#This Row],[Prix Achat TTC]]/Tableau3[[#This Row],[SF priorisée]],"-")</f>
        <v>-</v>
      </c>
      <c r="AC141" s="58">
        <f>IFERROR(Tableau3[[#This Row],[Prix Achat TTC]]/Tableau3[[#This Row],[N]],"-")</f>
        <v>0</v>
      </c>
      <c r="AD141" s="62"/>
      <c r="AE141" s="62"/>
      <c r="AF141" s="62"/>
      <c r="AG141" s="58">
        <f>IFERROR((DATEDIF(Tableau3[[#This Row],[Demande LBU]],Tableau3[[#This Row],[Arrêté LBU]],"d"))/30,0)</f>
        <v>0</v>
      </c>
      <c r="AH141" s="68"/>
      <c r="AI141" s="68"/>
      <c r="AJ141" s="73">
        <f>IFERROR((DATEDIF(Tableau3[[#This Row],[Dde édition prêt]],Tableau3[[#This Row],[Contrat de prêt]],"d"))/30,"-")</f>
        <v>0</v>
      </c>
      <c r="AK141" s="68">
        <f>EOMONTH(Tableau3[[#This Row],[Contrat de prêt]],0)+1</f>
        <v>32</v>
      </c>
      <c r="AL141" s="68"/>
      <c r="AM141" s="68"/>
      <c r="AN14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1" s="79"/>
      <c r="AP141" s="2" t="str">
        <f>IF(Tableau3[[#This Row],[Montant des loyers perçus avant 1e échéance]]&lt;Tableau3[[#This Row],[Montant échéance annuelle]],"oui","non")</f>
        <v>non</v>
      </c>
      <c r="AS141" s="79">
        <f>Tableau3[[#This Row],[Mois de loyers avant 1e échéance]]-Tableau3[[#This Row],[Montant échéance annuelle]]</f>
        <v>0</v>
      </c>
      <c r="AU141" s="86">
        <v>47445</v>
      </c>
      <c r="AV141" s="97"/>
      <c r="AW141" s="56">
        <f>IFERROR((DATEDIF(Tableau3[[#This Row],[Arrêté LBU]],Tableau3[[#This Row],[OS démarrage]],"d"))/30,0)</f>
        <v>1581.5</v>
      </c>
      <c r="AX141" s="107">
        <v>12</v>
      </c>
      <c r="AY141" s="112"/>
      <c r="AZ141" s="110"/>
      <c r="BA141" s="116">
        <f>DATE(YEAR(Tableau3[[#This Row],[OS démarrage]]),MONTH(Tableau3[[#This Row],[OS démarrage]])+Tableau3[[#This Row],[Délai chantier initial]],DAY(Tableau3[[#This Row],[OS démarrage]]))</f>
        <v>47810</v>
      </c>
      <c r="BB14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47840</v>
      </c>
      <c r="BC141" s="121">
        <f>(Tableau3[[#This Row],[Date réception entreprise recalée]]-Tableau3[[#This Row],[Date réception entreprise prévue initialement]])/30</f>
        <v>1</v>
      </c>
      <c r="BD141" s="126"/>
      <c r="BE141" s="124"/>
      <c r="BF141" s="124"/>
      <c r="BG141" s="124"/>
      <c r="BH141" s="137">
        <f>IFERROR((Tableau3[[#This Row],[Date Livraison VEFA estimée avec retards constatés]]-Tableau3[[#This Row],[Date livraison contractuelle y/c avenant]])/30,"-")</f>
        <v>0</v>
      </c>
      <c r="BI141" s="138">
        <f>Tableau3[[#This Row],[Date Livraison VEFA estimée avec retards constatés]]-Tableau3[[#This Row],[Date livraison contractuelle y/c avenant]]</f>
        <v>0</v>
      </c>
      <c r="BJ141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42" spans="1:62" x14ac:dyDescent="0.3">
      <c r="A142" s="19" t="s">
        <v>363</v>
      </c>
      <c r="B142" s="4" t="s">
        <v>55</v>
      </c>
      <c r="C142" s="4" t="s">
        <v>12</v>
      </c>
      <c r="D142" s="4">
        <v>2028</v>
      </c>
      <c r="E142" s="4"/>
      <c r="F142" s="4"/>
      <c r="G142" s="4"/>
      <c r="H142" s="4"/>
      <c r="I142" s="6" t="s">
        <v>10</v>
      </c>
      <c r="J142" s="4"/>
      <c r="K142" s="4" t="s">
        <v>389</v>
      </c>
      <c r="L142" s="24">
        <f>Tableau3[[#This Row],[LLS]]+Tableau3[[#This Row],[LLTS]]+Tableau3[[#This Row],[PLS]]+Tableau3[[#This Row],[REHAB]]</f>
        <v>20</v>
      </c>
      <c r="M142" s="23">
        <f>IFERROR(Tableau3[[#This Row],[LLS]]+Tableau3[[#This Row],[LLTS]]+Tableau3[[#This Row],[PLS]],"-")</f>
        <v>0</v>
      </c>
      <c r="N142" s="25"/>
      <c r="O142" s="25"/>
      <c r="P142" s="25"/>
      <c r="Q142" s="4">
        <v>20</v>
      </c>
      <c r="R142" s="36"/>
      <c r="S142" s="31"/>
      <c r="T142" s="56">
        <f>Tableau3[[#This Row],[SHAB y/c V]]/Tableau3[[#This Row],[N]]</f>
        <v>0</v>
      </c>
      <c r="U142" s="56">
        <f>Tableau3[[#This Row],[SF priorisée]]/Tableau3[[#This Row],[N]]</f>
        <v>0</v>
      </c>
      <c r="V142" s="57" t="str">
        <f>IFERROR(Tableau3[[#This Row],[SHAB y/c V]]/Tableau3[[#This Row],[SF priorisée]],"-")</f>
        <v>-</v>
      </c>
      <c r="W142" s="56"/>
      <c r="X142" s="44"/>
      <c r="Y142" s="43"/>
      <c r="Z142" s="30"/>
      <c r="AA142" s="58" t="str">
        <f>IFERROR(Tableau3[[#This Row],[Prix Achat TTC]]/Tableau3[[#This Row],[SHAB y/c V]],"-")</f>
        <v>-</v>
      </c>
      <c r="AB142" s="58" t="str">
        <f>IFERROR(Tableau3[[#This Row],[Prix Achat TTC]]/Tableau3[[#This Row],[SF priorisée]],"-")</f>
        <v>-</v>
      </c>
      <c r="AC142" s="58">
        <f>IFERROR(Tableau3[[#This Row],[Prix Achat TTC]]/Tableau3[[#This Row],[N]],"-")</f>
        <v>0</v>
      </c>
      <c r="AD142" s="62"/>
      <c r="AE142" s="62"/>
      <c r="AF142" s="62"/>
      <c r="AG142" s="58">
        <f>IFERROR((DATEDIF(Tableau3[[#This Row],[Demande LBU]],Tableau3[[#This Row],[Arrêté LBU]],"d"))/30,0)</f>
        <v>0</v>
      </c>
      <c r="AH142" s="68"/>
      <c r="AI142" s="68"/>
      <c r="AJ142" s="73">
        <f>IFERROR((DATEDIF(Tableau3[[#This Row],[Dde édition prêt]],Tableau3[[#This Row],[Contrat de prêt]],"d"))/30,"-")</f>
        <v>0</v>
      </c>
      <c r="AK142" s="68">
        <f>EOMONTH(Tableau3[[#This Row],[Contrat de prêt]],0)+1</f>
        <v>32</v>
      </c>
      <c r="AL142" s="68"/>
      <c r="AM142" s="68"/>
      <c r="AN14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2" s="79"/>
      <c r="AP142" s="2" t="str">
        <f>IF(Tableau3[[#This Row],[Montant des loyers perçus avant 1e échéance]]&lt;Tableau3[[#This Row],[Montant échéance annuelle]],"oui","non")</f>
        <v>non</v>
      </c>
      <c r="AS142" s="79">
        <f>Tableau3[[#This Row],[Mois de loyers avant 1e échéance]]-Tableau3[[#This Row],[Montant échéance annuelle]]</f>
        <v>0</v>
      </c>
      <c r="AU142" s="86">
        <v>47445</v>
      </c>
      <c r="AV142" s="97"/>
      <c r="AW142" s="56">
        <f>IFERROR((DATEDIF(Tableau3[[#This Row],[Arrêté LBU]],Tableau3[[#This Row],[OS démarrage]],"d"))/30,0)</f>
        <v>1581.5</v>
      </c>
      <c r="AX142" s="107">
        <v>12</v>
      </c>
      <c r="AY142" s="112"/>
      <c r="AZ142" s="110"/>
      <c r="BA142" s="116">
        <f>DATE(YEAR(Tableau3[[#This Row],[OS démarrage]]),MONTH(Tableau3[[#This Row],[OS démarrage]])+Tableau3[[#This Row],[Délai chantier initial]],DAY(Tableau3[[#This Row],[OS démarrage]]))</f>
        <v>47810</v>
      </c>
      <c r="BB14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47840</v>
      </c>
      <c r="BC142" s="121">
        <f>(Tableau3[[#This Row],[Date réception entreprise recalée]]-Tableau3[[#This Row],[Date réception entreprise prévue initialement]])/30</f>
        <v>1</v>
      </c>
      <c r="BD142" s="126"/>
      <c r="BE142" s="124"/>
      <c r="BF142" s="124"/>
      <c r="BG142" s="124"/>
      <c r="BH142" s="137">
        <f>IFERROR((Tableau3[[#This Row],[Date Livraison VEFA estimée avec retards constatés]]-Tableau3[[#This Row],[Date livraison contractuelle y/c avenant]])/30,"-")</f>
        <v>0</v>
      </c>
      <c r="BI142" s="138">
        <f>Tableau3[[#This Row],[Date Livraison VEFA estimée avec retards constatés]]-Tableau3[[#This Row],[Date livraison contractuelle y/c avenant]]</f>
        <v>0</v>
      </c>
      <c r="BJ142" s="140" t="str">
        <f>IF(Tableau3[[#This Row],[TYPE]]="Rehab","",DATE(YEAR(Tableau3[[#This Row],[Achèvement fondations]])+2,MONTH(Tableau3[[#This Row],[Achèvement fondations]]),DAY(Tableau3[[#This Row],[Achèvement fondations]])))</f>
        <v/>
      </c>
    </row>
    <row r="143" spans="1:62" x14ac:dyDescent="0.3">
      <c r="A143" s="11" t="s">
        <v>364</v>
      </c>
      <c r="B143" s="4" t="s">
        <v>47</v>
      </c>
      <c r="C143" s="4" t="s">
        <v>21</v>
      </c>
      <c r="D143" s="4" t="s">
        <v>365</v>
      </c>
      <c r="E143" s="4"/>
      <c r="F143" s="4" t="s">
        <v>22</v>
      </c>
      <c r="G143" s="4"/>
      <c r="H143" s="4"/>
      <c r="I143" s="6" t="s">
        <v>24</v>
      </c>
      <c r="J143" s="4" t="s">
        <v>366</v>
      </c>
      <c r="K143" s="4" t="s">
        <v>81</v>
      </c>
      <c r="L143" s="24">
        <f>Tableau3[[#This Row],[LLS]]+Tableau3[[#This Row],[LLTS]]+Tableau3[[#This Row],[PLS]]+Tableau3[[#This Row],[REHAB]]</f>
        <v>2</v>
      </c>
      <c r="M143" s="23">
        <f>IFERROR(Tableau3[[#This Row],[LLS]]+Tableau3[[#This Row],[LLTS]]+Tableau3[[#This Row],[PLS]],"-")</f>
        <v>2</v>
      </c>
      <c r="N143" s="25"/>
      <c r="O143" s="7">
        <v>2</v>
      </c>
      <c r="P143" s="25"/>
      <c r="Q143" s="25"/>
      <c r="R143" s="37">
        <v>109.88</v>
      </c>
      <c r="S143" s="27">
        <v>109.88</v>
      </c>
      <c r="T143" s="56">
        <f>Tableau3[[#This Row],[SHAB y/c V]]/Tableau3[[#This Row],[N]]</f>
        <v>54.94</v>
      </c>
      <c r="U143" s="56">
        <f>Tableau3[[#This Row],[SF priorisée]]/Tableau3[[#This Row],[N]]</f>
        <v>54.94</v>
      </c>
      <c r="V143" s="57">
        <f>IFERROR(Tableau3[[#This Row],[SHAB y/c V]]/Tableau3[[#This Row],[SF priorisée]],"-")</f>
        <v>1</v>
      </c>
      <c r="W143" s="56"/>
      <c r="X143" s="43" t="s">
        <v>390</v>
      </c>
      <c r="Y143" s="43" t="s">
        <v>392</v>
      </c>
      <c r="Z143" s="51"/>
      <c r="AA143" s="58">
        <f>IFERROR(Tableau3[[#This Row],[Prix Achat TTC]]/Tableau3[[#This Row],[SHAB y/c V]],"-")</f>
        <v>0</v>
      </c>
      <c r="AB143" s="58">
        <f>IFERROR(Tableau3[[#This Row],[Prix Achat TTC]]/Tableau3[[#This Row],[SF priorisée]],"-")</f>
        <v>0</v>
      </c>
      <c r="AC143" s="58">
        <f>IFERROR(Tableau3[[#This Row],[Prix Achat TTC]]/Tableau3[[#This Row],[N]],"-")</f>
        <v>0</v>
      </c>
      <c r="AD143" s="62"/>
      <c r="AE143" s="62"/>
      <c r="AF143" s="62"/>
      <c r="AG143" s="58">
        <f>IFERROR((DATEDIF(Tableau3[[#This Row],[Demande LBU]],Tableau3[[#This Row],[Arrêté LBU]],"d"))/30,0)</f>
        <v>0</v>
      </c>
      <c r="AH143" s="68"/>
      <c r="AI143" s="68"/>
      <c r="AJ143" s="73">
        <f>IFERROR((DATEDIF(Tableau3[[#This Row],[Dde édition prêt]],Tableau3[[#This Row],[Contrat de prêt]],"d"))/30,"-")</f>
        <v>0</v>
      </c>
      <c r="AK143" s="68">
        <f>EOMONTH(Tableau3[[#This Row],[Contrat de prêt]],0)+1</f>
        <v>32</v>
      </c>
      <c r="AL143" s="68"/>
      <c r="AM143" s="68"/>
      <c r="AN14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3" s="79"/>
      <c r="AP143" s="2" t="str">
        <f>IF(Tableau3[[#This Row],[Montant des loyers perçus avant 1e échéance]]&lt;Tableau3[[#This Row],[Montant échéance annuelle]],"oui","non")</f>
        <v>non</v>
      </c>
      <c r="AS143" s="79">
        <f>Tableau3[[#This Row],[Mois de loyers avant 1e échéance]]-Tableau3[[#This Row],[Montant échéance annuelle]]</f>
        <v>0</v>
      </c>
      <c r="AU143" s="87">
        <v>45231</v>
      </c>
      <c r="AV143" s="97"/>
      <c r="AW143" s="109">
        <f>IFERROR((DATEDIF(Tableau3[[#This Row],[Arrêté LBU]],Tableau3[[#This Row],[OS démarrage]],"d"))/30,0)</f>
        <v>1507.7</v>
      </c>
      <c r="AX143" s="105">
        <v>3</v>
      </c>
      <c r="AY143" s="113"/>
      <c r="AZ143" s="110"/>
      <c r="BA143" s="116">
        <f>DATE(YEAR(Tableau3[[#This Row],[OS démarrage]]),MONTH(Tableau3[[#This Row],[OS démarrage]])+Tableau3[[#This Row],[Délai chantier initial]],DAY(Tableau3[[#This Row],[OS démarrage]]))</f>
        <v>45323</v>
      </c>
      <c r="BB143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45352</v>
      </c>
      <c r="BC143" s="121">
        <f>(Tableau3[[#This Row],[Date réception entreprise recalée]]-Tableau3[[#This Row],[Date réception entreprise prévue initialement]])/30</f>
        <v>0.96666666666666667</v>
      </c>
      <c r="BD143" s="126"/>
      <c r="BE143" s="124"/>
      <c r="BF143" s="124"/>
      <c r="BG143" s="124"/>
      <c r="BH143" s="137">
        <f>IFERROR((Tableau3[[#This Row],[Date Livraison VEFA estimée avec retards constatés]]-Tableau3[[#This Row],[Date livraison contractuelle y/c avenant]])/30,"-")</f>
        <v>0</v>
      </c>
      <c r="BI143" s="138">
        <f>Tableau3[[#This Row],[Date Livraison VEFA estimée avec retards constatés]]-Tableau3[[#This Row],[Date livraison contractuelle y/c avenant]]</f>
        <v>0</v>
      </c>
      <c r="BJ14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4" spans="1:62" x14ac:dyDescent="0.3">
      <c r="A144" s="11" t="s">
        <v>367</v>
      </c>
      <c r="B144" s="4" t="s">
        <v>47</v>
      </c>
      <c r="C144" s="4" t="s">
        <v>21</v>
      </c>
      <c r="D144" s="4" t="s">
        <v>365</v>
      </c>
      <c r="E144" s="4"/>
      <c r="F144" s="4" t="s">
        <v>22</v>
      </c>
      <c r="G144" s="4"/>
      <c r="H144" s="4"/>
      <c r="I144" s="6" t="s">
        <v>24</v>
      </c>
      <c r="J144" s="4" t="s">
        <v>368</v>
      </c>
      <c r="K144" s="4" t="s">
        <v>81</v>
      </c>
      <c r="L144" s="24">
        <f>Tableau3[[#This Row],[LLS]]+Tableau3[[#This Row],[LLTS]]+Tableau3[[#This Row],[PLS]]+Tableau3[[#This Row],[REHAB]]</f>
        <v>2</v>
      </c>
      <c r="M144" s="23">
        <f>IFERROR(Tableau3[[#This Row],[LLS]]+Tableau3[[#This Row],[LLTS]]+Tableau3[[#This Row],[PLS]],"-")</f>
        <v>2</v>
      </c>
      <c r="N144" s="25"/>
      <c r="O144" s="7">
        <v>2</v>
      </c>
      <c r="P144" s="25"/>
      <c r="Q144" s="25"/>
      <c r="R144" s="37">
        <v>133.6</v>
      </c>
      <c r="S144" s="27">
        <v>133.6</v>
      </c>
      <c r="T144" s="56">
        <f>Tableau3[[#This Row],[SHAB y/c V]]/Tableau3[[#This Row],[N]]</f>
        <v>66.8</v>
      </c>
      <c r="U144" s="56">
        <f>Tableau3[[#This Row],[SF priorisée]]/Tableau3[[#This Row],[N]]</f>
        <v>66.8</v>
      </c>
      <c r="V144" s="57">
        <f>IFERROR(Tableau3[[#This Row],[SHAB y/c V]]/Tableau3[[#This Row],[SF priorisée]],"-")</f>
        <v>1</v>
      </c>
      <c r="W144" s="56"/>
      <c r="X144" s="43" t="s">
        <v>390</v>
      </c>
      <c r="Y144" s="43" t="s">
        <v>392</v>
      </c>
      <c r="Z144" s="51"/>
      <c r="AA144" s="58">
        <f>IFERROR(Tableau3[[#This Row],[Prix Achat TTC]]/Tableau3[[#This Row],[SHAB y/c V]],"-")</f>
        <v>0</v>
      </c>
      <c r="AB144" s="58">
        <f>IFERROR(Tableau3[[#This Row],[Prix Achat TTC]]/Tableau3[[#This Row],[SF priorisée]],"-")</f>
        <v>0</v>
      </c>
      <c r="AC144" s="58">
        <f>IFERROR(Tableau3[[#This Row],[Prix Achat TTC]]/Tableau3[[#This Row],[N]],"-")</f>
        <v>0</v>
      </c>
      <c r="AD144" s="62"/>
      <c r="AE144" s="62"/>
      <c r="AF144" s="62"/>
      <c r="AG144" s="58">
        <f>IFERROR((DATEDIF(Tableau3[[#This Row],[Demande LBU]],Tableau3[[#This Row],[Arrêté LBU]],"d"))/30,0)</f>
        <v>0</v>
      </c>
      <c r="AH144" s="68"/>
      <c r="AI144" s="68"/>
      <c r="AJ144" s="73">
        <f>IFERROR((DATEDIF(Tableau3[[#This Row],[Dde édition prêt]],Tableau3[[#This Row],[Contrat de prêt]],"d"))/30,"-")</f>
        <v>0</v>
      </c>
      <c r="AK144" s="68">
        <f>EOMONTH(Tableau3[[#This Row],[Contrat de prêt]],0)+1</f>
        <v>32</v>
      </c>
      <c r="AL144" s="68"/>
      <c r="AM144" s="68"/>
      <c r="AN14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4" s="79"/>
      <c r="AP144" s="2" t="str">
        <f>IF(Tableau3[[#This Row],[Montant des loyers perçus avant 1e échéance]]&lt;Tableau3[[#This Row],[Montant échéance annuelle]],"oui","non")</f>
        <v>non</v>
      </c>
      <c r="AS144" s="79">
        <f>Tableau3[[#This Row],[Mois de loyers avant 1e échéance]]-Tableau3[[#This Row],[Montant échéance annuelle]]</f>
        <v>0</v>
      </c>
      <c r="AU144" s="87">
        <v>45231</v>
      </c>
      <c r="AV144" s="97"/>
      <c r="AW144" s="109">
        <f>IFERROR((DATEDIF(Tableau3[[#This Row],[Arrêté LBU]],Tableau3[[#This Row],[OS démarrage]],"d"))/30,0)</f>
        <v>1507.7</v>
      </c>
      <c r="AX144" s="105">
        <v>3</v>
      </c>
      <c r="AY144" s="113"/>
      <c r="AZ144" s="110"/>
      <c r="BA144" s="116">
        <f>DATE(YEAR(Tableau3[[#This Row],[OS démarrage]]),MONTH(Tableau3[[#This Row],[OS démarrage]])+Tableau3[[#This Row],[Délai chantier initial]],DAY(Tableau3[[#This Row],[OS démarrage]]))</f>
        <v>45323</v>
      </c>
      <c r="BB144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45352</v>
      </c>
      <c r="BC144" s="121">
        <f>(Tableau3[[#This Row],[Date réception entreprise recalée]]-Tableau3[[#This Row],[Date réception entreprise prévue initialement]])/30</f>
        <v>0.96666666666666667</v>
      </c>
      <c r="BD144" s="126"/>
      <c r="BE144" s="124"/>
      <c r="BF144" s="124"/>
      <c r="BG144" s="124"/>
      <c r="BH144" s="137">
        <f>IFERROR((Tableau3[[#This Row],[Date Livraison VEFA estimée avec retards constatés]]-Tableau3[[#This Row],[Date livraison contractuelle y/c avenant]])/30,"-")</f>
        <v>0</v>
      </c>
      <c r="BI144" s="138">
        <f>Tableau3[[#This Row],[Date Livraison VEFA estimée avec retards constatés]]-Tableau3[[#This Row],[Date livraison contractuelle y/c avenant]]</f>
        <v>0</v>
      </c>
      <c r="BJ144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5" spans="1:62" x14ac:dyDescent="0.3">
      <c r="A145" s="6" t="s">
        <v>369</v>
      </c>
      <c r="B145" s="4" t="s">
        <v>55</v>
      </c>
      <c r="C145" s="4" t="s">
        <v>12</v>
      </c>
      <c r="D145" s="4" t="s">
        <v>365</v>
      </c>
      <c r="E145" s="4"/>
      <c r="F145" s="5"/>
      <c r="G145" s="5"/>
      <c r="H145" s="5"/>
      <c r="I145" s="17"/>
      <c r="J145" s="4" t="s">
        <v>370</v>
      </c>
      <c r="K145" s="4" t="s">
        <v>81</v>
      </c>
      <c r="L145" s="24">
        <f>Tableau3[[#This Row],[LLS]]+Tableau3[[#This Row],[LLTS]]+Tableau3[[#This Row],[PLS]]+Tableau3[[#This Row],[REHAB]]</f>
        <v>44</v>
      </c>
      <c r="M145" s="23">
        <f>IFERROR(Tableau3[[#This Row],[LLS]]+Tableau3[[#This Row],[LLTS]]+Tableau3[[#This Row],[PLS]],"-")</f>
        <v>44</v>
      </c>
      <c r="N145" s="25"/>
      <c r="O145" s="4">
        <v>44</v>
      </c>
      <c r="P145" s="25"/>
      <c r="Q145" s="25"/>
      <c r="R145" s="32">
        <v>2273.35</v>
      </c>
      <c r="S145" s="27">
        <v>2541.2600000000002</v>
      </c>
      <c r="T145" s="56">
        <f>Tableau3[[#This Row],[SHAB y/c V]]/Tableau3[[#This Row],[N]]</f>
        <v>51.667045454545452</v>
      </c>
      <c r="U145" s="56">
        <f>Tableau3[[#This Row],[SF priorisée]]/Tableau3[[#This Row],[N]]</f>
        <v>57.755909090909093</v>
      </c>
      <c r="V145" s="57">
        <f>IFERROR(Tableau3[[#This Row],[SHAB y/c V]]/Tableau3[[#This Row],[SF priorisée]],"-")</f>
        <v>0.89457591903229094</v>
      </c>
      <c r="W145" s="56"/>
      <c r="X145" s="43" t="s">
        <v>93</v>
      </c>
      <c r="Y145" s="43" t="s">
        <v>392</v>
      </c>
      <c r="Z145" s="49">
        <v>5802725.875</v>
      </c>
      <c r="AA145" s="58">
        <f>IFERROR(Tableau3[[#This Row],[Prix Achat TTC]]/Tableau3[[#This Row],[SHAB y/c V]],"-")</f>
        <v>2552.5</v>
      </c>
      <c r="AB145" s="58">
        <f>IFERROR(Tableau3[[#This Row],[Prix Achat TTC]]/Tableau3[[#This Row],[SF priorisée]],"-")</f>
        <v>2283.4050333299228</v>
      </c>
      <c r="AC145" s="58">
        <f>IFERROR(Tableau3[[#This Row],[Prix Achat TTC]]/Tableau3[[#This Row],[N]],"-")</f>
        <v>131880.13352272726</v>
      </c>
      <c r="AD145" s="62"/>
      <c r="AE145" s="62"/>
      <c r="AF145" s="62"/>
      <c r="AG145" s="58">
        <f>IFERROR((DATEDIF(Tableau3[[#This Row],[Demande LBU]],Tableau3[[#This Row],[Arrêté LBU]],"d"))/30,0)</f>
        <v>0</v>
      </c>
      <c r="AH145" s="68"/>
      <c r="AI145" s="68"/>
      <c r="AJ145" s="73">
        <f>IFERROR((DATEDIF(Tableau3[[#This Row],[Dde édition prêt]],Tableau3[[#This Row],[Contrat de prêt]],"d"))/30,"-")</f>
        <v>0</v>
      </c>
      <c r="AK145" s="68">
        <f>EOMONTH(Tableau3[[#This Row],[Contrat de prêt]],0)+1</f>
        <v>32</v>
      </c>
      <c r="AL145" s="68"/>
      <c r="AM145" s="68"/>
      <c r="AN145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5" s="79"/>
      <c r="AP145" s="2" t="str">
        <f>IF(Tableau3[[#This Row],[Montant des loyers perçus avant 1e échéance]]&lt;Tableau3[[#This Row],[Montant échéance annuelle]],"oui","non")</f>
        <v>non</v>
      </c>
      <c r="AS145" s="79">
        <f>Tableau3[[#This Row],[Mois de loyers avant 1e échéance]]-Tableau3[[#This Row],[Montant échéance annuelle]]</f>
        <v>0</v>
      </c>
      <c r="AU145" s="87">
        <v>45703</v>
      </c>
      <c r="AV145" s="97"/>
      <c r="AW145" s="109">
        <f>IFERROR((DATEDIF(Tableau3[[#This Row],[Arrêté LBU]],Tableau3[[#This Row],[OS démarrage]],"d"))/30,0)</f>
        <v>1523.4333333333334</v>
      </c>
      <c r="AX145" s="105">
        <v>24</v>
      </c>
      <c r="AY145" s="113"/>
      <c r="AZ145" s="110"/>
      <c r="BA145" s="116">
        <f>DATE(YEAR(Tableau3[[#This Row],[OS démarrage]]),MONTH(Tableau3[[#This Row],[OS démarrage]])+Tableau3[[#This Row],[Délai chantier initial]],DAY(Tableau3[[#This Row],[OS démarrage]]))</f>
        <v>46433</v>
      </c>
      <c r="BB145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46461</v>
      </c>
      <c r="BC145" s="121">
        <f>(Tableau3[[#This Row],[Date réception entreprise recalée]]-Tableau3[[#This Row],[Date réception entreprise prévue initialement]])/30</f>
        <v>0.93333333333333335</v>
      </c>
      <c r="BD145" s="126"/>
      <c r="BE145" s="124"/>
      <c r="BF145" s="124"/>
      <c r="BG145" s="124"/>
      <c r="BH145" s="137">
        <f>IFERROR((Tableau3[[#This Row],[Date Livraison VEFA estimée avec retards constatés]]-Tableau3[[#This Row],[Date livraison contractuelle y/c avenant]])/30,"-")</f>
        <v>0</v>
      </c>
      <c r="BI145" s="138">
        <f>Tableau3[[#This Row],[Date Livraison VEFA estimée avec retards constatés]]-Tableau3[[#This Row],[Date livraison contractuelle y/c avenant]]</f>
        <v>0</v>
      </c>
      <c r="BJ145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6" spans="1:62" x14ac:dyDescent="0.3">
      <c r="A146" s="6" t="s">
        <v>371</v>
      </c>
      <c r="B146" s="4" t="s">
        <v>55</v>
      </c>
      <c r="C146" s="4" t="s">
        <v>12</v>
      </c>
      <c r="D146" s="4" t="s">
        <v>365</v>
      </c>
      <c r="E146" s="4"/>
      <c r="F146" s="4" t="s">
        <v>27</v>
      </c>
      <c r="G146" s="4"/>
      <c r="H146" s="4"/>
      <c r="I146" s="6" t="s">
        <v>32</v>
      </c>
      <c r="J146" s="4" t="s">
        <v>370</v>
      </c>
      <c r="K146" s="4" t="s">
        <v>82</v>
      </c>
      <c r="L146" s="24">
        <f>Tableau3[[#This Row],[LLS]]+Tableau3[[#This Row],[LLTS]]+Tableau3[[#This Row],[PLS]]+Tableau3[[#This Row],[REHAB]]</f>
        <v>35</v>
      </c>
      <c r="M146" s="23">
        <f>IFERROR(Tableau3[[#This Row],[LLS]]+Tableau3[[#This Row],[LLTS]]+Tableau3[[#This Row],[PLS]],"-")</f>
        <v>35</v>
      </c>
      <c r="N146" s="25"/>
      <c r="O146" s="25"/>
      <c r="P146" s="4">
        <v>35</v>
      </c>
      <c r="Q146" s="25"/>
      <c r="R146" s="32">
        <v>2614.31</v>
      </c>
      <c r="S146" s="27">
        <v>3059.14</v>
      </c>
      <c r="T146" s="56">
        <f>Tableau3[[#This Row],[SHAB y/c V]]/Tableau3[[#This Row],[N]]</f>
        <v>74.694571428571422</v>
      </c>
      <c r="U146" s="56">
        <f>Tableau3[[#This Row],[SF priorisée]]/Tableau3[[#This Row],[N]]</f>
        <v>87.403999999999996</v>
      </c>
      <c r="V146" s="57">
        <f>IFERROR(Tableau3[[#This Row],[SHAB y/c V]]/Tableau3[[#This Row],[SF priorisée]],"-")</f>
        <v>0.85458985204992255</v>
      </c>
      <c r="W146" s="56"/>
      <c r="X146" s="43" t="s">
        <v>93</v>
      </c>
      <c r="Y146" s="43" t="s">
        <v>392</v>
      </c>
      <c r="Z146" s="49">
        <v>6806486.8004999999</v>
      </c>
      <c r="AA146" s="58">
        <f>IFERROR(Tableau3[[#This Row],[Prix Achat TTC]]/Tableau3[[#This Row],[SHAB y/c V]],"-")</f>
        <v>2603.5500000000002</v>
      </c>
      <c r="AB146" s="58">
        <f>IFERROR(Tableau3[[#This Row],[Prix Achat TTC]]/Tableau3[[#This Row],[SF priorisée]],"-")</f>
        <v>2224.967409304576</v>
      </c>
      <c r="AC146" s="58">
        <f>IFERROR(Tableau3[[#This Row],[Prix Achat TTC]]/Tableau3[[#This Row],[N]],"-")</f>
        <v>194471.05144285713</v>
      </c>
      <c r="AD146" s="62"/>
      <c r="AE146" s="62"/>
      <c r="AF146" s="62"/>
      <c r="AG146" s="58">
        <f>IFERROR((DATEDIF(Tableau3[[#This Row],[Demande LBU]],Tableau3[[#This Row],[Arrêté LBU]],"d"))/30,0)</f>
        <v>0</v>
      </c>
      <c r="AH146" s="68"/>
      <c r="AI146" s="68"/>
      <c r="AJ146" s="73">
        <f>IFERROR((DATEDIF(Tableau3[[#This Row],[Dde édition prêt]],Tableau3[[#This Row],[Contrat de prêt]],"d"))/30,"-")</f>
        <v>0</v>
      </c>
      <c r="AK146" s="68">
        <f>EOMONTH(Tableau3[[#This Row],[Contrat de prêt]],0)+1</f>
        <v>32</v>
      </c>
      <c r="AL146" s="68"/>
      <c r="AM146" s="68"/>
      <c r="AN146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6" s="79"/>
      <c r="AP146" s="2" t="str">
        <f>IF(Tableau3[[#This Row],[Montant des loyers perçus avant 1e échéance]]&lt;Tableau3[[#This Row],[Montant échéance annuelle]],"oui","non")</f>
        <v>non</v>
      </c>
      <c r="AS146" s="79">
        <f>Tableau3[[#This Row],[Mois de loyers avant 1e échéance]]-Tableau3[[#This Row],[Montant échéance annuelle]]</f>
        <v>0</v>
      </c>
      <c r="AU146" s="87">
        <v>45703</v>
      </c>
      <c r="AV146" s="97"/>
      <c r="AW146" s="109">
        <f>IFERROR((DATEDIF(Tableau3[[#This Row],[Arrêté LBU]],Tableau3[[#This Row],[OS démarrage]],"d"))/30,0)</f>
        <v>1523.4333333333334</v>
      </c>
      <c r="AX146" s="105">
        <v>24</v>
      </c>
      <c r="AY146" s="113"/>
      <c r="AZ146" s="110"/>
      <c r="BA146" s="116">
        <f>DATE(YEAR(Tableau3[[#This Row],[OS démarrage]]),MONTH(Tableau3[[#This Row],[OS démarrage]])+Tableau3[[#This Row],[Délai chantier initial]],DAY(Tableau3[[#This Row],[OS démarrage]]))</f>
        <v>46433</v>
      </c>
      <c r="BB146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46461</v>
      </c>
      <c r="BC146" s="121">
        <f>(Tableau3[[#This Row],[Date réception entreprise recalée]]-Tableau3[[#This Row],[Date réception entreprise prévue initialement]])/30</f>
        <v>0.93333333333333335</v>
      </c>
      <c r="BD146" s="126"/>
      <c r="BE146" s="124"/>
      <c r="BF146" s="124"/>
      <c r="BG146" s="124"/>
      <c r="BH146" s="137">
        <f>IFERROR((Tableau3[[#This Row],[Date Livraison VEFA estimée avec retards constatés]]-Tableau3[[#This Row],[Date livraison contractuelle y/c avenant]])/30,"-")</f>
        <v>0</v>
      </c>
      <c r="BI146" s="138">
        <f>Tableau3[[#This Row],[Date Livraison VEFA estimée avec retards constatés]]-Tableau3[[#This Row],[Date livraison contractuelle y/c avenant]]</f>
        <v>0</v>
      </c>
      <c r="BJ146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7" spans="1:62" x14ac:dyDescent="0.3">
      <c r="A147" s="6" t="s">
        <v>372</v>
      </c>
      <c r="B147" s="4" t="s">
        <v>55</v>
      </c>
      <c r="C147" s="4" t="s">
        <v>12</v>
      </c>
      <c r="D147" s="4" t="s">
        <v>365</v>
      </c>
      <c r="E147" s="4"/>
      <c r="F147" s="5"/>
      <c r="G147" s="5"/>
      <c r="H147" s="5"/>
      <c r="I147" s="6" t="s">
        <v>24</v>
      </c>
      <c r="J147" s="4" t="s">
        <v>373</v>
      </c>
      <c r="K147" s="4" t="s">
        <v>80</v>
      </c>
      <c r="L147" s="24">
        <f>Tableau3[[#This Row],[LLS]]+Tableau3[[#This Row],[LLTS]]+Tableau3[[#This Row],[PLS]]+Tableau3[[#This Row],[REHAB]]</f>
        <v>40</v>
      </c>
      <c r="M147" s="23">
        <f>IFERROR(Tableau3[[#This Row],[LLS]]+Tableau3[[#This Row],[LLTS]]+Tableau3[[#This Row],[PLS]],"-")</f>
        <v>40</v>
      </c>
      <c r="N147" s="4">
        <v>40</v>
      </c>
      <c r="O147" s="25"/>
      <c r="P147" s="25"/>
      <c r="Q147" s="25"/>
      <c r="R147" s="39">
        <v>3060.56</v>
      </c>
      <c r="S147" s="27">
        <v>3606.03</v>
      </c>
      <c r="T147" s="56">
        <f>Tableau3[[#This Row],[SHAB y/c V]]/Tableau3[[#This Row],[N]]</f>
        <v>76.513999999999996</v>
      </c>
      <c r="U147" s="56">
        <f>Tableau3[[#This Row],[SF priorisée]]/Tableau3[[#This Row],[N]]</f>
        <v>90.150750000000002</v>
      </c>
      <c r="V147" s="57">
        <f>IFERROR(Tableau3[[#This Row],[SHAB y/c V]]/Tableau3[[#This Row],[SF priorisée]],"-")</f>
        <v>0.84873392622912169</v>
      </c>
      <c r="W147" s="56"/>
      <c r="X147" s="43" t="s">
        <v>93</v>
      </c>
      <c r="Y147" s="43" t="s">
        <v>392</v>
      </c>
      <c r="Z147" s="53">
        <v>8398443.8699999992</v>
      </c>
      <c r="AA147" s="58">
        <f>IFERROR(Tableau3[[#This Row],[Prix Achat TTC]]/Tableau3[[#This Row],[SHAB y/c V]],"-")</f>
        <v>2744.0873140863109</v>
      </c>
      <c r="AB147" s="58">
        <f>IFERROR(Tableau3[[#This Row],[Prix Achat TTC]]/Tableau3[[#This Row],[SF priorisée]],"-")</f>
        <v>2328.9999999999995</v>
      </c>
      <c r="AC147" s="58">
        <f>IFERROR(Tableau3[[#This Row],[Prix Achat TTC]]/Tableau3[[#This Row],[N]],"-")</f>
        <v>209961.09674999997</v>
      </c>
      <c r="AD147" s="62"/>
      <c r="AE147" s="62"/>
      <c r="AF147" s="64"/>
      <c r="AG147" s="58">
        <f>IFERROR((DATEDIF(Tableau3[[#This Row],[Demande LBU]],Tableau3[[#This Row],[Arrêté LBU]],"d"))/30,0)</f>
        <v>0</v>
      </c>
      <c r="AH147" s="71"/>
      <c r="AI147" s="68"/>
      <c r="AJ147" s="73">
        <f>IFERROR((DATEDIF(Tableau3[[#This Row],[Dde édition prêt]],Tableau3[[#This Row],[Contrat de prêt]],"d"))/30,"-")</f>
        <v>0</v>
      </c>
      <c r="AK147" s="68">
        <f>EOMONTH(Tableau3[[#This Row],[Contrat de prêt]],0)+1</f>
        <v>32</v>
      </c>
      <c r="AL147" s="68"/>
      <c r="AM147" s="68"/>
      <c r="AN147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7" s="79"/>
      <c r="AP147" s="2" t="str">
        <f>IF(Tableau3[[#This Row],[Montant des loyers perçus avant 1e échéance]]&lt;Tableau3[[#This Row],[Montant échéance annuelle]],"oui","non")</f>
        <v>non</v>
      </c>
      <c r="AS147" s="79">
        <f>Tableau3[[#This Row],[Mois de loyers avant 1e échéance]]-Tableau3[[#This Row],[Montant échéance annuelle]]</f>
        <v>0</v>
      </c>
      <c r="AU147" s="87">
        <v>45352</v>
      </c>
      <c r="AV147" s="97"/>
      <c r="AW147" s="109">
        <f>IFERROR((DATEDIF(Tableau3[[#This Row],[Arrêté LBU]],Tableau3[[#This Row],[OS démarrage]],"d"))/30,0)</f>
        <v>1511.7333333333333</v>
      </c>
      <c r="AX147" s="105">
        <v>24</v>
      </c>
      <c r="AY147" s="113"/>
      <c r="AZ147" s="110"/>
      <c r="BA147" s="116">
        <f>DATE(YEAR(Tableau3[[#This Row],[OS démarrage]]),MONTH(Tableau3[[#This Row],[OS démarrage]])+Tableau3[[#This Row],[Délai chantier initial]],DAY(Tableau3[[#This Row],[OS démarrage]]))</f>
        <v>46082</v>
      </c>
      <c r="BB147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46113</v>
      </c>
      <c r="BC147" s="121">
        <f>(Tableau3[[#This Row],[Date réception entreprise recalée]]-Tableau3[[#This Row],[Date réception entreprise prévue initialement]])/30</f>
        <v>1.0333333333333334</v>
      </c>
      <c r="BD147" s="126"/>
      <c r="BE147" s="124"/>
      <c r="BF147" s="124"/>
      <c r="BG147" s="124"/>
      <c r="BH147" s="137">
        <f>IFERROR((Tableau3[[#This Row],[Date Livraison VEFA estimée avec retards constatés]]-Tableau3[[#This Row],[Date livraison contractuelle y/c avenant]])/30,"-")</f>
        <v>0</v>
      </c>
      <c r="BI147" s="138">
        <f>Tableau3[[#This Row],[Date Livraison VEFA estimée avec retards constatés]]-Tableau3[[#This Row],[Date livraison contractuelle y/c avenant]]</f>
        <v>0</v>
      </c>
      <c r="BJ147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8" spans="1:62" x14ac:dyDescent="0.3">
      <c r="A148" s="6" t="s">
        <v>374</v>
      </c>
      <c r="B148" s="4" t="s">
        <v>55</v>
      </c>
      <c r="C148" s="4" t="s">
        <v>12</v>
      </c>
      <c r="D148" s="4" t="s">
        <v>365</v>
      </c>
      <c r="E148" s="4"/>
      <c r="F148" s="4" t="s">
        <v>27</v>
      </c>
      <c r="G148" s="4"/>
      <c r="H148" s="4" t="s">
        <v>13</v>
      </c>
      <c r="I148" s="6" t="s">
        <v>24</v>
      </c>
      <c r="J148" s="4" t="s">
        <v>373</v>
      </c>
      <c r="K148" s="4" t="s">
        <v>81</v>
      </c>
      <c r="L148" s="24">
        <f>Tableau3[[#This Row],[LLS]]+Tableau3[[#This Row],[LLTS]]+Tableau3[[#This Row],[PLS]]+Tableau3[[#This Row],[REHAB]]</f>
        <v>20</v>
      </c>
      <c r="M148" s="23">
        <f>IFERROR(Tableau3[[#This Row],[LLS]]+Tableau3[[#This Row],[LLTS]]+Tableau3[[#This Row],[PLS]],"-")</f>
        <v>20</v>
      </c>
      <c r="N148" s="25"/>
      <c r="O148" s="4">
        <v>20</v>
      </c>
      <c r="P148" s="25"/>
      <c r="Q148" s="25"/>
      <c r="R148" s="39">
        <v>948.48</v>
      </c>
      <c r="S148" s="27">
        <v>1050.78</v>
      </c>
      <c r="T148" s="56">
        <f>Tableau3[[#This Row],[SHAB y/c V]]/Tableau3[[#This Row],[N]]</f>
        <v>47.423999999999999</v>
      </c>
      <c r="U148" s="56">
        <f>Tableau3[[#This Row],[SF priorisée]]/Tableau3[[#This Row],[N]]</f>
        <v>52.539000000000001</v>
      </c>
      <c r="V148" s="57">
        <f>IFERROR(Tableau3[[#This Row],[SHAB y/c V]]/Tableau3[[#This Row],[SF priorisée]],"-")</f>
        <v>0.90264375035687783</v>
      </c>
      <c r="W148" s="56"/>
      <c r="X148" s="43" t="s">
        <v>93</v>
      </c>
      <c r="Y148" s="43" t="s">
        <v>392</v>
      </c>
      <c r="Z148" s="53">
        <v>2447266.62</v>
      </c>
      <c r="AA148" s="58">
        <f>IFERROR(Tableau3[[#This Row],[Prix Achat TTC]]/Tableau3[[#This Row],[SHAB y/c V]],"-")</f>
        <v>2580.198443825911</v>
      </c>
      <c r="AB148" s="58">
        <f>IFERROR(Tableau3[[#This Row],[Prix Achat TTC]]/Tableau3[[#This Row],[SF priorisée]],"-")</f>
        <v>2329</v>
      </c>
      <c r="AC148" s="58">
        <f>IFERROR(Tableau3[[#This Row],[Prix Achat TTC]]/Tableau3[[#This Row],[N]],"-")</f>
        <v>122363.33100000001</v>
      </c>
      <c r="AD148" s="62"/>
      <c r="AE148" s="62"/>
      <c r="AF148" s="64"/>
      <c r="AG148" s="58">
        <f>IFERROR((DATEDIF(Tableau3[[#This Row],[Demande LBU]],Tableau3[[#This Row],[Arrêté LBU]],"d"))/30,0)</f>
        <v>0</v>
      </c>
      <c r="AH148" s="71"/>
      <c r="AI148" s="68"/>
      <c r="AJ148" s="73">
        <f>IFERROR((DATEDIF(Tableau3[[#This Row],[Dde édition prêt]],Tableau3[[#This Row],[Contrat de prêt]],"d"))/30,"-")</f>
        <v>0</v>
      </c>
      <c r="AK148" s="68">
        <f>EOMONTH(Tableau3[[#This Row],[Contrat de prêt]],0)+1</f>
        <v>32</v>
      </c>
      <c r="AL148" s="68"/>
      <c r="AM148" s="68"/>
      <c r="AN148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8" s="79"/>
      <c r="AP148" s="2" t="str">
        <f>IF(Tableau3[[#This Row],[Montant des loyers perçus avant 1e échéance]]&lt;Tableau3[[#This Row],[Montant échéance annuelle]],"oui","non")</f>
        <v>non</v>
      </c>
      <c r="AS148" s="79">
        <f>Tableau3[[#This Row],[Mois de loyers avant 1e échéance]]-Tableau3[[#This Row],[Montant échéance annuelle]]</f>
        <v>0</v>
      </c>
      <c r="AU148" s="87">
        <v>45352</v>
      </c>
      <c r="AV148" s="97"/>
      <c r="AW148" s="109">
        <f>IFERROR((DATEDIF(Tableau3[[#This Row],[Arrêté LBU]],Tableau3[[#This Row],[OS démarrage]],"d"))/30,0)</f>
        <v>1511.7333333333333</v>
      </c>
      <c r="AX148" s="105">
        <v>24</v>
      </c>
      <c r="AY148" s="113"/>
      <c r="AZ148" s="110"/>
      <c r="BA148" s="116">
        <f>DATE(YEAR(Tableau3[[#This Row],[OS démarrage]]),MONTH(Tableau3[[#This Row],[OS démarrage]])+Tableau3[[#This Row],[Délai chantier initial]],DAY(Tableau3[[#This Row],[OS démarrage]]))</f>
        <v>46082</v>
      </c>
      <c r="BB148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46113</v>
      </c>
      <c r="BC148" s="121">
        <f>(Tableau3[[#This Row],[Date réception entreprise recalée]]-Tableau3[[#This Row],[Date réception entreprise prévue initialement]])/30</f>
        <v>1.0333333333333334</v>
      </c>
      <c r="BD148" s="126"/>
      <c r="BE148" s="124"/>
      <c r="BF148" s="124"/>
      <c r="BG148" s="124"/>
      <c r="BH148" s="137">
        <f>IFERROR((Tableau3[[#This Row],[Date Livraison VEFA estimée avec retards constatés]]-Tableau3[[#This Row],[Date livraison contractuelle y/c avenant]])/30,"-")</f>
        <v>0</v>
      </c>
      <c r="BI148" s="138">
        <f>Tableau3[[#This Row],[Date Livraison VEFA estimée avec retards constatés]]-Tableau3[[#This Row],[Date livraison contractuelle y/c avenant]]</f>
        <v>0</v>
      </c>
      <c r="BJ148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49" spans="1:62" x14ac:dyDescent="0.3">
      <c r="A149" s="4" t="s">
        <v>375</v>
      </c>
      <c r="B149" s="4" t="s">
        <v>51</v>
      </c>
      <c r="C149" s="4" t="s">
        <v>12</v>
      </c>
      <c r="D149" s="22" t="s">
        <v>376</v>
      </c>
      <c r="E149" s="4"/>
      <c r="F149" s="4"/>
      <c r="G149" s="4"/>
      <c r="H149" s="6"/>
      <c r="I149" s="6" t="s">
        <v>56</v>
      </c>
      <c r="J149" s="4" t="s">
        <v>377</v>
      </c>
      <c r="K149" s="4" t="s">
        <v>81</v>
      </c>
      <c r="L149" s="24">
        <f>Tableau3[[#This Row],[LLS]]+Tableau3[[#This Row],[LLTS]]+Tableau3[[#This Row],[PLS]]+Tableau3[[#This Row],[REHAB]]</f>
        <v>35</v>
      </c>
      <c r="M149" s="23">
        <f>IFERROR(Tableau3[[#This Row],[LLS]]+Tableau3[[#This Row],[LLTS]]+Tableau3[[#This Row],[PLS]],"-")</f>
        <v>35</v>
      </c>
      <c r="N149" s="25"/>
      <c r="O149" s="4">
        <v>35</v>
      </c>
      <c r="P149" s="25"/>
      <c r="Q149" s="40"/>
      <c r="R149" s="35"/>
      <c r="S149" s="27"/>
      <c r="T149" s="56">
        <f>Tableau3[[#This Row],[SHAB y/c V]]/Tableau3[[#This Row],[N]]</f>
        <v>0</v>
      </c>
      <c r="U149" s="56">
        <f>Tableau3[[#This Row],[SF priorisée]]/Tableau3[[#This Row],[N]]</f>
        <v>0</v>
      </c>
      <c r="V149" s="57" t="str">
        <f>IFERROR(Tableau3[[#This Row],[SHAB y/c V]]/Tableau3[[#This Row],[SF priorisée]],"-")</f>
        <v>-</v>
      </c>
      <c r="W149" s="56"/>
      <c r="X149" s="43" t="s">
        <v>390</v>
      </c>
      <c r="Y149" s="43" t="s">
        <v>392</v>
      </c>
      <c r="Z149" s="5"/>
      <c r="AA149" s="58" t="str">
        <f>IFERROR(Tableau3[[#This Row],[Prix Achat TTC]]/Tableau3[[#This Row],[SHAB y/c V]],"-")</f>
        <v>-</v>
      </c>
      <c r="AB149" s="58" t="str">
        <f>IFERROR(Tableau3[[#This Row],[Prix Achat TTC]]/Tableau3[[#This Row],[SF priorisée]],"-")</f>
        <v>-</v>
      </c>
      <c r="AC149" s="58">
        <f>IFERROR(Tableau3[[#This Row],[Prix Achat TTC]]/Tableau3[[#This Row],[N]],"-")</f>
        <v>0</v>
      </c>
      <c r="AD149" s="62"/>
      <c r="AE149" s="62"/>
      <c r="AF149" s="62"/>
      <c r="AG149" s="58">
        <f>IFERROR((DATEDIF(Tableau3[[#This Row],[Demande LBU]],Tableau3[[#This Row],[Arrêté LBU]],"d"))/30,0)</f>
        <v>0</v>
      </c>
      <c r="AH149" s="68"/>
      <c r="AI149" s="68"/>
      <c r="AJ149" s="73">
        <f>IFERROR((DATEDIF(Tableau3[[#This Row],[Dde édition prêt]],Tableau3[[#This Row],[Contrat de prêt]],"d"))/30,"-")</f>
        <v>0</v>
      </c>
      <c r="AK149" s="68">
        <f>EOMONTH(Tableau3[[#This Row],[Contrat de prêt]],0)+1</f>
        <v>32</v>
      </c>
      <c r="AL149" s="68"/>
      <c r="AM149" s="76"/>
      <c r="AN149" s="76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49" s="76"/>
      <c r="AP149" s="2" t="str">
        <f>IF(Tableau3[[#This Row],[Montant des loyers perçus avant 1e échéance]]&lt;Tableau3[[#This Row],[Montant échéance annuelle]],"oui","non")</f>
        <v>non</v>
      </c>
      <c r="AS149" s="76">
        <f>Tableau3[[#This Row],[Mois de loyers avant 1e échéance]]-Tableau3[[#This Row],[Montant échéance annuelle]]</f>
        <v>0</v>
      </c>
      <c r="AU149" s="86">
        <v>46266</v>
      </c>
      <c r="AV149" s="100"/>
      <c r="AW149" s="109">
        <f>IFERROR((DATEDIF(Tableau3[[#This Row],[Arrêté LBU]],Tableau3[[#This Row],[OS démarrage]],"d"))/30,0)</f>
        <v>1542.2</v>
      </c>
      <c r="AX149" s="105">
        <v>16</v>
      </c>
      <c r="AY149" s="113"/>
      <c r="AZ149" s="110"/>
      <c r="BA149" s="116">
        <f>DATE(YEAR(Tableau3[[#This Row],[OS démarrage]]),MONTH(Tableau3[[#This Row],[OS démarrage]])+Tableau3[[#This Row],[Délai chantier initial]],DAY(Tableau3[[#This Row],[OS démarrage]]))</f>
        <v>46753</v>
      </c>
      <c r="BB149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46784</v>
      </c>
      <c r="BC149" s="121">
        <f>(Tableau3[[#This Row],[Date réception entreprise recalée]]-Tableau3[[#This Row],[Date réception entreprise prévue initialement]])/30</f>
        <v>1.0333333333333334</v>
      </c>
      <c r="BD149" s="126"/>
      <c r="BE149" s="124"/>
      <c r="BF149" s="124"/>
      <c r="BG149" s="124"/>
      <c r="BH149" s="137">
        <f>IFERROR((Tableau3[[#This Row],[Date Livraison VEFA estimée avec retards constatés]]-Tableau3[[#This Row],[Date livraison contractuelle y/c avenant]])/30,"-")</f>
        <v>0</v>
      </c>
      <c r="BI149" s="138">
        <f>Tableau3[[#This Row],[Date Livraison VEFA estimée avec retards constatés]]-Tableau3[[#This Row],[Date livraison contractuelle y/c avenant]]</f>
        <v>0</v>
      </c>
      <c r="BJ149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50" spans="1:62" x14ac:dyDescent="0.3">
      <c r="A150" s="4" t="s">
        <v>378</v>
      </c>
      <c r="B150" s="4" t="s">
        <v>55</v>
      </c>
      <c r="C150" s="4" t="s">
        <v>12</v>
      </c>
      <c r="D150" s="4" t="s">
        <v>376</v>
      </c>
      <c r="E150" s="4"/>
      <c r="F150" s="4"/>
      <c r="G150" s="4"/>
      <c r="H150" s="4"/>
      <c r="I150" s="4"/>
      <c r="J150" s="4" t="s">
        <v>378</v>
      </c>
      <c r="K150" s="8" t="s">
        <v>81</v>
      </c>
      <c r="L150" s="24">
        <f>Tableau3[[#This Row],[LLS]]+Tableau3[[#This Row],[LLTS]]+Tableau3[[#This Row],[PLS]]+Tableau3[[#This Row],[REHAB]]</f>
        <v>48</v>
      </c>
      <c r="M150" s="23">
        <f>IFERROR(Tableau3[[#This Row],[LLS]]+Tableau3[[#This Row],[LLTS]]+Tableau3[[#This Row],[PLS]],"-")</f>
        <v>48</v>
      </c>
      <c r="N150" s="4">
        <v>48</v>
      </c>
      <c r="O150" s="25"/>
      <c r="P150" s="25"/>
      <c r="Q150" s="25"/>
      <c r="R150" s="32"/>
      <c r="S150" s="27"/>
      <c r="T150" s="56">
        <f>Tableau3[[#This Row],[SHAB y/c V]]/Tableau3[[#This Row],[N]]</f>
        <v>0</v>
      </c>
      <c r="U150" s="56">
        <f>Tableau3[[#This Row],[SF priorisée]]/Tableau3[[#This Row],[N]]</f>
        <v>0</v>
      </c>
      <c r="V150" s="57" t="str">
        <f>IFERROR(Tableau3[[#This Row],[SHAB y/c V]]/Tableau3[[#This Row],[SF priorisée]],"-")</f>
        <v>-</v>
      </c>
      <c r="W150" s="56"/>
      <c r="X150" s="43" t="s">
        <v>390</v>
      </c>
      <c r="Y150" s="43" t="s">
        <v>392</v>
      </c>
      <c r="Z150" s="5"/>
      <c r="AA150" s="58" t="str">
        <f>IFERROR(Tableau3[[#This Row],[Prix Achat TTC]]/Tableau3[[#This Row],[SHAB y/c V]],"-")</f>
        <v>-</v>
      </c>
      <c r="AB150" s="58" t="str">
        <f>IFERROR(Tableau3[[#This Row],[Prix Achat TTC]]/Tableau3[[#This Row],[SF priorisée]],"-")</f>
        <v>-</v>
      </c>
      <c r="AC150" s="58">
        <f>IFERROR(Tableau3[[#This Row],[Prix Achat TTC]]/Tableau3[[#This Row],[N]],"-")</f>
        <v>0</v>
      </c>
      <c r="AD150" s="62"/>
      <c r="AE150" s="62"/>
      <c r="AF150" s="62"/>
      <c r="AG150" s="58">
        <f>IFERROR((DATEDIF(Tableau3[[#This Row],[Demande LBU]],Tableau3[[#This Row],[Arrêté LBU]],"d"))/30,0)</f>
        <v>0</v>
      </c>
      <c r="AH150" s="68"/>
      <c r="AI150" s="68"/>
      <c r="AJ150" s="73">
        <f>IFERROR((DATEDIF(Tableau3[[#This Row],[Dde édition prêt]],Tableau3[[#This Row],[Contrat de prêt]],"d"))/30,"-")</f>
        <v>0</v>
      </c>
      <c r="AK150" s="68">
        <f>EOMONTH(Tableau3[[#This Row],[Contrat de prêt]],0)+1</f>
        <v>32</v>
      </c>
      <c r="AL150" s="68"/>
      <c r="AM150" s="68"/>
      <c r="AN150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50" s="79"/>
      <c r="AP150" s="2" t="str">
        <f>IF(Tableau3[[#This Row],[Montant des loyers perçus avant 1e échéance]]&lt;Tableau3[[#This Row],[Montant échéance annuelle]],"oui","non")</f>
        <v>non</v>
      </c>
      <c r="AS150" s="79">
        <f>Tableau3[[#This Row],[Mois de loyers avant 1e échéance]]-Tableau3[[#This Row],[Montant échéance annuelle]]</f>
        <v>0</v>
      </c>
      <c r="AU150" s="86">
        <v>46266</v>
      </c>
      <c r="AV150" s="97"/>
      <c r="AW150" s="109">
        <f>IFERROR((DATEDIF(Tableau3[[#This Row],[Arrêté LBU]],Tableau3[[#This Row],[OS démarrage]],"d"))/30,0)</f>
        <v>1542.2</v>
      </c>
      <c r="AX150" s="105">
        <v>18</v>
      </c>
      <c r="AY150" s="113"/>
      <c r="AZ150" s="110"/>
      <c r="BA150" s="116">
        <f>DATE(YEAR(Tableau3[[#This Row],[OS démarrage]]),MONTH(Tableau3[[#This Row],[OS démarrage]])+Tableau3[[#This Row],[Délai chantier initial]],DAY(Tableau3[[#This Row],[OS démarrage]]))</f>
        <v>46813</v>
      </c>
      <c r="BB150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46844</v>
      </c>
      <c r="BC150" s="121">
        <f>(Tableau3[[#This Row],[Date réception entreprise recalée]]-Tableau3[[#This Row],[Date réception entreprise prévue initialement]])/30</f>
        <v>1.0333333333333334</v>
      </c>
      <c r="BD150" s="126"/>
      <c r="BE150" s="124"/>
      <c r="BF150" s="124"/>
      <c r="BG150" s="124"/>
      <c r="BH150" s="137">
        <f>IFERROR((Tableau3[[#This Row],[Date Livraison VEFA estimée avec retards constatés]]-Tableau3[[#This Row],[Date livraison contractuelle y/c avenant]])/30,"-")</f>
        <v>0</v>
      </c>
      <c r="BI150" s="138">
        <f>Tableau3[[#This Row],[Date Livraison VEFA estimée avec retards constatés]]-Tableau3[[#This Row],[Date livraison contractuelle y/c avenant]]</f>
        <v>0</v>
      </c>
      <c r="BJ150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51" spans="1:62" x14ac:dyDescent="0.3">
      <c r="A151" s="4" t="s">
        <v>379</v>
      </c>
      <c r="B151" s="4" t="s">
        <v>25</v>
      </c>
      <c r="C151" s="4" t="s">
        <v>21</v>
      </c>
      <c r="D151" s="4" t="s">
        <v>376</v>
      </c>
      <c r="E151" s="4"/>
      <c r="F151" s="4"/>
      <c r="G151" s="4"/>
      <c r="H151" s="4"/>
      <c r="I151" s="6" t="s">
        <v>14</v>
      </c>
      <c r="J151" s="4" t="s">
        <v>380</v>
      </c>
      <c r="K151" s="4" t="s">
        <v>81</v>
      </c>
      <c r="L151" s="24">
        <f>Tableau3[[#This Row],[LLS]]+Tableau3[[#This Row],[LLTS]]+Tableau3[[#This Row],[PLS]]+Tableau3[[#This Row],[REHAB]]</f>
        <v>88</v>
      </c>
      <c r="M151" s="23">
        <f>IFERROR(Tableau3[[#This Row],[LLS]]+Tableau3[[#This Row],[LLTS]]+Tableau3[[#This Row],[PLS]],"-")</f>
        <v>88</v>
      </c>
      <c r="N151" s="25"/>
      <c r="O151" s="4">
        <v>88</v>
      </c>
      <c r="P151" s="25"/>
      <c r="Q151" s="25"/>
      <c r="R151" s="32"/>
      <c r="S151" s="27"/>
      <c r="T151" s="56">
        <f>Tableau3[[#This Row],[SHAB y/c V]]/Tableau3[[#This Row],[N]]</f>
        <v>0</v>
      </c>
      <c r="U151" s="56">
        <f>Tableau3[[#This Row],[SF priorisée]]/Tableau3[[#This Row],[N]]</f>
        <v>0</v>
      </c>
      <c r="V151" s="57" t="str">
        <f>IFERROR(Tableau3[[#This Row],[SHAB y/c V]]/Tableau3[[#This Row],[SF priorisée]],"-")</f>
        <v>-</v>
      </c>
      <c r="W151" s="56"/>
      <c r="X151" s="43" t="s">
        <v>390</v>
      </c>
      <c r="Y151" s="43" t="s">
        <v>392</v>
      </c>
      <c r="Z151" s="5"/>
      <c r="AA151" s="58" t="str">
        <f>IFERROR(Tableau3[[#This Row],[Prix Achat TTC]]/Tableau3[[#This Row],[SHAB y/c V]],"-")</f>
        <v>-</v>
      </c>
      <c r="AB151" s="58" t="str">
        <f>IFERROR(Tableau3[[#This Row],[Prix Achat TTC]]/Tableau3[[#This Row],[SF priorisée]],"-")</f>
        <v>-</v>
      </c>
      <c r="AC151" s="58">
        <f>IFERROR(Tableau3[[#This Row],[Prix Achat TTC]]/Tableau3[[#This Row],[N]],"-")</f>
        <v>0</v>
      </c>
      <c r="AD151" s="62"/>
      <c r="AE151" s="62"/>
      <c r="AF151" s="62"/>
      <c r="AG151" s="58">
        <f>IFERROR((DATEDIF(Tableau3[[#This Row],[Demande LBU]],Tableau3[[#This Row],[Arrêté LBU]],"d"))/30,0)</f>
        <v>0</v>
      </c>
      <c r="AH151" s="68"/>
      <c r="AI151" s="68"/>
      <c r="AJ151" s="73">
        <f>IFERROR((DATEDIF(Tableau3[[#This Row],[Dde édition prêt]],Tableau3[[#This Row],[Contrat de prêt]],"d"))/30,"-")</f>
        <v>0</v>
      </c>
      <c r="AK151" s="68">
        <f>EOMONTH(Tableau3[[#This Row],[Contrat de prêt]],0)+1</f>
        <v>32</v>
      </c>
      <c r="AL151" s="68"/>
      <c r="AM151" s="68"/>
      <c r="AN151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51" s="79"/>
      <c r="AP151" s="2" t="str">
        <f>IF(Tableau3[[#This Row],[Montant des loyers perçus avant 1e échéance]]&lt;Tableau3[[#This Row],[Montant échéance annuelle]],"oui","non")</f>
        <v>non</v>
      </c>
      <c r="AS151" s="79">
        <f>Tableau3[[#This Row],[Mois de loyers avant 1e échéance]]-Tableau3[[#This Row],[Montant échéance annuelle]]</f>
        <v>0</v>
      </c>
      <c r="AU151" s="86">
        <v>46266</v>
      </c>
      <c r="AV151" s="97"/>
      <c r="AW151" s="109">
        <f>IFERROR((DATEDIF(Tableau3[[#This Row],[Arrêté LBU]],Tableau3[[#This Row],[OS démarrage]],"d"))/30,0)</f>
        <v>1542.2</v>
      </c>
      <c r="AX151" s="105">
        <v>18</v>
      </c>
      <c r="AY151" s="113"/>
      <c r="AZ151" s="84"/>
      <c r="BA151" s="116">
        <f>DATE(YEAR(Tableau3[[#This Row],[OS démarrage]]),MONTH(Tableau3[[#This Row],[OS démarrage]])+Tableau3[[#This Row],[Délai chantier initial]],DAY(Tableau3[[#This Row],[OS démarrage]]))</f>
        <v>46813</v>
      </c>
      <c r="BB151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46844</v>
      </c>
      <c r="BC151" s="121">
        <f>(Tableau3[[#This Row],[Date réception entreprise recalée]]-Tableau3[[#This Row],[Date réception entreprise prévue initialement]])/30</f>
        <v>1.0333333333333334</v>
      </c>
      <c r="BD151" s="126"/>
      <c r="BE151" s="124"/>
      <c r="BF151" s="124"/>
      <c r="BG151" s="124"/>
      <c r="BH151" s="137">
        <f>IFERROR((Tableau3[[#This Row],[Date Livraison VEFA estimée avec retards constatés]]-Tableau3[[#This Row],[Date livraison contractuelle y/c avenant]])/30,"-")</f>
        <v>0</v>
      </c>
      <c r="BI151" s="138">
        <f>Tableau3[[#This Row],[Date Livraison VEFA estimée avec retards constatés]]-Tableau3[[#This Row],[Date livraison contractuelle y/c avenant]]</f>
        <v>0</v>
      </c>
      <c r="BJ151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52" spans="1:62" x14ac:dyDescent="0.3">
      <c r="A152" s="133" t="s">
        <v>381</v>
      </c>
      <c r="B152" s="4" t="s">
        <v>55</v>
      </c>
      <c r="C152" s="4" t="s">
        <v>12</v>
      </c>
      <c r="D152" s="4" t="s">
        <v>376</v>
      </c>
      <c r="E152" s="4"/>
      <c r="F152" s="4"/>
      <c r="G152" s="4"/>
      <c r="H152" s="4"/>
      <c r="I152" s="6" t="s">
        <v>14</v>
      </c>
      <c r="J152" s="4" t="s">
        <v>382</v>
      </c>
      <c r="K152" s="4" t="s">
        <v>81</v>
      </c>
      <c r="L152" s="24">
        <f>Tableau3[[#This Row],[LLS]]+Tableau3[[#This Row],[LLTS]]+Tableau3[[#This Row],[PLS]]+Tableau3[[#This Row],[REHAB]]</f>
        <v>60</v>
      </c>
      <c r="M152" s="23">
        <f>IFERROR(Tableau3[[#This Row],[LLS]]+Tableau3[[#This Row],[LLTS]]+Tableau3[[#This Row],[PLS]],"-")</f>
        <v>60</v>
      </c>
      <c r="N152" s="25"/>
      <c r="O152" s="4">
        <v>60</v>
      </c>
      <c r="P152" s="25"/>
      <c r="Q152" s="25"/>
      <c r="R152" s="32"/>
      <c r="S152" s="27"/>
      <c r="T152" s="56">
        <f>Tableau3[[#This Row],[SHAB y/c V]]/Tableau3[[#This Row],[N]]</f>
        <v>0</v>
      </c>
      <c r="U152" s="56">
        <f>Tableau3[[#This Row],[SF priorisée]]/Tableau3[[#This Row],[N]]</f>
        <v>0</v>
      </c>
      <c r="V152" s="57" t="str">
        <f>IFERROR(Tableau3[[#This Row],[SHAB y/c V]]/Tableau3[[#This Row],[SF priorisée]],"-")</f>
        <v>-</v>
      </c>
      <c r="W152" s="56"/>
      <c r="X152" s="43" t="s">
        <v>390</v>
      </c>
      <c r="Y152" s="43" t="s">
        <v>392</v>
      </c>
      <c r="Z152" s="5"/>
      <c r="AA152" s="58" t="str">
        <f>IFERROR(Tableau3[[#This Row],[Prix Achat TTC]]/Tableau3[[#This Row],[SHAB y/c V]],"-")</f>
        <v>-</v>
      </c>
      <c r="AB152" s="58" t="str">
        <f>IFERROR(Tableau3[[#This Row],[Prix Achat TTC]]/Tableau3[[#This Row],[SF priorisée]],"-")</f>
        <v>-</v>
      </c>
      <c r="AC152" s="58">
        <f>IFERROR(Tableau3[[#This Row],[Prix Achat TTC]]/Tableau3[[#This Row],[N]],"-")</f>
        <v>0</v>
      </c>
      <c r="AD152" s="62"/>
      <c r="AE152" s="62"/>
      <c r="AF152" s="62"/>
      <c r="AG152" s="58">
        <f>IFERROR((DATEDIF(Tableau3[[#This Row],[Demande LBU]],Tableau3[[#This Row],[Arrêté LBU]],"d"))/30,0)</f>
        <v>0</v>
      </c>
      <c r="AH152" s="68"/>
      <c r="AI152" s="68"/>
      <c r="AJ152" s="73">
        <f>IFERROR((DATEDIF(Tableau3[[#This Row],[Dde édition prêt]],Tableau3[[#This Row],[Contrat de prêt]],"d"))/30,"-")</f>
        <v>0</v>
      </c>
      <c r="AK152" s="68">
        <f>EOMONTH(Tableau3[[#This Row],[Contrat de prêt]],0)+1</f>
        <v>32</v>
      </c>
      <c r="AL152" s="68"/>
      <c r="AM152" s="68"/>
      <c r="AN152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1096</v>
      </c>
      <c r="AO152" s="79"/>
      <c r="AP152" s="2" t="str">
        <f>IF(Tableau3[[#This Row],[Montant des loyers perçus avant 1e échéance]]&lt;Tableau3[[#This Row],[Montant échéance annuelle]],"oui","non")</f>
        <v>non</v>
      </c>
      <c r="AS152" s="79">
        <f>Tableau3[[#This Row],[Mois de loyers avant 1e échéance]]-Tableau3[[#This Row],[Montant échéance annuelle]]</f>
        <v>0</v>
      </c>
      <c r="AU152" s="86">
        <v>45988</v>
      </c>
      <c r="AV152" s="97"/>
      <c r="AW152" s="109">
        <f>IFERROR((DATEDIF(Tableau3[[#This Row],[Arrêté LBU]],Tableau3[[#This Row],[OS démarrage]],"d"))/30,0)</f>
        <v>1532.9333333333334</v>
      </c>
      <c r="AX152" s="105">
        <v>35</v>
      </c>
      <c r="AY152" s="113"/>
      <c r="AZ152" s="110"/>
      <c r="BA152" s="116">
        <f>DATE(YEAR(Tableau3[[#This Row],[OS démarrage]]),MONTH(Tableau3[[#This Row],[OS démarrage]])+Tableau3[[#This Row],[Délai chantier initial]],DAY(Tableau3[[#This Row],[OS démarrage]]))</f>
        <v>47053</v>
      </c>
      <c r="BB152" s="118">
        <f>DATE(YEAR(Tableau3[[#This Row],[Date réception entreprise prévue initialement]]),MONTH(Tableau3[[#This Row],[Date réception entreprise prévue initialement]])+1,DAY(Tableau3[[#This Row],[Date réception entreprise prévue initialement]]))</f>
        <v>47084</v>
      </c>
      <c r="BC152" s="121">
        <f>(Tableau3[[#This Row],[Date réception entreprise recalée]]-Tableau3[[#This Row],[Date réception entreprise prévue initialement]])/30</f>
        <v>1.0333333333333334</v>
      </c>
      <c r="BD152" s="126"/>
      <c r="BE152" s="124"/>
      <c r="BF152" s="124"/>
      <c r="BG152" s="124"/>
      <c r="BH152" s="137">
        <f>IFERROR((Tableau3[[#This Row],[Date Livraison VEFA estimée avec retards constatés]]-Tableau3[[#This Row],[Date livraison contractuelle y/c avenant]])/30,"-")</f>
        <v>0</v>
      </c>
      <c r="BI152" s="138">
        <f>Tableau3[[#This Row],[Date Livraison VEFA estimée avec retards constatés]]-Tableau3[[#This Row],[Date livraison contractuelle y/c avenant]]</f>
        <v>0</v>
      </c>
      <c r="BJ152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53" spans="1:62" x14ac:dyDescent="0.3">
      <c r="A153" s="7" t="s">
        <v>383</v>
      </c>
      <c r="B153" s="4" t="s">
        <v>53</v>
      </c>
      <c r="C153" s="4" t="s">
        <v>21</v>
      </c>
      <c r="D153" s="4"/>
      <c r="E153" s="4" t="s">
        <v>384</v>
      </c>
      <c r="F153" s="4"/>
      <c r="G153" s="4"/>
      <c r="H153" s="8" t="s">
        <v>35</v>
      </c>
      <c r="I153" s="4" t="s">
        <v>52</v>
      </c>
      <c r="J153" s="4" t="s">
        <v>385</v>
      </c>
      <c r="K153" s="4" t="s">
        <v>82</v>
      </c>
      <c r="L153" s="24">
        <f>Tableau3[[#This Row],[LLS]]+Tableau3[[#This Row],[LLTS]]+Tableau3[[#This Row],[PLS]]+Tableau3[[#This Row],[REHAB]]</f>
        <v>200</v>
      </c>
      <c r="M153" s="23">
        <f>IFERROR(Tableau3[[#This Row],[LLS]]+Tableau3[[#This Row],[LLTS]]+Tableau3[[#This Row],[PLS]],"-")</f>
        <v>200</v>
      </c>
      <c r="N153" s="25"/>
      <c r="O153" s="28"/>
      <c r="P153" s="4">
        <v>200</v>
      </c>
      <c r="Q153" s="25"/>
      <c r="R153" s="41">
        <f>3391.22</f>
        <v>3391.22</v>
      </c>
      <c r="S153" s="42">
        <f>4050.95</f>
        <v>4050.95</v>
      </c>
      <c r="T153" s="56">
        <f>Tableau3[[#This Row],[SHAB y/c V]]/Tableau3[[#This Row],[N]]</f>
        <v>16.956099999999999</v>
      </c>
      <c r="U153" s="56">
        <f>Tableau3[[#This Row],[SF priorisée]]/Tableau3[[#This Row],[N]]</f>
        <v>20.254749999999998</v>
      </c>
      <c r="V153" s="57">
        <f>IFERROR(Tableau3[[#This Row],[SHAB y/c V]]/Tableau3[[#This Row],[SF priorisée]],"-")</f>
        <v>0.83714190498525032</v>
      </c>
      <c r="W153" s="56"/>
      <c r="X153" s="43" t="s">
        <v>93</v>
      </c>
      <c r="Y153" s="43" t="s">
        <v>392</v>
      </c>
      <c r="Z153" s="51"/>
      <c r="AA153" s="58">
        <f>IFERROR(Tableau3[[#This Row],[Prix Achat TTC]]/Tableau3[[#This Row],[SHAB y/c V]],"-")</f>
        <v>0</v>
      </c>
      <c r="AB153" s="58">
        <f>IFERROR(Tableau3[[#This Row],[Prix Achat TTC]]/Tableau3[[#This Row],[SF priorisée]],"-")</f>
        <v>0</v>
      </c>
      <c r="AC153" s="58">
        <f>IFERROR(Tableau3[[#This Row],[Prix Achat TTC]]/Tableau3[[#This Row],[N]],"-")</f>
        <v>0</v>
      </c>
      <c r="AD153" s="62">
        <v>42824</v>
      </c>
      <c r="AE153" s="62">
        <v>43024</v>
      </c>
      <c r="AF153" s="62"/>
      <c r="AG153" s="58">
        <f>IFERROR((DATEDIF(Tableau3[[#This Row],[Demande LBU]],Tableau3[[#This Row],[Arrêté LBU]],"d"))/30,0)</f>
        <v>6.666666666666667</v>
      </c>
      <c r="AH153" s="68">
        <v>43055</v>
      </c>
      <c r="AI153" s="68">
        <v>43074</v>
      </c>
      <c r="AJ153" s="73">
        <f>IFERROR((DATEDIF(Tableau3[[#This Row],[Dde édition prêt]],Tableau3[[#This Row],[Contrat de prêt]],"d"))/30,"-")</f>
        <v>0.6333333333333333</v>
      </c>
      <c r="AK153" s="68">
        <f>EOMONTH(Tableau3[[#This Row],[Contrat de prêt]],0)+1</f>
        <v>43101</v>
      </c>
      <c r="AL153" s="68"/>
      <c r="AM153" s="68">
        <v>43191</v>
      </c>
      <c r="AN153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44287</v>
      </c>
      <c r="AO153" s="79">
        <f>122362+216619</f>
        <v>338981</v>
      </c>
      <c r="AP153" s="2" t="str">
        <f>IF(Tableau3[[#This Row],[Montant des loyers perçus avant 1e échéance]]&lt;Tableau3[[#This Row],[Montant échéance annuelle]],"oui","non")</f>
        <v>oui</v>
      </c>
      <c r="AS153" s="79">
        <f>Tableau3[[#This Row],[Mois de loyers avant 1e échéance]]-Tableau3[[#This Row],[Montant échéance annuelle]]</f>
        <v>-338981</v>
      </c>
      <c r="AU153" s="83">
        <v>43091</v>
      </c>
      <c r="AV153" s="94">
        <v>2017</v>
      </c>
      <c r="AW153" s="109">
        <f>IFERROR((DATEDIF(Tableau3[[#This Row],[Arrêté LBU]],Tableau3[[#This Row],[OS démarrage]],"d"))/30,0)</f>
        <v>2.2333333333333334</v>
      </c>
      <c r="AX153" s="105">
        <v>18</v>
      </c>
      <c r="AY153" s="113"/>
      <c r="AZ153" s="84"/>
      <c r="BA153" s="116">
        <f>DATE(YEAR(Tableau3[[#This Row],[OS démarrage]]),MONTH(Tableau3[[#This Row],[OS démarrage]])+Tableau3[[#This Row],[Délai chantier initial]],DAY(Tableau3[[#This Row],[OS démarrage]]))</f>
        <v>43638</v>
      </c>
      <c r="BB153" s="118">
        <v>43693</v>
      </c>
      <c r="BC153" s="121">
        <f>(Tableau3[[#This Row],[Date réception entreprise recalée]]-Tableau3[[#This Row],[Date réception entreprise prévue initialement]])/30</f>
        <v>1.8333333333333333</v>
      </c>
      <c r="BD153" s="125">
        <v>43693</v>
      </c>
      <c r="BE153" s="124">
        <v>43693</v>
      </c>
      <c r="BF153" s="124">
        <v>43693</v>
      </c>
      <c r="BG153" s="124">
        <v>43693</v>
      </c>
      <c r="BH153" s="137">
        <f>IFERROR((Tableau3[[#This Row],[Date Livraison VEFA estimée avec retards constatés]]-Tableau3[[#This Row],[Date livraison contractuelle y/c avenant]])/30,"-")</f>
        <v>0</v>
      </c>
      <c r="BI153" s="138">
        <f>Tableau3[[#This Row],[Date Livraison VEFA estimée avec retards constatés]]-Tableau3[[#This Row],[Date livraison contractuelle y/c avenant]]</f>
        <v>0</v>
      </c>
      <c r="BJ153" s="140">
        <f>IF(Tableau3[[#This Row],[TYPE]]="Rehab","",DATE(YEAR(Tableau3[[#This Row],[Achèvement fondations]])+2,MONTH(Tableau3[[#This Row],[Achèvement fondations]]),DAY(Tableau3[[#This Row],[Achèvement fondations]])))</f>
        <v>731</v>
      </c>
    </row>
    <row r="154" spans="1:62" ht="15" thickBot="1" x14ac:dyDescent="0.35">
      <c r="A154" s="7" t="s">
        <v>386</v>
      </c>
      <c r="B154" s="4" t="s">
        <v>55</v>
      </c>
      <c r="C154" s="4" t="s">
        <v>12</v>
      </c>
      <c r="D154" s="4"/>
      <c r="E154" s="4" t="s">
        <v>387</v>
      </c>
      <c r="F154" s="4"/>
      <c r="G154" s="4"/>
      <c r="H154" s="8" t="s">
        <v>35</v>
      </c>
      <c r="I154" s="4" t="s">
        <v>52</v>
      </c>
      <c r="J154" s="4" t="s">
        <v>388</v>
      </c>
      <c r="K154" s="4" t="s">
        <v>82</v>
      </c>
      <c r="L154" s="24">
        <f>Tableau3[[#This Row],[LLS]]+Tableau3[[#This Row],[LLTS]]+Tableau3[[#This Row],[PLS]]+Tableau3[[#This Row],[REHAB]]</f>
        <v>100</v>
      </c>
      <c r="M154" s="23">
        <f>IFERROR(Tableau3[[#This Row],[LLS]]+Tableau3[[#This Row],[LLTS]]+Tableau3[[#This Row],[PLS]],"-")</f>
        <v>100</v>
      </c>
      <c r="N154" s="25"/>
      <c r="O154" s="25"/>
      <c r="P154" s="4">
        <v>100</v>
      </c>
      <c r="Q154" s="25"/>
      <c r="R154" s="41">
        <f>1701.83</f>
        <v>1701.83</v>
      </c>
      <c r="S154" s="42">
        <f>1923.47</f>
        <v>1923.47</v>
      </c>
      <c r="T154" s="56">
        <f>Tableau3[[#This Row],[SHAB y/c V]]/Tableau3[[#This Row],[N]]</f>
        <v>17.0183</v>
      </c>
      <c r="U154" s="56">
        <f>Tableau3[[#This Row],[SF priorisée]]/Tableau3[[#This Row],[N]]</f>
        <v>19.2347</v>
      </c>
      <c r="V154" s="57">
        <f>IFERROR(Tableau3[[#This Row],[SHAB y/c V]]/Tableau3[[#This Row],[SF priorisée]],"-")</f>
        <v>0.88477075285811579</v>
      </c>
      <c r="W154" s="56"/>
      <c r="X154" s="43" t="s">
        <v>93</v>
      </c>
      <c r="Y154" s="43" t="s">
        <v>392</v>
      </c>
      <c r="Z154" s="51"/>
      <c r="AA154" s="58">
        <f>IFERROR(Tableau3[[#This Row],[Prix Achat TTC]]/Tableau3[[#This Row],[SHAB y/c V]],"-")</f>
        <v>0</v>
      </c>
      <c r="AB154" s="58">
        <f>IFERROR(Tableau3[[#This Row],[Prix Achat TTC]]/Tableau3[[#This Row],[SF priorisée]],"-")</f>
        <v>0</v>
      </c>
      <c r="AC154" s="58">
        <f>IFERROR(Tableau3[[#This Row],[Prix Achat TTC]]/Tableau3[[#This Row],[N]],"-")</f>
        <v>0</v>
      </c>
      <c r="AD154" s="62">
        <v>42824</v>
      </c>
      <c r="AE154" s="62">
        <v>43102</v>
      </c>
      <c r="AF154" s="62">
        <v>43116</v>
      </c>
      <c r="AG154" s="60">
        <f>IFERROR((DATEDIF(Tableau3[[#This Row],[Demande LBU]],Tableau3[[#This Row],[Arrêté LBU]],"d"))/30,0)</f>
        <v>9.2666666666666675</v>
      </c>
      <c r="AH154" s="68">
        <v>43112</v>
      </c>
      <c r="AI154" s="68">
        <v>43144</v>
      </c>
      <c r="AJ154" s="73">
        <f>IFERROR((DATEDIF(Tableau3[[#This Row],[Dde édition prêt]],Tableau3[[#This Row],[Contrat de prêt]],"d"))/30,"-")</f>
        <v>1.0666666666666667</v>
      </c>
      <c r="AK154" s="68">
        <f>EOMONTH(Tableau3[[#This Row],[Contrat de prêt]],0)+1</f>
        <v>43160</v>
      </c>
      <c r="AL154" s="68">
        <v>43160</v>
      </c>
      <c r="AM154" s="68">
        <v>43252</v>
      </c>
      <c r="AN154" s="68">
        <f>DATE(YEAR(Tableau3[[#This Row],[Début préfinancement (1e jour du mois suivant la prise d''effet du contrat)]]),MONTH(Tableau3[[#This Row],[Début préfinancement (1e jour du mois suivant la prise d''effet du contrat)]])+36,DAY(Tableau3[[#This Row],[Début préfinancement (1e jour du mois suivant la prise d''effet du contrat)]]))</f>
        <v>44348</v>
      </c>
      <c r="AO154" s="79">
        <f>63685+116945</f>
        <v>180630</v>
      </c>
      <c r="AP154" s="2" t="str">
        <f>IF(Tableau3[[#This Row],[Montant des loyers perçus avant 1e échéance]]&lt;Tableau3[[#This Row],[Montant échéance annuelle]],"oui","non")</f>
        <v>oui</v>
      </c>
      <c r="AS154" s="79">
        <f>Tableau3[[#This Row],[Mois de loyers avant 1e échéance]]-Tableau3[[#This Row],[Montant échéance annuelle]]</f>
        <v>-180630</v>
      </c>
      <c r="AU154" s="92">
        <v>43168</v>
      </c>
      <c r="AV154" s="95">
        <v>2018</v>
      </c>
      <c r="AW154" s="109">
        <f>IFERROR((DATEDIF(Tableau3[[#This Row],[Arrêté LBU]],Tableau3[[#This Row],[OS démarrage]],"d"))/30,0)</f>
        <v>2.2000000000000002</v>
      </c>
      <c r="AX154" s="105">
        <v>17</v>
      </c>
      <c r="AY154" s="113"/>
      <c r="AZ154" s="84"/>
      <c r="BA154" s="116">
        <f>DATE(YEAR(Tableau3[[#This Row],[OS démarrage]]),MONTH(Tableau3[[#This Row],[OS démarrage]])+Tableau3[[#This Row],[Délai chantier initial]],DAY(Tableau3[[#This Row],[OS démarrage]]))</f>
        <v>43686</v>
      </c>
      <c r="BB154" s="118">
        <v>43693</v>
      </c>
      <c r="BC154" s="121">
        <f>(Tableau3[[#This Row],[Date réception entreprise recalée]]-Tableau3[[#This Row],[Date réception entreprise prévue initialement]])/30</f>
        <v>0.23333333333333334</v>
      </c>
      <c r="BD154" s="125">
        <v>43693</v>
      </c>
      <c r="BE154" s="124">
        <v>43693</v>
      </c>
      <c r="BF154" s="124">
        <v>43693</v>
      </c>
      <c r="BG154" s="124">
        <v>43693</v>
      </c>
      <c r="BH154" s="141">
        <f>IFERROR((Tableau3[[#This Row],[Date Livraison VEFA estimée avec retards constatés]]-Tableau3[[#This Row],[Date livraison contractuelle y/c avenant]])/30,"-")</f>
        <v>0</v>
      </c>
      <c r="BI154" s="142">
        <f>Tableau3[[#This Row],[Date Livraison VEFA estimée avec retards constatés]]-Tableau3[[#This Row],[Date livraison contractuelle y/c avenant]]</f>
        <v>0</v>
      </c>
      <c r="BJ154" s="143">
        <f>IF(Tableau3[[#This Row],[TYPE]]="Rehab","",DATE(YEAR(Tableau3[[#This Row],[Achèvement fondations]])+2,MONTH(Tableau3[[#This Row],[Achèvement fondations]]),DAY(Tableau3[[#This Row],[Achèvement fondations]])))</f>
        <v>731</v>
      </c>
    </row>
  </sheetData>
  <conditionalFormatting sqref="AU19">
    <cfRule type="expression" dxfId="18" priority="16">
      <formula>$CT19&gt;=TODAY()</formula>
    </cfRule>
  </conditionalFormatting>
  <conditionalFormatting sqref="AU2:AW154">
    <cfRule type="expression" dxfId="17" priority="14">
      <formula>$AV2&lt;&gt;""</formula>
    </cfRule>
  </conditionalFormatting>
  <conditionalFormatting sqref="AX2:AX154">
    <cfRule type="expression" dxfId="16" priority="13">
      <formula>$AV2&lt;&gt;""</formula>
    </cfRule>
  </conditionalFormatting>
  <conditionalFormatting sqref="BD2:BD154">
    <cfRule type="expression" dxfId="15" priority="12">
      <formula>$BD2&gt;=TODAY()</formula>
    </cfRule>
  </conditionalFormatting>
  <conditionalFormatting sqref="BE37">
    <cfRule type="expression" dxfId="14" priority="11">
      <formula>$BD37&gt;=TODAY()</formula>
    </cfRule>
  </conditionalFormatting>
  <conditionalFormatting sqref="BE2:BE154">
    <cfRule type="expression" dxfId="13" priority="10">
      <formula>$BE2&gt;=TODAY()</formula>
    </cfRule>
  </conditionalFormatting>
  <conditionalFormatting sqref="BF2:BF152">
    <cfRule type="expression" dxfId="12" priority="9">
      <formula>$BF2&gt;=TODAY()</formula>
    </cfRule>
  </conditionalFormatting>
  <conditionalFormatting sqref="BF153:BF154">
    <cfRule type="expression" dxfId="11" priority="8">
      <formula>$BE153&gt;=TODAY()</formula>
    </cfRule>
  </conditionalFormatting>
  <conditionalFormatting sqref="BG2:BG9 BG11:BG16 BG18:BG152">
    <cfRule type="expression" dxfId="9" priority="7">
      <formula>$G2&gt;=TODAY()</formula>
    </cfRule>
    <cfRule type="expression" dxfId="8" priority="5">
      <formula>$BG2&gt;=TODAY()</formula>
    </cfRule>
  </conditionalFormatting>
  <conditionalFormatting sqref="BB2:BB154">
    <cfRule type="expression" dxfId="10" priority="6">
      <formula>$BB2&gt;=TODAY()</formula>
    </cfRule>
  </conditionalFormatting>
  <conditionalFormatting sqref="BG10">
    <cfRule type="expression" dxfId="7" priority="4">
      <formula>$BF10&gt;=TODAY()</formula>
    </cfRule>
  </conditionalFormatting>
  <conditionalFormatting sqref="BG17">
    <cfRule type="expression" dxfId="6" priority="3">
      <formula>$BF17&gt;=TODAY()</formula>
    </cfRule>
  </conditionalFormatting>
  <conditionalFormatting sqref="BG153">
    <cfRule type="expression" dxfId="5" priority="2">
      <formula>$BE153&gt;=TODAY()</formula>
    </cfRule>
  </conditionalFormatting>
  <conditionalFormatting sqref="BG154">
    <cfRule type="expression" dxfId="4" priority="1">
      <formula>$BE154&gt;=TODAY()</formula>
    </cfRule>
  </conditionalFormatting>
  <dataValidations count="10">
    <dataValidation type="list" allowBlank="1" showInputMessage="1" showErrorMessage="1" sqref="B2:B106 B108:B119 B149:B150 B130:B147 B121:B128 B152:B154" xr:uid="{F738C86D-FB4F-4223-B3EF-410C0474D433}">
      <formula1>Communes</formula1>
    </dataValidation>
    <dataValidation type="list" allowBlank="1" showInputMessage="1" showErrorMessage="1" sqref="F2:G2" xr:uid="{6B65E709-10E0-4439-8A97-EE55D7522B8D}">
      <formula1>RO</formula1>
    </dataValidation>
    <dataValidation type="list" allowBlank="1" showInputMessage="1" showErrorMessage="1" sqref="H2" xr:uid="{DB5F49B7-2D15-499C-8B90-F52FEFA672D8}">
      <formula1>Ass</formula1>
    </dataValidation>
    <dataValidation type="list" allowBlank="1" showInputMessage="1" showErrorMessage="1" sqref="I2:I147 I149:I150 I152:I154" xr:uid="{D18D3646-F968-46FD-9ACD-43BE12566B97}">
      <formula1>Phases</formula1>
    </dataValidation>
    <dataValidation type="list" allowBlank="1" showInputMessage="1" showErrorMessage="1" sqref="K2:K57 K60 K149:K150 K108:K119 K130:K147 K121:K128 K63:K106 K152:K154" xr:uid="{A8C6D9D1-A6F4-4722-AD99-297516D5CD10}">
      <formula1>"LLS,LLTS,PLS,Rehab"</formula1>
    </dataValidation>
    <dataValidation type="list" allowBlank="1" showInputMessage="1" showErrorMessage="1" sqref="C2" xr:uid="{907D39AE-B81F-4444-A0E4-978D91992A22}">
      <formula1>EPCI</formula1>
    </dataValidation>
    <dataValidation type="list" allowBlank="1" showInputMessage="1" showErrorMessage="1" sqref="X2" xr:uid="{7D74F3EE-02B1-4F55-8019-92D7CC4160EF}">
      <formula1>"VEFA,Propre"</formula1>
    </dataValidation>
    <dataValidation type="list" allowBlank="1" showInputMessage="1" showErrorMessage="1" sqref="F3:G154" xr:uid="{69473C21-93B9-445D-A7B3-401D8E9F5235}">
      <formula1>ListeRO</formula1>
    </dataValidation>
    <dataValidation type="list" allowBlank="1" showInputMessage="1" showErrorMessage="1" sqref="H149:H150 H3:H147 H152:H154" xr:uid="{96E2D4A0-B4D9-498C-95F1-1DD8F487E918}">
      <formula1>Liste_Ass</formula1>
    </dataValidation>
    <dataValidation type="list" allowBlank="1" showInputMessage="1" showErrorMessage="1" sqref="Z128" xr:uid="{9958B98A-EAC1-400D-ADAB-79C52553B339}">
      <formula1>"oui,non"</formula1>
    </dataValidation>
  </dataValidations>
  <pageMargins left="0.7" right="0.7" top="0.75" bottom="0.75" header="0.3" footer="0.3"/>
  <pageSetup paperSize="9" scale="12" orientation="portrait" verticalDpi="0" r:id="rId1"/>
  <colBreaks count="1" manualBreakCount="1">
    <brk id="37" max="153" man="1"/>
  </colBreak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80191-0CC0-4F1A-B763-140E453EFCCB}">
  <dimension ref="A1"/>
  <sheetViews>
    <sheetView workbookViewId="0">
      <selection activeCell="E24" sqref="E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D0B4B-658C-490F-A290-159E71FD1808}">
  <dimension ref="A1:E33"/>
  <sheetViews>
    <sheetView workbookViewId="0">
      <selection activeCell="E1" sqref="E1:E4"/>
    </sheetView>
  </sheetViews>
  <sheetFormatPr baseColWidth="10" defaultRowHeight="14.4" x14ac:dyDescent="0.3"/>
  <sheetData>
    <row r="1" spans="1:5" x14ac:dyDescent="0.3">
      <c r="A1" t="s">
        <v>38</v>
      </c>
      <c r="B1" t="s">
        <v>39</v>
      </c>
      <c r="C1" t="s">
        <v>10</v>
      </c>
      <c r="D1" t="s">
        <v>11</v>
      </c>
      <c r="E1" t="s">
        <v>12</v>
      </c>
    </row>
    <row r="2" spans="1:5" x14ac:dyDescent="0.3">
      <c r="A2" t="s">
        <v>42</v>
      </c>
      <c r="B2" t="s">
        <v>35</v>
      </c>
      <c r="C2" t="s">
        <v>14</v>
      </c>
      <c r="D2" t="s">
        <v>15</v>
      </c>
      <c r="E2" t="s">
        <v>16</v>
      </c>
    </row>
    <row r="3" spans="1:5" x14ac:dyDescent="0.3">
      <c r="A3" t="s">
        <v>27</v>
      </c>
      <c r="B3" t="s">
        <v>9</v>
      </c>
      <c r="C3" t="s">
        <v>19</v>
      </c>
      <c r="D3" t="s">
        <v>20</v>
      </c>
      <c r="E3" t="s">
        <v>21</v>
      </c>
    </row>
    <row r="4" spans="1:5" x14ac:dyDescent="0.3">
      <c r="A4" t="s">
        <v>45</v>
      </c>
      <c r="B4" t="s">
        <v>13</v>
      </c>
      <c r="C4" t="s">
        <v>24</v>
      </c>
      <c r="D4" t="s">
        <v>25</v>
      </c>
      <c r="E4" t="s">
        <v>26</v>
      </c>
    </row>
    <row r="5" spans="1:5" x14ac:dyDescent="0.3">
      <c r="A5" t="s">
        <v>17</v>
      </c>
      <c r="B5" t="s">
        <v>18</v>
      </c>
      <c r="C5" t="s">
        <v>29</v>
      </c>
      <c r="D5" t="s">
        <v>30</v>
      </c>
    </row>
    <row r="6" spans="1:5" x14ac:dyDescent="0.3">
      <c r="A6" t="s">
        <v>22</v>
      </c>
      <c r="B6" t="s">
        <v>23</v>
      </c>
      <c r="C6" t="s">
        <v>32</v>
      </c>
      <c r="D6" t="s">
        <v>33</v>
      </c>
    </row>
    <row r="7" spans="1:5" x14ac:dyDescent="0.3">
      <c r="A7" t="s">
        <v>34</v>
      </c>
      <c r="B7" t="s">
        <v>28</v>
      </c>
      <c r="C7" t="s">
        <v>36</v>
      </c>
      <c r="D7" t="s">
        <v>37</v>
      </c>
    </row>
    <row r="8" spans="1:5" x14ac:dyDescent="0.3">
      <c r="B8" t="s">
        <v>31</v>
      </c>
      <c r="C8" t="s">
        <v>40</v>
      </c>
      <c r="D8" t="s">
        <v>41</v>
      </c>
    </row>
    <row r="9" spans="1:5" x14ac:dyDescent="0.3">
      <c r="C9" t="s">
        <v>43</v>
      </c>
      <c r="D9" t="s">
        <v>44</v>
      </c>
    </row>
    <row r="10" spans="1:5" x14ac:dyDescent="0.3">
      <c r="C10" t="s">
        <v>46</v>
      </c>
      <c r="D10" t="s">
        <v>47</v>
      </c>
    </row>
    <row r="11" spans="1:5" x14ac:dyDescent="0.3">
      <c r="C11" t="s">
        <v>48</v>
      </c>
      <c r="D11" t="s">
        <v>49</v>
      </c>
    </row>
    <row r="12" spans="1:5" x14ac:dyDescent="0.3">
      <c r="C12" t="s">
        <v>50</v>
      </c>
      <c r="D12" t="s">
        <v>51</v>
      </c>
    </row>
    <row r="13" spans="1:5" x14ac:dyDescent="0.3">
      <c r="C13" t="s">
        <v>52</v>
      </c>
      <c r="D13" t="s">
        <v>53</v>
      </c>
    </row>
    <row r="14" spans="1:5" x14ac:dyDescent="0.3">
      <c r="C14" t="s">
        <v>54</v>
      </c>
      <c r="D14" t="s">
        <v>55</v>
      </c>
    </row>
    <row r="15" spans="1:5" x14ac:dyDescent="0.3">
      <c r="C15" t="s">
        <v>56</v>
      </c>
      <c r="D15" t="s">
        <v>57</v>
      </c>
    </row>
    <row r="19" spans="1:5" x14ac:dyDescent="0.3">
      <c r="A19" s="1" t="s">
        <v>58</v>
      </c>
      <c r="B19" s="1" t="s">
        <v>59</v>
      </c>
      <c r="C19" s="1"/>
      <c r="D19" s="1"/>
      <c r="E19" s="1"/>
    </row>
    <row r="20" spans="1:5" x14ac:dyDescent="0.3">
      <c r="A20" t="s">
        <v>60</v>
      </c>
      <c r="B20" t="s">
        <v>61</v>
      </c>
    </row>
    <row r="21" spans="1:5" x14ac:dyDescent="0.3">
      <c r="A21" t="s">
        <v>60</v>
      </c>
      <c r="B21" t="s">
        <v>62</v>
      </c>
    </row>
    <row r="22" spans="1:5" x14ac:dyDescent="0.3">
      <c r="A22" t="s">
        <v>60</v>
      </c>
      <c r="B22" t="s">
        <v>61</v>
      </c>
    </row>
    <row r="23" spans="1:5" x14ac:dyDescent="0.3">
      <c r="A23" t="s">
        <v>60</v>
      </c>
      <c r="B23" t="s">
        <v>63</v>
      </c>
    </row>
    <row r="24" spans="1:5" x14ac:dyDescent="0.3">
      <c r="A24" t="s">
        <v>64</v>
      </c>
      <c r="B24" t="s">
        <v>65</v>
      </c>
    </row>
    <row r="25" spans="1:5" x14ac:dyDescent="0.3">
      <c r="A25" t="s">
        <v>64</v>
      </c>
      <c r="B25" t="s">
        <v>66</v>
      </c>
    </row>
    <row r="26" spans="1:5" x14ac:dyDescent="0.3">
      <c r="A26" t="s">
        <v>64</v>
      </c>
      <c r="B26" t="s">
        <v>65</v>
      </c>
    </row>
    <row r="27" spans="1:5" x14ac:dyDescent="0.3">
      <c r="A27" t="s">
        <v>64</v>
      </c>
      <c r="B27" t="s">
        <v>67</v>
      </c>
    </row>
    <row r="28" spans="1:5" x14ac:dyDescent="0.3">
      <c r="A28" t="s">
        <v>68</v>
      </c>
      <c r="B28" t="s">
        <v>69</v>
      </c>
    </row>
    <row r="29" spans="1:5" x14ac:dyDescent="0.3">
      <c r="A29" t="s">
        <v>68</v>
      </c>
      <c r="B29" t="s">
        <v>70</v>
      </c>
    </row>
    <row r="30" spans="1:5" x14ac:dyDescent="0.3">
      <c r="A30" t="s">
        <v>68</v>
      </c>
      <c r="B30" t="s">
        <v>71</v>
      </c>
    </row>
    <row r="31" spans="1:5" x14ac:dyDescent="0.3">
      <c r="A31" t="s">
        <v>68</v>
      </c>
      <c r="B31" t="s">
        <v>72</v>
      </c>
    </row>
    <row r="32" spans="1:5" x14ac:dyDescent="0.3">
      <c r="A32" t="s">
        <v>73</v>
      </c>
      <c r="B32" t="s">
        <v>74</v>
      </c>
    </row>
    <row r="33" spans="1:2" x14ac:dyDescent="0.3">
      <c r="A33" t="s">
        <v>73</v>
      </c>
      <c r="B33" t="s">
        <v>75</v>
      </c>
    </row>
  </sheetData>
  <sortState xmlns:xlrd2="http://schemas.microsoft.com/office/spreadsheetml/2017/richdata2" ref="B1:B8">
    <sortCondition ref="B1:B8"/>
  </sortState>
  <dataValidations count="1">
    <dataValidation type="list" allowBlank="1" showInputMessage="1" showErrorMessage="1" sqref="A5" xr:uid="{F61908D5-9A40-4085-81B1-7927FFCBE368}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Délais études_travaux</vt:lpstr>
      <vt:lpstr>Listes</vt:lpstr>
      <vt:lpstr>Ass</vt:lpstr>
      <vt:lpstr>Communes</vt:lpstr>
      <vt:lpstr>EPCI</vt:lpstr>
      <vt:lpstr>Phases</vt:lpstr>
      <vt:lpstr>RO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2023-04-18T06:57:07Z</cp:lastPrinted>
  <dcterms:created xsi:type="dcterms:W3CDTF">2023-04-18T06:18:29Z</dcterms:created>
  <dcterms:modified xsi:type="dcterms:W3CDTF">2023-04-18T09:32:59Z</dcterms:modified>
</cp:coreProperties>
</file>