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5AE5E580-C44C-4785-892C-B75FDC866FD5}" xr6:coauthVersionLast="47" xr6:coauthVersionMax="47" xr10:uidLastSave="{00000000-0000-0000-0000-000000000000}"/>
  <bookViews>
    <workbookView xWindow="-108" yWindow="-108" windowWidth="23256" windowHeight="12576" tabRatio="639" activeTab="1" xr2:uid="{00000000-000D-0000-FFFF-FFFF00000000}"/>
  </bookViews>
  <sheets>
    <sheet name="Appels de fonds" sheetId="35" r:id="rId1"/>
    <sheet name="Liste des subventions" sheetId="34" r:id="rId2"/>
    <sheet name="CILGERE" sheetId="12" state="hidden" r:id="rId3"/>
  </sheets>
  <definedNames>
    <definedName name="Bdgt_ADEME">#REF!</definedName>
    <definedName name="Bdgt_CAF">#REF!</definedName>
    <definedName name="Bdgt_DIECCTE">#REF!</definedName>
    <definedName name="Bdgt_EAU">#REF!</definedName>
    <definedName name="Bdgt_EDF">#REF!</definedName>
    <definedName name="Bdgt_ETG_SALE">#REF!</definedName>
    <definedName name="Bdgt_FEDER">#REF!</definedName>
    <definedName name="Bdgt_FRAFU">#REF!</definedName>
    <definedName name="Bdgt_LBU">#REF!</definedName>
    <definedName name="Bdgt_P_Ile">#REF!</definedName>
    <definedName name="Bdgt_Rectorat">#REF!</definedName>
    <definedName name="Bdgt_Region">#REF!</definedName>
    <definedName name="Bdgt_Rehab">#REF!</definedName>
    <definedName name="Bdgt_ST_JO">#REF!</definedName>
    <definedName name="Bdgt_ST_LEU">#REF!</definedName>
    <definedName name="Bdgt_TCO">#REF!</definedName>
    <definedName name="Date_AF_ETG_SALE">#REF!</definedName>
    <definedName name="Date_AF_FRAFU">#REF!</definedName>
    <definedName name="Date_jour">'Liste des subventions'!$S$1</definedName>
    <definedName name="DateAF">#REF!</definedName>
    <definedName name="DateAF_ADEME">#REF!</definedName>
    <definedName name="DateAF_CAF">#REF!</definedName>
    <definedName name="DateAF_CIVIS">#REF!</definedName>
    <definedName name="DateAF_EAU">#REF!</definedName>
    <definedName name="DateAF_EDF">#REF!</definedName>
    <definedName name="DateAF_FEDER">#REF!</definedName>
    <definedName name="DateAF_LBU">#REF!</definedName>
    <definedName name="DateAF_LBU_rehab">#REF!</definedName>
    <definedName name="DateAF_P_ILE">#REF!</definedName>
    <definedName name="DateAF_Rectorat">#REF!</definedName>
    <definedName name="DateAF_Region">#REF!</definedName>
    <definedName name="DateAF_ST_JOSEPH">#REF!</definedName>
    <definedName name="DateAF_ST_LEU">#REF!</definedName>
    <definedName name="DateAF_Tampon">#REF!</definedName>
    <definedName name="DateAF_TCO">#REF!</definedName>
    <definedName name="DatePmt">#REF!</definedName>
    <definedName name="DatePmt_ADEME">#REF!</definedName>
    <definedName name="DatePmt_caf">#REF!</definedName>
    <definedName name="DatePmt_CIVIS">#REF!</definedName>
    <definedName name="DatePmt_DIECCTE">#REF!</definedName>
    <definedName name="DatePmt_EAU">#REF!</definedName>
    <definedName name="DatePmt_EDF">#REF!</definedName>
    <definedName name="DatePmt_ETG_SALE">#REF!</definedName>
    <definedName name="DatePmt_FEDER">#REF!</definedName>
    <definedName name="DatePmt_LBU">#REF!</definedName>
    <definedName name="DatePmt_P_ILE">#REF!</definedName>
    <definedName name="DatePmt_Rectorat">#REF!</definedName>
    <definedName name="DatePmt_Region">#REF!</definedName>
    <definedName name="DatePmt_ST_JOSEPH">#REF!</definedName>
    <definedName name="DatePmt_ST_LEU">#REF!</definedName>
    <definedName name="DatePmt_TAMPON">#REF!</definedName>
    <definedName name="DatePmt_TCO">#REF!</definedName>
    <definedName name="DatePmtRehab">#REF!</definedName>
    <definedName name="MontantAF">#REF!</definedName>
    <definedName name="MontantAF_ADEME">#REF!</definedName>
    <definedName name="MontantAF_CAF">#REF!</definedName>
    <definedName name="MontantAF_CIVIS">#REF!</definedName>
    <definedName name="MontantAF_EAU">#REF!</definedName>
    <definedName name="MontantAF_EDF">#REF!</definedName>
    <definedName name="MontantAF_ETG_SALE">#REF!</definedName>
    <definedName name="MontantAF_FEDER">#REF!</definedName>
    <definedName name="MontantAF_FRAFU">#REF!</definedName>
    <definedName name="MontantAF_LBU">#REF!</definedName>
    <definedName name="MontantAF_LBU_rehab">#REF!</definedName>
    <definedName name="MontantAF_P_ILE">#REF!</definedName>
    <definedName name="MontantAF_Rectorat">#REF!</definedName>
    <definedName name="MontantAF_Region">#REF!</definedName>
    <definedName name="MontantAF_ST_JOSEPH">#REF!</definedName>
    <definedName name="MontantAF_ST_LEU">#REF!</definedName>
    <definedName name="MontantAF_Tampon">#REF!</definedName>
    <definedName name="MontantAF_TCO">#REF!</definedName>
    <definedName name="MontantPaye">#REF!</definedName>
    <definedName name="MontantPayeRehab">#REF!</definedName>
    <definedName name="MtntPaye_ADEME">#REF!</definedName>
    <definedName name="MtntPaye_CAF">#REF!</definedName>
    <definedName name="MtntPaye_CIVIS">#REF!</definedName>
    <definedName name="MtntPaye_DIECCTE">#REF!</definedName>
    <definedName name="MtntPaye_EAU">#REF!</definedName>
    <definedName name="MtntPaye_EDF">#REF!</definedName>
    <definedName name="MtntPaye_ETG_SALE">#REF!</definedName>
    <definedName name="MtntPaye_FEDER">#REF!</definedName>
    <definedName name="MtntPaye_LBU">#REF!</definedName>
    <definedName name="MtntPaye_P_ILE">#REF!</definedName>
    <definedName name="MtntPaye_Rectorat">#REF!</definedName>
    <definedName name="MtntPaye_Region">#REF!</definedName>
    <definedName name="MtntPaye_ST_JOSEPH">#REF!</definedName>
    <definedName name="MtntPaye_ST_LEU">#REF!</definedName>
    <definedName name="MtntPaye_TAMPON">#REF!</definedName>
    <definedName name="MtntPaye_TCO">#REF!</definedName>
    <definedName name="OP_ADEME">#REF!</definedName>
    <definedName name="OP_CAF">#REF!</definedName>
    <definedName name="OP_CIVIS">#REF!</definedName>
    <definedName name="OP_DIECCTE">#REF!</definedName>
    <definedName name="OP_EAU">#REF!</definedName>
    <definedName name="OP_EDF">#REF!</definedName>
    <definedName name="OP_ETG_SALE">#REF!</definedName>
    <definedName name="OP_FEDER">#REF!</definedName>
    <definedName name="OP_FRAFU">#REF!</definedName>
    <definedName name="OP_LBU">#REF!</definedName>
    <definedName name="OP_P_Ile">#REF!</definedName>
    <definedName name="OP_Rectorat">#REF!</definedName>
    <definedName name="OP_Region">#REF!</definedName>
    <definedName name="OP_Rehab">#REF!</definedName>
    <definedName name="OP_ST_JO">#REF!</definedName>
    <definedName name="OP_ST_LEU">#REF!</definedName>
    <definedName name="OP_TAMPON">#REF!</definedName>
    <definedName name="OP_TCO">#REF!</definedName>
  </definedNames>
  <calcPr calcId="191029"/>
  <pivotCaches>
    <pivotCache cacheId="3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" i="34" l="1"/>
  <c r="I18" i="34" s="1"/>
  <c r="B56" i="35"/>
  <c r="C56" i="35" s="1"/>
  <c r="E19" i="34"/>
  <c r="H19" i="34"/>
  <c r="B55" i="35"/>
  <c r="C55" i="35" s="1"/>
  <c r="E18" i="34"/>
  <c r="H18" i="34"/>
  <c r="B54" i="35"/>
  <c r="C54" i="35" s="1"/>
  <c r="B53" i="35"/>
  <c r="C53" i="35" s="1"/>
  <c r="E17" i="34"/>
  <c r="H17" i="34"/>
  <c r="E16" i="34"/>
  <c r="H16" i="34"/>
  <c r="E15" i="34"/>
  <c r="H15" i="34"/>
  <c r="B52" i="35"/>
  <c r="C52" i="35" s="1"/>
  <c r="B51" i="35"/>
  <c r="C51" i="35" s="1"/>
  <c r="E14" i="34"/>
  <c r="H14" i="34"/>
  <c r="E13" i="34"/>
  <c r="H13" i="34"/>
  <c r="B50" i="35"/>
  <c r="C50" i="35" s="1"/>
  <c r="B49" i="35"/>
  <c r="C49" i="35" s="1"/>
  <c r="I8" i="34"/>
  <c r="I6" i="34"/>
  <c r="H7" i="34"/>
  <c r="I7" i="34" s="1"/>
  <c r="H12" i="34"/>
  <c r="E12" i="34"/>
  <c r="B47" i="35"/>
  <c r="C47" i="35" s="1"/>
  <c r="B48" i="35"/>
  <c r="C48" i="35" s="1"/>
  <c r="B46" i="35"/>
  <c r="C46" i="35" s="1"/>
  <c r="E11" i="34"/>
  <c r="H11" i="34"/>
  <c r="I11" i="34" s="1"/>
  <c r="B43" i="35"/>
  <c r="C43" i="35" s="1"/>
  <c r="B44" i="35"/>
  <c r="C44" i="35" s="1"/>
  <c r="B45" i="35"/>
  <c r="C45" i="35" s="1"/>
  <c r="B42" i="35"/>
  <c r="C42" i="35" s="1"/>
  <c r="E10" i="34"/>
  <c r="H10" i="34"/>
  <c r="I10" i="34" s="1"/>
  <c r="B41" i="35"/>
  <c r="C41" i="35" s="1"/>
  <c r="B38" i="35"/>
  <c r="C38" i="35" s="1"/>
  <c r="B39" i="35"/>
  <c r="C39" i="35" s="1"/>
  <c r="B40" i="35"/>
  <c r="C40" i="35" s="1"/>
  <c r="B37" i="35"/>
  <c r="C37" i="35" s="1"/>
  <c r="B34" i="35"/>
  <c r="C34" i="35" s="1"/>
  <c r="B35" i="35"/>
  <c r="C35" i="35" s="1"/>
  <c r="B36" i="35"/>
  <c r="C36" i="35" s="1"/>
  <c r="B33" i="35"/>
  <c r="C33" i="35" s="1"/>
  <c r="B28" i="35"/>
  <c r="C28" i="35" s="1"/>
  <c r="B29" i="35"/>
  <c r="C29" i="35" s="1"/>
  <c r="B30" i="35"/>
  <c r="C30" i="35" s="1"/>
  <c r="B31" i="35"/>
  <c r="C31" i="35" s="1"/>
  <c r="B32" i="35"/>
  <c r="C32" i="35" s="1"/>
  <c r="B27" i="35"/>
  <c r="C27" i="35" s="1"/>
  <c r="E9" i="34"/>
  <c r="H9" i="34"/>
  <c r="I9" i="34" s="1"/>
  <c r="E8" i="34"/>
  <c r="H8" i="34"/>
  <c r="E7" i="34"/>
  <c r="B23" i="35"/>
  <c r="C23" i="35" s="1"/>
  <c r="B24" i="35"/>
  <c r="C24" i="35" s="1"/>
  <c r="B25" i="35"/>
  <c r="C25" i="35" s="1"/>
  <c r="B26" i="35"/>
  <c r="C26" i="35" s="1"/>
  <c r="B22" i="35"/>
  <c r="C22" i="35" s="1"/>
  <c r="E6" i="34"/>
  <c r="H6" i="34"/>
  <c r="B21" i="35"/>
  <c r="C21" i="35" s="1"/>
  <c r="B17" i="35"/>
  <c r="C17" i="35" s="1"/>
  <c r="B18" i="35"/>
  <c r="C18" i="35" s="1"/>
  <c r="B19" i="35"/>
  <c r="C19" i="35" s="1"/>
  <c r="B20" i="35"/>
  <c r="C20" i="35" s="1"/>
  <c r="B16" i="35"/>
  <c r="C16" i="35" s="1"/>
  <c r="E5" i="34"/>
  <c r="H5" i="34"/>
  <c r="I5" i="34" s="1"/>
  <c r="B12" i="35"/>
  <c r="C12" i="35" s="1"/>
  <c r="B13" i="35"/>
  <c r="C13" i="35" s="1"/>
  <c r="B14" i="35"/>
  <c r="C14" i="35" s="1"/>
  <c r="B15" i="35"/>
  <c r="C15" i="35" s="1"/>
  <c r="B11" i="35"/>
  <c r="C11" i="35" s="1"/>
  <c r="E4" i="34"/>
  <c r="H4" i="34"/>
  <c r="I4" i="34" s="1"/>
  <c r="B10" i="35"/>
  <c r="C10" i="35" s="1"/>
  <c r="B9" i="35"/>
  <c r="C9" i="35" s="1"/>
  <c r="B8" i="35"/>
  <c r="C8" i="35" s="1"/>
  <c r="B7" i="35"/>
  <c r="C7" i="35" s="1"/>
  <c r="B6" i="35"/>
  <c r="C6" i="35" s="1"/>
  <c r="I3" i="34"/>
  <c r="H3" i="34"/>
  <c r="E3" i="34"/>
  <c r="B5" i="35" l="1"/>
  <c r="C5" i="35" s="1"/>
  <c r="B4" i="35"/>
  <c r="C4" i="35" s="1"/>
  <c r="B3" i="35"/>
  <c r="C3" i="35" s="1"/>
  <c r="B2" i="35"/>
  <c r="L19" i="34" l="1"/>
  <c r="M19" i="34"/>
  <c r="L18" i="34"/>
  <c r="M18" i="34"/>
  <c r="L17" i="34"/>
  <c r="M17" i="34"/>
  <c r="L16" i="34"/>
  <c r="M16" i="34"/>
  <c r="L15" i="34"/>
  <c r="M15" i="34"/>
  <c r="L14" i="34"/>
  <c r="M14" i="34"/>
  <c r="L13" i="34"/>
  <c r="O13" i="34" s="1"/>
  <c r="M13" i="34"/>
  <c r="L12" i="34"/>
  <c r="M12" i="34"/>
  <c r="L11" i="34"/>
  <c r="M11" i="34"/>
  <c r="L10" i="34"/>
  <c r="M10" i="34"/>
  <c r="L9" i="34"/>
  <c r="M9" i="34"/>
  <c r="L8" i="34"/>
  <c r="M8" i="34"/>
  <c r="L7" i="34"/>
  <c r="M7" i="34"/>
  <c r="L6" i="34"/>
  <c r="M6" i="34"/>
  <c r="L5" i="34"/>
  <c r="M5" i="34"/>
  <c r="L4" i="34"/>
  <c r="M4" i="34"/>
  <c r="M2" i="34"/>
  <c r="L3" i="34"/>
  <c r="M3" i="34"/>
  <c r="L2" i="34"/>
  <c r="C2" i="35"/>
  <c r="H2" i="34"/>
  <c r="I2" i="34" s="1"/>
  <c r="E2" i="34"/>
  <c r="N19" i="34" l="1"/>
  <c r="O19" i="34"/>
  <c r="N18" i="34"/>
  <c r="O18" i="34"/>
  <c r="N17" i="34"/>
  <c r="O17" i="34"/>
  <c r="N16" i="34"/>
  <c r="O16" i="34"/>
  <c r="N15" i="34"/>
  <c r="O15" i="34"/>
  <c r="N14" i="34"/>
  <c r="O14" i="34"/>
  <c r="N13" i="34"/>
  <c r="N12" i="34"/>
  <c r="O12" i="34"/>
  <c r="N11" i="34"/>
  <c r="O11" i="34"/>
  <c r="N10" i="34"/>
  <c r="O10" i="34"/>
  <c r="N9" i="34"/>
  <c r="O9" i="34"/>
  <c r="N8" i="34"/>
  <c r="O8" i="34"/>
  <c r="N7" i="34"/>
  <c r="O7" i="34"/>
  <c r="N6" i="34"/>
  <c r="O6" i="34"/>
  <c r="N5" i="34"/>
  <c r="O5" i="34"/>
  <c r="N4" i="34"/>
  <c r="O4" i="34"/>
  <c r="O2" i="34"/>
  <c r="N2" i="34"/>
  <c r="O3" i="34"/>
  <c r="N3" i="34"/>
  <c r="H15" i="12" l="1"/>
  <c r="E15" i="12"/>
  <c r="D15" i="12"/>
  <c r="L14" i="12"/>
  <c r="K14" i="12"/>
  <c r="L13" i="12"/>
  <c r="K13" i="12"/>
  <c r="L12" i="12"/>
  <c r="K12" i="12"/>
  <c r="L11" i="12"/>
  <c r="K11" i="12"/>
  <c r="L10" i="12"/>
  <c r="K10" i="12"/>
  <c r="L9" i="12"/>
  <c r="K9" i="12"/>
  <c r="L8" i="12"/>
  <c r="K8" i="12"/>
  <c r="L7" i="12"/>
  <c r="K7" i="12"/>
  <c r="L15" i="12"/>
  <c r="K15" i="12"/>
  <c r="K16" i="12"/>
</calcChain>
</file>

<file path=xl/sharedStrings.xml><?xml version="1.0" encoding="utf-8"?>
<sst xmlns="http://schemas.openxmlformats.org/spreadsheetml/2006/main" count="167" uniqueCount="82">
  <si>
    <t>Libellé</t>
  </si>
  <si>
    <t>Montant</t>
  </si>
  <si>
    <t>Opération</t>
  </si>
  <si>
    <t xml:space="preserve">N° </t>
  </si>
  <si>
    <t xml:space="preserve">APPELS DE FONDS </t>
  </si>
  <si>
    <t>CHALOUPE</t>
  </si>
  <si>
    <t>BUDGET</t>
  </si>
  <si>
    <t>RESTE A PERCEVOIR</t>
  </si>
  <si>
    <t>Payé</t>
  </si>
  <si>
    <t>Date</t>
  </si>
  <si>
    <t>Nbre js d'impayés</t>
  </si>
  <si>
    <t>Non appelé</t>
  </si>
  <si>
    <t>A payer</t>
  </si>
  <si>
    <t>Signature</t>
  </si>
  <si>
    <t>P'TIT CANAL</t>
  </si>
  <si>
    <t>AVENUE RAYMOND BARRE</t>
  </si>
  <si>
    <t>ETAT DES CREANCES : CILGERE</t>
  </si>
  <si>
    <t xml:space="preserve">Date OS </t>
  </si>
  <si>
    <t>100 MARCHES (10 LLS)</t>
  </si>
  <si>
    <t>CARAMBOLES (6 LLS)</t>
  </si>
  <si>
    <t>SHLS N° 17-0446</t>
  </si>
  <si>
    <t>SHLS N° 17-0447</t>
  </si>
  <si>
    <t>Date limite DROC (12 mois)</t>
  </si>
  <si>
    <t>CITRONNELLES (45 LLS)</t>
  </si>
  <si>
    <t>SHLS N° 17-0448</t>
  </si>
  <si>
    <t>SHLS N° 17-0445</t>
  </si>
  <si>
    <t>HUBERT DELISLE (74 LLS)</t>
  </si>
  <si>
    <t>BRAS DES ETANGS (31 LLS)</t>
  </si>
  <si>
    <t>SHLS N°17-0382</t>
  </si>
  <si>
    <t>SHLS N° 17-0415</t>
  </si>
  <si>
    <t>BELLEVUE (128 LLS)</t>
  </si>
  <si>
    <t>SHLS N° 18-0127</t>
  </si>
  <si>
    <t>Date limite DAT (2 ans à la signature de la convention)</t>
  </si>
  <si>
    <t>POINSETIAS (31 LLS)</t>
  </si>
  <si>
    <t>SHLS N° 18-0122</t>
  </si>
  <si>
    <t>SHLS N° 18-0123</t>
  </si>
  <si>
    <t>CANAL LILIS (23 LLS)</t>
  </si>
  <si>
    <t>SHLS N° 18-0125</t>
  </si>
  <si>
    <t>LBU REHAB</t>
  </si>
  <si>
    <t>OPERATION</t>
  </si>
  <si>
    <t>Erreur DEAl 157 369,33 €</t>
  </si>
  <si>
    <t>CHEMIN GALET 1 (30 LLS)</t>
  </si>
  <si>
    <t>SHLS N° 20-0374</t>
  </si>
  <si>
    <t>CASABIANCA (16 LLS)</t>
  </si>
  <si>
    <t>SHLS N° 20-0421</t>
  </si>
  <si>
    <t>CHOKA BLEU (26 LLS)</t>
  </si>
  <si>
    <t>SHLS N° 20-0393</t>
  </si>
  <si>
    <t>SHLS N° 20-0394</t>
  </si>
  <si>
    <t>ORCHIDEES (83 LLS)</t>
  </si>
  <si>
    <t>SHLS N° 20-0384</t>
  </si>
  <si>
    <t>CHEMIN GALET 2 (32 LLS)</t>
  </si>
  <si>
    <t>SHLS N° 20-0338</t>
  </si>
  <si>
    <t>LA CURE 2 (18 LLTS)</t>
  </si>
  <si>
    <t>LA CURE 1 (30 LLS)</t>
  </si>
  <si>
    <t>LA CHAPELLE (38 LLS)</t>
  </si>
  <si>
    <t>SHLS N° 20-0422</t>
  </si>
  <si>
    <t>Avance de 30% suite à COVID 19</t>
  </si>
  <si>
    <t>Date DAT/PV RECEPTION</t>
  </si>
  <si>
    <t>LA FORET (10 LLS)</t>
  </si>
  <si>
    <t>SHLS N° 21-0199</t>
  </si>
  <si>
    <t>BOUGAINVILLEES (26 LLS)</t>
  </si>
  <si>
    <t>Date de la DROC/PV OUVERTURE CHANTIER</t>
  </si>
  <si>
    <t>Date AF</t>
  </si>
  <si>
    <t>N° ARRETE</t>
  </si>
  <si>
    <t>DATE SIGNATURE</t>
  </si>
  <si>
    <t>Date limite DAT prorogée</t>
  </si>
  <si>
    <t>Type subventions</t>
  </si>
  <si>
    <t>Montant subvention</t>
  </si>
  <si>
    <t>Date versement</t>
  </si>
  <si>
    <t>Montant appelé</t>
  </si>
  <si>
    <t>Montant payé</t>
  </si>
  <si>
    <t>Reste à payer</t>
  </si>
  <si>
    <t>OBS</t>
  </si>
  <si>
    <t>Étiquettes de lignes</t>
  </si>
  <si>
    <t>Total général</t>
  </si>
  <si>
    <t>2018</t>
  </si>
  <si>
    <t>2019</t>
  </si>
  <si>
    <t>2020</t>
  </si>
  <si>
    <t>2022</t>
  </si>
  <si>
    <t>Somme de Montant appelé</t>
  </si>
  <si>
    <t>Étiquettes de colonnes</t>
  </si>
  <si>
    <t>dde 22/06/22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</si>
</sst>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7" formatCode="dd/mm/yy;@"/>
  </numFmts>
  <fonts count="9" x14ac:knownFonts="1">
    <font>
      <sz val="10"/>
      <name val="Arial"/>
    </font>
    <font>
      <sz val="9"/>
      <name val="ScalaSansPro-Regular"/>
      <family val="3"/>
    </font>
    <font>
      <b/>
      <sz val="9"/>
      <name val="ScalaSansPro-Regular"/>
      <family val="3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theme="8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8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0" fontId="1" fillId="0" borderId="6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/>
    <xf numFmtId="4" fontId="2" fillId="2" borderId="2" xfId="0" applyNumberFormat="1" applyFont="1" applyFill="1" applyBorder="1" applyAlignment="1">
      <alignment horizontal="center" vertical="top"/>
    </xf>
    <xf numFmtId="4" fontId="2" fillId="2" borderId="10" xfId="0" applyNumberFormat="1" applyFont="1" applyFill="1" applyBorder="1" applyAlignment="1">
      <alignment horizontal="center" vertical="top"/>
    </xf>
    <xf numFmtId="4" fontId="2" fillId="2" borderId="9" xfId="0" applyNumberFormat="1" applyFont="1" applyFill="1" applyBorder="1" applyAlignment="1">
      <alignment horizontal="center" vertical="top"/>
    </xf>
    <xf numFmtId="0" fontId="2" fillId="0" borderId="6" xfId="0" applyFont="1" applyBorder="1" applyAlignment="1">
      <alignment vertical="center" wrapText="1"/>
    </xf>
    <xf numFmtId="14" fontId="1" fillId="0" borderId="6" xfId="0" applyNumberFormat="1" applyFont="1" applyBorder="1"/>
    <xf numFmtId="4" fontId="1" fillId="0" borderId="6" xfId="0" applyNumberFormat="1" applyFont="1" applyBorder="1"/>
    <xf numFmtId="4" fontId="2" fillId="0" borderId="1" xfId="0" applyNumberFormat="1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4" fontId="2" fillId="0" borderId="0" xfId="0" applyNumberFormat="1" applyFont="1"/>
    <xf numFmtId="4" fontId="2" fillId="0" borderId="6" xfId="0" applyNumberFormat="1" applyFont="1" applyBorder="1"/>
    <xf numFmtId="4" fontId="1" fillId="0" borderId="1" xfId="0" applyNumberFormat="1" applyFont="1" applyBorder="1"/>
    <xf numFmtId="4" fontId="1" fillId="0" borderId="0" xfId="0" applyNumberFormat="1" applyFont="1"/>
    <xf numFmtId="14" fontId="1" fillId="0" borderId="1" xfId="0" applyNumberFormat="1" applyFont="1" applyBorder="1"/>
    <xf numFmtId="4" fontId="2" fillId="0" borderId="2" xfId="0" applyNumberFormat="1" applyFont="1" applyBorder="1"/>
    <xf numFmtId="0" fontId="1" fillId="0" borderId="6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1" fillId="0" borderId="4" xfId="0" applyFont="1" applyBorder="1"/>
    <xf numFmtId="10" fontId="1" fillId="0" borderId="0" xfId="0" applyNumberFormat="1" applyFont="1"/>
    <xf numFmtId="14" fontId="1" fillId="0" borderId="0" xfId="0" applyNumberFormat="1" applyFont="1" applyAlignment="1">
      <alignment horizontal="center" vertical="top"/>
    </xf>
    <xf numFmtId="0" fontId="1" fillId="0" borderId="6" xfId="0" applyFont="1" applyBorder="1" applyAlignment="1">
      <alignment vertical="center" wrapText="1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164" fontId="1" fillId="0" borderId="6" xfId="0" applyNumberFormat="1" applyFont="1" applyBorder="1"/>
    <xf numFmtId="14" fontId="2" fillId="0" borderId="1" xfId="0" applyNumberFormat="1" applyFont="1" applyBorder="1"/>
    <xf numFmtId="4" fontId="0" fillId="0" borderId="0" xfId="0" applyNumberFormat="1"/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3" xfId="0" applyFont="1" applyBorder="1"/>
    <xf numFmtId="0" fontId="7" fillId="0" borderId="13" xfId="0" applyFont="1" applyBorder="1" applyAlignment="1">
      <alignment horizontal="center" vertical="center"/>
    </xf>
    <xf numFmtId="3" fontId="7" fillId="0" borderId="13" xfId="0" applyNumberFormat="1" applyFont="1" applyBorder="1"/>
    <xf numFmtId="0" fontId="8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 vertical="center"/>
    </xf>
    <xf numFmtId="167" fontId="7" fillId="0" borderId="13" xfId="0" applyNumberFormat="1" applyFont="1" applyBorder="1"/>
    <xf numFmtId="167" fontId="4" fillId="0" borderId="0" xfId="0" applyNumberFormat="1" applyFont="1" applyAlignment="1">
      <alignment horizontal="center"/>
    </xf>
    <xf numFmtId="167" fontId="4" fillId="0" borderId="0" xfId="0" applyNumberFormat="1" applyFont="1" applyAlignment="1">
      <alignment horizontal="center" wrapText="1"/>
    </xf>
    <xf numFmtId="3" fontId="4" fillId="0" borderId="0" xfId="0" applyNumberFormat="1" applyFont="1" applyAlignment="1">
      <alignment wrapText="1"/>
    </xf>
    <xf numFmtId="167" fontId="0" fillId="0" borderId="0" xfId="0" applyNumberFormat="1"/>
    <xf numFmtId="0" fontId="2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4" fontId="2" fillId="3" borderId="8" xfId="0" applyNumberFormat="1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7" fillId="0" borderId="13" xfId="0" applyNumberFormat="1" applyFont="1" applyBorder="1"/>
    <xf numFmtId="0" fontId="7" fillId="0" borderId="0" xfId="0" applyNumberFormat="1" applyFont="1" applyBorder="1"/>
    <xf numFmtId="0" fontId="7" fillId="0" borderId="13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3" fontId="7" fillId="0" borderId="0" xfId="0" applyNumberFormat="1" applyFont="1" applyBorder="1"/>
    <xf numFmtId="3" fontId="7" fillId="0" borderId="0" xfId="0" applyNumberFormat="1" applyFont="1" applyBorder="1" applyAlignment="1">
      <alignment horizontal="center"/>
    </xf>
    <xf numFmtId="0" fontId="6" fillId="3" borderId="6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3" fontId="7" fillId="0" borderId="13" xfId="0" applyNumberFormat="1" applyFont="1" applyBorder="1" applyAlignment="1">
      <alignment horizontal="center"/>
    </xf>
    <xf numFmtId="167" fontId="4" fillId="3" borderId="0" xfId="0" applyNumberFormat="1" applyFont="1" applyFill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67" fontId="4" fillId="0" borderId="0" xfId="0" applyNumberFormat="1" applyFont="1" applyFill="1" applyAlignment="1">
      <alignment horizontal="center" wrapText="1"/>
    </xf>
  </cellXfs>
  <cellStyles count="1">
    <cellStyle name="Normal" xfId="0" builtinId="0"/>
  </cellStyles>
  <dxfs count="29"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" formatCode="#,##0"/>
      <alignment horizontal="center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" formatCode="#,##0"/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7" formatCode="dd/mm/yy;@"/>
      <alignment horizontal="center" vertical="bottom" textRotation="0" wrapText="1" indent="0" justifyLastLine="0" shrinkToFit="0" readingOrder="0"/>
    </dxf>
    <dxf>
      <font>
        <b val="0"/>
        <family val="2"/>
      </font>
      <numFmt numFmtId="167" formatCode="dd/mm/yy;@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7" formatCode="dd/mm/yy;@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7" formatCode="dd/mm/yy;@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7" formatCode="dd/mm/yy;@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7" formatCode="dd/mm/yy;@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7" formatCode="dd/mm/yy;@"/>
      <alignment horizontal="center" vertical="bottom" textRotation="0" wrapText="0" indent="0" justifyLastLine="0" shrinkToFit="0" readingOrder="0"/>
    </dxf>
    <dxf>
      <font>
        <b val="0"/>
        <family val="2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numFmt numFmtId="167" formatCode="dd/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" formatCode="#,##0"/>
      <border diagonalUp="0" diagonalDown="0">
        <left/>
        <right/>
        <top style="thin">
          <color theme="8"/>
        </top>
        <bottom/>
        <vertical/>
        <horizontal/>
      </border>
    </dxf>
    <dxf>
      <numFmt numFmtId="167" formatCode="dd/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/>
        <right/>
        <top style="thin">
          <color theme="8"/>
        </top>
        <bottom/>
        <vertical/>
        <horizontal/>
      </border>
    </dxf>
    <dxf>
      <border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1CA847"/>
      <color rgb="FF000000"/>
      <color rgb="FFFF8994"/>
      <color rgb="FF89F0F5"/>
      <color rgb="FFFF66CC"/>
      <color rgb="FF358B77"/>
      <color rgb="FF368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4793.565717708334" createdVersion="8" refreshedVersion="8" minRefreshableVersion="3" recordCount="35" xr:uid="{23722D1D-79AF-4132-AD6D-7B6EB45A7616}">
  <cacheSource type="worksheet">
    <worksheetSource name="AF"/>
  </cacheSource>
  <cacheFields count="10">
    <cacheField name="OPERATION" numFmtId="0">
      <sharedItems/>
    </cacheField>
    <cacheField name="N° ARRETE" numFmtId="0">
      <sharedItems/>
    </cacheField>
    <cacheField name="Type subventions" numFmtId="0">
      <sharedItems count="1">
        <s v="LBU REHAB"/>
      </sharedItems>
    </cacheField>
    <cacheField name="Date AF" numFmtId="167">
      <sharedItems containsSemiMixedTypes="0" containsNonDate="0" containsDate="1" containsString="0" minDate="2018-08-21T00:00:00" maxDate="2022-05-25T00:00:00" count="16">
        <d v="2018-08-21T00:00:00"/>
        <d v="2019-05-16T00:00:00"/>
        <d v="2019-09-19T00:00:00"/>
        <d v="2020-09-15T00:00:00"/>
        <d v="2019-07-16T00:00:00"/>
        <d v="2019-12-12T00:00:00"/>
        <d v="2020-03-06T00:00:00"/>
        <d v="2018-09-27T00:00:00"/>
        <d v="2020-09-22T00:00:00"/>
        <d v="2022-05-24T00:00:00"/>
        <d v="2022-03-15T00:00:00"/>
        <d v="2018-10-18T00:00:00"/>
        <d v="2020-06-11T00:00:00"/>
        <d v="2022-03-08T00:00:00"/>
        <d v="2019-06-18T00:00:00"/>
        <d v="2020-11-10T00:00:00"/>
      </sharedItems>
      <fieldGroup par="9" base="3">
        <rangePr groupBy="months" startDate="2018-08-21T00:00:00" endDate="2022-05-25T00:00:00"/>
        <groupItems count="14">
          <s v="&lt;21/08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5/2022"/>
        </groupItems>
      </fieldGroup>
    </cacheField>
    <cacheField name="Montant appelé" numFmtId="3">
      <sharedItems containsSemiMixedTypes="0" containsString="0" containsNumber="1" minValue="695.60400000000027" maxValue="157697.14000000001"/>
    </cacheField>
    <cacheField name="Date versement" numFmtId="167">
      <sharedItems containsNonDate="0" containsDate="1" containsString="0" containsBlank="1" minDate="2018-10-12T00:00:00" maxDate="2022-06-29T00:00:00"/>
    </cacheField>
    <cacheField name="Montant payé" numFmtId="3">
      <sharedItems containsString="0" containsBlank="1" containsNumber="1" minValue="1389.03" maxValue="157697.14000000001"/>
    </cacheField>
    <cacheField name="OBS" numFmtId="0">
      <sharedItems containsBlank="1"/>
    </cacheField>
    <cacheField name="Trimestres" numFmtId="0" databaseField="0">
      <fieldGroup base="3">
        <rangePr groupBy="quarters" startDate="2018-08-21T00:00:00" endDate="2022-05-25T00:00:00"/>
        <groupItems count="6">
          <s v="&lt;21/08/2018"/>
          <s v="Trimestre1"/>
          <s v="Trimestre2"/>
          <s v="Trimestre3"/>
          <s v="Trimestre4"/>
          <s v="&gt;25/05/2022"/>
        </groupItems>
      </fieldGroup>
    </cacheField>
    <cacheField name="Années" numFmtId="0" databaseField="0">
      <fieldGroup base="3">
        <rangePr groupBy="years" startDate="2018-08-21T00:00:00" endDate="2022-05-25T00:00:00"/>
        <groupItems count="7">
          <s v="&lt;21/08/2018"/>
          <s v="2018"/>
          <s v="2019"/>
          <s v="2020"/>
          <s v="2021"/>
          <s v="2022"/>
          <s v="&gt;25/05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s v="100 MARCHES (10 LLS)"/>
    <s v="SHLS N° 17-0445"/>
    <x v="0"/>
    <x v="0"/>
    <n v="3640"/>
    <d v="2018-10-12T00:00:00"/>
    <n v="3640"/>
    <m/>
  </r>
  <r>
    <s v="100 MARCHES (10 LLS)"/>
    <s v="SHLS N° 17-0445"/>
    <x v="0"/>
    <x v="1"/>
    <n v="3272.36"/>
    <d v="2019-06-12T00:00:00"/>
    <n v="3272.36"/>
    <m/>
  </r>
  <r>
    <s v="100 MARCHES (10 LLS)"/>
    <s v="SHLS N° 17-0445"/>
    <x v="0"/>
    <x v="2"/>
    <n v="7647.64"/>
    <d v="2019-11-06T00:00:00"/>
    <n v="7647.64"/>
    <m/>
  </r>
  <r>
    <s v="100 MARCHES (10 LLS)"/>
    <s v="SHLS N° 17-0445"/>
    <x v="0"/>
    <x v="3"/>
    <n v="3640"/>
    <d v="2020-11-04T00:00:00"/>
    <n v="3640"/>
    <m/>
  </r>
  <r>
    <s v="BOUGAINVILLEES (26 LLS)"/>
    <s v="SHLS N° 17-0446"/>
    <x v="0"/>
    <x v="0"/>
    <n v="9464"/>
    <d v="2018-10-12T00:00:00"/>
    <n v="9464"/>
    <m/>
  </r>
  <r>
    <s v="BOUGAINVILLEES (26 LLS)"/>
    <s v="SHLS N° 17-0446"/>
    <x v="0"/>
    <x v="1"/>
    <n v="3998.54"/>
    <d v="2019-06-12T00:00:00"/>
    <n v="3998.54"/>
    <m/>
  </r>
  <r>
    <s v="BOUGAINVILLEES (26 LLS)"/>
    <s v="SHLS N° 17-0446"/>
    <x v="0"/>
    <x v="4"/>
    <n v="6709.98"/>
    <d v="2019-09-02T00:00:00"/>
    <n v="6709.98"/>
    <m/>
  </r>
  <r>
    <s v="BOUGAINVILLEES (26 LLS)"/>
    <s v="SHLS N° 17-0446"/>
    <x v="0"/>
    <x v="5"/>
    <n v="7642.18"/>
    <d v="2020-02-20T00:00:00"/>
    <n v="7642.18"/>
    <m/>
  </r>
  <r>
    <s v="BOUGAINVILLEES (26 LLS)"/>
    <s v="SHLS N° 17-0446"/>
    <x v="0"/>
    <x v="6"/>
    <n v="10041.299999999999"/>
    <d v="2020-05-05T00:00:00"/>
    <n v="10041.299999999999"/>
    <m/>
  </r>
  <r>
    <s v="CARAMBOLES (6 LLS)"/>
    <s v="SHLS N° 17-0447"/>
    <x v="0"/>
    <x v="7"/>
    <n v="2184"/>
    <d v="2018-11-16T00:00:00"/>
    <n v="2184"/>
    <m/>
  </r>
  <r>
    <s v="CARAMBOLES (6 LLS)"/>
    <s v="SHLS N° 17-0447"/>
    <x v="0"/>
    <x v="1"/>
    <n v="4467.37"/>
    <d v="2019-06-28T00:00:00"/>
    <n v="4467.37"/>
    <m/>
  </r>
  <r>
    <s v="CARAMBOLES (6 LLS)"/>
    <s v="SHLS N° 17-0447"/>
    <x v="0"/>
    <x v="8"/>
    <n v="1389.03"/>
    <d v="2020-10-14T00:00:00"/>
    <n v="1389.03"/>
    <m/>
  </r>
  <r>
    <s v="CARAMBOLES (6 LLS)"/>
    <s v="SHLS N° 17-0447"/>
    <x v="0"/>
    <x v="9"/>
    <n v="695.60400000000027"/>
    <m/>
    <m/>
    <m/>
  </r>
  <r>
    <s v="CARAMBOLES (6 LLS)"/>
    <s v="SHLS N° 17-0447"/>
    <x v="0"/>
    <x v="9"/>
    <n v="2184"/>
    <m/>
    <m/>
    <m/>
  </r>
  <r>
    <s v="CITRONNELLES (45 LLS)"/>
    <s v="SHLS N° 17-0448"/>
    <x v="0"/>
    <x v="7"/>
    <n v="56250"/>
    <d v="2018-11-16T00:00:00"/>
    <n v="56250"/>
    <m/>
  </r>
  <r>
    <s v="CITRONNELLES (45 LLS)"/>
    <s v="SHLS N° 17-0448"/>
    <x v="0"/>
    <x v="1"/>
    <n v="27731.25"/>
    <d v="2019-06-12T00:00:00"/>
    <n v="27731.25"/>
    <m/>
  </r>
  <r>
    <s v="CITRONNELLES (45 LLS)"/>
    <s v="SHLS N° 17-0448"/>
    <x v="0"/>
    <x v="4"/>
    <n v="63984.38"/>
    <d v="2019-09-02T00:00:00"/>
    <n v="63984.38"/>
    <m/>
  </r>
  <r>
    <s v="CITRONNELLES (45 LLS)"/>
    <s v="SHLS N° 17-0448"/>
    <x v="0"/>
    <x v="2"/>
    <n v="52987.5"/>
    <d v="2019-10-11T00:00:00"/>
    <n v="52987.5"/>
    <m/>
  </r>
  <r>
    <s v="CITRONNELLES (45 LLS)"/>
    <s v="SHLS N° 17-0448"/>
    <x v="0"/>
    <x v="6"/>
    <n v="24046.87"/>
    <d v="2020-04-22T00:00:00"/>
    <n v="24046.87"/>
    <m/>
  </r>
  <r>
    <s v="CITRONNELLES (45 LLS)"/>
    <s v="SHLS N° 17-0448"/>
    <x v="0"/>
    <x v="10"/>
    <n v="56250.009999999995"/>
    <m/>
    <m/>
    <m/>
  </r>
  <r>
    <s v="HUBERT DELISLE (74 LLS)"/>
    <s v="SHLS N°17-0382"/>
    <x v="0"/>
    <x v="7"/>
    <n v="92500"/>
    <d v="2018-11-16T00:00:00"/>
    <n v="92500"/>
    <m/>
  </r>
  <r>
    <s v="HUBERT DELISLE (74 LLS)"/>
    <s v="SHLS N°17-0382"/>
    <x v="0"/>
    <x v="1"/>
    <n v="72936.25"/>
    <d v="2019-06-12T00:00:00"/>
    <n v="72936.25"/>
    <m/>
  </r>
  <r>
    <s v="HUBERT DELISLE (74 LLS)"/>
    <s v="SHLS N°17-0382"/>
    <x v="0"/>
    <x v="4"/>
    <n v="89771.25"/>
    <d v="2019-09-02T00:00:00"/>
    <n v="89771.25"/>
    <m/>
  </r>
  <r>
    <s v="HUBERT DELISLE (74 LLS)"/>
    <s v="SHLS N°17-0382"/>
    <x v="0"/>
    <x v="2"/>
    <n v="75480"/>
    <d v="2019-10-15T00:00:00"/>
    <n v="75480"/>
    <m/>
  </r>
  <r>
    <s v="HUBERT DELISLE (74 LLS)"/>
    <s v="SHLS N°17-0382"/>
    <x v="0"/>
    <x v="5"/>
    <n v="39312.5"/>
    <d v="2020-02-28T00:00:00"/>
    <n v="39312.5"/>
    <m/>
  </r>
  <r>
    <s v="BRAS DES ETANGS (31 LLS)"/>
    <s v="SHLS N° 17-0415"/>
    <x v="0"/>
    <x v="11"/>
    <n v="80352"/>
    <d v="2018-12-14T00:00:00"/>
    <n v="80352"/>
    <m/>
  </r>
  <r>
    <s v="BRAS DES ETANGS (31 LLS)"/>
    <s v="SHLS N° 17-0415"/>
    <x v="0"/>
    <x v="4"/>
    <n v="41702.69"/>
    <d v="2019-09-02T00:00:00"/>
    <n v="41702.69"/>
    <m/>
  </r>
  <r>
    <s v="BRAS DES ETANGS (31 LLS)"/>
    <s v="SHLS N° 17-0415"/>
    <x v="0"/>
    <x v="2"/>
    <n v="105341.47"/>
    <d v="2019-10-15T00:00:00"/>
    <n v="105341.47"/>
    <m/>
  </r>
  <r>
    <s v="BRAS DES ETANGS (31 LLS)"/>
    <s v="SHLS N° 17-0415"/>
    <x v="0"/>
    <x v="5"/>
    <n v="58415.9"/>
    <d v="2020-02-20T00:00:00"/>
    <n v="58415.9"/>
    <m/>
  </r>
  <r>
    <s v="BRAS DES ETANGS (31 LLS)"/>
    <s v="SHLS N° 17-0415"/>
    <x v="0"/>
    <x v="12"/>
    <n v="35595.94"/>
    <d v="2020-07-28T00:00:00"/>
    <n v="35595.94"/>
    <m/>
  </r>
  <r>
    <s v="BRAS DES ETANGS (31 LLS)"/>
    <s v="SHLS N° 17-0415"/>
    <x v="0"/>
    <x v="13"/>
    <n v="80352"/>
    <d v="2022-06-28T00:00:00"/>
    <n v="80352"/>
    <m/>
  </r>
  <r>
    <s v="BELLEVUE (128 LLS)"/>
    <s v="SHLS N° 18-0127"/>
    <x v="0"/>
    <x v="14"/>
    <n v="131141.10999999999"/>
    <d v="2019-08-02T00:00:00"/>
    <n v="131141.10999999999"/>
    <s v="Erreur DEAl 157 369,33 €"/>
  </r>
  <r>
    <s v="BELLEVUE (128 LLS)"/>
    <s v="SHLS N° 18-0127"/>
    <x v="0"/>
    <x v="12"/>
    <n v="144124.13"/>
    <d v="2020-07-28T00:00:00"/>
    <n v="144124.13"/>
    <m/>
  </r>
  <r>
    <s v="BELLEVUE (128 LLS)"/>
    <s v="SHLS N° 18-0127"/>
    <x v="0"/>
    <x v="8"/>
    <n v="157697.14000000001"/>
    <d v="2020-10-16T00:00:00"/>
    <n v="157697.14000000001"/>
    <m/>
  </r>
  <r>
    <s v="BELLEVUE (128 LLS)"/>
    <s v="SHLS N° 18-0127"/>
    <x v="0"/>
    <x v="15"/>
    <n v="91602.07"/>
    <d v="2020-11-27T00:00:00"/>
    <n v="91602.0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62669E-55B5-47FA-8C69-B80AD8E67D1A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N6:P12" firstHeaderRow="1" firstDataRow="2" firstDataCol="1"/>
  <pivotFields count="10">
    <pivotField showAll="0"/>
    <pivotField showAll="0"/>
    <pivotField axis="axisCol" showAll="0">
      <items count="2">
        <item x="0"/>
        <item t="default"/>
      </items>
    </pivotField>
    <pivotField numFmtId="167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3" showAll="0"/>
    <pivotField showAll="0"/>
    <pivotField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8">
        <item sd="0" x="0"/>
        <item sd="0" x="1"/>
        <item sd="0" x="2"/>
        <item sd="0" x="3"/>
        <item sd="0" x="4"/>
        <item sd="0" x="5"/>
        <item sd="0" x="6"/>
        <item t="default"/>
      </items>
    </pivotField>
  </pivotFields>
  <rowFields count="1">
    <field x="9"/>
  </rowFields>
  <rowItems count="5">
    <i>
      <x v="1"/>
    </i>
    <i>
      <x v="2"/>
    </i>
    <i>
      <x v="3"/>
    </i>
    <i>
      <x v="5"/>
    </i>
    <i t="grand">
      <x/>
    </i>
  </rowItems>
  <colFields count="1">
    <field x="2"/>
  </colFields>
  <colItems count="2">
    <i>
      <x/>
    </i>
    <i t="grand">
      <x/>
    </i>
  </colItems>
  <dataFields count="1">
    <dataField name="Somme de Montant appelé" fld="4" baseField="9" baseItem="1" numFmtId="4"/>
  </dataFields>
  <formats count="2">
    <format dxfId="1">
      <pivotArea dataOnly="0" labelOnly="1" fieldPosition="0">
        <references count="1">
          <reference field="2" count="0"/>
        </references>
      </pivotArea>
    </format>
    <format dxfId="0">
      <pivotArea dataOnly="0" labelOnly="1" grandCol="1" outline="0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735CB2-724C-4968-BDAE-3F08440B373F}" name="AF" displayName="AF" ref="A1:H56" totalsRowShown="0" headerRowDxfId="28" tableBorderDxfId="27">
  <autoFilter ref="A1:H56" xr:uid="{5B735CB2-724C-4968-BDAE-3F08440B373F}"/>
  <tableColumns count="8">
    <tableColumn id="1" xr3:uid="{7A81C7A0-F1DC-438B-AB4E-1BCAFC102C33}" name="OPERATION" dataDxfId="26"/>
    <tableColumn id="2" xr3:uid="{6D1132C8-E904-4645-8E96-F8EBDED66326}" name="N° ARRETE" dataDxfId="25">
      <calculatedColumnFormula>_xlfn.XLOOKUP(AF[[#This Row],[OPERATION]],Liste_sub[OPERATION],Liste_sub[N° ARRETE],"",0)</calculatedColumnFormula>
    </tableColumn>
    <tableColumn id="3" xr3:uid="{CD4B150B-8DC8-4C3E-92E4-5CB13E20D8C5}" name="Type subventions" dataDxfId="24">
      <calculatedColumnFormula>_xlfn.XLOOKUP(AF[[#This Row],[N° ARRETE]],Liste_sub[N° ARRETE],Liste_sub[Type subventions],"",0)</calculatedColumnFormula>
    </tableColumn>
    <tableColumn id="4" xr3:uid="{742865C7-F4B3-4A60-BF88-E1460F92C45A}" name="Date AF" dataDxfId="23"/>
    <tableColumn id="5" xr3:uid="{D4447D50-D194-43B4-B5B4-425DF6A694C4}" name="Montant appelé" dataDxfId="22"/>
    <tableColumn id="6" xr3:uid="{AB41A975-AA66-455F-863C-27847E652317}" name="Date versement" dataDxfId="21"/>
    <tableColumn id="7" xr3:uid="{EAAA9370-FA30-456C-AD75-3FD9726DA6D4}" name="Montant payé" dataDxfId="3"/>
    <tableColumn id="8" xr3:uid="{20799606-9B8D-475C-8E46-2E82A809723B}" name="OBS" dataDxfId="2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6B21BF-F2A6-4631-B89D-F47BEF449EF9}" name="Liste_sub" displayName="Liste_sub" ref="A1:O19" insertRowShift="1" totalsRowShown="0" headerRowDxfId="20" dataDxfId="4">
  <autoFilter ref="A1:O19" xr:uid="{656B21BF-F2A6-4631-B89D-F47BEF449EF9}"/>
  <tableColumns count="15">
    <tableColumn id="1" xr3:uid="{2DADA0A3-E157-44A7-AD05-C8D24B2C505C}" name="OPERATION" dataDxfId="19"/>
    <tableColumn id="2" xr3:uid="{4707BFBC-AA79-4F34-A49B-C90F40C7089A}" name="N° ARRETE" dataDxfId="18"/>
    <tableColumn id="11" xr3:uid="{08F935A6-ABFB-4CCE-84C8-C672089D9F0B}" name="Type subventions" dataDxfId="17"/>
    <tableColumn id="3" xr3:uid="{7FA17A30-BB7E-4CAF-94A5-0587ACD978E4}" name="DATE SIGNATURE" dataDxfId="16"/>
    <tableColumn id="4" xr3:uid="{E53F034D-5B4A-4A6F-BDFC-D1ACE8381297}" name="Date limite DROC (12 mois)" dataDxfId="15">
      <calculatedColumnFormula>DATE(YEAR(D2),MONTH(D2)+12,DAY(D2))</calculatedColumnFormula>
    </tableColumn>
    <tableColumn id="5" xr3:uid="{B14DEC27-5123-4E7F-9FC0-210F534A1489}" name="Date de la DROC/PV OUVERTURE CHANTIER" dataDxfId="14"/>
    <tableColumn id="6" xr3:uid="{C74F0A1E-CF1A-445F-80B4-11F9E7868516}" name="Date OS " dataDxfId="13"/>
    <tableColumn id="7" xr3:uid="{6527357F-E0F7-43E2-98D6-575E935E0DAE}" name="Date limite DAT (2 ans à la signature de la convention)" dataDxfId="12">
      <calculatedColumnFormula>DATE(YEAR(D2)+2,MONTH(D2),DAY(D2))</calculatedColumnFormula>
    </tableColumn>
    <tableColumn id="10" xr3:uid="{D577ECDB-C237-457A-81A1-9D32339806D7}" name="Date limite DAT prorogée" dataDxfId="11">
      <calculatedColumnFormula>DATE(YEAR(H2)+2,MONTH(H2),DAY(H2))</calculatedColumnFormula>
    </tableColumn>
    <tableColumn id="8" xr3:uid="{88C74DB1-F7F9-496E-ADAE-64E05B8C235D}" name="Date DAT/PV RECEPTION" dataDxfId="10"/>
    <tableColumn id="9" xr3:uid="{2D7E482E-66E9-4DF5-9D83-A93242019AF0}" name="Montant subvention" dataDxfId="9"/>
    <tableColumn id="12" xr3:uid="{CEA2F618-3254-4D5D-A8CC-320285977F0E}" name="Montant appelé" dataDxfId="8">
      <calculatedColumnFormula>SUMIF(AF[N° ARRETE],Liste_sub[[#This Row],[N° ARRETE]],AF[Montant appelé])</calculatedColumnFormula>
    </tableColumn>
    <tableColumn id="13" xr3:uid="{42A6220F-34E1-4557-9B0E-30044C9A0371}" name="Montant payé" dataDxfId="7">
      <calculatedColumnFormula>SUMIF(AF[N° ARRETE],Liste_sub[[#This Row],[N° ARRETE]],AF[Montant payé])</calculatedColumnFormula>
    </tableColumn>
    <tableColumn id="14" xr3:uid="{33B01891-5196-4FF1-9123-20442DD3D51B}" name="Reste à payer" dataDxfId="6">
      <calculatedColumnFormula>Liste_sub[[#This Row],[Montant appelé]]-Liste_sub[[#This Row],[Montant payé]]</calculatedColumnFormula>
    </tableColumn>
    <tableColumn id="15" xr3:uid="{8369351D-4490-40A1-86B3-7C6539C45AB6}" name="Non appelé" dataDxfId="5">
      <calculatedColumnFormula>Liste_sub[[#This Row],[Montant subvention]]-Liste_sub[[#This Row],[Montant appelé]]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F1E6A-7219-44D3-9B2C-4E9340BEE224}">
  <dimension ref="A1:P56"/>
  <sheetViews>
    <sheetView topLeftCell="A31" zoomScaleNormal="100" workbookViewId="0">
      <selection activeCell="A56" sqref="A56"/>
    </sheetView>
  </sheetViews>
  <sheetFormatPr baseColWidth="10" defaultRowHeight="13.2" x14ac:dyDescent="0.25"/>
  <cols>
    <col min="1" max="1" width="26.5546875" bestFit="1" customWidth="1"/>
    <col min="2" max="2" width="15.5546875" bestFit="1" customWidth="1"/>
    <col min="3" max="3" width="18.33203125" style="44" customWidth="1"/>
    <col min="5" max="5" width="18.21875" customWidth="1"/>
    <col min="6" max="6" width="19.44140625" customWidth="1"/>
    <col min="7" max="7" width="17.5546875" customWidth="1"/>
    <col min="8" max="8" width="28.88671875" bestFit="1" customWidth="1"/>
    <col min="14" max="15" width="29.44140625" bestFit="1" customWidth="1"/>
    <col min="16" max="16" width="15.109375" bestFit="1" customWidth="1"/>
  </cols>
  <sheetData>
    <row r="1" spans="1:16" s="39" customFormat="1" x14ac:dyDescent="0.25">
      <c r="A1" s="49" t="s">
        <v>39</v>
      </c>
      <c r="B1" s="49" t="s">
        <v>63</v>
      </c>
      <c r="C1" s="50" t="s">
        <v>66</v>
      </c>
      <c r="D1" s="49" t="s">
        <v>62</v>
      </c>
      <c r="E1" s="49" t="s">
        <v>69</v>
      </c>
      <c r="F1" s="49" t="s">
        <v>68</v>
      </c>
      <c r="G1" s="49" t="s">
        <v>70</v>
      </c>
      <c r="H1" s="49" t="s">
        <v>72</v>
      </c>
    </row>
    <row r="2" spans="1:16" x14ac:dyDescent="0.25">
      <c r="A2" s="46" t="s">
        <v>18</v>
      </c>
      <c r="B2" s="46" t="str">
        <f>_xlfn.XLOOKUP(AF[[#This Row],[OPERATION]],Liste_sub[OPERATION],Liste_sub[N° ARRETE],"",0)</f>
        <v>SHLS N° 17-0445</v>
      </c>
      <c r="C2" s="47" t="str">
        <f>_xlfn.XLOOKUP(AF[[#This Row],[N° ARRETE]],Liste_sub[N° ARRETE],Liste_sub[Type subventions],"",0)</f>
        <v>LBU REHAB</v>
      </c>
      <c r="D2" s="51">
        <v>43333</v>
      </c>
      <c r="E2" s="48">
        <v>3640</v>
      </c>
      <c r="F2" s="51">
        <v>43385</v>
      </c>
      <c r="G2" s="48">
        <v>3640</v>
      </c>
      <c r="H2" s="72"/>
    </row>
    <row r="3" spans="1:16" x14ac:dyDescent="0.25">
      <c r="A3" s="46" t="s">
        <v>18</v>
      </c>
      <c r="B3" s="46" t="str">
        <f>_xlfn.XLOOKUP(AF[[#This Row],[OPERATION]],Liste_sub[OPERATION],Liste_sub[N° ARRETE],"",0)</f>
        <v>SHLS N° 17-0445</v>
      </c>
      <c r="C3" s="47" t="str">
        <f>_xlfn.XLOOKUP(AF[[#This Row],[N° ARRETE]],Liste_sub[N° ARRETE],Liste_sub[Type subventions],"",0)</f>
        <v>LBU REHAB</v>
      </c>
      <c r="D3" s="51">
        <v>43601</v>
      </c>
      <c r="E3" s="48">
        <v>3272.36</v>
      </c>
      <c r="F3" s="51">
        <v>43628</v>
      </c>
      <c r="G3" s="48">
        <v>3272.36</v>
      </c>
      <c r="H3" s="72"/>
    </row>
    <row r="4" spans="1:16" x14ac:dyDescent="0.25">
      <c r="A4" s="46" t="s">
        <v>18</v>
      </c>
      <c r="B4" s="46" t="str">
        <f>_xlfn.XLOOKUP(AF[[#This Row],[OPERATION]],Liste_sub[OPERATION],Liste_sub[N° ARRETE],"",0)</f>
        <v>SHLS N° 17-0445</v>
      </c>
      <c r="C4" s="47" t="str">
        <f>_xlfn.XLOOKUP(AF[[#This Row],[N° ARRETE]],Liste_sub[N° ARRETE],Liste_sub[Type subventions],"",0)</f>
        <v>LBU REHAB</v>
      </c>
      <c r="D4" s="51">
        <v>43727</v>
      </c>
      <c r="E4" s="48">
        <v>7647.64</v>
      </c>
      <c r="F4" s="51">
        <v>43775</v>
      </c>
      <c r="G4" s="48">
        <v>7647.64</v>
      </c>
      <c r="H4" s="72"/>
    </row>
    <row r="5" spans="1:16" x14ac:dyDescent="0.25">
      <c r="A5" s="46" t="s">
        <v>18</v>
      </c>
      <c r="B5" s="46" t="str">
        <f>_xlfn.XLOOKUP(AF[[#This Row],[OPERATION]],Liste_sub[OPERATION],Liste_sub[N° ARRETE],"",0)</f>
        <v>SHLS N° 17-0445</v>
      </c>
      <c r="C5" s="47" t="str">
        <f>_xlfn.XLOOKUP(AF[[#This Row],[N° ARRETE]],Liste_sub[N° ARRETE],Liste_sub[Type subventions],"",0)</f>
        <v>LBU REHAB</v>
      </c>
      <c r="D5" s="51">
        <v>44089</v>
      </c>
      <c r="E5" s="48">
        <v>3640</v>
      </c>
      <c r="F5" s="51">
        <v>44139</v>
      </c>
      <c r="G5" s="48">
        <v>3640</v>
      </c>
      <c r="H5" s="72"/>
    </row>
    <row r="6" spans="1:16" x14ac:dyDescent="0.25">
      <c r="A6" s="46" t="s">
        <v>60</v>
      </c>
      <c r="B6" s="46" t="str">
        <f>_xlfn.XLOOKUP(AF[[#This Row],[OPERATION]],Liste_sub[OPERATION],Liste_sub[N° ARRETE],"",0)</f>
        <v>SHLS N° 17-0446</v>
      </c>
      <c r="C6" s="47" t="str">
        <f>_xlfn.XLOOKUP(AF[[#This Row],[N° ARRETE]],Liste_sub[N° ARRETE],Liste_sub[Type subventions],"",0)</f>
        <v>LBU REHAB</v>
      </c>
      <c r="D6" s="55">
        <v>43333</v>
      </c>
      <c r="E6" s="48">
        <v>9464</v>
      </c>
      <c r="F6" s="55">
        <v>43385</v>
      </c>
      <c r="G6" s="48">
        <v>9464</v>
      </c>
      <c r="H6" s="72"/>
      <c r="N6" s="74" t="s">
        <v>79</v>
      </c>
      <c r="O6" s="74" t="s">
        <v>80</v>
      </c>
    </row>
    <row r="7" spans="1:16" x14ac:dyDescent="0.25">
      <c r="A7" s="46" t="s">
        <v>60</v>
      </c>
      <c r="B7" s="46" t="str">
        <f>_xlfn.XLOOKUP(AF[[#This Row],[OPERATION]],Liste_sub[OPERATION],Liste_sub[N° ARRETE],"",0)</f>
        <v>SHLS N° 17-0446</v>
      </c>
      <c r="C7" s="47" t="str">
        <f>_xlfn.XLOOKUP(AF[[#This Row],[N° ARRETE]],Liste_sub[N° ARRETE],Liste_sub[Type subventions],"",0)</f>
        <v>LBU REHAB</v>
      </c>
      <c r="D7" s="55">
        <v>43601</v>
      </c>
      <c r="E7" s="48">
        <v>3998.54</v>
      </c>
      <c r="F7" s="55">
        <v>43628</v>
      </c>
      <c r="G7" s="48">
        <v>3998.54</v>
      </c>
      <c r="H7" s="72"/>
      <c r="N7" s="74" t="s">
        <v>73</v>
      </c>
      <c r="O7" s="39" t="s">
        <v>38</v>
      </c>
      <c r="P7" s="39" t="s">
        <v>74</v>
      </c>
    </row>
    <row r="8" spans="1:16" x14ac:dyDescent="0.25">
      <c r="A8" s="46" t="s">
        <v>60</v>
      </c>
      <c r="B8" s="46" t="str">
        <f>_xlfn.XLOOKUP(AF[[#This Row],[OPERATION]],Liste_sub[OPERATION],Liste_sub[N° ARRETE],"",0)</f>
        <v>SHLS N° 17-0446</v>
      </c>
      <c r="C8" s="47" t="str">
        <f>_xlfn.XLOOKUP(AF[[#This Row],[N° ARRETE]],Liste_sub[N° ARRETE],Liste_sub[Type subventions],"",0)</f>
        <v>LBU REHAB</v>
      </c>
      <c r="D8" s="55">
        <v>43662</v>
      </c>
      <c r="E8" s="48">
        <v>6709.98</v>
      </c>
      <c r="F8" s="55">
        <v>43710</v>
      </c>
      <c r="G8" s="48">
        <v>6709.98</v>
      </c>
      <c r="H8" s="72"/>
      <c r="N8" s="75" t="s">
        <v>75</v>
      </c>
      <c r="O8" s="37">
        <v>244390</v>
      </c>
      <c r="P8" s="37">
        <v>244390</v>
      </c>
    </row>
    <row r="9" spans="1:16" x14ac:dyDescent="0.25">
      <c r="A9" s="46" t="s">
        <v>60</v>
      </c>
      <c r="B9" s="46" t="str">
        <f>_xlfn.XLOOKUP(AF[[#This Row],[OPERATION]],Liste_sub[OPERATION],Liste_sub[N° ARRETE],"",0)</f>
        <v>SHLS N° 17-0446</v>
      </c>
      <c r="C9" s="47" t="str">
        <f>_xlfn.XLOOKUP(AF[[#This Row],[N° ARRETE]],Liste_sub[N° ARRETE],Liste_sub[Type subventions],"",0)</f>
        <v>LBU REHAB</v>
      </c>
      <c r="D9" s="55">
        <v>43811</v>
      </c>
      <c r="E9" s="48">
        <v>7642.18</v>
      </c>
      <c r="F9" s="55">
        <v>43881</v>
      </c>
      <c r="G9" s="48">
        <v>7642.18</v>
      </c>
      <c r="H9" s="72"/>
      <c r="N9" s="75" t="s">
        <v>76</v>
      </c>
      <c r="O9" s="37">
        <v>792542.37</v>
      </c>
      <c r="P9" s="37">
        <v>792542.37</v>
      </c>
    </row>
    <row r="10" spans="1:16" x14ac:dyDescent="0.25">
      <c r="A10" s="46" t="s">
        <v>60</v>
      </c>
      <c r="B10" s="46" t="str">
        <f>_xlfn.XLOOKUP(AF[[#This Row],[OPERATION]],Liste_sub[OPERATION],Liste_sub[N° ARRETE],"",0)</f>
        <v>SHLS N° 17-0446</v>
      </c>
      <c r="C10" s="47" t="str">
        <f>_xlfn.XLOOKUP(AF[[#This Row],[N° ARRETE]],Liste_sub[N° ARRETE],Liste_sub[Type subventions],"",0)</f>
        <v>LBU REHAB</v>
      </c>
      <c r="D10" s="55">
        <v>43896</v>
      </c>
      <c r="E10" s="48">
        <v>10041.299999999999</v>
      </c>
      <c r="F10" s="55">
        <v>43956</v>
      </c>
      <c r="G10" s="48">
        <v>10041.299999999999</v>
      </c>
      <c r="H10" s="72"/>
      <c r="N10" s="75" t="s">
        <v>77</v>
      </c>
      <c r="O10" s="37">
        <v>468136.48000000004</v>
      </c>
      <c r="P10" s="37">
        <v>468136.48000000004</v>
      </c>
    </row>
    <row r="11" spans="1:16" x14ac:dyDescent="0.25">
      <c r="A11" s="46" t="s">
        <v>19</v>
      </c>
      <c r="B11" s="46" t="str">
        <f>_xlfn.XLOOKUP(AF[[#This Row],[OPERATION]],Liste_sub[OPERATION],Liste_sub[N° ARRETE],"",0)</f>
        <v>SHLS N° 17-0447</v>
      </c>
      <c r="C11" s="47" t="str">
        <f>_xlfn.XLOOKUP(AF[[#This Row],[N° ARRETE]],Liste_sub[N° ARRETE],Liste_sub[Type subventions],"",0)</f>
        <v>LBU REHAB</v>
      </c>
      <c r="D11" s="55">
        <v>43370</v>
      </c>
      <c r="E11" s="48">
        <v>2184</v>
      </c>
      <c r="F11" s="55">
        <v>43420</v>
      </c>
      <c r="G11" s="48">
        <v>2184</v>
      </c>
      <c r="H11" s="72"/>
      <c r="N11" s="75" t="s">
        <v>78</v>
      </c>
      <c r="O11" s="37">
        <v>139481.614</v>
      </c>
      <c r="P11" s="37">
        <v>139481.614</v>
      </c>
    </row>
    <row r="12" spans="1:16" x14ac:dyDescent="0.25">
      <c r="A12" s="46" t="s">
        <v>19</v>
      </c>
      <c r="B12" s="46" t="str">
        <f>_xlfn.XLOOKUP(AF[[#This Row],[OPERATION]],Liste_sub[OPERATION],Liste_sub[N° ARRETE],"",0)</f>
        <v>SHLS N° 17-0447</v>
      </c>
      <c r="C12" s="47" t="str">
        <f>_xlfn.XLOOKUP(AF[[#This Row],[N° ARRETE]],Liste_sub[N° ARRETE],Liste_sub[Type subventions],"",0)</f>
        <v>LBU REHAB</v>
      </c>
      <c r="D12" s="55">
        <v>43601</v>
      </c>
      <c r="E12" s="48">
        <v>4467.37</v>
      </c>
      <c r="F12" s="55">
        <v>43644</v>
      </c>
      <c r="G12" s="48">
        <v>4467.37</v>
      </c>
      <c r="H12" s="72"/>
      <c r="N12" s="75" t="s">
        <v>74</v>
      </c>
      <c r="O12" s="37">
        <v>1644550.4640000002</v>
      </c>
      <c r="P12" s="37">
        <v>1644550.4640000002</v>
      </c>
    </row>
    <row r="13" spans="1:16" x14ac:dyDescent="0.25">
      <c r="A13" s="46" t="s">
        <v>19</v>
      </c>
      <c r="B13" s="46" t="str">
        <f>_xlfn.XLOOKUP(AF[[#This Row],[OPERATION]],Liste_sub[OPERATION],Liste_sub[N° ARRETE],"",0)</f>
        <v>SHLS N° 17-0447</v>
      </c>
      <c r="C13" s="47" t="str">
        <f>_xlfn.XLOOKUP(AF[[#This Row],[N° ARRETE]],Liste_sub[N° ARRETE],Liste_sub[Type subventions],"",0)</f>
        <v>LBU REHAB</v>
      </c>
      <c r="D13" s="55">
        <v>44096</v>
      </c>
      <c r="E13" s="71">
        <v>1389.03</v>
      </c>
      <c r="F13" s="55">
        <v>44118</v>
      </c>
      <c r="G13" s="71">
        <v>1389.03</v>
      </c>
      <c r="H13" s="72"/>
    </row>
    <row r="14" spans="1:16" x14ac:dyDescent="0.25">
      <c r="A14" s="46" t="s">
        <v>19</v>
      </c>
      <c r="B14" s="46" t="str">
        <f>_xlfn.XLOOKUP(AF[[#This Row],[OPERATION]],Liste_sub[OPERATION],Liste_sub[N° ARRETE],"",0)</f>
        <v>SHLS N° 17-0447</v>
      </c>
      <c r="C14" s="47" t="str">
        <f>_xlfn.XLOOKUP(AF[[#This Row],[N° ARRETE]],Liste_sub[N° ARRETE],Liste_sub[Type subventions],"",0)</f>
        <v>LBU REHAB</v>
      </c>
      <c r="D14" s="55">
        <v>44705</v>
      </c>
      <c r="E14" s="71">
        <v>695.60400000000027</v>
      </c>
      <c r="F14" s="55"/>
      <c r="G14" s="71"/>
      <c r="H14" s="72"/>
    </row>
    <row r="15" spans="1:16" x14ac:dyDescent="0.25">
      <c r="A15" s="46" t="s">
        <v>19</v>
      </c>
      <c r="B15" s="46" t="str">
        <f>_xlfn.XLOOKUP(AF[[#This Row],[OPERATION]],Liste_sub[OPERATION],Liste_sub[N° ARRETE],"",0)</f>
        <v>SHLS N° 17-0447</v>
      </c>
      <c r="C15" s="47" t="str">
        <f>_xlfn.XLOOKUP(AF[[#This Row],[N° ARRETE]],Liste_sub[N° ARRETE],Liste_sub[Type subventions],"",0)</f>
        <v>LBU REHAB</v>
      </c>
      <c r="D15" s="55">
        <v>44705</v>
      </c>
      <c r="E15" s="71">
        <v>2184</v>
      </c>
      <c r="F15" s="55"/>
      <c r="G15" s="71"/>
      <c r="H15" s="72"/>
    </row>
    <row r="16" spans="1:16" x14ac:dyDescent="0.25">
      <c r="A16" s="46" t="s">
        <v>23</v>
      </c>
      <c r="B16" s="67" t="str">
        <f>_xlfn.XLOOKUP(AF[[#This Row],[OPERATION]],Liste_sub[OPERATION],Liste_sub[N° ARRETE],"",0)</f>
        <v>SHLS N° 17-0448</v>
      </c>
      <c r="C16" s="69" t="str">
        <f>_xlfn.XLOOKUP(AF[[#This Row],[N° ARRETE]],Liste_sub[N° ARRETE],Liste_sub[Type subventions],"",0)</f>
        <v>LBU REHAB</v>
      </c>
      <c r="D16" s="55">
        <v>43370</v>
      </c>
      <c r="E16" s="48">
        <v>56250</v>
      </c>
      <c r="F16" s="55">
        <v>43420</v>
      </c>
      <c r="G16" s="48">
        <v>56250</v>
      </c>
      <c r="H16" s="72"/>
    </row>
    <row r="17" spans="1:8" x14ac:dyDescent="0.25">
      <c r="A17" s="46" t="s">
        <v>23</v>
      </c>
      <c r="B17" s="67" t="str">
        <f>_xlfn.XLOOKUP(AF[[#This Row],[OPERATION]],Liste_sub[OPERATION],Liste_sub[N° ARRETE],"",0)</f>
        <v>SHLS N° 17-0448</v>
      </c>
      <c r="C17" s="69" t="str">
        <f>_xlfn.XLOOKUP(AF[[#This Row],[N° ARRETE]],Liste_sub[N° ARRETE],Liste_sub[Type subventions],"",0)</f>
        <v>LBU REHAB</v>
      </c>
      <c r="D17" s="55">
        <v>43601</v>
      </c>
      <c r="E17" s="48">
        <v>27731.25</v>
      </c>
      <c r="F17" s="55">
        <v>43628</v>
      </c>
      <c r="G17" s="48">
        <v>27731.25</v>
      </c>
      <c r="H17" s="72"/>
    </row>
    <row r="18" spans="1:8" x14ac:dyDescent="0.25">
      <c r="A18" s="46" t="s">
        <v>23</v>
      </c>
      <c r="B18" s="68" t="str">
        <f>_xlfn.XLOOKUP(AF[[#This Row],[OPERATION]],Liste_sub[OPERATION],Liste_sub[N° ARRETE],"",0)</f>
        <v>SHLS N° 17-0448</v>
      </c>
      <c r="C18" s="70" t="str">
        <f>_xlfn.XLOOKUP(AF[[#This Row],[N° ARRETE]],Liste_sub[N° ARRETE],Liste_sub[Type subventions],"",0)</f>
        <v>LBU REHAB</v>
      </c>
      <c r="D18" s="55">
        <v>43662</v>
      </c>
      <c r="E18" s="71">
        <v>63984.38</v>
      </c>
      <c r="F18" s="55">
        <v>43710</v>
      </c>
      <c r="G18" s="71">
        <v>63984.38</v>
      </c>
      <c r="H18" s="72"/>
    </row>
    <row r="19" spans="1:8" x14ac:dyDescent="0.25">
      <c r="A19" s="46" t="s">
        <v>23</v>
      </c>
      <c r="B19" s="68" t="str">
        <f>_xlfn.XLOOKUP(AF[[#This Row],[OPERATION]],Liste_sub[OPERATION],Liste_sub[N° ARRETE],"",0)</f>
        <v>SHLS N° 17-0448</v>
      </c>
      <c r="C19" s="70" t="str">
        <f>_xlfn.XLOOKUP(AF[[#This Row],[N° ARRETE]],Liste_sub[N° ARRETE],Liste_sub[Type subventions],"",0)</f>
        <v>LBU REHAB</v>
      </c>
      <c r="D19" s="55">
        <v>43727</v>
      </c>
      <c r="E19" s="71">
        <v>52987.5</v>
      </c>
      <c r="F19" s="55">
        <v>43749</v>
      </c>
      <c r="G19" s="71">
        <v>52987.5</v>
      </c>
      <c r="H19" s="72"/>
    </row>
    <row r="20" spans="1:8" x14ac:dyDescent="0.25">
      <c r="A20" s="46" t="s">
        <v>23</v>
      </c>
      <c r="B20" s="68" t="str">
        <f>_xlfn.XLOOKUP(AF[[#This Row],[OPERATION]],Liste_sub[OPERATION],Liste_sub[N° ARRETE],"",0)</f>
        <v>SHLS N° 17-0448</v>
      </c>
      <c r="C20" s="70" t="str">
        <f>_xlfn.XLOOKUP(AF[[#This Row],[N° ARRETE]],Liste_sub[N° ARRETE],Liste_sub[Type subventions],"",0)</f>
        <v>LBU REHAB</v>
      </c>
      <c r="D20" s="55">
        <v>43896</v>
      </c>
      <c r="E20" s="71">
        <v>24046.87</v>
      </c>
      <c r="F20" s="55">
        <v>43943</v>
      </c>
      <c r="G20" s="71">
        <v>24046.87</v>
      </c>
      <c r="H20" s="72"/>
    </row>
    <row r="21" spans="1:8" x14ac:dyDescent="0.25">
      <c r="A21" s="46" t="s">
        <v>23</v>
      </c>
      <c r="B21" s="68" t="str">
        <f>_xlfn.XLOOKUP(AF[[#This Row],[OPERATION]],Liste_sub[OPERATION],Liste_sub[N° ARRETE],"",0)</f>
        <v>SHLS N° 17-0448</v>
      </c>
      <c r="C21" s="70" t="str">
        <f>_xlfn.XLOOKUP(AF[[#This Row],[N° ARRETE]],Liste_sub[N° ARRETE],Liste_sub[Type subventions],"",0)</f>
        <v>LBU REHAB</v>
      </c>
      <c r="D21" s="55">
        <v>44635</v>
      </c>
      <c r="E21" s="48">
        <v>56250.009999999995</v>
      </c>
      <c r="F21" s="55"/>
      <c r="G21" s="48"/>
      <c r="H21" s="72"/>
    </row>
    <row r="22" spans="1:8" x14ac:dyDescent="0.25">
      <c r="A22" s="46" t="s">
        <v>26</v>
      </c>
      <c r="B22" s="67" t="str">
        <f>_xlfn.XLOOKUP(AF[[#This Row],[OPERATION]],Liste_sub[OPERATION],Liste_sub[N° ARRETE],"",0)</f>
        <v>SHLS N°17-0382</v>
      </c>
      <c r="C22" s="69" t="str">
        <f>_xlfn.XLOOKUP(AF[[#This Row],[N° ARRETE]],Liste_sub[N° ARRETE],Liste_sub[Type subventions],"",0)</f>
        <v>LBU REHAB</v>
      </c>
      <c r="D22" s="55">
        <v>43370</v>
      </c>
      <c r="E22" s="48">
        <v>92500</v>
      </c>
      <c r="F22" s="55">
        <v>43420</v>
      </c>
      <c r="G22" s="48">
        <v>92500</v>
      </c>
      <c r="H22" s="72"/>
    </row>
    <row r="23" spans="1:8" x14ac:dyDescent="0.25">
      <c r="A23" s="46" t="s">
        <v>26</v>
      </c>
      <c r="B23" s="67" t="str">
        <f>_xlfn.XLOOKUP(AF[[#This Row],[OPERATION]],Liste_sub[OPERATION],Liste_sub[N° ARRETE],"",0)</f>
        <v>SHLS N°17-0382</v>
      </c>
      <c r="C23" s="69" t="str">
        <f>_xlfn.XLOOKUP(AF[[#This Row],[N° ARRETE]],Liste_sub[N° ARRETE],Liste_sub[Type subventions],"",0)</f>
        <v>LBU REHAB</v>
      </c>
      <c r="D23" s="55">
        <v>43601</v>
      </c>
      <c r="E23" s="48">
        <v>72936.25</v>
      </c>
      <c r="F23" s="55">
        <v>43628</v>
      </c>
      <c r="G23" s="48">
        <v>72936.25</v>
      </c>
      <c r="H23" s="72"/>
    </row>
    <row r="24" spans="1:8" x14ac:dyDescent="0.25">
      <c r="A24" s="46" t="s">
        <v>26</v>
      </c>
      <c r="B24" s="67" t="str">
        <f>_xlfn.XLOOKUP(AF[[#This Row],[OPERATION]],Liste_sub[OPERATION],Liste_sub[N° ARRETE],"",0)</f>
        <v>SHLS N°17-0382</v>
      </c>
      <c r="C24" s="69" t="str">
        <f>_xlfn.XLOOKUP(AF[[#This Row],[N° ARRETE]],Liste_sub[N° ARRETE],Liste_sub[Type subventions],"",0)</f>
        <v>LBU REHAB</v>
      </c>
      <c r="D24" s="55">
        <v>43662</v>
      </c>
      <c r="E24" s="71">
        <v>89771.25</v>
      </c>
      <c r="F24" s="55">
        <v>43710</v>
      </c>
      <c r="G24" s="71">
        <v>89771.25</v>
      </c>
      <c r="H24" s="72"/>
    </row>
    <row r="25" spans="1:8" x14ac:dyDescent="0.25">
      <c r="A25" s="46" t="s">
        <v>26</v>
      </c>
      <c r="B25" s="67" t="str">
        <f>_xlfn.XLOOKUP(AF[[#This Row],[OPERATION]],Liste_sub[OPERATION],Liste_sub[N° ARRETE],"",0)</f>
        <v>SHLS N°17-0382</v>
      </c>
      <c r="C25" s="69" t="str">
        <f>_xlfn.XLOOKUP(AF[[#This Row],[N° ARRETE]],Liste_sub[N° ARRETE],Liste_sub[Type subventions],"",0)</f>
        <v>LBU REHAB</v>
      </c>
      <c r="D25" s="55">
        <v>43727</v>
      </c>
      <c r="E25" s="71">
        <v>75480</v>
      </c>
      <c r="F25" s="55">
        <v>43753</v>
      </c>
      <c r="G25" s="71">
        <v>75480</v>
      </c>
      <c r="H25" s="72"/>
    </row>
    <row r="26" spans="1:8" x14ac:dyDescent="0.25">
      <c r="A26" s="46" t="s">
        <v>26</v>
      </c>
      <c r="B26" s="67" t="str">
        <f>_xlfn.XLOOKUP(AF[[#This Row],[OPERATION]],Liste_sub[OPERATION],Liste_sub[N° ARRETE],"",0)</f>
        <v>SHLS N°17-0382</v>
      </c>
      <c r="C26" s="69" t="str">
        <f>_xlfn.XLOOKUP(AF[[#This Row],[N° ARRETE]],Liste_sub[N° ARRETE],Liste_sub[Type subventions],"",0)</f>
        <v>LBU REHAB</v>
      </c>
      <c r="D26" s="55">
        <v>43811</v>
      </c>
      <c r="E26" s="71">
        <v>39312.5</v>
      </c>
      <c r="F26" s="55">
        <v>43889</v>
      </c>
      <c r="G26" s="71">
        <v>39312.5</v>
      </c>
      <c r="H26" s="72"/>
    </row>
    <row r="27" spans="1:8" x14ac:dyDescent="0.25">
      <c r="A27" s="46" t="s">
        <v>27</v>
      </c>
      <c r="B27" s="67" t="str">
        <f>_xlfn.XLOOKUP(AF[[#This Row],[OPERATION]],Liste_sub[OPERATION],Liste_sub[N° ARRETE],"",0)</f>
        <v>SHLS N° 17-0415</v>
      </c>
      <c r="C27" s="69" t="str">
        <f>_xlfn.XLOOKUP(AF[[#This Row],[N° ARRETE]],Liste_sub[N° ARRETE],Liste_sub[Type subventions],"",0)</f>
        <v>LBU REHAB</v>
      </c>
      <c r="D27" s="55">
        <v>43391</v>
      </c>
      <c r="E27" s="48">
        <v>80352</v>
      </c>
      <c r="F27" s="55">
        <v>43448</v>
      </c>
      <c r="G27" s="48">
        <v>80352</v>
      </c>
      <c r="H27" s="72"/>
    </row>
    <row r="28" spans="1:8" x14ac:dyDescent="0.25">
      <c r="A28" s="46" t="s">
        <v>27</v>
      </c>
      <c r="B28" s="67" t="str">
        <f>_xlfn.XLOOKUP(AF[[#This Row],[OPERATION]],Liste_sub[OPERATION],Liste_sub[N° ARRETE],"",0)</f>
        <v>SHLS N° 17-0415</v>
      </c>
      <c r="C28" s="69" t="str">
        <f>_xlfn.XLOOKUP(AF[[#This Row],[N° ARRETE]],Liste_sub[N° ARRETE],Liste_sub[Type subventions],"",0)</f>
        <v>LBU REHAB</v>
      </c>
      <c r="D28" s="55">
        <v>43662</v>
      </c>
      <c r="E28" s="48">
        <v>41702.69</v>
      </c>
      <c r="F28" s="55">
        <v>43710</v>
      </c>
      <c r="G28" s="48">
        <v>41702.69</v>
      </c>
      <c r="H28" s="72"/>
    </row>
    <row r="29" spans="1:8" x14ac:dyDescent="0.25">
      <c r="A29" s="46" t="s">
        <v>27</v>
      </c>
      <c r="B29" s="67" t="str">
        <f>_xlfn.XLOOKUP(AF[[#This Row],[OPERATION]],Liste_sub[OPERATION],Liste_sub[N° ARRETE],"",0)</f>
        <v>SHLS N° 17-0415</v>
      </c>
      <c r="C29" s="69" t="str">
        <f>_xlfn.XLOOKUP(AF[[#This Row],[N° ARRETE]],Liste_sub[N° ARRETE],Liste_sub[Type subventions],"",0)</f>
        <v>LBU REHAB</v>
      </c>
      <c r="D29" s="55">
        <v>43727</v>
      </c>
      <c r="E29" s="71">
        <v>105341.47</v>
      </c>
      <c r="F29" s="55">
        <v>43753</v>
      </c>
      <c r="G29" s="71">
        <v>105341.47</v>
      </c>
      <c r="H29" s="72"/>
    </row>
    <row r="30" spans="1:8" x14ac:dyDescent="0.25">
      <c r="A30" s="46" t="s">
        <v>27</v>
      </c>
      <c r="B30" s="67" t="str">
        <f>_xlfn.XLOOKUP(AF[[#This Row],[OPERATION]],Liste_sub[OPERATION],Liste_sub[N° ARRETE],"",0)</f>
        <v>SHLS N° 17-0415</v>
      </c>
      <c r="C30" s="69" t="str">
        <f>_xlfn.XLOOKUP(AF[[#This Row],[N° ARRETE]],Liste_sub[N° ARRETE],Liste_sub[Type subventions],"",0)</f>
        <v>LBU REHAB</v>
      </c>
      <c r="D30" s="55">
        <v>43811</v>
      </c>
      <c r="E30" s="71">
        <v>58415.9</v>
      </c>
      <c r="F30" s="55">
        <v>43881</v>
      </c>
      <c r="G30" s="71">
        <v>58415.9</v>
      </c>
      <c r="H30" s="72"/>
    </row>
    <row r="31" spans="1:8" x14ac:dyDescent="0.25">
      <c r="A31" s="46" t="s">
        <v>27</v>
      </c>
      <c r="B31" s="67" t="str">
        <f>_xlfn.XLOOKUP(AF[[#This Row],[OPERATION]],Liste_sub[OPERATION],Liste_sub[N° ARRETE],"",0)</f>
        <v>SHLS N° 17-0415</v>
      </c>
      <c r="C31" s="69" t="str">
        <f>_xlfn.XLOOKUP(AF[[#This Row],[N° ARRETE]],Liste_sub[N° ARRETE],Liste_sub[Type subventions],"",0)</f>
        <v>LBU REHAB</v>
      </c>
      <c r="D31" s="55">
        <v>43993</v>
      </c>
      <c r="E31" s="71">
        <v>35595.94</v>
      </c>
      <c r="F31" s="55">
        <v>44040</v>
      </c>
      <c r="G31" s="71">
        <v>35595.94</v>
      </c>
      <c r="H31" s="72"/>
    </row>
    <row r="32" spans="1:8" x14ac:dyDescent="0.25">
      <c r="A32" s="46" t="s">
        <v>27</v>
      </c>
      <c r="B32" s="67" t="str">
        <f>_xlfn.XLOOKUP(AF[[#This Row],[OPERATION]],Liste_sub[OPERATION],Liste_sub[N° ARRETE],"",0)</f>
        <v>SHLS N° 17-0415</v>
      </c>
      <c r="C32" s="69" t="str">
        <f>_xlfn.XLOOKUP(AF[[#This Row],[N° ARRETE]],Liste_sub[N° ARRETE],Liste_sub[Type subventions],"",0)</f>
        <v>LBU REHAB</v>
      </c>
      <c r="D32" s="55">
        <v>44628</v>
      </c>
      <c r="E32" s="71">
        <v>80352</v>
      </c>
      <c r="F32" s="55">
        <v>44740</v>
      </c>
      <c r="G32" s="71">
        <v>80352</v>
      </c>
      <c r="H32" s="72"/>
    </row>
    <row r="33" spans="1:8" x14ac:dyDescent="0.25">
      <c r="A33" s="46" t="s">
        <v>30</v>
      </c>
      <c r="B33" s="67" t="str">
        <f>_xlfn.XLOOKUP(AF[[#This Row],[OPERATION]],Liste_sub[OPERATION],Liste_sub[N° ARRETE],"",0)</f>
        <v>SHLS N° 18-0127</v>
      </c>
      <c r="C33" s="69" t="str">
        <f>_xlfn.XLOOKUP(AF[[#This Row],[N° ARRETE]],Liste_sub[N° ARRETE],Liste_sub[Type subventions],"",0)</f>
        <v>LBU REHAB</v>
      </c>
      <c r="D33" s="55">
        <v>43634</v>
      </c>
      <c r="E33" s="48">
        <v>131141.10999999999</v>
      </c>
      <c r="F33" s="55">
        <v>43679</v>
      </c>
      <c r="G33" s="48">
        <v>131141.10999999999</v>
      </c>
      <c r="H33" s="73" t="s">
        <v>40</v>
      </c>
    </row>
    <row r="34" spans="1:8" x14ac:dyDescent="0.25">
      <c r="A34" s="46" t="s">
        <v>30</v>
      </c>
      <c r="B34" s="67" t="str">
        <f>_xlfn.XLOOKUP(AF[[#This Row],[OPERATION]],Liste_sub[OPERATION],Liste_sub[N° ARRETE],"",0)</f>
        <v>SHLS N° 18-0127</v>
      </c>
      <c r="C34" s="69" t="str">
        <f>_xlfn.XLOOKUP(AF[[#This Row],[N° ARRETE]],Liste_sub[N° ARRETE],Liste_sub[Type subventions],"",0)</f>
        <v>LBU REHAB</v>
      </c>
      <c r="D34" s="55">
        <v>43993</v>
      </c>
      <c r="E34" s="48">
        <v>144124.13</v>
      </c>
      <c r="F34" s="55">
        <v>44040</v>
      </c>
      <c r="G34" s="48">
        <v>144124.13</v>
      </c>
      <c r="H34" s="72"/>
    </row>
    <row r="35" spans="1:8" x14ac:dyDescent="0.25">
      <c r="A35" s="46" t="s">
        <v>30</v>
      </c>
      <c r="B35" s="67" t="str">
        <f>_xlfn.XLOOKUP(AF[[#This Row],[OPERATION]],Liste_sub[OPERATION],Liste_sub[N° ARRETE],"",0)</f>
        <v>SHLS N° 18-0127</v>
      </c>
      <c r="C35" s="69" t="str">
        <f>_xlfn.XLOOKUP(AF[[#This Row],[N° ARRETE]],Liste_sub[N° ARRETE],Liste_sub[Type subventions],"",0)</f>
        <v>LBU REHAB</v>
      </c>
      <c r="D35" s="55">
        <v>44096</v>
      </c>
      <c r="E35" s="71">
        <v>157697.14000000001</v>
      </c>
      <c r="F35" s="55">
        <v>44120</v>
      </c>
      <c r="G35" s="71">
        <v>157697.14000000001</v>
      </c>
      <c r="H35" s="72"/>
    </row>
    <row r="36" spans="1:8" x14ac:dyDescent="0.25">
      <c r="A36" s="46" t="s">
        <v>30</v>
      </c>
      <c r="B36" s="67" t="str">
        <f>_xlfn.XLOOKUP(AF[[#This Row],[OPERATION]],Liste_sub[OPERATION],Liste_sub[N° ARRETE],"",0)</f>
        <v>SHLS N° 18-0127</v>
      </c>
      <c r="C36" s="69" t="str">
        <f>_xlfn.XLOOKUP(AF[[#This Row],[N° ARRETE]],Liste_sub[N° ARRETE],Liste_sub[Type subventions],"",0)</f>
        <v>LBU REHAB</v>
      </c>
      <c r="D36" s="55">
        <v>44145</v>
      </c>
      <c r="E36" s="71">
        <v>91602.07</v>
      </c>
      <c r="F36" s="55">
        <v>44162</v>
      </c>
      <c r="G36" s="71">
        <v>91602.07</v>
      </c>
      <c r="H36" s="72"/>
    </row>
    <row r="37" spans="1:8" x14ac:dyDescent="0.25">
      <c r="A37" s="46" t="s">
        <v>33</v>
      </c>
      <c r="B37" s="67" t="str">
        <f>_xlfn.XLOOKUP(AF[[#This Row],[OPERATION]],Liste_sub[OPERATION],Liste_sub[N° ARRETE],"",0)</f>
        <v>SHLS N° 18-0122</v>
      </c>
      <c r="C37" s="69" t="str">
        <f>_xlfn.XLOOKUP(AF[[#This Row],[N° ARRETE]],Liste_sub[N° ARRETE],Liste_sub[Type subventions],"",0)</f>
        <v>LBU REHAB</v>
      </c>
      <c r="D37" s="55">
        <v>43634</v>
      </c>
      <c r="E37" s="48">
        <v>27200</v>
      </c>
      <c r="F37" s="55">
        <v>43679</v>
      </c>
      <c r="G37" s="48">
        <v>27200</v>
      </c>
      <c r="H37" s="76"/>
    </row>
    <row r="38" spans="1:8" x14ac:dyDescent="0.25">
      <c r="A38" s="46" t="s">
        <v>33</v>
      </c>
      <c r="B38" s="67" t="str">
        <f>_xlfn.XLOOKUP(AF[[#This Row],[OPERATION]],Liste_sub[OPERATION],Liste_sub[N° ARRETE],"",0)</f>
        <v>SHLS N° 18-0122</v>
      </c>
      <c r="C38" s="69" t="str">
        <f>_xlfn.XLOOKUP(AF[[#This Row],[N° ARRETE]],Liste_sub[N° ARRETE],Liste_sub[Type subventions],"",0)</f>
        <v>LBU REHAB</v>
      </c>
      <c r="D38" s="55">
        <v>43858</v>
      </c>
      <c r="E38" s="48">
        <v>12335.2</v>
      </c>
      <c r="F38" s="55">
        <v>43956</v>
      </c>
      <c r="G38" s="48">
        <v>12335.2</v>
      </c>
      <c r="H38" s="76"/>
    </row>
    <row r="39" spans="1:8" x14ac:dyDescent="0.25">
      <c r="A39" s="46" t="s">
        <v>33</v>
      </c>
      <c r="B39" s="67" t="str">
        <f>_xlfn.XLOOKUP(AF[[#This Row],[OPERATION]],Liste_sub[OPERATION],Liste_sub[N° ARRETE],"",0)</f>
        <v>SHLS N° 18-0122</v>
      </c>
      <c r="C39" s="69" t="str">
        <f>_xlfn.XLOOKUP(AF[[#This Row],[N° ARRETE]],Liste_sub[N° ARRETE],Liste_sub[Type subventions],"",0)</f>
        <v>LBU REHAB</v>
      </c>
      <c r="D39" s="55">
        <v>44021</v>
      </c>
      <c r="E39" s="71">
        <v>37522.400000000001</v>
      </c>
      <c r="F39" s="55">
        <v>44054</v>
      </c>
      <c r="G39" s="48">
        <v>37522.400000000001</v>
      </c>
      <c r="H39" s="76"/>
    </row>
    <row r="40" spans="1:8" x14ac:dyDescent="0.25">
      <c r="A40" s="46" t="s">
        <v>33</v>
      </c>
      <c r="B40" s="67" t="str">
        <f>_xlfn.XLOOKUP(AF[[#This Row],[OPERATION]],Liste_sub[OPERATION],Liste_sub[N° ARRETE],"",0)</f>
        <v>SHLS N° 18-0122</v>
      </c>
      <c r="C40" s="69" t="str">
        <f>_xlfn.XLOOKUP(AF[[#This Row],[N° ARRETE]],Liste_sub[N° ARRETE],Liste_sub[Type subventions],"",0)</f>
        <v>LBU REHAB</v>
      </c>
      <c r="D40" s="55">
        <v>44096</v>
      </c>
      <c r="E40" s="71">
        <v>31742.400000000001</v>
      </c>
      <c r="F40" s="55">
        <v>44155</v>
      </c>
      <c r="G40" s="48">
        <v>31742.400000000001</v>
      </c>
      <c r="H40" s="76"/>
    </row>
    <row r="41" spans="1:8" x14ac:dyDescent="0.25">
      <c r="A41" s="46" t="s">
        <v>33</v>
      </c>
      <c r="B41" s="67" t="str">
        <f>_xlfn.XLOOKUP(AF[[#This Row],[OPERATION]],Liste_sub[OPERATION],Liste_sub[N° ARRETE],"",0)</f>
        <v>SHLS N° 18-0122</v>
      </c>
      <c r="C41" s="69" t="str">
        <f>_xlfn.XLOOKUP(AF[[#This Row],[N° ARRETE]],Liste_sub[N° ARRETE],Liste_sub[Type subventions],"",0)</f>
        <v>LBU REHAB</v>
      </c>
      <c r="D41" s="55">
        <v>44628</v>
      </c>
      <c r="E41" s="48">
        <v>27200</v>
      </c>
      <c r="F41" s="55"/>
      <c r="G41" s="48"/>
      <c r="H41" s="76"/>
    </row>
    <row r="42" spans="1:8" x14ac:dyDescent="0.25">
      <c r="A42" s="46" t="s">
        <v>53</v>
      </c>
      <c r="B42" s="67" t="str">
        <f>_xlfn.XLOOKUP(AF[[#This Row],[OPERATION]],Liste_sub[OPERATION],Liste_sub[N° ARRETE],"",0)</f>
        <v>SHLS N° 18-0123</v>
      </c>
      <c r="C42" s="69" t="str">
        <f>_xlfn.XLOOKUP(AF[[#This Row],[N° ARRETE]],Liste_sub[N° ARRETE],Liste_sub[Type subventions],"",0)</f>
        <v>LBU REHAB</v>
      </c>
      <c r="D42" s="55">
        <v>43634</v>
      </c>
      <c r="E42" s="48">
        <v>30000</v>
      </c>
      <c r="F42" s="55">
        <v>43679</v>
      </c>
      <c r="G42" s="48">
        <v>30000</v>
      </c>
      <c r="H42" s="76"/>
    </row>
    <row r="43" spans="1:8" x14ac:dyDescent="0.25">
      <c r="A43" s="46" t="s">
        <v>53</v>
      </c>
      <c r="B43" s="67" t="str">
        <f>_xlfn.XLOOKUP(AF[[#This Row],[OPERATION]],Liste_sub[OPERATION],Liste_sub[N° ARRETE],"",0)</f>
        <v>SHLS N° 18-0123</v>
      </c>
      <c r="C43" s="69" t="str">
        <f>_xlfn.XLOOKUP(AF[[#This Row],[N° ARRETE]],Liste_sub[N° ARRETE],Liste_sub[Type subventions],"",0)</f>
        <v>LBU REHAB</v>
      </c>
      <c r="D43" s="55">
        <v>44119</v>
      </c>
      <c r="E43" s="48">
        <v>12255</v>
      </c>
      <c r="F43" s="55">
        <v>44162</v>
      </c>
      <c r="G43" s="48">
        <v>12255</v>
      </c>
      <c r="H43" s="76"/>
    </row>
    <row r="44" spans="1:8" x14ac:dyDescent="0.25">
      <c r="A44" s="46" t="s">
        <v>53</v>
      </c>
      <c r="B44" s="67" t="str">
        <f>_xlfn.XLOOKUP(AF[[#This Row],[OPERATION]],Liste_sub[OPERATION],Liste_sub[N° ARRETE],"",0)</f>
        <v>SHLS N° 18-0123</v>
      </c>
      <c r="C44" s="69" t="str">
        <f>_xlfn.XLOOKUP(AF[[#This Row],[N° ARRETE]],Liste_sub[N° ARRETE],Liste_sub[Type subventions],"",0)</f>
        <v>LBU REHAB</v>
      </c>
      <c r="D44" s="55">
        <v>44145</v>
      </c>
      <c r="E44" s="71">
        <v>8835</v>
      </c>
      <c r="F44" s="55">
        <v>44166</v>
      </c>
      <c r="G44" s="48">
        <v>8835</v>
      </c>
      <c r="H44" s="76"/>
    </row>
    <row r="45" spans="1:8" x14ac:dyDescent="0.25">
      <c r="A45" s="46" t="s">
        <v>53</v>
      </c>
      <c r="B45" s="67" t="str">
        <f>_xlfn.XLOOKUP(AF[[#This Row],[OPERATION]],Liste_sub[OPERATION],Liste_sub[N° ARRETE],"",0)</f>
        <v>SHLS N° 18-0123</v>
      </c>
      <c r="C45" s="69" t="str">
        <f>_xlfn.XLOOKUP(AF[[#This Row],[N° ARRETE]],Liste_sub[N° ARRETE],Liste_sub[Type subventions],"",0)</f>
        <v>LBU REHAB</v>
      </c>
      <c r="D45" s="55">
        <v>44271</v>
      </c>
      <c r="E45" s="71">
        <v>68910</v>
      </c>
      <c r="F45" s="55">
        <v>44354</v>
      </c>
      <c r="G45" s="48">
        <v>68910</v>
      </c>
      <c r="H45" s="76"/>
    </row>
    <row r="46" spans="1:8" x14ac:dyDescent="0.25">
      <c r="A46" s="46" t="s">
        <v>36</v>
      </c>
      <c r="B46" s="67" t="str">
        <f>_xlfn.XLOOKUP(AF[[#This Row],[OPERATION]],Liste_sub[OPERATION],Liste_sub[N° ARRETE],"",0)</f>
        <v>SHLS N° 18-0125</v>
      </c>
      <c r="C46" s="69" t="str">
        <f>_xlfn.XLOOKUP(AF[[#This Row],[N° ARRETE]],Liste_sub[N° ARRETE],Liste_sub[Type subventions],"",0)</f>
        <v>LBU REHAB</v>
      </c>
      <c r="D46" s="55">
        <v>43634</v>
      </c>
      <c r="E46" s="48">
        <v>23000</v>
      </c>
      <c r="F46" s="55">
        <v>43679</v>
      </c>
      <c r="G46" s="48">
        <v>23000</v>
      </c>
      <c r="H46" s="76"/>
    </row>
    <row r="47" spans="1:8" x14ac:dyDescent="0.25">
      <c r="A47" s="46" t="s">
        <v>36</v>
      </c>
      <c r="B47" s="67" t="str">
        <f>_xlfn.XLOOKUP(AF[[#This Row],[OPERATION]],Liste_sub[OPERATION],Liste_sub[N° ARRETE],"",0)</f>
        <v>SHLS N° 18-0125</v>
      </c>
      <c r="C47" s="69" t="str">
        <f>_xlfn.XLOOKUP(AF[[#This Row],[N° ARRETE]],Liste_sub[N° ARRETE],Liste_sub[Type subventions],"",0)</f>
        <v>LBU REHAB</v>
      </c>
      <c r="D47" s="55">
        <v>43896</v>
      </c>
      <c r="E47" s="48">
        <v>36420.5</v>
      </c>
      <c r="F47" s="55">
        <v>43937</v>
      </c>
      <c r="G47" s="48">
        <v>36420.5</v>
      </c>
      <c r="H47" s="76"/>
    </row>
    <row r="48" spans="1:8" x14ac:dyDescent="0.25">
      <c r="A48" s="46" t="s">
        <v>36</v>
      </c>
      <c r="B48" s="68" t="str">
        <f>_xlfn.XLOOKUP(AF[[#This Row],[OPERATION]],Liste_sub[OPERATION],Liste_sub[N° ARRETE],"",0)</f>
        <v>SHLS N° 18-0125</v>
      </c>
      <c r="C48" s="70" t="str">
        <f>_xlfn.XLOOKUP(AF[[#This Row],[N° ARRETE]],Liste_sub[N° ARRETE],Liste_sub[Type subventions],"",0)</f>
        <v>LBU REHAB</v>
      </c>
      <c r="D48" s="55">
        <v>43993</v>
      </c>
      <c r="E48" s="71">
        <v>30751</v>
      </c>
      <c r="F48" s="55">
        <v>44036</v>
      </c>
      <c r="G48" s="48">
        <v>30751</v>
      </c>
      <c r="H48" s="76"/>
    </row>
    <row r="49" spans="1:8" x14ac:dyDescent="0.25">
      <c r="A49" s="46" t="s">
        <v>41</v>
      </c>
      <c r="B49" s="67" t="str">
        <f>_xlfn.XLOOKUP(AF[[#This Row],[OPERATION]],Liste_sub[OPERATION],Liste_sub[N° ARRETE],"",0)</f>
        <v>SHLS N° 20-0374</v>
      </c>
      <c r="C49" s="69" t="str">
        <f>_xlfn.XLOOKUP(AF[[#This Row],[N° ARRETE]],Liste_sub[N° ARRETE],Liste_sub[Type subventions],"",0)</f>
        <v>LBU REHAB</v>
      </c>
      <c r="D49" s="55">
        <v>44183</v>
      </c>
      <c r="E49" s="48">
        <v>81000</v>
      </c>
      <c r="F49" s="55">
        <v>44209</v>
      </c>
      <c r="G49" s="48">
        <v>81000</v>
      </c>
      <c r="H49" s="76" t="s">
        <v>56</v>
      </c>
    </row>
    <row r="50" spans="1:8" x14ac:dyDescent="0.25">
      <c r="A50" s="46" t="s">
        <v>43</v>
      </c>
      <c r="B50" s="67" t="str">
        <f>_xlfn.XLOOKUP(AF[[#This Row],[OPERATION]],Liste_sub[OPERATION],Liste_sub[N° ARRETE],"",0)</f>
        <v>SHLS N° 20-0421</v>
      </c>
      <c r="C50" s="69" t="str">
        <f>_xlfn.XLOOKUP(AF[[#This Row],[N° ARRETE]],Liste_sub[N° ARRETE],Liste_sub[Type subventions],"",0)</f>
        <v>LBU REHAB</v>
      </c>
      <c r="D50" s="55">
        <v>44183</v>
      </c>
      <c r="E50" s="48">
        <v>62208</v>
      </c>
      <c r="F50" s="55">
        <v>44209</v>
      </c>
      <c r="G50" s="48">
        <v>62208</v>
      </c>
      <c r="H50" s="76"/>
    </row>
    <row r="51" spans="1:8" x14ac:dyDescent="0.25">
      <c r="A51" s="46" t="s">
        <v>45</v>
      </c>
      <c r="B51" s="67" t="str">
        <f>_xlfn.XLOOKUP(AF[[#This Row],[OPERATION]],Liste_sub[OPERATION],Liste_sub[N° ARRETE],"",0)</f>
        <v>SHLS N° 20-0393</v>
      </c>
      <c r="C51" s="69" t="str">
        <f>_xlfn.XLOOKUP(AF[[#This Row],[N° ARRETE]],Liste_sub[N° ARRETE],Liste_sub[Type subventions],"",0)</f>
        <v>LBU REHAB</v>
      </c>
      <c r="D51" s="55">
        <v>44183</v>
      </c>
      <c r="E51" s="48">
        <v>70200</v>
      </c>
      <c r="F51" s="55">
        <v>44209</v>
      </c>
      <c r="G51" s="48">
        <v>70200</v>
      </c>
      <c r="H51" s="76"/>
    </row>
    <row r="52" spans="1:8" x14ac:dyDescent="0.25">
      <c r="A52" s="46" t="s">
        <v>52</v>
      </c>
      <c r="B52" s="67" t="str">
        <f>_xlfn.XLOOKUP(AF[[#This Row],[OPERATION]],Liste_sub[OPERATION],Liste_sub[N° ARRETE],"",0)</f>
        <v>SHLS N° 20-0394</v>
      </c>
      <c r="C52" s="69" t="str">
        <f>_xlfn.XLOOKUP(AF[[#This Row],[N° ARRETE]],Liste_sub[N° ARRETE],Liste_sub[Type subventions],"",0)</f>
        <v>LBU REHAB</v>
      </c>
      <c r="D52" s="55">
        <v>44183</v>
      </c>
      <c r="E52" s="48">
        <v>48600</v>
      </c>
      <c r="F52" s="55">
        <v>44209</v>
      </c>
      <c r="G52" s="48">
        <v>48600</v>
      </c>
      <c r="H52" s="76"/>
    </row>
    <row r="53" spans="1:8" x14ac:dyDescent="0.25">
      <c r="A53" s="46" t="s">
        <v>48</v>
      </c>
      <c r="B53" s="67" t="str">
        <f>_xlfn.XLOOKUP(AF[[#This Row],[OPERATION]],Liste_sub[OPERATION],Liste_sub[N° ARRETE],"",0)</f>
        <v>SHLS N° 20-0384</v>
      </c>
      <c r="C53" s="69" t="str">
        <f>_xlfn.XLOOKUP(AF[[#This Row],[N° ARRETE]],Liste_sub[N° ARRETE],Liste_sub[Type subventions],"",0)</f>
        <v>LBU REHAB</v>
      </c>
      <c r="D53" s="55">
        <v>44183</v>
      </c>
      <c r="E53" s="48">
        <v>224100</v>
      </c>
      <c r="F53" s="55">
        <v>44209</v>
      </c>
      <c r="G53" s="48">
        <v>224100</v>
      </c>
      <c r="H53" s="76"/>
    </row>
    <row r="54" spans="1:8" x14ac:dyDescent="0.25">
      <c r="A54" s="46" t="s">
        <v>50</v>
      </c>
      <c r="B54" s="67" t="str">
        <f>_xlfn.XLOOKUP(AF[[#This Row],[OPERATION]],Liste_sub[OPERATION],Liste_sub[N° ARRETE],"",0)</f>
        <v>SHLS N° 20-0338</v>
      </c>
      <c r="C54" s="69" t="str">
        <f>_xlfn.XLOOKUP(AF[[#This Row],[N° ARRETE]],Liste_sub[N° ARRETE],Liste_sub[Type subventions],"",0)</f>
        <v>LBU REHAB</v>
      </c>
      <c r="D54" s="55">
        <v>44183</v>
      </c>
      <c r="E54" s="48">
        <v>86400</v>
      </c>
      <c r="F54" s="55">
        <v>44209</v>
      </c>
      <c r="G54" s="48">
        <v>86400</v>
      </c>
      <c r="H54" s="76"/>
    </row>
    <row r="55" spans="1:8" x14ac:dyDescent="0.25">
      <c r="A55" s="46" t="s">
        <v>54</v>
      </c>
      <c r="B55" s="67" t="str">
        <f>_xlfn.XLOOKUP(AF[[#This Row],[OPERATION]],Liste_sub[OPERATION],Liste_sub[N° ARRETE],"",0)</f>
        <v>SHLS N° 20-0422</v>
      </c>
      <c r="C55" s="69" t="str">
        <f>_xlfn.XLOOKUP(AF[[#This Row],[N° ARRETE]],Liste_sub[N° ARRETE],Liste_sub[Type subventions],"",0)</f>
        <v>LBU REHAB</v>
      </c>
      <c r="D55" s="55">
        <v>44183</v>
      </c>
      <c r="E55" s="48">
        <v>147744</v>
      </c>
      <c r="F55" s="55">
        <v>44209</v>
      </c>
      <c r="G55" s="48">
        <v>147744</v>
      </c>
      <c r="H55" s="76"/>
    </row>
    <row r="56" spans="1:8" x14ac:dyDescent="0.25">
      <c r="A56" s="46"/>
      <c r="B56" s="67" t="str">
        <f>_xlfn.XLOOKUP(AF[[#This Row],[OPERATION]],Liste_sub[OPERATION],Liste_sub[N° ARRETE],"",0)</f>
        <v/>
      </c>
      <c r="C56" s="69" t="str">
        <f>_xlfn.XLOOKUP(AF[[#This Row],[N° ARRETE]],Liste_sub[N° ARRETE],Liste_sub[Type subventions],"",0)</f>
        <v/>
      </c>
      <c r="D56" s="55"/>
      <c r="E56" s="48"/>
      <c r="F56" s="55"/>
      <c r="G56" s="48"/>
      <c r="H56" s="76"/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E2E6-7ED8-4422-9589-2E089F2A3F26}">
  <dimension ref="A1:S19"/>
  <sheetViews>
    <sheetView tabSelected="1" zoomScale="70" zoomScaleNormal="70" workbookViewId="0">
      <selection activeCell="I18" sqref="I18"/>
    </sheetView>
  </sheetViews>
  <sheetFormatPr baseColWidth="10" defaultRowHeight="13.2" x14ac:dyDescent="0.25"/>
  <cols>
    <col min="1" max="1" width="26.88671875" bestFit="1" customWidth="1"/>
    <col min="2" max="2" width="15.5546875" style="39" bestFit="1" customWidth="1"/>
    <col min="3" max="3" width="19" style="39" customWidth="1"/>
    <col min="4" max="8" width="17.6640625" style="43" customWidth="1"/>
    <col min="9" max="9" width="32.21875" style="43" bestFit="1" customWidth="1"/>
    <col min="10" max="10" width="11.5546875" customWidth="1"/>
    <col min="19" max="19" width="16.109375" customWidth="1"/>
  </cols>
  <sheetData>
    <row r="1" spans="1:19" s="41" customFormat="1" ht="37.799999999999997" customHeight="1" x14ac:dyDescent="0.25">
      <c r="A1" s="41" t="s">
        <v>39</v>
      </c>
      <c r="B1" s="41" t="s">
        <v>63</v>
      </c>
      <c r="C1" s="41" t="s">
        <v>66</v>
      </c>
      <c r="D1" s="41" t="s">
        <v>64</v>
      </c>
      <c r="E1" s="42" t="s">
        <v>22</v>
      </c>
      <c r="F1" s="42" t="s">
        <v>61</v>
      </c>
      <c r="G1" s="42" t="s">
        <v>17</v>
      </c>
      <c r="H1" s="42" t="s">
        <v>32</v>
      </c>
      <c r="I1" s="42" t="s">
        <v>65</v>
      </c>
      <c r="J1" s="42" t="s">
        <v>57</v>
      </c>
      <c r="K1" s="42" t="s">
        <v>67</v>
      </c>
      <c r="L1" s="42" t="s">
        <v>69</v>
      </c>
      <c r="M1" s="42" t="s">
        <v>70</v>
      </c>
      <c r="N1" s="42" t="s">
        <v>71</v>
      </c>
      <c r="O1" s="42" t="s">
        <v>11</v>
      </c>
      <c r="S1" s="78">
        <f ca="1">TODAY()</f>
        <v>44793</v>
      </c>
    </row>
    <row r="2" spans="1:19" x14ac:dyDescent="0.25">
      <c r="A2" s="38" t="s">
        <v>18</v>
      </c>
      <c r="B2" s="40" t="s">
        <v>25</v>
      </c>
      <c r="C2" s="40" t="s">
        <v>38</v>
      </c>
      <c r="D2" s="52">
        <v>43005</v>
      </c>
      <c r="E2" s="53">
        <f>DATE(YEAR(D2),MONTH(D2)+12,DAY(D2))</f>
        <v>43370</v>
      </c>
      <c r="F2" s="53">
        <v>43328</v>
      </c>
      <c r="G2" s="53">
        <v>43348</v>
      </c>
      <c r="H2" s="53">
        <f>DATE(YEAR(D2)+2,MONTH(D2),DAY(D2))</f>
        <v>43735</v>
      </c>
      <c r="I2" s="53">
        <f>DATE(YEAR(H2)+2,MONTH(H2),DAY(H2))</f>
        <v>44466</v>
      </c>
      <c r="J2" s="53">
        <v>43621</v>
      </c>
      <c r="K2" s="54">
        <v>18200</v>
      </c>
      <c r="L2" s="54">
        <f>SUMIF(AF[N° ARRETE],Liste_sub[[#This Row],[N° ARRETE]],AF[Montant appelé])</f>
        <v>18200</v>
      </c>
      <c r="M2" s="54">
        <f>SUMIF(AF[N° ARRETE],Liste_sub[[#This Row],[N° ARRETE]],AF[Montant payé])</f>
        <v>18200</v>
      </c>
      <c r="N2" s="54">
        <f>Liste_sub[[#This Row],[Montant appelé]]-Liste_sub[[#This Row],[Montant payé]]</f>
        <v>0</v>
      </c>
      <c r="O2" s="54">
        <f>Liste_sub[[#This Row],[Montant subvention]]-Liste_sub[[#This Row],[Montant appelé]]</f>
        <v>0</v>
      </c>
    </row>
    <row r="3" spans="1:19" s="38" customFormat="1" x14ac:dyDescent="0.25">
      <c r="A3" s="45" t="s">
        <v>60</v>
      </c>
      <c r="B3" s="40" t="s">
        <v>20</v>
      </c>
      <c r="C3" s="40" t="s">
        <v>38</v>
      </c>
      <c r="D3" s="52">
        <v>43005</v>
      </c>
      <c r="E3" s="53">
        <f>DATE(YEAR(D3),MONTH(D3)+12,DAY(D3))</f>
        <v>43370</v>
      </c>
      <c r="F3" s="53">
        <v>43328</v>
      </c>
      <c r="G3" s="53">
        <v>43363</v>
      </c>
      <c r="H3" s="53">
        <f>DATE(YEAR(D3)+2,MONTH(D3),DAY(D3))</f>
        <v>43735</v>
      </c>
      <c r="I3" s="53">
        <f>DATE(YEAR(H3)+2,MONTH(H3),DAY(H3))</f>
        <v>44466</v>
      </c>
      <c r="J3" s="53">
        <v>44174</v>
      </c>
      <c r="K3" s="54">
        <v>47320</v>
      </c>
      <c r="L3" s="54">
        <f>SUMIF(AF[N° ARRETE],Liste_sub[[#This Row],[N° ARRETE]],AF[Montant appelé])</f>
        <v>37856</v>
      </c>
      <c r="M3" s="54">
        <f>SUMIF(AF[N° ARRETE],Liste_sub[[#This Row],[N° ARRETE]],AF[Montant payé])</f>
        <v>37856</v>
      </c>
      <c r="N3" s="54">
        <f>Liste_sub[[#This Row],[Montant appelé]]-Liste_sub[[#This Row],[Montant payé]]</f>
        <v>0</v>
      </c>
      <c r="O3" s="54">
        <f>Liste_sub[[#This Row],[Montant subvention]]-Liste_sub[[#This Row],[Montant appelé]]</f>
        <v>9464</v>
      </c>
    </row>
    <row r="4" spans="1:19" s="38" customFormat="1" x14ac:dyDescent="0.25">
      <c r="A4" s="45" t="s">
        <v>19</v>
      </c>
      <c r="B4" s="40" t="s">
        <v>21</v>
      </c>
      <c r="C4" s="40" t="s">
        <v>38</v>
      </c>
      <c r="D4" s="52">
        <v>43005</v>
      </c>
      <c r="E4" s="53">
        <f>DATE(YEAR(D4),MONTH(D4)+12,DAY(D4))</f>
        <v>43370</v>
      </c>
      <c r="F4" s="53">
        <v>43368</v>
      </c>
      <c r="G4" s="53">
        <v>43452</v>
      </c>
      <c r="H4" s="53">
        <f>DATE(YEAR(D4)+2,MONTH(D4),DAY(D4))</f>
        <v>43735</v>
      </c>
      <c r="I4" s="53">
        <f>DATE(YEAR(H4)+2,MONTH(H4),DAY(H4))</f>
        <v>44466</v>
      </c>
      <c r="J4" s="53">
        <v>44167</v>
      </c>
      <c r="K4" s="54">
        <v>10920</v>
      </c>
      <c r="L4" s="54">
        <f>SUMIF(AF[N° ARRETE],Liste_sub[[#This Row],[N° ARRETE]],AF[Montant appelé])</f>
        <v>10920.004000000001</v>
      </c>
      <c r="M4" s="54">
        <f>SUMIF(AF[N° ARRETE],Liste_sub[[#This Row],[N° ARRETE]],AF[Montant payé])</f>
        <v>8040.4</v>
      </c>
      <c r="N4" s="54">
        <f>Liste_sub[[#This Row],[Montant appelé]]-Liste_sub[[#This Row],[Montant payé]]</f>
        <v>2879.6040000000012</v>
      </c>
      <c r="O4" s="54">
        <f>Liste_sub[[#This Row],[Montant subvention]]-Liste_sub[[#This Row],[Montant appelé]]</f>
        <v>-4.0000000008149073E-3</v>
      </c>
    </row>
    <row r="5" spans="1:19" s="38" customFormat="1" x14ac:dyDescent="0.25">
      <c r="A5" s="45" t="s">
        <v>23</v>
      </c>
      <c r="B5" s="40" t="s">
        <v>24</v>
      </c>
      <c r="C5" s="40" t="s">
        <v>38</v>
      </c>
      <c r="D5" s="52">
        <v>43032</v>
      </c>
      <c r="E5" s="53">
        <f>DATE(YEAR(D5),MONTH(D5)+12,DAY(D5))</f>
        <v>43397</v>
      </c>
      <c r="F5" s="53">
        <v>43362</v>
      </c>
      <c r="G5" s="53">
        <v>43362</v>
      </c>
      <c r="H5" s="53">
        <f>DATE(YEAR(D5)+2,MONTH(D5),DAY(D5))</f>
        <v>43762</v>
      </c>
      <c r="I5" s="53">
        <f>DATE(YEAR(H5)+2,MONTH(H5),DAY(H5))</f>
        <v>44493</v>
      </c>
      <c r="J5" s="53">
        <v>44180</v>
      </c>
      <c r="K5" s="54">
        <v>281250</v>
      </c>
      <c r="L5" s="54">
        <f>SUMIF(AF[N° ARRETE],Liste_sub[[#This Row],[N° ARRETE]],AF[Montant appelé])</f>
        <v>281250.01</v>
      </c>
      <c r="M5" s="54">
        <f>SUMIF(AF[N° ARRETE],Liste_sub[[#This Row],[N° ARRETE]],AF[Montant payé])</f>
        <v>225000</v>
      </c>
      <c r="N5" s="54">
        <f>Liste_sub[[#This Row],[Montant appelé]]-Liste_sub[[#This Row],[Montant payé]]</f>
        <v>56250.010000000009</v>
      </c>
      <c r="O5" s="54">
        <f>Liste_sub[[#This Row],[Montant subvention]]-Liste_sub[[#This Row],[Montant appelé]]</f>
        <v>-1.0000000009313226E-2</v>
      </c>
    </row>
    <row r="6" spans="1:19" s="38" customFormat="1" x14ac:dyDescent="0.25">
      <c r="A6" s="45" t="s">
        <v>26</v>
      </c>
      <c r="B6" s="40" t="s">
        <v>28</v>
      </c>
      <c r="C6" s="40" t="s">
        <v>38</v>
      </c>
      <c r="D6" s="52">
        <v>43039</v>
      </c>
      <c r="E6" s="53">
        <f>DATE(YEAR(D6),MONTH(D6)+12,DAY(D6))</f>
        <v>43404</v>
      </c>
      <c r="F6" s="53">
        <v>43355</v>
      </c>
      <c r="G6" s="53">
        <v>43355</v>
      </c>
      <c r="H6" s="53">
        <f>DATE(YEAR(D6)+2,MONTH(D6),DAY(D6))</f>
        <v>43769</v>
      </c>
      <c r="I6" s="53">
        <f>DATE(YEAR(H6)+2,MONTH(H6),DAY(H6))</f>
        <v>44500</v>
      </c>
      <c r="J6" s="53">
        <v>44173</v>
      </c>
      <c r="K6" s="54">
        <v>462500</v>
      </c>
      <c r="L6" s="54">
        <f>SUMIF(AF[N° ARRETE],Liste_sub[[#This Row],[N° ARRETE]],AF[Montant appelé])</f>
        <v>370000</v>
      </c>
      <c r="M6" s="54">
        <f>SUMIF(AF[N° ARRETE],Liste_sub[[#This Row],[N° ARRETE]],AF[Montant payé])</f>
        <v>370000</v>
      </c>
      <c r="N6" s="54">
        <f>Liste_sub[[#This Row],[Montant appelé]]-Liste_sub[[#This Row],[Montant payé]]</f>
        <v>0</v>
      </c>
      <c r="O6" s="54">
        <f>Liste_sub[[#This Row],[Montant subvention]]-Liste_sub[[#This Row],[Montant appelé]]</f>
        <v>92500</v>
      </c>
    </row>
    <row r="7" spans="1:19" s="38" customFormat="1" x14ac:dyDescent="0.25">
      <c r="A7" s="45" t="s">
        <v>27</v>
      </c>
      <c r="B7" s="40" t="s">
        <v>29</v>
      </c>
      <c r="C7" s="40" t="s">
        <v>38</v>
      </c>
      <c r="D7" s="52">
        <v>43039</v>
      </c>
      <c r="E7" s="53">
        <f>DATE(YEAR(D7),MONTH(D7)+12,DAY(D7))</f>
        <v>43404</v>
      </c>
      <c r="F7" s="53">
        <v>43388</v>
      </c>
      <c r="G7" s="53">
        <v>43441</v>
      </c>
      <c r="H7" s="53">
        <f>DATE(YEAR(D7)+2,MONTH(D7),DAY(D7))</f>
        <v>43769</v>
      </c>
      <c r="I7" s="53">
        <f>DATE(YEAR(H7)+2,MONTH(H7),DAY(H7))</f>
        <v>44500</v>
      </c>
      <c r="J7" s="53">
        <v>44175</v>
      </c>
      <c r="K7" s="54">
        <v>401760</v>
      </c>
      <c r="L7" s="54">
        <f>SUMIF(AF[N° ARRETE],Liste_sub[[#This Row],[N° ARRETE]],AF[Montant appelé])</f>
        <v>401760</v>
      </c>
      <c r="M7" s="54">
        <f>SUMIF(AF[N° ARRETE],Liste_sub[[#This Row],[N° ARRETE]],AF[Montant payé])</f>
        <v>401760</v>
      </c>
      <c r="N7" s="54">
        <f>Liste_sub[[#This Row],[Montant appelé]]-Liste_sub[[#This Row],[Montant payé]]</f>
        <v>0</v>
      </c>
      <c r="O7" s="54">
        <f>Liste_sub[[#This Row],[Montant subvention]]-Liste_sub[[#This Row],[Montant appelé]]</f>
        <v>0</v>
      </c>
    </row>
    <row r="8" spans="1:19" x14ac:dyDescent="0.25">
      <c r="A8" s="45" t="s">
        <v>30</v>
      </c>
      <c r="B8" s="40" t="s">
        <v>31</v>
      </c>
      <c r="C8" s="40" t="s">
        <v>38</v>
      </c>
      <c r="D8" s="52">
        <v>43334</v>
      </c>
      <c r="E8" s="53">
        <f>DATE(YEAR(D8),MONTH(D8)+12,DAY(D8))</f>
        <v>43699</v>
      </c>
      <c r="F8" s="53">
        <v>43545</v>
      </c>
      <c r="G8" s="53">
        <v>43668</v>
      </c>
      <c r="H8" s="53">
        <f>DATE(YEAR(D8)+2,MONTH(D8),DAY(D8))</f>
        <v>44065</v>
      </c>
      <c r="I8" s="53">
        <f>DATE(YEAR(H8)+2,MONTH(H8),DAY(H8))</f>
        <v>44795</v>
      </c>
      <c r="J8" s="53">
        <v>44427</v>
      </c>
      <c r="K8" s="54">
        <v>655705.55999999994</v>
      </c>
      <c r="L8" s="54">
        <f>SUMIF(AF[N° ARRETE],Liste_sub[[#This Row],[N° ARRETE]],AF[Montant appelé])</f>
        <v>524564.44999999995</v>
      </c>
      <c r="M8" s="54">
        <f>SUMIF(AF[N° ARRETE],Liste_sub[[#This Row],[N° ARRETE]],AF[Montant payé])</f>
        <v>524564.44999999995</v>
      </c>
      <c r="N8" s="54">
        <f>Liste_sub[[#This Row],[Montant appelé]]-Liste_sub[[#This Row],[Montant payé]]</f>
        <v>0</v>
      </c>
      <c r="O8" s="54">
        <f>Liste_sub[[#This Row],[Montant subvention]]-Liste_sub[[#This Row],[Montant appelé]]</f>
        <v>131141.10999999999</v>
      </c>
    </row>
    <row r="9" spans="1:19" x14ac:dyDescent="0.25">
      <c r="A9" s="45" t="s">
        <v>33</v>
      </c>
      <c r="B9" s="40" t="s">
        <v>34</v>
      </c>
      <c r="C9" s="40" t="s">
        <v>38</v>
      </c>
      <c r="D9" s="52">
        <v>43335</v>
      </c>
      <c r="E9" s="53">
        <f>DATE(YEAR(D9),MONTH(D9)+12,DAY(D9))</f>
        <v>43700</v>
      </c>
      <c r="F9" s="53">
        <v>43545</v>
      </c>
      <c r="G9" s="53">
        <v>43647</v>
      </c>
      <c r="H9" s="53">
        <f>DATE(YEAR(D9)+2,MONTH(D9),DAY(D9))</f>
        <v>44066</v>
      </c>
      <c r="I9" s="53">
        <f>DATE(YEAR(H9)+2,MONTH(H9),DAY(H9))</f>
        <v>44796</v>
      </c>
      <c r="J9" s="53">
        <v>44172</v>
      </c>
      <c r="K9" s="54">
        <v>136000</v>
      </c>
      <c r="L9" s="54">
        <f>SUMIF(AF[N° ARRETE],Liste_sub[[#This Row],[N° ARRETE]],AF[Montant appelé])</f>
        <v>136000</v>
      </c>
      <c r="M9" s="54">
        <f>SUMIF(AF[N° ARRETE],Liste_sub[[#This Row],[N° ARRETE]],AF[Montant payé])</f>
        <v>108800</v>
      </c>
      <c r="N9" s="54">
        <f>Liste_sub[[#This Row],[Montant appelé]]-Liste_sub[[#This Row],[Montant payé]]</f>
        <v>27200</v>
      </c>
      <c r="O9" s="54">
        <f>Liste_sub[[#This Row],[Montant subvention]]-Liste_sub[[#This Row],[Montant appelé]]</f>
        <v>0</v>
      </c>
    </row>
    <row r="10" spans="1:19" x14ac:dyDescent="0.25">
      <c r="A10" s="45" t="s">
        <v>53</v>
      </c>
      <c r="B10" s="40" t="s">
        <v>35</v>
      </c>
      <c r="C10" s="40" t="s">
        <v>38</v>
      </c>
      <c r="D10" s="52">
        <v>43335</v>
      </c>
      <c r="E10" s="53">
        <f>DATE(YEAR(D10),MONTH(D10)+12,DAY(D10))</f>
        <v>43700</v>
      </c>
      <c r="F10" s="53">
        <v>43545</v>
      </c>
      <c r="G10" s="53">
        <v>43873</v>
      </c>
      <c r="H10" s="53">
        <f>DATE(YEAR(D10)+2,MONTH(D10),DAY(D10))</f>
        <v>44066</v>
      </c>
      <c r="I10" s="53">
        <f>DATE(YEAR(H10)+2,MONTH(H10),DAY(H10))</f>
        <v>44796</v>
      </c>
      <c r="J10" s="53">
        <v>44384</v>
      </c>
      <c r="K10" s="54">
        <v>150000</v>
      </c>
      <c r="L10" s="54">
        <f>SUMIF(AF[N° ARRETE],Liste_sub[[#This Row],[N° ARRETE]],AF[Montant appelé])</f>
        <v>120000</v>
      </c>
      <c r="M10" s="54">
        <f>SUMIF(AF[N° ARRETE],Liste_sub[[#This Row],[N° ARRETE]],AF[Montant payé])</f>
        <v>120000</v>
      </c>
      <c r="N10" s="54">
        <f>Liste_sub[[#This Row],[Montant appelé]]-Liste_sub[[#This Row],[Montant payé]]</f>
        <v>0</v>
      </c>
      <c r="O10" s="54">
        <f>Liste_sub[[#This Row],[Montant subvention]]-Liste_sub[[#This Row],[Montant appelé]]</f>
        <v>30000</v>
      </c>
    </row>
    <row r="11" spans="1:19" x14ac:dyDescent="0.25">
      <c r="A11" s="45" t="s">
        <v>36</v>
      </c>
      <c r="B11" s="40" t="s">
        <v>37</v>
      </c>
      <c r="C11" s="40" t="s">
        <v>38</v>
      </c>
      <c r="D11" s="52">
        <v>43335</v>
      </c>
      <c r="E11" s="53">
        <f>DATE(YEAR(D11),MONTH(D11)+12,DAY(D11))</f>
        <v>43700</v>
      </c>
      <c r="F11" s="53">
        <v>43545</v>
      </c>
      <c r="G11" s="53">
        <v>43665</v>
      </c>
      <c r="H11" s="53">
        <f>DATE(YEAR(D11)+2,MONTH(D11),DAY(D11))</f>
        <v>44066</v>
      </c>
      <c r="I11" s="53">
        <f>DATE(YEAR(H11)+2,MONTH(H11),DAY(H11))</f>
        <v>44796</v>
      </c>
      <c r="J11" s="53">
        <v>44181</v>
      </c>
      <c r="K11" s="54">
        <v>115000</v>
      </c>
      <c r="L11" s="54">
        <f>SUMIF(AF[N° ARRETE],Liste_sub[[#This Row],[N° ARRETE]],AF[Montant appelé])</f>
        <v>90171.5</v>
      </c>
      <c r="M11" s="54">
        <f>SUMIF(AF[N° ARRETE],Liste_sub[[#This Row],[N° ARRETE]],AF[Montant payé])</f>
        <v>90171.5</v>
      </c>
      <c r="N11" s="54">
        <f>Liste_sub[[#This Row],[Montant appelé]]-Liste_sub[[#This Row],[Montant payé]]</f>
        <v>0</v>
      </c>
      <c r="O11" s="54">
        <f>Liste_sub[[#This Row],[Montant subvention]]-Liste_sub[[#This Row],[Montant appelé]]</f>
        <v>24828.5</v>
      </c>
    </row>
    <row r="12" spans="1:19" x14ac:dyDescent="0.25">
      <c r="A12" s="45" t="s">
        <v>41</v>
      </c>
      <c r="B12" s="40" t="s">
        <v>42</v>
      </c>
      <c r="C12" s="40" t="s">
        <v>38</v>
      </c>
      <c r="D12" s="52">
        <v>44074</v>
      </c>
      <c r="E12" s="53">
        <f>DATE(YEAR(D12),MONTH(D12)+12,DAY(D12))</f>
        <v>44439</v>
      </c>
      <c r="F12" s="53">
        <v>44411</v>
      </c>
      <c r="G12" s="53"/>
      <c r="H12" s="53">
        <f>DATE(YEAR(D12)+2,MONTH(D12),DAY(D12))</f>
        <v>44804</v>
      </c>
      <c r="I12" s="79" t="s">
        <v>81</v>
      </c>
      <c r="J12" s="53"/>
      <c r="K12" s="54">
        <v>270000</v>
      </c>
      <c r="L12" s="54">
        <f>SUMIF(AF[N° ARRETE],Liste_sub[[#This Row],[N° ARRETE]],AF[Montant appelé])</f>
        <v>81000</v>
      </c>
      <c r="M12" s="54">
        <f>SUMIF(AF[N° ARRETE],Liste_sub[[#This Row],[N° ARRETE]],AF[Montant payé])</f>
        <v>81000</v>
      </c>
      <c r="N12" s="54">
        <f>Liste_sub[[#This Row],[Montant appelé]]-Liste_sub[[#This Row],[Montant payé]]</f>
        <v>0</v>
      </c>
      <c r="O12" s="54">
        <f>Liste_sub[[#This Row],[Montant subvention]]-Liste_sub[[#This Row],[Montant appelé]]</f>
        <v>189000</v>
      </c>
    </row>
    <row r="13" spans="1:19" x14ac:dyDescent="0.25">
      <c r="A13" s="45" t="s">
        <v>43</v>
      </c>
      <c r="B13" s="40" t="s">
        <v>44</v>
      </c>
      <c r="C13" s="40" t="s">
        <v>38</v>
      </c>
      <c r="D13" s="52">
        <v>44074</v>
      </c>
      <c r="E13" s="53">
        <f>DATE(YEAR(D13),MONTH(D13)+12,DAY(D13))</f>
        <v>44439</v>
      </c>
      <c r="F13" s="53">
        <v>44411</v>
      </c>
      <c r="G13" s="53"/>
      <c r="H13" s="53">
        <f>DATE(YEAR(D13)+2,MONTH(D13),DAY(D13))</f>
        <v>44804</v>
      </c>
      <c r="I13" s="79" t="s">
        <v>81</v>
      </c>
      <c r="J13" s="53"/>
      <c r="K13" s="54">
        <v>207360</v>
      </c>
      <c r="L13" s="54">
        <f>SUMIF(AF[N° ARRETE],Liste_sub[[#This Row],[N° ARRETE]],AF[Montant appelé])</f>
        <v>62208</v>
      </c>
      <c r="M13" s="54">
        <f>SUMIF(AF[N° ARRETE],Liste_sub[[#This Row],[N° ARRETE]],AF[Montant payé])</f>
        <v>62208</v>
      </c>
      <c r="N13" s="54">
        <f>Liste_sub[[#This Row],[Montant appelé]]-Liste_sub[[#This Row],[Montant payé]]</f>
        <v>0</v>
      </c>
      <c r="O13" s="54">
        <f>Liste_sub[[#This Row],[Montant subvention]]-Liste_sub[[#This Row],[Montant appelé]]</f>
        <v>145152</v>
      </c>
    </row>
    <row r="14" spans="1:19" x14ac:dyDescent="0.25">
      <c r="A14" s="45" t="s">
        <v>45</v>
      </c>
      <c r="B14" s="40" t="s">
        <v>46</v>
      </c>
      <c r="C14" s="40" t="s">
        <v>38</v>
      </c>
      <c r="D14" s="52">
        <v>44074</v>
      </c>
      <c r="E14" s="53">
        <f>DATE(YEAR(D14),MONTH(D14)+12,DAY(D14))</f>
        <v>44439</v>
      </c>
      <c r="F14" s="53">
        <v>44411</v>
      </c>
      <c r="G14" s="53"/>
      <c r="H14" s="53">
        <f>DATE(YEAR(D14)+2,MONTH(D14),DAY(D14))</f>
        <v>44804</v>
      </c>
      <c r="I14" s="79" t="s">
        <v>81</v>
      </c>
      <c r="J14" s="53"/>
      <c r="K14" s="54">
        <v>234000</v>
      </c>
      <c r="L14" s="54">
        <f>SUMIF(AF[N° ARRETE],Liste_sub[[#This Row],[N° ARRETE]],AF[Montant appelé])</f>
        <v>70200</v>
      </c>
      <c r="M14" s="54">
        <f>SUMIF(AF[N° ARRETE],Liste_sub[[#This Row],[N° ARRETE]],AF[Montant payé])</f>
        <v>70200</v>
      </c>
      <c r="N14" s="54">
        <f>Liste_sub[[#This Row],[Montant appelé]]-Liste_sub[[#This Row],[Montant payé]]</f>
        <v>0</v>
      </c>
      <c r="O14" s="54">
        <f>Liste_sub[[#This Row],[Montant subvention]]-Liste_sub[[#This Row],[Montant appelé]]</f>
        <v>163800</v>
      </c>
    </row>
    <row r="15" spans="1:19" x14ac:dyDescent="0.25">
      <c r="A15" s="45" t="s">
        <v>52</v>
      </c>
      <c r="B15" s="40" t="s">
        <v>47</v>
      </c>
      <c r="C15" s="40" t="s">
        <v>38</v>
      </c>
      <c r="D15" s="52">
        <v>44074</v>
      </c>
      <c r="E15" s="53">
        <f>DATE(YEAR(D15),MONTH(D15)+12,DAY(D15))</f>
        <v>44439</v>
      </c>
      <c r="F15" s="53">
        <v>44411</v>
      </c>
      <c r="G15" s="53"/>
      <c r="H15" s="53">
        <f>DATE(YEAR(D15)+2,MONTH(D15),DAY(D15))</f>
        <v>44804</v>
      </c>
      <c r="I15" s="79" t="s">
        <v>81</v>
      </c>
      <c r="J15" s="53"/>
      <c r="K15" s="54">
        <v>162000</v>
      </c>
      <c r="L15" s="54">
        <f>SUMIF(AF[N° ARRETE],Liste_sub[[#This Row],[N° ARRETE]],AF[Montant appelé])</f>
        <v>48600</v>
      </c>
      <c r="M15" s="54">
        <f>SUMIF(AF[N° ARRETE],Liste_sub[[#This Row],[N° ARRETE]],AF[Montant payé])</f>
        <v>48600</v>
      </c>
      <c r="N15" s="54">
        <f>Liste_sub[[#This Row],[Montant appelé]]-Liste_sub[[#This Row],[Montant payé]]</f>
        <v>0</v>
      </c>
      <c r="O15" s="54">
        <f>Liste_sub[[#This Row],[Montant subvention]]-Liste_sub[[#This Row],[Montant appelé]]</f>
        <v>113400</v>
      </c>
    </row>
    <row r="16" spans="1:19" x14ac:dyDescent="0.25">
      <c r="A16" s="45" t="s">
        <v>48</v>
      </c>
      <c r="B16" s="40" t="s">
        <v>49</v>
      </c>
      <c r="C16" s="40" t="s">
        <v>38</v>
      </c>
      <c r="D16" s="52">
        <v>44081</v>
      </c>
      <c r="E16" s="53">
        <f>DATE(YEAR(D16),MONTH(D16)+12,DAY(D16))</f>
        <v>44446</v>
      </c>
      <c r="F16" s="53">
        <v>44411</v>
      </c>
      <c r="G16" s="53"/>
      <c r="H16" s="53">
        <f>DATE(YEAR(D16)+2,MONTH(D16),DAY(D16))</f>
        <v>44811</v>
      </c>
      <c r="I16" s="79" t="s">
        <v>81</v>
      </c>
      <c r="J16" s="53"/>
      <c r="K16" s="54">
        <v>747000</v>
      </c>
      <c r="L16" s="54">
        <f>SUMIF(AF[N° ARRETE],Liste_sub[[#This Row],[N° ARRETE]],AF[Montant appelé])</f>
        <v>224100</v>
      </c>
      <c r="M16" s="54">
        <f>SUMIF(AF[N° ARRETE],Liste_sub[[#This Row],[N° ARRETE]],AF[Montant payé])</f>
        <v>224100</v>
      </c>
      <c r="N16" s="54">
        <f>Liste_sub[[#This Row],[Montant appelé]]-Liste_sub[[#This Row],[Montant payé]]</f>
        <v>0</v>
      </c>
      <c r="O16" s="54">
        <f>Liste_sub[[#This Row],[Montant subvention]]-Liste_sub[[#This Row],[Montant appelé]]</f>
        <v>522900</v>
      </c>
    </row>
    <row r="17" spans="1:15" x14ac:dyDescent="0.25">
      <c r="A17" s="45" t="s">
        <v>50</v>
      </c>
      <c r="B17" s="40" t="s">
        <v>51</v>
      </c>
      <c r="C17" s="40" t="s">
        <v>38</v>
      </c>
      <c r="D17" s="52">
        <v>44078</v>
      </c>
      <c r="E17" s="53">
        <f>DATE(YEAR(D17),MONTH(D17)+12,DAY(D17))</f>
        <v>44443</v>
      </c>
      <c r="F17" s="53">
        <v>44411</v>
      </c>
      <c r="G17" s="53"/>
      <c r="H17" s="53">
        <f>DATE(YEAR(D17)+2,MONTH(D17),DAY(D17))</f>
        <v>44808</v>
      </c>
      <c r="I17" s="79" t="s">
        <v>81</v>
      </c>
      <c r="J17" s="53"/>
      <c r="K17" s="54">
        <v>288000</v>
      </c>
      <c r="L17" s="54">
        <f>SUMIF(AF[N° ARRETE],Liste_sub[[#This Row],[N° ARRETE]],AF[Montant appelé])</f>
        <v>86400</v>
      </c>
      <c r="M17" s="54">
        <f>SUMIF(AF[N° ARRETE],Liste_sub[[#This Row],[N° ARRETE]],AF[Montant payé])</f>
        <v>86400</v>
      </c>
      <c r="N17" s="54">
        <f>Liste_sub[[#This Row],[Montant appelé]]-Liste_sub[[#This Row],[Montant payé]]</f>
        <v>0</v>
      </c>
      <c r="O17" s="54">
        <f>Liste_sub[[#This Row],[Montant subvention]]-Liste_sub[[#This Row],[Montant appelé]]</f>
        <v>201600</v>
      </c>
    </row>
    <row r="18" spans="1:15" x14ac:dyDescent="0.25">
      <c r="A18" s="45" t="s">
        <v>54</v>
      </c>
      <c r="B18" s="40" t="s">
        <v>55</v>
      </c>
      <c r="C18" s="40" t="s">
        <v>38</v>
      </c>
      <c r="D18" s="52">
        <v>44118</v>
      </c>
      <c r="E18" s="53">
        <f>DATE(YEAR(D18),MONTH(D18)+12,DAY(D18))</f>
        <v>44483</v>
      </c>
      <c r="F18" s="53">
        <v>44452</v>
      </c>
      <c r="G18" s="53"/>
      <c r="H18" s="53">
        <f>DATE(YEAR(D18)+2,MONTH(D18),DAY(D18))</f>
        <v>44848</v>
      </c>
      <c r="I18" s="77" t="str">
        <f ca="1">IF(Date_jour&gt;DATE(YEAR(H18),MONTH(H18)-3,DAY(H18)),"Demande de prorogation à envoyer","")</f>
        <v>Demande de prorogation à envoyer</v>
      </c>
      <c r="J18" s="53"/>
      <c r="K18" s="54">
        <v>492480</v>
      </c>
      <c r="L18" s="54">
        <f>SUMIF(AF[N° ARRETE],Liste_sub[[#This Row],[N° ARRETE]],AF[Montant appelé])</f>
        <v>147744</v>
      </c>
      <c r="M18" s="54">
        <f>SUMIF(AF[N° ARRETE],Liste_sub[[#This Row],[N° ARRETE]],AF[Montant payé])</f>
        <v>147744</v>
      </c>
      <c r="N18" s="54">
        <f>Liste_sub[[#This Row],[Montant appelé]]-Liste_sub[[#This Row],[Montant payé]]</f>
        <v>0</v>
      </c>
      <c r="O18" s="54">
        <f>Liste_sub[[#This Row],[Montant subvention]]-Liste_sub[[#This Row],[Montant appelé]]</f>
        <v>344736</v>
      </c>
    </row>
    <row r="19" spans="1:15" x14ac:dyDescent="0.25">
      <c r="A19" s="45" t="s">
        <v>58</v>
      </c>
      <c r="B19" s="40" t="s">
        <v>59</v>
      </c>
      <c r="C19" s="40" t="s">
        <v>38</v>
      </c>
      <c r="D19" s="52">
        <v>44364</v>
      </c>
      <c r="E19" s="53">
        <f>DATE(YEAR(D19),MONTH(D19)+12,DAY(D19))</f>
        <v>44729</v>
      </c>
      <c r="F19" s="53">
        <v>44683</v>
      </c>
      <c r="G19" s="53"/>
      <c r="H19" s="53">
        <f>DATE(YEAR(D19)+2,MONTH(D19),DAY(D19))</f>
        <v>45094</v>
      </c>
      <c r="I19" s="53"/>
      <c r="J19" s="53"/>
      <c r="K19" s="54"/>
      <c r="L19" s="54">
        <f>SUMIF(AF[N° ARRETE],Liste_sub[[#This Row],[N° ARRETE]],AF[Montant appelé])</f>
        <v>0</v>
      </c>
      <c r="M19" s="54">
        <f>SUMIF(AF[N° ARRETE],Liste_sub[[#This Row],[N° ARRETE]],AF[Montant payé])</f>
        <v>0</v>
      </c>
      <c r="N19" s="54">
        <f>Liste_sub[[#This Row],[Montant appelé]]-Liste_sub[[#This Row],[Montant payé]]</f>
        <v>0</v>
      </c>
      <c r="O19" s="54">
        <f>Liste_sub[[#This Row],[Montant subvention]]-Liste_sub[[#This Row],[Montant appelé]]</f>
        <v>0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9"/>
  <dimension ref="A1:P16"/>
  <sheetViews>
    <sheetView workbookViewId="0">
      <selection sqref="A1:XFD1048576"/>
    </sheetView>
  </sheetViews>
  <sheetFormatPr baseColWidth="10" defaultColWidth="11.44140625" defaultRowHeight="12" outlineLevelCol="1" x14ac:dyDescent="0.25"/>
  <cols>
    <col min="1" max="1" width="31.5546875" style="5" bestFit="1" customWidth="1"/>
    <col min="2" max="2" width="30.44140625" style="1" hidden="1" customWidth="1" outlineLevel="1"/>
    <col min="3" max="3" width="11.44140625" style="1" bestFit="1" customWidth="1" collapsed="1"/>
    <col min="4" max="4" width="13.44140625" style="1" bestFit="1" customWidth="1"/>
    <col min="5" max="5" width="14.44140625" style="1" customWidth="1"/>
    <col min="6" max="6" width="4.109375" style="5" bestFit="1" customWidth="1"/>
    <col min="7" max="7" width="10.44140625" style="1" bestFit="1" customWidth="1"/>
    <col min="8" max="8" width="12.44140625" style="1" customWidth="1"/>
    <col min="9" max="9" width="10.44140625" style="1" bestFit="1" customWidth="1"/>
    <col min="10" max="10" width="18.5546875" style="1" bestFit="1" customWidth="1"/>
    <col min="11" max="11" width="14.44140625" style="1" customWidth="1"/>
    <col min="12" max="12" width="14.44140625" style="1" bestFit="1" customWidth="1"/>
    <col min="13" max="13" width="4.109375" style="1" customWidth="1"/>
    <col min="14" max="14" width="14.44140625" style="1" bestFit="1" customWidth="1"/>
    <col min="15" max="15" width="13.44140625" style="1" bestFit="1" customWidth="1"/>
    <col min="16" max="16384" width="11.44140625" style="1"/>
  </cols>
  <sheetData>
    <row r="1" spans="1:16" x14ac:dyDescent="0.25">
      <c r="N1" s="6"/>
      <c r="O1" s="7"/>
    </row>
    <row r="2" spans="1:16" x14ac:dyDescent="0.25">
      <c r="A2" s="56" t="s">
        <v>16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8">
        <v>42155</v>
      </c>
      <c r="O2" s="30"/>
    </row>
    <row r="4" spans="1:16" s="2" customFormat="1" x14ac:dyDescent="0.25">
      <c r="A4" s="57" t="s">
        <v>2</v>
      </c>
      <c r="B4" s="57" t="s">
        <v>0</v>
      </c>
      <c r="C4" s="59" t="s">
        <v>13</v>
      </c>
      <c r="D4" s="59" t="s">
        <v>6</v>
      </c>
      <c r="E4" s="61" t="s">
        <v>4</v>
      </c>
      <c r="F4" s="62"/>
      <c r="G4" s="62"/>
      <c r="H4" s="62"/>
      <c r="I4" s="62"/>
      <c r="J4" s="63"/>
      <c r="K4" s="64" t="s">
        <v>7</v>
      </c>
      <c r="L4" s="59"/>
      <c r="O4" s="31"/>
      <c r="P4" s="31"/>
    </row>
    <row r="5" spans="1:16" s="2" customFormat="1" x14ac:dyDescent="0.25">
      <c r="A5" s="58"/>
      <c r="B5" s="58"/>
      <c r="C5" s="60"/>
      <c r="D5" s="60"/>
      <c r="E5" s="9" t="s">
        <v>1</v>
      </c>
      <c r="F5" s="10" t="s">
        <v>3</v>
      </c>
      <c r="G5" s="10" t="s">
        <v>9</v>
      </c>
      <c r="H5" s="11" t="s">
        <v>8</v>
      </c>
      <c r="I5" s="9" t="s">
        <v>9</v>
      </c>
      <c r="J5" s="10" t="s">
        <v>10</v>
      </c>
      <c r="K5" s="3" t="s">
        <v>12</v>
      </c>
      <c r="L5" s="3" t="s">
        <v>11</v>
      </c>
    </row>
    <row r="6" spans="1:16" x14ac:dyDescent="0.25">
      <c r="A6" s="25" t="s">
        <v>14</v>
      </c>
      <c r="B6" s="12"/>
      <c r="C6" s="22">
        <v>40798</v>
      </c>
      <c r="D6" s="14">
        <v>100000</v>
      </c>
      <c r="E6" s="15"/>
      <c r="F6" s="16"/>
      <c r="G6" s="17"/>
      <c r="H6" s="18"/>
      <c r="I6" s="36"/>
      <c r="J6" s="17"/>
      <c r="K6" s="19"/>
      <c r="L6" s="19"/>
    </row>
    <row r="7" spans="1:16" x14ac:dyDescent="0.25">
      <c r="A7" s="26"/>
      <c r="B7" s="4"/>
      <c r="C7" s="13"/>
      <c r="D7" s="14"/>
      <c r="E7" s="20">
        <v>80000</v>
      </c>
      <c r="F7" s="24">
        <v>1</v>
      </c>
      <c r="G7" s="22"/>
      <c r="H7" s="20">
        <v>80000</v>
      </c>
      <c r="I7" s="22">
        <v>40925</v>
      </c>
      <c r="J7" s="4"/>
      <c r="K7" s="35">
        <f>+IF(G7="",0,E7-H7)</f>
        <v>0</v>
      </c>
      <c r="L7" s="35">
        <f>IF(G7="",E7-H7,0)</f>
        <v>0</v>
      </c>
      <c r="N7" s="21"/>
      <c r="O7" s="21"/>
    </row>
    <row r="8" spans="1:16" x14ac:dyDescent="0.25">
      <c r="A8" s="25"/>
      <c r="B8" s="4"/>
      <c r="C8" s="13"/>
      <c r="D8" s="14"/>
      <c r="E8" s="20">
        <v>20000</v>
      </c>
      <c r="F8" s="24">
        <v>2</v>
      </c>
      <c r="G8" s="13"/>
      <c r="H8" s="21"/>
      <c r="I8" s="22"/>
      <c r="J8" s="4"/>
      <c r="K8" s="35">
        <f t="shared" ref="K8:K14" si="0">+IF(G8="",0,E8-H8)</f>
        <v>0</v>
      </c>
      <c r="L8" s="35">
        <f t="shared" ref="L8:L14" si="1">IF(G8="",E8-H8,0)</f>
        <v>20000</v>
      </c>
      <c r="N8" s="21"/>
      <c r="O8" s="21"/>
    </row>
    <row r="9" spans="1:16" x14ac:dyDescent="0.25">
      <c r="A9" s="25" t="s">
        <v>15</v>
      </c>
      <c r="B9" s="32"/>
      <c r="C9" s="13"/>
      <c r="D9" s="14">
        <v>100000</v>
      </c>
      <c r="E9" s="20"/>
      <c r="F9" s="24"/>
      <c r="G9" s="13"/>
      <c r="H9" s="21"/>
      <c r="I9" s="22"/>
      <c r="J9" s="4"/>
      <c r="K9" s="35">
        <f t="shared" si="0"/>
        <v>0</v>
      </c>
      <c r="L9" s="35">
        <f t="shared" si="1"/>
        <v>0</v>
      </c>
    </row>
    <row r="10" spans="1:16" x14ac:dyDescent="0.25">
      <c r="A10" s="26"/>
      <c r="B10" s="32"/>
      <c r="C10" s="13"/>
      <c r="D10" s="14"/>
      <c r="E10" s="20">
        <v>50000</v>
      </c>
      <c r="F10" s="24">
        <v>1</v>
      </c>
      <c r="G10" s="13">
        <v>41729</v>
      </c>
      <c r="H10" s="20">
        <v>50000</v>
      </c>
      <c r="I10" s="22">
        <v>41829</v>
      </c>
      <c r="J10" s="4"/>
      <c r="K10" s="35">
        <f t="shared" si="0"/>
        <v>0</v>
      </c>
      <c r="L10" s="35">
        <f t="shared" si="1"/>
        <v>0</v>
      </c>
    </row>
    <row r="11" spans="1:16" x14ac:dyDescent="0.25">
      <c r="A11" s="26"/>
      <c r="B11" s="32"/>
      <c r="C11" s="13"/>
      <c r="D11" s="14"/>
      <c r="E11" s="20">
        <v>50000</v>
      </c>
      <c r="F11" s="24">
        <v>2</v>
      </c>
      <c r="G11" s="13"/>
      <c r="H11" s="21"/>
      <c r="I11" s="22"/>
      <c r="J11" s="4"/>
      <c r="K11" s="35">
        <f t="shared" si="0"/>
        <v>0</v>
      </c>
      <c r="L11" s="35">
        <f t="shared" si="1"/>
        <v>50000</v>
      </c>
    </row>
    <row r="12" spans="1:16" x14ac:dyDescent="0.25">
      <c r="A12" s="25" t="s">
        <v>5</v>
      </c>
      <c r="B12" s="32"/>
      <c r="C12" s="13"/>
      <c r="D12" s="14">
        <v>100000</v>
      </c>
      <c r="E12" s="20"/>
      <c r="F12" s="24"/>
      <c r="G12" s="13"/>
      <c r="H12" s="21"/>
      <c r="I12" s="22"/>
      <c r="J12" s="4"/>
      <c r="K12" s="35">
        <f t="shared" si="0"/>
        <v>0</v>
      </c>
      <c r="L12" s="35">
        <f t="shared" si="1"/>
        <v>0</v>
      </c>
    </row>
    <row r="13" spans="1:16" x14ac:dyDescent="0.25">
      <c r="A13" s="26"/>
      <c r="B13" s="32"/>
      <c r="C13" s="13"/>
      <c r="D13" s="14"/>
      <c r="E13" s="20">
        <v>50000</v>
      </c>
      <c r="F13" s="24">
        <v>1</v>
      </c>
      <c r="G13" s="13">
        <v>41729</v>
      </c>
      <c r="H13" s="21">
        <v>50000</v>
      </c>
      <c r="I13" s="22">
        <v>41829</v>
      </c>
      <c r="J13" s="4"/>
      <c r="K13" s="35">
        <f t="shared" si="0"/>
        <v>0</v>
      </c>
      <c r="L13" s="35">
        <f t="shared" si="1"/>
        <v>0</v>
      </c>
    </row>
    <row r="14" spans="1:16" x14ac:dyDescent="0.25">
      <c r="A14" s="26"/>
      <c r="B14" s="32"/>
      <c r="C14" s="13"/>
      <c r="D14" s="14"/>
      <c r="E14" s="20">
        <v>50000</v>
      </c>
      <c r="F14" s="24">
        <v>2</v>
      </c>
      <c r="G14" s="13"/>
      <c r="H14" s="21"/>
      <c r="I14" s="22"/>
      <c r="J14" s="4"/>
      <c r="K14" s="35">
        <f t="shared" si="0"/>
        <v>0</v>
      </c>
      <c r="L14" s="35">
        <f t="shared" si="1"/>
        <v>50000</v>
      </c>
    </row>
    <row r="15" spans="1:16" s="7" customFormat="1" x14ac:dyDescent="0.25">
      <c r="A15" s="27"/>
      <c r="B15" s="27"/>
      <c r="C15" s="27"/>
      <c r="D15" s="23">
        <f>SUM(D6:D14)</f>
        <v>300000</v>
      </c>
      <c r="E15" s="23">
        <f>SUM(E6:E14)</f>
        <v>300000</v>
      </c>
      <c r="F15" s="28"/>
      <c r="G15" s="27"/>
      <c r="H15" s="23">
        <f>SUM(H6:H14)</f>
        <v>180000</v>
      </c>
      <c r="I15" s="27"/>
      <c r="J15" s="27"/>
      <c r="K15" s="23">
        <f>SUM(K6:K14)</f>
        <v>0</v>
      </c>
      <c r="L15" s="23">
        <f>SUM(L6:L14)</f>
        <v>120000</v>
      </c>
      <c r="N15" s="18"/>
      <c r="O15" s="18"/>
    </row>
    <row r="16" spans="1:16" x14ac:dyDescent="0.25">
      <c r="A16" s="33"/>
      <c r="B16" s="34"/>
      <c r="C16" s="34"/>
      <c r="D16" s="34"/>
      <c r="E16" s="34"/>
      <c r="F16" s="33"/>
      <c r="G16" s="34"/>
      <c r="H16" s="34"/>
      <c r="I16" s="34"/>
      <c r="J16" s="29"/>
      <c r="K16" s="65">
        <f>SUM(K15:L15)</f>
        <v>120000</v>
      </c>
      <c r="L16" s="66"/>
    </row>
  </sheetData>
  <mergeCells count="8">
    <mergeCell ref="K16:L16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Appels de fonds</vt:lpstr>
      <vt:lpstr>Liste des subventions</vt:lpstr>
      <vt:lpstr>CILGERE</vt:lpstr>
      <vt:lpstr>Date_jour</vt:lpstr>
    </vt:vector>
  </TitlesOfParts>
  <Company>SODEGIS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Nathalie BLANDINO</cp:lastModifiedBy>
  <cp:lastPrinted>2022-06-16T10:31:10Z</cp:lastPrinted>
  <dcterms:created xsi:type="dcterms:W3CDTF">2011-03-18T06:22:23Z</dcterms:created>
  <dcterms:modified xsi:type="dcterms:W3CDTF">2022-08-20T10:17:24Z</dcterms:modified>
</cp:coreProperties>
</file>