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7CF3C256-2FC3-4C66-B8C5-1F7546E35F96}" xr6:coauthVersionLast="47" xr6:coauthVersionMax="47" xr10:uidLastSave="{00000000-0000-0000-0000-000000000000}"/>
  <bookViews>
    <workbookView xWindow="-108" yWindow="-108" windowWidth="23256" windowHeight="12576" xr2:uid="{F8531D92-C60A-42E0-AFC9-CE174C85E8D9}"/>
  </bookViews>
  <sheets>
    <sheet name="Données initiales" sheetId="1" r:id="rId1"/>
  </sheets>
  <externalReferences>
    <externalReference r:id="rId2"/>
    <externalReference r:id="rId3"/>
  </externalReferences>
  <definedNames>
    <definedName name="_xlnm._FilterDatabase" localSheetId="0" hidden="1">'Données initiales'!$A$1:$AB$11</definedName>
    <definedName name="Communes">[1]Listes!$D$1:$D$14</definedName>
    <definedName name="Delib">[2]Données!$H$2:$H$43</definedName>
    <definedName name="Garant">[2]Données!$B$2:$B$43</definedName>
    <definedName name="Liste_Ass">[1]Listes!$B$1:$B$7</definedName>
    <definedName name="Moyenne">[2]Données!$K$2:$K$43</definedName>
    <definedName name="Phases">[1]Listes!$C$1:$C$15</definedName>
    <definedName name="_xlnm.Print_Area" localSheetId="0">'Données initiales'!$A$1:$AA$107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1" l="1"/>
  <c r="E12" i="1"/>
  <c r="D12" i="1"/>
  <c r="B12" i="1"/>
  <c r="U7" i="1"/>
  <c r="T7" i="1"/>
  <c r="P7" i="1"/>
  <c r="S7" i="1" s="1"/>
  <c r="AB7" i="1" s="1"/>
  <c r="J7" i="1"/>
  <c r="K7" i="1" s="1"/>
  <c r="C7" i="1"/>
  <c r="U6" i="1"/>
  <c r="T6" i="1"/>
  <c r="P6" i="1"/>
  <c r="R6" i="1" s="1"/>
  <c r="J6" i="1"/>
  <c r="K6" i="1" s="1"/>
  <c r="C6" i="1"/>
  <c r="U2" i="1"/>
  <c r="T2" i="1"/>
  <c r="P2" i="1"/>
  <c r="S2" i="1" s="1"/>
  <c r="AB2" i="1" s="1"/>
  <c r="M2" i="1"/>
  <c r="J2" i="1"/>
  <c r="L2" i="1" s="1"/>
  <c r="I2" i="1"/>
  <c r="C2" i="1"/>
  <c r="U10" i="1"/>
  <c r="T10" i="1"/>
  <c r="P10" i="1"/>
  <c r="S10" i="1" s="1"/>
  <c r="J10" i="1"/>
  <c r="K10" i="1" s="1"/>
  <c r="C10" i="1"/>
  <c r="U9" i="1"/>
  <c r="T9" i="1"/>
  <c r="P9" i="1"/>
  <c r="R9" i="1" s="1"/>
  <c r="J9" i="1"/>
  <c r="K9" i="1" s="1"/>
  <c r="C9" i="1"/>
  <c r="U5" i="1"/>
  <c r="T5" i="1"/>
  <c r="P5" i="1"/>
  <c r="M5" i="1"/>
  <c r="L5" i="1"/>
  <c r="I5" i="1"/>
  <c r="C5" i="1"/>
  <c r="U11" i="1"/>
  <c r="T11" i="1"/>
  <c r="P11" i="1"/>
  <c r="J11" i="1"/>
  <c r="K11" i="1" s="1"/>
  <c r="C11" i="1"/>
  <c r="U4" i="1"/>
  <c r="T4" i="1"/>
  <c r="P4" i="1"/>
  <c r="S4" i="1" s="1"/>
  <c r="AB4" i="1" s="1"/>
  <c r="J4" i="1"/>
  <c r="K4" i="1" s="1"/>
  <c r="C4" i="1"/>
  <c r="U3" i="1"/>
  <c r="T3" i="1"/>
  <c r="P3" i="1"/>
  <c r="R3" i="1" s="1"/>
  <c r="J3" i="1"/>
  <c r="K3" i="1" s="1"/>
  <c r="C3" i="1"/>
  <c r="U8" i="1"/>
  <c r="T8" i="1"/>
  <c r="S8" i="1"/>
  <c r="AB8" i="1" s="1"/>
  <c r="R8" i="1"/>
  <c r="M8" i="1"/>
  <c r="J8" i="1"/>
  <c r="L8" i="1" s="1"/>
  <c r="I8" i="1"/>
  <c r="C8" i="1"/>
  <c r="W10" i="1" l="1"/>
  <c r="W3" i="1"/>
  <c r="AA8" i="1"/>
  <c r="M4" i="1"/>
  <c r="W6" i="1"/>
  <c r="W7" i="1"/>
  <c r="W8" i="1"/>
  <c r="W5" i="1"/>
  <c r="I3" i="1"/>
  <c r="L11" i="1"/>
  <c r="I11" i="1"/>
  <c r="R11" i="1"/>
  <c r="S11" i="1"/>
  <c r="AB11" i="1" s="1"/>
  <c r="R5" i="1"/>
  <c r="S5" i="1"/>
  <c r="AB5" i="1" s="1"/>
  <c r="W2" i="1"/>
  <c r="W9" i="1"/>
  <c r="S3" i="1"/>
  <c r="AA3" i="1" s="1"/>
  <c r="W4" i="1"/>
  <c r="R2" i="1"/>
  <c r="AA4" i="1"/>
  <c r="C12" i="1"/>
  <c r="M11" i="1"/>
  <c r="M9" i="1"/>
  <c r="L9" i="1"/>
  <c r="I9" i="1"/>
  <c r="L3" i="1"/>
  <c r="M3" i="1"/>
  <c r="I10" i="1"/>
  <c r="M10" i="1"/>
  <c r="L10" i="1"/>
  <c r="W11" i="1"/>
  <c r="AB10" i="1"/>
  <c r="AA10" i="1"/>
  <c r="L6" i="1"/>
  <c r="I6" i="1"/>
  <c r="M6" i="1"/>
  <c r="I4" i="1"/>
  <c r="R4" i="1"/>
  <c r="S9" i="1"/>
  <c r="R10" i="1"/>
  <c r="S6" i="1"/>
  <c r="AA7" i="1"/>
  <c r="L4" i="1"/>
  <c r="M7" i="1"/>
  <c r="I7" i="1"/>
  <c r="L7" i="1"/>
  <c r="AA2" i="1"/>
  <c r="R7" i="1"/>
  <c r="AB3" i="1" l="1"/>
  <c r="AA5" i="1"/>
  <c r="AA11" i="1"/>
  <c r="AB6" i="1"/>
  <c r="AA6" i="1"/>
  <c r="AB9" i="1"/>
  <c r="AA9" i="1"/>
  <c r="L12" i="1" l="1"/>
  <c r="AA12" i="1"/>
  <c r="AB12" i="1"/>
  <c r="R12" i="1" l="1"/>
  <c r="W12" i="1"/>
</calcChain>
</file>

<file path=xl/sharedStrings.xml><?xml version="1.0" encoding="utf-8"?>
<sst xmlns="http://schemas.openxmlformats.org/spreadsheetml/2006/main" count="49" uniqueCount="39">
  <si>
    <t>OPERATION</t>
  </si>
  <si>
    <t>TYPE</t>
  </si>
  <si>
    <t>N</t>
  </si>
  <si>
    <t>LLS</t>
  </si>
  <si>
    <t>LLTS</t>
  </si>
  <si>
    <t>PLS</t>
  </si>
  <si>
    <t>OS démarrage</t>
  </si>
  <si>
    <t>Délai chantier initial</t>
  </si>
  <si>
    <t>Délai chantier réel</t>
  </si>
  <si>
    <t>Date réception entreprise prévue initialement</t>
  </si>
  <si>
    <t>Date réception entreprise recalée</t>
  </si>
  <si>
    <t>Retard de réception</t>
  </si>
  <si>
    <t>Mois restant avant réception</t>
  </si>
  <si>
    <t>Date achèvement VEFA</t>
  </si>
  <si>
    <t>Date Livraison initiale VEFA</t>
  </si>
  <si>
    <t>Date livraison contractuelle y/c avenant</t>
  </si>
  <si>
    <t>Date Livraison VEFA estimée avec retards constatés</t>
  </si>
  <si>
    <t>Retard livraison VEFA (mois)</t>
  </si>
  <si>
    <t>Retard livraison VEFA (jour)</t>
  </si>
  <si>
    <t>Date inauguration initiale</t>
  </si>
  <si>
    <t>Date inauguration recalée</t>
  </si>
  <si>
    <t>Année Inauguration</t>
  </si>
  <si>
    <t>Retard Inauguration (m)</t>
  </si>
  <si>
    <t>Montant pénalité /j &lt; 30 j</t>
  </si>
  <si>
    <t>Montant pénalité /j  &gt; 31 j</t>
  </si>
  <si>
    <t>PENALITES/0-30 jours</t>
  </si>
  <si>
    <t>PENALITES/+ 31 jours</t>
  </si>
  <si>
    <t>Total</t>
  </si>
  <si>
    <t xml:space="preserve">Z </t>
  </si>
  <si>
    <t>B</t>
  </si>
  <si>
    <t>C</t>
  </si>
  <si>
    <t>D</t>
  </si>
  <si>
    <t>E</t>
  </si>
  <si>
    <t>F</t>
  </si>
  <si>
    <t>G</t>
  </si>
  <si>
    <t>H</t>
  </si>
  <si>
    <t>I</t>
  </si>
  <si>
    <t xml:space="preserve">A </t>
  </si>
  <si>
    <t>PRIX VEFA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</si>
</sst>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/mm/yy;@"/>
    <numFmt numFmtId="166" formatCode="_-* #,##0\ _€_-;\-* #,##0\ _€_-;_-* &quot;-&quot;??\ _€_-;_-@_-"/>
    <numFmt numFmtId="167" formatCode="#,##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9"/>
      <name val="Verdana"/>
      <family val="2"/>
    </font>
    <font>
      <b/>
      <sz val="12"/>
      <color theme="0"/>
      <name val="Verdana"/>
      <family val="2"/>
    </font>
    <font>
      <b/>
      <i/>
      <sz val="12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thin">
        <color auto="1"/>
      </left>
      <right style="medium">
        <color rgb="FFFF0000"/>
      </right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auto="1"/>
      </left>
      <right style="medium">
        <color rgb="FFFF0000"/>
      </right>
      <top/>
      <bottom/>
      <diagonal/>
    </border>
    <border>
      <left style="medium">
        <color rgb="FFFF0000"/>
      </left>
      <right style="thick">
        <color rgb="FF00B050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4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5" fontId="8" fillId="4" borderId="2" xfId="2" applyNumberFormat="1" applyFont="1" applyFill="1" applyBorder="1" applyAlignment="1">
      <alignment horizontal="center" vertical="center" wrapText="1"/>
    </xf>
    <xf numFmtId="0" fontId="4" fillId="6" borderId="3" xfId="1" applyNumberFormat="1" applyFont="1" applyFill="1" applyBorder="1" applyAlignment="1">
      <alignment horizontal="center" vertical="center" wrapText="1"/>
    </xf>
    <xf numFmtId="1" fontId="4" fillId="6" borderId="1" xfId="1" applyNumberFormat="1" applyFont="1" applyFill="1" applyBorder="1" applyAlignment="1">
      <alignment horizontal="center" vertical="center" wrapText="1"/>
    </xf>
    <xf numFmtId="0" fontId="4" fillId="6" borderId="1" xfId="1" applyNumberFormat="1" applyFont="1" applyFill="1" applyBorder="1" applyAlignment="1">
      <alignment horizontal="center" vertical="center" wrapText="1"/>
    </xf>
    <xf numFmtId="165" fontId="6" fillId="4" borderId="0" xfId="2" applyNumberFormat="1" applyFont="1" applyFill="1" applyAlignment="1">
      <alignment horizontal="center" vertical="center" wrapText="1"/>
    </xf>
    <xf numFmtId="165" fontId="7" fillId="4" borderId="2" xfId="2" applyNumberFormat="1" applyFont="1" applyFill="1" applyBorder="1" applyAlignment="1">
      <alignment horizontal="center" vertical="center" wrapText="1"/>
    </xf>
    <xf numFmtId="0" fontId="4" fillId="5" borderId="4" xfId="1" applyNumberFormat="1" applyFont="1" applyFill="1" applyBorder="1" applyAlignment="1">
      <alignment horizontal="center" vertical="center" wrapText="1"/>
    </xf>
    <xf numFmtId="165" fontId="7" fillId="7" borderId="5" xfId="2" applyNumberFormat="1" applyFont="1" applyFill="1" applyBorder="1" applyAlignment="1">
      <alignment horizontal="center" vertical="center" wrapText="1"/>
    </xf>
    <xf numFmtId="1" fontId="4" fillId="8" borderId="6" xfId="1" applyNumberFormat="1" applyFont="1" applyFill="1" applyBorder="1" applyAlignment="1">
      <alignment horizontal="center" vertical="center" wrapText="1"/>
    </xf>
    <xf numFmtId="165" fontId="6" fillId="4" borderId="7" xfId="2" applyNumberFormat="1" applyFont="1" applyFill="1" applyBorder="1" applyAlignment="1">
      <alignment horizontal="center" vertical="center" wrapText="1"/>
    </xf>
    <xf numFmtId="165" fontId="6" fillId="4" borderId="8" xfId="2" applyNumberFormat="1" applyFont="1" applyFill="1" applyBorder="1" applyAlignment="1">
      <alignment horizontal="center" vertical="center" wrapText="1"/>
    </xf>
    <xf numFmtId="3" fontId="4" fillId="5" borderId="9" xfId="1" applyNumberFormat="1" applyFont="1" applyFill="1" applyBorder="1" applyAlignment="1">
      <alignment horizontal="center" vertical="center" wrapText="1"/>
    </xf>
    <xf numFmtId="1" fontId="4" fillId="8" borderId="0" xfId="1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5" fontId="10" fillId="10" borderId="1" xfId="0" applyNumberFormat="1" applyFont="1" applyFill="1" applyBorder="1" applyAlignment="1">
      <alignment horizontal="center" vertical="center"/>
    </xf>
    <xf numFmtId="165" fontId="10" fillId="10" borderId="10" xfId="0" applyNumberFormat="1" applyFont="1" applyFill="1" applyBorder="1" applyAlignment="1">
      <alignment horizontal="center" vertical="center"/>
    </xf>
    <xf numFmtId="1" fontId="10" fillId="10" borderId="1" xfId="0" applyNumberFormat="1" applyFont="1" applyFill="1" applyBorder="1" applyAlignment="1">
      <alignment horizontal="center" vertical="center"/>
    </xf>
    <xf numFmtId="3" fontId="2" fillId="9" borderId="13" xfId="1" applyNumberFormat="1" applyFont="1" applyFill="1" applyBorder="1" applyAlignment="1">
      <alignment horizontal="center" vertical="center"/>
    </xf>
    <xf numFmtId="1" fontId="2" fillId="9" borderId="13" xfId="1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" fontId="11" fillId="2" borderId="1" xfId="1" applyNumberFormat="1" applyFont="1" applyFill="1" applyBorder="1" applyAlignment="1">
      <alignment horizontal="center" vertical="center"/>
    </xf>
    <xf numFmtId="165" fontId="2" fillId="12" borderId="4" xfId="0" applyNumberFormat="1" applyFont="1" applyFill="1" applyBorder="1" applyAlignment="1">
      <alignment horizontal="center" vertical="center"/>
    </xf>
    <xf numFmtId="165" fontId="2" fillId="12" borderId="11" xfId="1" applyNumberFormat="1" applyFont="1" applyFill="1" applyBorder="1" applyAlignment="1">
      <alignment horizontal="center" vertical="center"/>
    </xf>
    <xf numFmtId="1" fontId="11" fillId="13" borderId="12" xfId="1" applyNumberFormat="1" applyFont="1" applyFill="1" applyBorder="1" applyAlignment="1">
      <alignment horizontal="center" vertical="center"/>
    </xf>
    <xf numFmtId="1" fontId="11" fillId="13" borderId="10" xfId="1" applyNumberFormat="1" applyFont="1" applyFill="1" applyBorder="1" applyAlignment="1">
      <alignment horizontal="center" vertical="center"/>
    </xf>
    <xf numFmtId="165" fontId="2" fillId="12" borderId="14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7" fontId="10" fillId="13" borderId="9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65" fontId="10" fillId="10" borderId="11" xfId="0" applyNumberFormat="1" applyFont="1" applyFill="1" applyBorder="1" applyAlignment="1">
      <alignment horizontal="center" vertical="center"/>
    </xf>
    <xf numFmtId="165" fontId="2" fillId="10" borderId="13" xfId="1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65" fontId="2" fillId="12" borderId="4" xfId="1" applyNumberFormat="1" applyFont="1" applyFill="1" applyBorder="1" applyAlignment="1">
      <alignment horizontal="center" vertical="center"/>
    </xf>
    <xf numFmtId="165" fontId="2" fillId="9" borderId="13" xfId="1" applyNumberFormat="1" applyFont="1" applyFill="1" applyBorder="1" applyAlignment="1">
      <alignment horizontal="center" vertical="center"/>
    </xf>
    <xf numFmtId="1" fontId="2" fillId="0" borderId="1" xfId="1" applyNumberFormat="1" applyFont="1" applyFill="1" applyBorder="1" applyAlignment="1">
      <alignment horizontal="center" vertical="center"/>
    </xf>
    <xf numFmtId="165" fontId="10" fillId="9" borderId="13" xfId="1" applyNumberFormat="1" applyFont="1" applyFill="1" applyBorder="1" applyAlignment="1">
      <alignment horizontal="center" vertical="center"/>
    </xf>
    <xf numFmtId="3" fontId="2" fillId="9" borderId="4" xfId="1" applyNumberFormat="1" applyFont="1" applyFill="1" applyBorder="1" applyAlignment="1">
      <alignment horizontal="center" vertical="center"/>
    </xf>
    <xf numFmtId="3" fontId="2" fillId="10" borderId="13" xfId="1" applyNumberFormat="1" applyFont="1" applyFill="1" applyBorder="1" applyAlignment="1">
      <alignment horizontal="center" vertical="center"/>
    </xf>
    <xf numFmtId="14" fontId="10" fillId="10" borderId="11" xfId="0" applyNumberFormat="1" applyFont="1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 wrapText="1"/>
    </xf>
    <xf numFmtId="0" fontId="3" fillId="14" borderId="15" xfId="0" applyFont="1" applyFill="1" applyBorder="1" applyAlignment="1">
      <alignment horizontal="center" vertical="center"/>
    </xf>
    <xf numFmtId="166" fontId="3" fillId="14" borderId="15" xfId="0" applyNumberFormat="1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2" fillId="14" borderId="15" xfId="0" applyFont="1" applyFill="1" applyBorder="1" applyAlignment="1">
      <alignment horizontal="center" vertical="center"/>
    </xf>
    <xf numFmtId="0" fontId="11" fillId="14" borderId="15" xfId="0" applyFont="1" applyFill="1" applyBorder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4" borderId="17" xfId="0" applyFont="1" applyFill="1" applyBorder="1" applyAlignment="1">
      <alignment horizontal="center" vertical="center"/>
    </xf>
    <xf numFmtId="1" fontId="2" fillId="14" borderId="19" xfId="0" applyNumberFormat="1" applyFont="1" applyFill="1" applyBorder="1" applyAlignment="1">
      <alignment horizontal="center" vertical="center"/>
    </xf>
    <xf numFmtId="0" fontId="2" fillId="14" borderId="18" xfId="0" applyFont="1" applyFill="1" applyBorder="1" applyAlignment="1">
      <alignment horizontal="center" vertical="center"/>
    </xf>
    <xf numFmtId="0" fontId="2" fillId="14" borderId="20" xfId="0" applyFont="1" applyFill="1" applyBorder="1" applyAlignment="1">
      <alignment horizontal="center" vertical="center"/>
    </xf>
    <xf numFmtId="1" fontId="2" fillId="14" borderId="20" xfId="0" applyNumberFormat="1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167" fontId="10" fillId="14" borderId="2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3" fontId="9" fillId="2" borderId="0" xfId="0" applyNumberFormat="1" applyFont="1" applyFill="1" applyAlignment="1">
      <alignment horizontal="center" vertical="center" wrapText="1"/>
    </xf>
    <xf numFmtId="3" fontId="2" fillId="9" borderId="6" xfId="1" applyNumberFormat="1" applyFont="1" applyFill="1" applyBorder="1" applyAlignment="1">
      <alignment horizontal="center" vertical="center"/>
    </xf>
    <xf numFmtId="3" fontId="2" fillId="9" borderId="0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3" fontId="4" fillId="5" borderId="0" xfId="1" applyNumberFormat="1" applyFont="1" applyFill="1" applyBorder="1" applyAlignment="1">
      <alignment horizontal="center" vertical="center" wrapText="1"/>
    </xf>
    <xf numFmtId="167" fontId="10" fillId="13" borderId="4" xfId="1" applyNumberFormat="1" applyFont="1" applyFill="1" applyBorder="1" applyAlignment="1">
      <alignment horizontal="center" vertical="center"/>
    </xf>
    <xf numFmtId="167" fontId="10" fillId="13" borderId="0" xfId="1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 xr:uid="{572A6A37-38EE-4211-8A5A-21406D14FC6C}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thick">
          <color rgb="FF00B05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thick">
          <color rgb="FF00B05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right style="thin">
          <color indexed="64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3.%20TABLEAUX%20DE%20BORD\Tableau%20de%20bord%20NBL\Tableau%20de%20bord%20g&#233;n&#233;ra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1.%20FINANCEMENTS\CDC\Suivi%20des%20garant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Etude foncier"/>
      <sheetName val="Données initiales"/>
      <sheetName val="Evolution des OS"/>
      <sheetName val="Evolution des livraisons réelle"/>
      <sheetName val="STAT NEUF SILOGIA"/>
      <sheetName val="Structure PRP"/>
      <sheetName val="STAT REHAB SILOGIA"/>
      <sheetName val="Analyse rapide par année"/>
      <sheetName val="Listes"/>
      <sheetName val="Structure plan financement"/>
      <sheetName val="Evolution LBU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B1" t="str">
            <v>DBA</v>
          </cell>
          <cell r="C1" t="str">
            <v>Prosp</v>
          </cell>
          <cell r="D1" t="str">
            <v>Avirons</v>
          </cell>
        </row>
        <row r="2">
          <cell r="B2" t="str">
            <v>DBE</v>
          </cell>
          <cell r="C2" t="str">
            <v>Faisa</v>
          </cell>
          <cell r="D2" t="str">
            <v>Cilaos</v>
          </cell>
        </row>
        <row r="3">
          <cell r="B3" t="str">
            <v>ECL</v>
          </cell>
          <cell r="C3" t="str">
            <v>Etude urbaine</v>
          </cell>
          <cell r="D3" t="str">
            <v>Entre-Deux</v>
          </cell>
        </row>
        <row r="4">
          <cell r="B4" t="str">
            <v>MMA</v>
          </cell>
          <cell r="C4" t="str">
            <v>ESQ</v>
          </cell>
          <cell r="D4" t="str">
            <v>Etang-Salé</v>
          </cell>
        </row>
        <row r="5">
          <cell r="B5" t="str">
            <v>NLE</v>
          </cell>
          <cell r="C5" t="str">
            <v>APS</v>
          </cell>
          <cell r="D5" t="str">
            <v>La Possession</v>
          </cell>
        </row>
        <row r="6">
          <cell r="B6" t="str">
            <v>SRI</v>
          </cell>
          <cell r="C6" t="str">
            <v>PC</v>
          </cell>
          <cell r="D6" t="str">
            <v>Petite-Ile</v>
          </cell>
        </row>
        <row r="7">
          <cell r="B7" t="str">
            <v>DAM</v>
          </cell>
          <cell r="C7" t="str">
            <v>APD</v>
          </cell>
          <cell r="D7" t="str">
            <v>St Joseph</v>
          </cell>
        </row>
        <row r="8">
          <cell r="C8" t="str">
            <v>PRO</v>
          </cell>
          <cell r="D8" t="str">
            <v>St Leu</v>
          </cell>
        </row>
        <row r="9">
          <cell r="C9" t="str">
            <v>DCE</v>
          </cell>
          <cell r="D9" t="str">
            <v>St Louis</v>
          </cell>
        </row>
        <row r="10">
          <cell r="C10" t="str">
            <v>AO</v>
          </cell>
          <cell r="D10" t="str">
            <v>St Paul</v>
          </cell>
        </row>
        <row r="11">
          <cell r="C11" t="str">
            <v>Tvx</v>
          </cell>
          <cell r="D11" t="str">
            <v>St Philippe</v>
          </cell>
        </row>
        <row r="12">
          <cell r="C12" t="str">
            <v>GPA</v>
          </cell>
          <cell r="D12" t="str">
            <v>St Pierre</v>
          </cell>
        </row>
        <row r="13">
          <cell r="C13" t="str">
            <v>patrimoine</v>
          </cell>
          <cell r="D13" t="str">
            <v>Tampon</v>
          </cell>
        </row>
        <row r="14">
          <cell r="C14" t="str">
            <v>cloture</v>
          </cell>
          <cell r="D14" t="str">
            <v>Trois Bassins</v>
          </cell>
        </row>
        <row r="15">
          <cell r="C15" t="str">
            <v>stand by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tatistiques"/>
      <sheetName val="Feuil1"/>
      <sheetName val="Renouvellement de composants"/>
    </sheetNames>
    <sheetDataSet>
      <sheetData sheetId="0">
        <row r="2">
          <cell r="B2" t="str">
            <v>CASUD</v>
          </cell>
          <cell r="H2">
            <v>43798</v>
          </cell>
          <cell r="K2">
            <v>1.0666666666666667</v>
          </cell>
        </row>
        <row r="3">
          <cell r="B3" t="str">
            <v>St Joseph</v>
          </cell>
          <cell r="H3">
            <v>44008</v>
          </cell>
          <cell r="K3">
            <v>7.2666666666666666</v>
          </cell>
        </row>
        <row r="4">
          <cell r="B4" t="str">
            <v>CASUD</v>
          </cell>
          <cell r="H4">
            <v>43651</v>
          </cell>
          <cell r="K4">
            <v>1.3</v>
          </cell>
        </row>
        <row r="5">
          <cell r="B5" t="str">
            <v>Le Tampon</v>
          </cell>
          <cell r="H5">
            <v>43764</v>
          </cell>
          <cell r="K5">
            <v>5.0666666666666664</v>
          </cell>
        </row>
        <row r="6">
          <cell r="B6" t="str">
            <v>CASUD</v>
          </cell>
          <cell r="H6">
            <v>43798</v>
          </cell>
          <cell r="K6">
            <v>1.0666666666666667</v>
          </cell>
        </row>
        <row r="7">
          <cell r="B7" t="str">
            <v>St Joseph</v>
          </cell>
          <cell r="H7">
            <v>44008</v>
          </cell>
          <cell r="K7">
            <v>7.2666666666666666</v>
          </cell>
        </row>
        <row r="8">
          <cell r="B8" t="str">
            <v>CASUD</v>
          </cell>
          <cell r="H8">
            <v>43546</v>
          </cell>
          <cell r="K8">
            <v>1.7333333333333334</v>
          </cell>
        </row>
        <row r="9">
          <cell r="B9" t="str">
            <v>St Joseph</v>
          </cell>
          <cell r="H9">
            <v>43553</v>
          </cell>
          <cell r="K9">
            <v>1.9666666666666666</v>
          </cell>
        </row>
        <row r="10">
          <cell r="B10" t="str">
            <v>CASUD</v>
          </cell>
          <cell r="H10">
            <v>43798</v>
          </cell>
          <cell r="K10">
            <v>1.0666666666666667</v>
          </cell>
        </row>
        <row r="11">
          <cell r="B11" t="str">
            <v>Entre-Deux</v>
          </cell>
          <cell r="H11">
            <v>43949</v>
          </cell>
          <cell r="K11">
            <v>5.3</v>
          </cell>
        </row>
        <row r="12">
          <cell r="B12" t="str">
            <v>CASUD</v>
          </cell>
          <cell r="H12">
            <v>43546</v>
          </cell>
          <cell r="K12">
            <v>1.7333333333333334</v>
          </cell>
        </row>
        <row r="13">
          <cell r="B13" t="str">
            <v>St Joseph</v>
          </cell>
          <cell r="H13">
            <v>43553</v>
          </cell>
          <cell r="K13">
            <v>1.9666666666666666</v>
          </cell>
        </row>
        <row r="14">
          <cell r="B14" t="str">
            <v>CASUD</v>
          </cell>
          <cell r="H14">
            <v>43798</v>
          </cell>
          <cell r="K14">
            <v>1.0666666666666667</v>
          </cell>
        </row>
        <row r="15">
          <cell r="B15" t="str">
            <v>St Joseph</v>
          </cell>
          <cell r="H15">
            <v>44008</v>
          </cell>
          <cell r="K15">
            <v>7.2666666666666666</v>
          </cell>
        </row>
        <row r="16">
          <cell r="B16" t="str">
            <v>CASUD</v>
          </cell>
          <cell r="H16">
            <v>43546</v>
          </cell>
          <cell r="K16">
            <v>1.7333333333333334</v>
          </cell>
        </row>
        <row r="17">
          <cell r="B17" t="str">
            <v>Entre-Deux</v>
          </cell>
          <cell r="H17">
            <v>43566</v>
          </cell>
          <cell r="K17">
            <v>2.4</v>
          </cell>
        </row>
        <row r="18">
          <cell r="B18" t="str">
            <v>CASUD</v>
          </cell>
          <cell r="H18"/>
          <cell r="K18" t="e">
            <v>#NUM!</v>
          </cell>
        </row>
        <row r="19">
          <cell r="B19" t="str">
            <v>ENTRE DEUX</v>
          </cell>
          <cell r="H19"/>
          <cell r="K19" t="e">
            <v>#NUM!</v>
          </cell>
        </row>
        <row r="20">
          <cell r="B20" t="str">
            <v>CASUD</v>
          </cell>
          <cell r="H20"/>
          <cell r="K20" t="e">
            <v>#NUM!</v>
          </cell>
        </row>
        <row r="21">
          <cell r="B21" t="str">
            <v>Le Tampon</v>
          </cell>
          <cell r="H21"/>
          <cell r="K21" t="e">
            <v>#NUM!</v>
          </cell>
        </row>
        <row r="22">
          <cell r="B22" t="str">
            <v>CASUD</v>
          </cell>
          <cell r="H22"/>
          <cell r="K22" t="e">
            <v>#NUM!</v>
          </cell>
        </row>
        <row r="23">
          <cell r="B23" t="str">
            <v>Le Tampon</v>
          </cell>
          <cell r="H23"/>
          <cell r="K23" t="e">
            <v>#NUM!</v>
          </cell>
        </row>
        <row r="24">
          <cell r="B24" t="str">
            <v>CASUD</v>
          </cell>
          <cell r="H24"/>
          <cell r="K24" t="e">
            <v>#NUM!</v>
          </cell>
        </row>
        <row r="25">
          <cell r="B25" t="str">
            <v>St Joseph</v>
          </cell>
          <cell r="H25"/>
          <cell r="K25" t="e">
            <v>#NUM!</v>
          </cell>
        </row>
        <row r="26">
          <cell r="B26" t="str">
            <v>CASUD</v>
          </cell>
          <cell r="H26"/>
          <cell r="K26" t="e">
            <v>#NUM!</v>
          </cell>
        </row>
        <row r="27">
          <cell r="B27" t="str">
            <v>St Joseph</v>
          </cell>
          <cell r="H27"/>
          <cell r="K27" t="e">
            <v>#NUM!</v>
          </cell>
        </row>
        <row r="28">
          <cell r="B28" t="str">
            <v>CASUD</v>
          </cell>
          <cell r="H28"/>
          <cell r="K28" t="e">
            <v>#NUM!</v>
          </cell>
        </row>
        <row r="29">
          <cell r="B29" t="str">
            <v>St Joseph</v>
          </cell>
          <cell r="H29"/>
          <cell r="K29" t="e">
            <v>#NUM!</v>
          </cell>
        </row>
        <row r="30">
          <cell r="B30" t="str">
            <v>CASUD</v>
          </cell>
          <cell r="H30"/>
          <cell r="K30" t="e">
            <v>#NUM!</v>
          </cell>
        </row>
        <row r="31">
          <cell r="B31" t="str">
            <v>St Joseph</v>
          </cell>
          <cell r="H31"/>
          <cell r="K31" t="e">
            <v>#NUM!</v>
          </cell>
        </row>
        <row r="32">
          <cell r="B32" t="str">
            <v>ENTRE DEUX</v>
          </cell>
          <cell r="H32">
            <v>44273</v>
          </cell>
          <cell r="K32">
            <v>1.8333333333333333</v>
          </cell>
        </row>
        <row r="33">
          <cell r="B33" t="str">
            <v>CASUD</v>
          </cell>
          <cell r="H33">
            <v>44253</v>
          </cell>
          <cell r="K33">
            <v>1.1666666666666667</v>
          </cell>
        </row>
        <row r="34">
          <cell r="B34" t="str">
            <v>CIVIS</v>
          </cell>
          <cell r="H34">
            <v>43818</v>
          </cell>
          <cell r="K34">
            <v>0.76666666666666672</v>
          </cell>
        </row>
        <row r="35">
          <cell r="B35" t="str">
            <v>St Louis</v>
          </cell>
          <cell r="H35">
            <v>44251</v>
          </cell>
          <cell r="K35">
            <v>3.9666666666666668</v>
          </cell>
        </row>
        <row r="36">
          <cell r="B36" t="str">
            <v>TCO</v>
          </cell>
          <cell r="H36">
            <v>44242</v>
          </cell>
          <cell r="K36">
            <v>3.6333333333333333</v>
          </cell>
        </row>
        <row r="37">
          <cell r="B37" t="str">
            <v>St Leu</v>
          </cell>
          <cell r="H37">
            <v>44280</v>
          </cell>
          <cell r="K37">
            <v>4.9000000000000004</v>
          </cell>
        </row>
        <row r="38">
          <cell r="B38" t="str">
            <v>TCO</v>
          </cell>
          <cell r="H38">
            <v>44242</v>
          </cell>
          <cell r="K38">
            <v>3.6333333333333333</v>
          </cell>
        </row>
        <row r="39">
          <cell r="B39" t="str">
            <v>Etang-Salé</v>
          </cell>
          <cell r="H39">
            <v>43545</v>
          </cell>
          <cell r="K39">
            <v>1.4333333333333333</v>
          </cell>
        </row>
        <row r="40">
          <cell r="B40" t="str">
            <v>Etang-Salé</v>
          </cell>
          <cell r="H40">
            <v>43755</v>
          </cell>
          <cell r="K40">
            <v>0.3</v>
          </cell>
        </row>
        <row r="41">
          <cell r="B41" t="str">
            <v>CASUD</v>
          </cell>
          <cell r="H41">
            <v>44299</v>
          </cell>
          <cell r="K41">
            <v>1.2</v>
          </cell>
        </row>
        <row r="42">
          <cell r="B42" t="str">
            <v>Le Tampon</v>
          </cell>
          <cell r="H42">
            <v>44310</v>
          </cell>
          <cell r="K42">
            <v>1.3</v>
          </cell>
        </row>
        <row r="43">
          <cell r="B43" t="str">
            <v>Le Tampon</v>
          </cell>
          <cell r="H43">
            <v>44226</v>
          </cell>
          <cell r="K43">
            <v>1.5333333333333334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26164-BAEE-4555-9507-25AA51505639}" name="Tableau6" displayName="Tableau6" ref="A1:AB12" totalsRowCount="1" headerRowDxfId="55" totalsRowDxfId="53" tableBorderDxfId="54" headerRowCellStyle="Milliers">
  <autoFilter ref="A1:AB11" xr:uid="{230A4BB6-FD3C-4E10-81EA-BF190C308BEE}"/>
  <tableColumns count="28">
    <tableColumn id="1" xr3:uid="{7F9A4601-5D6D-4E4C-91B1-2B7A77221DB1}" name="OPERATION" totalsRowLabel="Total" dataDxfId="52" totalsRowDxfId="27"/>
    <tableColumn id="29" xr3:uid="{E6186D9D-523B-4585-BFDC-44649923FB0D}" name="TYPE" totalsRowFunction="count" dataDxfId="51" totalsRowDxfId="26"/>
    <tableColumn id="30" xr3:uid="{9CB17F3B-6EC6-42DD-8240-B93731BC83C8}" name="N" totalsRowFunction="sum" dataDxfId="50" totalsRowDxfId="25"/>
    <tableColumn id="32" xr3:uid="{60F42B55-2449-4118-A633-1F40B23BE541}" name="LLS" totalsRowFunction="sum" totalsRowDxfId="24"/>
    <tableColumn id="33" xr3:uid="{A906A73F-F585-4CE7-A69C-6E32D425A1C5}" name="LLTS" totalsRowFunction="sum" totalsRowDxfId="23"/>
    <tableColumn id="34" xr3:uid="{550AD0D8-3DBC-408F-87A1-FA3692A85A51}" name="PLS" totalsRowFunction="sum" totalsRowDxfId="22"/>
    <tableColumn id="102" xr3:uid="{4256E4D8-33F8-4053-9227-0F1735FC9BD7}" name="OS démarrage" dataDxfId="49" totalsRowDxfId="21"/>
    <tableColumn id="106" xr3:uid="{D0A21B87-1C5B-4CF7-8122-A70F356EFB3F}" name="Délai chantier initial" dataDxfId="48" totalsRowDxfId="20"/>
    <tableColumn id="107" xr3:uid="{CCA52886-F313-435B-A1E5-A284E8C1BA09}" name="Délai chantier réel" dataDxfId="47" totalsRowDxfId="19">
      <calculatedColumnFormula>DATEDIF(G2,K2,"M")</calculatedColumnFormula>
    </tableColumn>
    <tableColumn id="132" xr3:uid="{6F990EC3-3A6D-4381-B492-F2ABD9F95CFF}" name="Date réception entreprise prévue initialement" dataDxfId="46" totalsRowDxfId="18">
      <calculatedColumnFormula>DATE(YEAR(G2),MONTH(G2)+H2,DAY(G2))</calculatedColumnFormula>
    </tableColumn>
    <tableColumn id="133" xr3:uid="{BF9D7E8E-4062-45F2-87CA-06D1ED63BFD0}" name="Date réception entreprise recalée" dataDxfId="45" totalsRowDxfId="17">
      <calculatedColumnFormula>DATE(YEAR(J2),MONTH(J2)+1,DAY(J2))</calculatedColumnFormula>
    </tableColumn>
    <tableColumn id="234" xr3:uid="{72ACB52C-3D87-49A6-BDC3-E491CC63E163}" name="Retard de réception" totalsRowFunction="average" dataDxfId="44" totalsRowDxfId="16">
      <calculatedColumnFormula>(K2-J2)/30</calculatedColumnFormula>
    </tableColumn>
    <tableColumn id="256" xr3:uid="{974CA33F-0720-4D78-98C0-4396FAFEEE58}" name="Mois restant avant réception" dataDxfId="43" totalsRowDxfId="15"/>
    <tableColumn id="254" xr3:uid="{4C80B106-1771-431A-AAC7-50640281DE84}" name="Date achèvement VEFA" dataDxfId="42" totalsRowDxfId="14"/>
    <tableColumn id="253" xr3:uid="{8655B954-9B2C-4BE9-99E1-9B8DBB5569B6}" name="Date Livraison initiale VEFA" dataDxfId="41" totalsRowDxfId="13"/>
    <tableColumn id="233" xr3:uid="{B14BAE21-3064-4C5B-933D-3F8EFAA7A0A1}" name="Date livraison contractuelle y/c avenant" dataDxfId="40" totalsRowDxfId="12" dataCellStyle="Milliers"/>
    <tableColumn id="258" xr3:uid="{BCAA4198-231F-4C5C-AF13-F84441F00AF8}" name="Date Livraison VEFA estimée avec retards constatés" dataDxfId="39" totalsRowDxfId="11" dataCellStyle="Milliers"/>
    <tableColumn id="255" xr3:uid="{E8F5289A-1399-4CAB-A090-E5BBE1F51AA7}" name="Retard livraison VEFA (mois)" totalsRowFunction="average" dataDxfId="38" totalsRowDxfId="10">
      <calculatedColumnFormula>(Tableau6[[#This Row],[Date inauguration recalée]]-O2)/30</calculatedColumnFormula>
    </tableColumn>
    <tableColumn id="257" xr3:uid="{BB796BF4-473E-4CE5-AB8A-BE36ACEED824}" name="Retard livraison VEFA (jour)" dataDxfId="37" totalsRowDxfId="9" dataCellStyle="Milliers">
      <calculatedColumnFormula>Tableau6[[#This Row],[Date Livraison VEFA estimée avec retards constatés]]-Tableau6[[#This Row],[Date livraison contractuelle y/c avenant]]</calculatedColumnFormula>
    </tableColumn>
    <tableColumn id="141" xr3:uid="{72296A3C-F8B6-42D0-978F-A39714971811}" name="Date inauguration initiale" dataDxfId="36" totalsRowDxfId="8">
      <calculatedColumnFormula>DATE(YEAR(J2),MONTH(J2)+1,DAY(J2))</calculatedColumnFormula>
    </tableColumn>
    <tableColumn id="142" xr3:uid="{7663B549-07E9-4C67-9875-3D949DC87D22}" name="Date inauguration recalée" dataDxfId="35" totalsRowDxfId="7">
      <calculatedColumnFormula>DATE(YEAR(K2),MONTH(K2)+1,DAY(K2))</calculatedColumnFormula>
    </tableColumn>
    <tableColumn id="143" xr3:uid="{F4EF38C1-BEB6-4364-8943-244533E398A3}" name="Année Inauguration" dataDxfId="34" totalsRowDxfId="6"/>
    <tableColumn id="144" xr3:uid="{0FAAE996-8BF0-420D-874E-014D4B2674A8}" name="Retard Inauguration (m)" totalsRowFunction="average" dataDxfId="33" totalsRowDxfId="5">
      <calculatedColumnFormula>(U2-T2)/30</calculatedColumnFormula>
    </tableColumn>
    <tableColumn id="2" xr3:uid="{D1C80591-5F21-4F01-AAEC-FBFFD7156439}" name="PRIX VEFA" dataDxfId="32" totalsRowDxfId="4" dataCellStyle="Milliers"/>
    <tableColumn id="260" xr3:uid="{83F371BA-A8BD-4F49-8FC1-393E45020389}" name="Montant pénalité /j &lt; 30 j" dataDxfId="31" totalsRowDxfId="3" dataCellStyle="Milliers"/>
    <tableColumn id="261" xr3:uid="{1FFD010D-6887-4F22-8263-291DF65F1BBB}" name="Montant pénalité /j  &gt; 31 j" dataDxfId="30" totalsRowDxfId="2" dataCellStyle="Milliers"/>
    <tableColumn id="259" xr3:uid="{8AA82343-BC83-4045-964C-1427A5715843}" name="PENALITES/0-30 jours" totalsRowFunction="sum" dataDxfId="29" totalsRowDxfId="1" dataCellStyle="Milliers">
      <calculatedColumnFormula>IF(Tableau6[[#This Row],[Retard livraison VEFA (jour)]]&lt;31,Tableau6[[#This Row],[Retard livraison VEFA (jour)]]*Tableau6[[#This Row],[Montant pénalité /j &lt; 30 j]],30*Tableau6[[#This Row],[Montant pénalité /j &lt; 30 j]])</calculatedColumnFormula>
    </tableColumn>
    <tableColumn id="262" xr3:uid="{5A63DA54-5B18-4F0D-8919-9C02FC7B413F}" name="PENALITES/+ 31 jours" totalsRowFunction="sum" dataDxfId="28" totalsRowDxfId="0" dataCellStyle="Milliers">
      <calculatedColumnFormula>IF(Tableau6[[#This Row],[Retard livraison VEFA (jour)]]&gt;30,(Tableau6[[#This Row],[Retard livraison VEFA (jour)]]-30)*Tableau6[[#This Row],[Montant pénalité /j  &gt; 31 j]],0)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O:\4%20-%20DOP\40%20-%20%20DOP%20G&#233;n&#233;ral\suivi%20d'activit&#233;\3.%20TABLEAUX%20DE%20BORD\Tableau%20de%20bord%20NBL\Tableau%20de%20bord%20g&#233;n&#233;ral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58AD3-21A9-4768-B78E-423F37F2DEC4}">
  <sheetPr codeName="Feuil4">
    <tabColor rgb="FF08E61D"/>
    <pageSetUpPr fitToPage="1"/>
  </sheetPr>
  <dimension ref="A1:ACA178"/>
  <sheetViews>
    <sheetView tabSelected="1" zoomScale="55" zoomScaleNormal="55" zoomScaleSheetLayoutView="70" workbookViewId="0">
      <pane xSplit="1" ySplit="1" topLeftCell="T2" activePane="bottomRight" state="frozen"/>
      <selection pane="topRight" activeCell="B1" sqref="B1"/>
      <selection pane="bottomLeft" activeCell="A2" sqref="A2"/>
      <selection pane="bottomRight" activeCell="X2" sqref="X2:X11"/>
    </sheetView>
  </sheetViews>
  <sheetFormatPr baseColWidth="10" defaultColWidth="11.44140625" defaultRowHeight="15" customHeight="1" x14ac:dyDescent="0.3"/>
  <cols>
    <col min="1" max="1" width="38.21875" style="34" customWidth="1"/>
    <col min="2" max="2" width="17" style="63" customWidth="1"/>
    <col min="3" max="3" width="12.33203125" style="36" bestFit="1" customWidth="1" collapsed="1"/>
    <col min="4" max="4" width="17.33203125" style="63" customWidth="1"/>
    <col min="5" max="5" width="11.6640625" style="63" customWidth="1" collapsed="1"/>
    <col min="6" max="6" width="11.6640625" style="63" customWidth="1"/>
    <col min="7" max="7" width="23.6640625" style="63" customWidth="1"/>
    <col min="8" max="8" width="27.33203125" style="66" customWidth="1"/>
    <col min="9" max="9" width="25.44140625" style="63" customWidth="1"/>
    <col min="10" max="10" width="28" style="63" customWidth="1"/>
    <col min="11" max="11" width="32.5546875" style="63" customWidth="1"/>
    <col min="12" max="12" width="15.33203125" style="63" customWidth="1"/>
    <col min="13" max="13" width="12.77734375" style="64" customWidth="1"/>
    <col min="14" max="14" width="31.6640625" style="63" customWidth="1"/>
    <col min="15" max="15" width="17.6640625" style="63" customWidth="1"/>
    <col min="16" max="16" width="26.33203125" style="63" customWidth="1"/>
    <col min="17" max="17" width="24.33203125" style="63" customWidth="1"/>
    <col min="18" max="18" width="28" style="63" customWidth="1"/>
    <col min="19" max="19" width="23.109375" style="63" customWidth="1"/>
    <col min="20" max="20" width="19" style="63" customWidth="1"/>
    <col min="21" max="21" width="19" style="65" customWidth="1"/>
    <col min="22" max="22" width="19" style="66" hidden="1" customWidth="1"/>
    <col min="23" max="23" width="40.6640625" style="67" customWidth="1"/>
    <col min="24" max="24" width="35.21875" style="67" customWidth="1"/>
    <col min="25" max="25" width="36.5546875" style="67" customWidth="1"/>
    <col min="26" max="26" width="32.5546875" style="67" customWidth="1"/>
    <col min="27" max="27" width="77.6640625" style="67" customWidth="1"/>
    <col min="755" max="16384" width="11.44140625" style="23"/>
  </cols>
  <sheetData>
    <row r="1" spans="1:755" s="16" customFormat="1" ht="49.95" customHeigh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5" t="s">
        <v>7</v>
      </c>
      <c r="I1" s="6" t="s">
        <v>8</v>
      </c>
      <c r="J1" s="7" t="s">
        <v>9</v>
      </c>
      <c r="K1" s="8" t="s">
        <v>10</v>
      </c>
      <c r="L1" s="9" t="s">
        <v>11</v>
      </c>
      <c r="M1" s="9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1" t="s">
        <v>17</v>
      </c>
      <c r="S1" s="11" t="s">
        <v>18</v>
      </c>
      <c r="T1" s="12" t="s">
        <v>19</v>
      </c>
      <c r="U1" s="13" t="s">
        <v>20</v>
      </c>
      <c r="V1" s="4" t="s">
        <v>21</v>
      </c>
      <c r="W1" s="14" t="s">
        <v>22</v>
      </c>
      <c r="X1" s="71" t="s">
        <v>38</v>
      </c>
      <c r="Y1" s="11" t="s">
        <v>23</v>
      </c>
      <c r="Z1" s="11" t="s">
        <v>24</v>
      </c>
      <c r="AA1" s="11" t="s">
        <v>25</v>
      </c>
      <c r="AB1" s="15" t="s">
        <v>26</v>
      </c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</row>
    <row r="2" spans="1:755" ht="15" customHeight="1" x14ac:dyDescent="0.3">
      <c r="A2" s="70" t="s">
        <v>28</v>
      </c>
      <c r="B2" s="17" t="s">
        <v>5</v>
      </c>
      <c r="C2" s="37">
        <f t="shared" ref="C2:C11" si="0">SUM(D2:F2)</f>
        <v>60</v>
      </c>
      <c r="D2" s="24"/>
      <c r="E2" s="24"/>
      <c r="F2" s="17">
        <v>60</v>
      </c>
      <c r="G2" s="19">
        <v>43977</v>
      </c>
      <c r="H2" s="20">
        <v>21</v>
      </c>
      <c r="I2" s="43">
        <f t="shared" ref="I2:I11" si="1">DATEDIF(G2,K2,"M")</f>
        <v>22</v>
      </c>
      <c r="J2" s="27">
        <f>DATE(YEAR(G2),MONTH(G2)+H2,DAY(G2))</f>
        <v>44618</v>
      </c>
      <c r="K2" s="28">
        <v>44676</v>
      </c>
      <c r="L2" s="29">
        <f t="shared" ref="L2:L11" si="2">(K2-J2)/30</f>
        <v>1.9333333333333333</v>
      </c>
      <c r="M2" s="30">
        <f t="shared" ref="M2:M11" ca="1" si="3">IF(((K2-TODAY())/30)&lt;0,0,(K2-TODAY())/30)</f>
        <v>2.1333333333333333</v>
      </c>
      <c r="N2" s="42">
        <v>44645</v>
      </c>
      <c r="O2" s="42">
        <v>44676</v>
      </c>
      <c r="P2" s="39">
        <f>Tableau6[[#This Row],[Date Livraison initiale VEFA]]</f>
        <v>44676</v>
      </c>
      <c r="Q2" s="42">
        <v>44676</v>
      </c>
      <c r="R2" s="22">
        <f>(Q2-Tableau6[[#This Row],[Date livraison contractuelle y/c avenant]])/30</f>
        <v>0</v>
      </c>
      <c r="S2" s="22">
        <f>Tableau6[[#This Row],[Date Livraison VEFA estimée avec retards constatés]]-Tableau6[[#This Row],[Date livraison contractuelle y/c avenant]]</f>
        <v>0</v>
      </c>
      <c r="T2" s="31">
        <f t="shared" ref="T2:T11" si="4">DATE(YEAR(O2),MONTH(O2)+1,DAY(O2))</f>
        <v>44706</v>
      </c>
      <c r="U2" s="28">
        <f t="shared" ref="U2:U11" si="5">DATE(YEAR(Q2),MONTH(Q2)+1,DAY(Q2))</f>
        <v>44706</v>
      </c>
      <c r="V2" s="32"/>
      <c r="W2" s="33">
        <f t="shared" ref="W2:W11" si="6">IF((U2-T2)/30&lt;0,0,(U2-T2)/30)</f>
        <v>0</v>
      </c>
      <c r="X2" s="72">
        <v>8484480.0359200016</v>
      </c>
      <c r="Y2" s="21">
        <v>1200</v>
      </c>
      <c r="Z2" s="21">
        <v>1500</v>
      </c>
      <c r="AA2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2" s="45">
        <f>IF(Tableau6[[#This Row],[Retard livraison VEFA (jour)]]&gt;30,(Tableau6[[#This Row],[Retard livraison VEFA (jour)]]-30)*Tableau6[[#This Row],[Montant pénalité /j  &gt; 31 j]],0)</f>
        <v>0</v>
      </c>
      <c r="ACA2"/>
    </row>
    <row r="3" spans="1:755" ht="15" customHeight="1" x14ac:dyDescent="0.3">
      <c r="A3" s="35" t="s">
        <v>37</v>
      </c>
      <c r="B3" s="17" t="s">
        <v>3</v>
      </c>
      <c r="C3" s="37">
        <f t="shared" si="0"/>
        <v>46</v>
      </c>
      <c r="D3" s="17">
        <v>46</v>
      </c>
      <c r="E3" s="24"/>
      <c r="F3" s="24"/>
      <c r="G3" s="38">
        <v>43997</v>
      </c>
      <c r="H3" s="20">
        <v>21</v>
      </c>
      <c r="I3" s="43">
        <f t="shared" si="1"/>
        <v>21</v>
      </c>
      <c r="J3" s="27">
        <f>DATE(YEAR(G3),MONTH(G3)+H3,DAY(G3))</f>
        <v>44635</v>
      </c>
      <c r="K3" s="28">
        <f>DATE(YEAR(J3),MONTH(J3),DAY(J3)+22)</f>
        <v>44657</v>
      </c>
      <c r="L3" s="29">
        <f t="shared" si="2"/>
        <v>0.73333333333333328</v>
      </c>
      <c r="M3" s="30">
        <f t="shared" ca="1" si="3"/>
        <v>1.5</v>
      </c>
      <c r="N3" s="42">
        <v>44658</v>
      </c>
      <c r="O3" s="42">
        <v>44688</v>
      </c>
      <c r="P3" s="39">
        <f>Tableau6[[#This Row],[Date Livraison initiale VEFA]]</f>
        <v>44688</v>
      </c>
      <c r="Q3" s="42">
        <v>44780</v>
      </c>
      <c r="R3" s="22">
        <f>(Q3-Tableau6[[#This Row],[Date livraison contractuelle y/c avenant]])/30</f>
        <v>3.0666666666666669</v>
      </c>
      <c r="S3" s="22">
        <f>Tableau6[[#This Row],[Date Livraison VEFA estimée avec retards constatés]]-Tableau6[[#This Row],[Date livraison contractuelle y/c avenant]]</f>
        <v>92</v>
      </c>
      <c r="T3" s="28">
        <f t="shared" si="4"/>
        <v>44719</v>
      </c>
      <c r="U3" s="28">
        <f t="shared" si="5"/>
        <v>44811</v>
      </c>
      <c r="V3" s="32"/>
      <c r="W3" s="33">
        <f t="shared" si="6"/>
        <v>3.0666666666666669</v>
      </c>
      <c r="X3" s="72">
        <v>2121120.0089800004</v>
      </c>
      <c r="Y3" s="21">
        <v>600</v>
      </c>
      <c r="Z3" s="21">
        <v>700</v>
      </c>
      <c r="AA3" s="21">
        <f>IF(Tableau6[[#This Row],[Retard livraison VEFA (jour)]]&lt;31,Tableau6[[#This Row],[Retard livraison VEFA (jour)]]*Tableau6[[#This Row],[Montant pénalité /j &lt; 30 j]],30*Tableau6[[#This Row],[Montant pénalité /j &lt; 30 j]])</f>
        <v>18000</v>
      </c>
      <c r="AB3" s="45">
        <f>IF(Tableau6[[#This Row],[Retard livraison VEFA (jour)]]&gt;30,(Tableau6[[#This Row],[Retard livraison VEFA (jour)]]-30)*Tableau6[[#This Row],[Montant pénalité /j  &gt; 31 j]],0)</f>
        <v>43400</v>
      </c>
      <c r="ACA3"/>
    </row>
    <row r="4" spans="1:755" ht="15" customHeight="1" thickBot="1" x14ac:dyDescent="0.35">
      <c r="A4" s="35" t="s">
        <v>29</v>
      </c>
      <c r="B4" s="17" t="s">
        <v>4</v>
      </c>
      <c r="C4" s="37">
        <f t="shared" si="0"/>
        <v>20</v>
      </c>
      <c r="D4" s="24"/>
      <c r="E4" s="17">
        <v>20</v>
      </c>
      <c r="F4" s="24"/>
      <c r="G4" s="18">
        <v>43997</v>
      </c>
      <c r="H4" s="20">
        <v>21</v>
      </c>
      <c r="I4" s="43">
        <f t="shared" si="1"/>
        <v>21</v>
      </c>
      <c r="J4" s="27">
        <f>DATE(YEAR(G4),MONTH(G4)+H4,DAY(G4))</f>
        <v>44635</v>
      </c>
      <c r="K4" s="41">
        <f>DATE(YEAR(J4),MONTH(J4),DAY(J4)+22)</f>
        <v>44657</v>
      </c>
      <c r="L4" s="29">
        <f t="shared" si="2"/>
        <v>0.73333333333333328</v>
      </c>
      <c r="M4" s="30">
        <f t="shared" ca="1" si="3"/>
        <v>1.5</v>
      </c>
      <c r="N4" s="42">
        <v>44658</v>
      </c>
      <c r="O4" s="42">
        <v>44688</v>
      </c>
      <c r="P4" s="39">
        <f>Tableau6[[#This Row],[Date Livraison initiale VEFA]]</f>
        <v>44688</v>
      </c>
      <c r="Q4" s="42">
        <v>44780</v>
      </c>
      <c r="R4" s="22">
        <f>(Q4-Tableau6[[#This Row],[Date livraison contractuelle y/c avenant]])/30</f>
        <v>3.0666666666666669</v>
      </c>
      <c r="S4" s="22">
        <f>Tableau6[[#This Row],[Date Livraison VEFA estimée avec retards constatés]]-Tableau6[[#This Row],[Date livraison contractuelle y/c avenant]]</f>
        <v>92</v>
      </c>
      <c r="T4" s="31">
        <f t="shared" si="4"/>
        <v>44719</v>
      </c>
      <c r="U4" s="28">
        <f t="shared" si="5"/>
        <v>44811</v>
      </c>
      <c r="V4" s="32"/>
      <c r="W4" s="33">
        <f t="shared" si="6"/>
        <v>3.0666666666666669</v>
      </c>
      <c r="X4" s="72">
        <v>8370000</v>
      </c>
      <c r="Y4" s="46"/>
      <c r="Z4" s="46"/>
      <c r="AA4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4" s="45">
        <f>IF(Tableau6[[#This Row],[Retard livraison VEFA (jour)]]&gt;30,(Tableau6[[#This Row],[Retard livraison VEFA (jour)]]-30)*Tableau6[[#This Row],[Montant pénalité /j  &gt; 31 j]],0)</f>
        <v>0</v>
      </c>
      <c r="ACA4"/>
    </row>
    <row r="5" spans="1:755" ht="15" customHeight="1" x14ac:dyDescent="0.3">
      <c r="A5" s="35" t="s">
        <v>30</v>
      </c>
      <c r="B5" s="17" t="s">
        <v>5</v>
      </c>
      <c r="C5" s="37">
        <f t="shared" si="0"/>
        <v>44</v>
      </c>
      <c r="D5" s="24"/>
      <c r="E5" s="24"/>
      <c r="F5" s="17">
        <v>44</v>
      </c>
      <c r="G5" s="38">
        <v>44179</v>
      </c>
      <c r="H5" s="20">
        <v>19</v>
      </c>
      <c r="I5" s="43">
        <f t="shared" si="1"/>
        <v>22</v>
      </c>
      <c r="J5" s="27">
        <v>44834</v>
      </c>
      <c r="K5" s="28">
        <v>44850</v>
      </c>
      <c r="L5" s="29">
        <f t="shared" si="2"/>
        <v>0.53333333333333333</v>
      </c>
      <c r="M5" s="30">
        <f t="shared" ca="1" si="3"/>
        <v>7.9333333333333336</v>
      </c>
      <c r="N5" s="42">
        <v>44881</v>
      </c>
      <c r="O5" s="42">
        <v>44911</v>
      </c>
      <c r="P5" s="39">
        <f>Tableau6[[#This Row],[Date Livraison initiale VEFA]]</f>
        <v>44911</v>
      </c>
      <c r="Q5" s="42">
        <v>44911</v>
      </c>
      <c r="R5" s="22">
        <f>(Q5-Tableau6[[#This Row],[Date livraison contractuelle y/c avenant]])/30</f>
        <v>0</v>
      </c>
      <c r="S5" s="22">
        <f>Tableau6[[#This Row],[Date Livraison VEFA estimée avec retards constatés]]-Tableau6[[#This Row],[Date livraison contractuelle y/c avenant]]</f>
        <v>0</v>
      </c>
      <c r="T5" s="31">
        <f t="shared" si="4"/>
        <v>44942</v>
      </c>
      <c r="U5" s="28">
        <f t="shared" si="5"/>
        <v>44942</v>
      </c>
      <c r="V5" s="32"/>
      <c r="W5" s="33">
        <f t="shared" si="6"/>
        <v>0</v>
      </c>
      <c r="X5" s="73">
        <v>10202184.244999999</v>
      </c>
      <c r="Y5" s="68">
        <v>1200</v>
      </c>
      <c r="Z5" s="68">
        <v>1500</v>
      </c>
      <c r="AA5" s="68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5" s="69">
        <f>IF(Tableau6[[#This Row],[Retard livraison VEFA (jour)]]&gt;30,(Tableau6[[#This Row],[Retard livraison VEFA (jour)]]-30)*Tableau6[[#This Row],[Montant pénalité /j  &gt; 31 j]],0)</f>
        <v>0</v>
      </c>
      <c r="ACA5"/>
    </row>
    <row r="6" spans="1:755" ht="34.799999999999997" customHeight="1" x14ac:dyDescent="0.3">
      <c r="A6" s="70" t="s">
        <v>31</v>
      </c>
      <c r="B6" s="17" t="s">
        <v>3</v>
      </c>
      <c r="C6" s="37">
        <f t="shared" si="0"/>
        <v>30</v>
      </c>
      <c r="D6" s="17">
        <v>30</v>
      </c>
      <c r="E6" s="24"/>
      <c r="F6" s="24"/>
      <c r="G6" s="47">
        <v>44186</v>
      </c>
      <c r="H6" s="20">
        <v>29</v>
      </c>
      <c r="I6" s="43">
        <f t="shared" si="1"/>
        <v>29</v>
      </c>
      <c r="J6" s="27">
        <f t="shared" ref="J6:J11" si="7">DATE(YEAR(G6),MONTH(G6)+H6,DAY(G6))</f>
        <v>45067</v>
      </c>
      <c r="K6" s="28">
        <f>DATE(YEAR(J6),MONTH(J6),DAY(J6))</f>
        <v>45067</v>
      </c>
      <c r="L6" s="29">
        <f t="shared" si="2"/>
        <v>0</v>
      </c>
      <c r="M6" s="30">
        <f t="shared" ca="1" si="3"/>
        <v>15.166666666666666</v>
      </c>
      <c r="N6" s="42">
        <v>45077</v>
      </c>
      <c r="O6" s="42">
        <v>45077</v>
      </c>
      <c r="P6" s="39">
        <f>Tableau6[[#This Row],[Date Livraison initiale VEFA]]</f>
        <v>45077</v>
      </c>
      <c r="Q6" s="42">
        <v>45077</v>
      </c>
      <c r="R6" s="22">
        <f>(Q6-Tableau6[[#This Row],[Date livraison contractuelle y/c avenant]])/30</f>
        <v>0</v>
      </c>
      <c r="S6" s="22">
        <f>Tableau6[[#This Row],[Date Livraison VEFA estimée avec retards constatés]]-Tableau6[[#This Row],[Date livraison contractuelle y/c avenant]]</f>
        <v>0</v>
      </c>
      <c r="T6" s="31">
        <f t="shared" si="4"/>
        <v>45108</v>
      </c>
      <c r="U6" s="28">
        <f t="shared" si="5"/>
        <v>45108</v>
      </c>
      <c r="V6" s="32"/>
      <c r="W6" s="33">
        <f t="shared" si="6"/>
        <v>0</v>
      </c>
      <c r="X6" s="72">
        <v>3473070.3560000001</v>
      </c>
      <c r="Y6" s="21">
        <v>1200</v>
      </c>
      <c r="Z6" s="21">
        <v>1500</v>
      </c>
      <c r="AA6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6" s="45">
        <f>IF(Tableau6[[#This Row],[Retard livraison VEFA (jour)]]&gt;30,(Tableau6[[#This Row],[Retard livraison VEFA (jour)]]-30)*Tableau6[[#This Row],[Montant pénalité /j  &gt; 31 j]],0)</f>
        <v>0</v>
      </c>
      <c r="ACA6"/>
    </row>
    <row r="7" spans="1:755" s="25" customFormat="1" ht="15" customHeight="1" x14ac:dyDescent="0.3">
      <c r="A7" s="70" t="s">
        <v>32</v>
      </c>
      <c r="B7" s="17" t="s">
        <v>5</v>
      </c>
      <c r="C7" s="37">
        <f t="shared" si="0"/>
        <v>93</v>
      </c>
      <c r="D7" s="24"/>
      <c r="E7" s="24"/>
      <c r="F7" s="40">
        <v>93</v>
      </c>
      <c r="G7" s="38">
        <v>44186</v>
      </c>
      <c r="H7" s="20">
        <v>29</v>
      </c>
      <c r="I7" s="43">
        <f t="shared" si="1"/>
        <v>29</v>
      </c>
      <c r="J7" s="27">
        <f t="shared" si="7"/>
        <v>45067</v>
      </c>
      <c r="K7" s="28">
        <f>DATE(YEAR(J7),MONTH(J7),DAY(J7))</f>
        <v>45067</v>
      </c>
      <c r="L7" s="29">
        <f t="shared" si="2"/>
        <v>0</v>
      </c>
      <c r="M7" s="30">
        <f t="shared" ca="1" si="3"/>
        <v>15.166666666666666</v>
      </c>
      <c r="N7" s="42">
        <v>45077</v>
      </c>
      <c r="O7" s="42">
        <v>45077</v>
      </c>
      <c r="P7" s="39">
        <f>Tableau6[[#This Row],[Date Livraison initiale VEFA]]</f>
        <v>45077</v>
      </c>
      <c r="Q7" s="42">
        <v>45077</v>
      </c>
      <c r="R7" s="22">
        <f>(Q7-Tableau6[[#This Row],[Date livraison contractuelle y/c avenant]])/30</f>
        <v>0</v>
      </c>
      <c r="S7" s="22">
        <f>Tableau6[[#This Row],[Date Livraison VEFA estimée avec retards constatés]]-Tableau6[[#This Row],[Date livraison contractuelle y/c avenant]]</f>
        <v>0</v>
      </c>
      <c r="T7" s="28">
        <f t="shared" si="4"/>
        <v>45108</v>
      </c>
      <c r="U7" s="28">
        <f t="shared" si="5"/>
        <v>45108</v>
      </c>
      <c r="V7" s="32"/>
      <c r="W7" s="33">
        <f t="shared" si="6"/>
        <v>0</v>
      </c>
      <c r="X7" s="72">
        <v>11010000</v>
      </c>
      <c r="Y7" s="46"/>
      <c r="Z7" s="46"/>
      <c r="AA7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7" s="45">
        <f>IF(Tableau6[[#This Row],[Retard livraison VEFA (jour)]]&gt;30,(Tableau6[[#This Row],[Retard livraison VEFA (jour)]]-30)*Tableau6[[#This Row],[Montant pénalité /j  &gt; 31 j]],0)</f>
        <v>0</v>
      </c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</row>
    <row r="8" spans="1:755" ht="15" customHeight="1" x14ac:dyDescent="0.3">
      <c r="A8" s="35" t="s">
        <v>33</v>
      </c>
      <c r="B8" s="17" t="s">
        <v>3</v>
      </c>
      <c r="C8" s="37">
        <f t="shared" si="0"/>
        <v>30</v>
      </c>
      <c r="D8" s="17">
        <v>30</v>
      </c>
      <c r="E8" s="24"/>
      <c r="F8" s="24"/>
      <c r="G8" s="38">
        <v>44256</v>
      </c>
      <c r="H8" s="20">
        <v>18</v>
      </c>
      <c r="I8" s="43">
        <f t="shared" si="1"/>
        <v>23</v>
      </c>
      <c r="J8" s="27">
        <f t="shared" si="7"/>
        <v>44805</v>
      </c>
      <c r="K8" s="28">
        <v>44982</v>
      </c>
      <c r="L8" s="29">
        <f t="shared" si="2"/>
        <v>5.9</v>
      </c>
      <c r="M8" s="30">
        <f t="shared" ca="1" si="3"/>
        <v>12.333333333333334</v>
      </c>
      <c r="N8" s="42">
        <v>44834</v>
      </c>
      <c r="O8" s="42">
        <v>45000</v>
      </c>
      <c r="P8" s="44">
        <v>44925</v>
      </c>
      <c r="Q8" s="42">
        <v>44985</v>
      </c>
      <c r="R8" s="22">
        <f>(Q8-Tableau6[[#This Row],[Date livraison contractuelle y/c avenant]])/30</f>
        <v>2</v>
      </c>
      <c r="S8" s="22">
        <f>Tableau6[[#This Row],[Date Livraison VEFA estimée avec retards constatés]]-Tableau6[[#This Row],[Date livraison contractuelle y/c avenant]]</f>
        <v>60</v>
      </c>
      <c r="T8" s="31">
        <f t="shared" si="4"/>
        <v>45031</v>
      </c>
      <c r="U8" s="28">
        <f t="shared" si="5"/>
        <v>45013</v>
      </c>
      <c r="V8" s="32"/>
      <c r="W8" s="33">
        <f t="shared" si="6"/>
        <v>0</v>
      </c>
      <c r="X8" s="72">
        <v>3216150</v>
      </c>
      <c r="Y8" s="21">
        <v>1200</v>
      </c>
      <c r="Z8" s="21">
        <v>1500</v>
      </c>
      <c r="AA8" s="21">
        <f>IF(Tableau6[[#This Row],[Retard livraison VEFA (jour)]]&lt;31,Tableau6[[#This Row],[Retard livraison VEFA (jour)]]*Tableau6[[#This Row],[Montant pénalité /j &lt; 30 j]],30*Tableau6[[#This Row],[Montant pénalité /j &lt; 30 j]])</f>
        <v>36000</v>
      </c>
      <c r="AB8" s="45">
        <f>IF(Tableau6[[#This Row],[Retard livraison VEFA (jour)]]&gt;30,(Tableau6[[#This Row],[Retard livraison VEFA (jour)]]-30)*Tableau6[[#This Row],[Montant pénalité /j  &gt; 31 j]],0)</f>
        <v>45000</v>
      </c>
      <c r="ACA8"/>
    </row>
    <row r="9" spans="1:755" ht="15" customHeight="1" x14ac:dyDescent="0.3">
      <c r="A9" s="70" t="s">
        <v>34</v>
      </c>
      <c r="B9" s="17" t="s">
        <v>3</v>
      </c>
      <c r="C9" s="37">
        <f t="shared" si="0"/>
        <v>53</v>
      </c>
      <c r="D9" s="17">
        <v>53</v>
      </c>
      <c r="E9" s="24"/>
      <c r="F9" s="24"/>
      <c r="G9" s="38">
        <v>44368</v>
      </c>
      <c r="H9" s="20">
        <v>24</v>
      </c>
      <c r="I9" s="43">
        <f t="shared" si="1"/>
        <v>24</v>
      </c>
      <c r="J9" s="27">
        <f t="shared" si="7"/>
        <v>45098</v>
      </c>
      <c r="K9" s="28">
        <f>DATE(YEAR(J9),MONTH(J9),DAY(J9))</f>
        <v>45098</v>
      </c>
      <c r="L9" s="29">
        <f t="shared" si="2"/>
        <v>0</v>
      </c>
      <c r="M9" s="30">
        <f t="shared" ca="1" si="3"/>
        <v>16.2</v>
      </c>
      <c r="N9" s="42">
        <v>45078</v>
      </c>
      <c r="O9" s="42">
        <v>45078</v>
      </c>
      <c r="P9" s="39">
        <f>Tableau6[[#This Row],[Date Livraison initiale VEFA]]</f>
        <v>45078</v>
      </c>
      <c r="Q9" s="42">
        <v>45139</v>
      </c>
      <c r="R9" s="22">
        <f>(Q9-Tableau6[[#This Row],[Date livraison contractuelle y/c avenant]])/30</f>
        <v>2.0333333333333332</v>
      </c>
      <c r="S9" s="22">
        <f>Tableau6[[#This Row],[Date Livraison VEFA estimée avec retards constatés]]-Tableau6[[#This Row],[Date livraison contractuelle y/c avenant]]</f>
        <v>61</v>
      </c>
      <c r="T9" s="31">
        <f t="shared" si="4"/>
        <v>45108</v>
      </c>
      <c r="U9" s="28">
        <f t="shared" si="5"/>
        <v>45170</v>
      </c>
      <c r="V9" s="32"/>
      <c r="W9" s="33">
        <f t="shared" si="6"/>
        <v>2.0666666666666669</v>
      </c>
      <c r="X9" s="72">
        <v>15723400</v>
      </c>
      <c r="Y9" s="21">
        <v>1200</v>
      </c>
      <c r="Z9" s="21">
        <v>1500</v>
      </c>
      <c r="AA9" s="21">
        <f>IF(Tableau6[[#This Row],[Retard livraison VEFA (jour)]]&lt;31,Tableau6[[#This Row],[Retard livraison VEFA (jour)]]*Tableau6[[#This Row],[Montant pénalité /j &lt; 30 j]],30*Tableau6[[#This Row],[Montant pénalité /j &lt; 30 j]])</f>
        <v>36000</v>
      </c>
      <c r="AB9" s="45">
        <f>IF(Tableau6[[#This Row],[Retard livraison VEFA (jour)]]&gt;30,(Tableau6[[#This Row],[Retard livraison VEFA (jour)]]-30)*Tableau6[[#This Row],[Montant pénalité /j  &gt; 31 j]],0)</f>
        <v>46500</v>
      </c>
      <c r="ACA9"/>
    </row>
    <row r="10" spans="1:755" ht="15" customHeight="1" x14ac:dyDescent="0.3">
      <c r="A10" s="70" t="s">
        <v>35</v>
      </c>
      <c r="B10" s="17" t="s">
        <v>4</v>
      </c>
      <c r="C10" s="37">
        <f t="shared" si="0"/>
        <v>25</v>
      </c>
      <c r="D10" s="24"/>
      <c r="E10" s="17">
        <v>25</v>
      </c>
      <c r="F10" s="24"/>
      <c r="G10" s="38">
        <v>44368</v>
      </c>
      <c r="H10" s="20">
        <v>24</v>
      </c>
      <c r="I10" s="43">
        <f t="shared" si="1"/>
        <v>24</v>
      </c>
      <c r="J10" s="27">
        <f t="shared" si="7"/>
        <v>45098</v>
      </c>
      <c r="K10" s="28">
        <f>DATE(YEAR(J10),MONTH(J10),DAY(J10))</f>
        <v>45098</v>
      </c>
      <c r="L10" s="29">
        <f t="shared" si="2"/>
        <v>0</v>
      </c>
      <c r="M10" s="30">
        <f t="shared" ca="1" si="3"/>
        <v>16.2</v>
      </c>
      <c r="N10" s="42">
        <v>45078</v>
      </c>
      <c r="O10" s="42">
        <v>45078</v>
      </c>
      <c r="P10" s="39">
        <f>Tableau6[[#This Row],[Date Livraison initiale VEFA]]</f>
        <v>45078</v>
      </c>
      <c r="Q10" s="42">
        <v>45139</v>
      </c>
      <c r="R10" s="22">
        <f>(Q10-Tableau6[[#This Row],[Date livraison contractuelle y/c avenant]])/30</f>
        <v>2.0333333333333332</v>
      </c>
      <c r="S10" s="22">
        <f>Tableau6[[#This Row],[Date Livraison VEFA estimée avec retards constatés]]-Tableau6[[#This Row],[Date livraison contractuelle y/c avenant]]</f>
        <v>61</v>
      </c>
      <c r="T10" s="31">
        <f t="shared" si="4"/>
        <v>45108</v>
      </c>
      <c r="U10" s="28">
        <f t="shared" si="5"/>
        <v>45170</v>
      </c>
      <c r="V10" s="32"/>
      <c r="W10" s="33">
        <f t="shared" si="6"/>
        <v>2.0666666666666669</v>
      </c>
      <c r="X10" s="72">
        <v>5591520.2517590132</v>
      </c>
      <c r="Y10" s="46"/>
      <c r="Z10" s="46"/>
      <c r="AA10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10" s="45">
        <f>IF(Tableau6[[#This Row],[Retard livraison VEFA (jour)]]&gt;30,(Tableau6[[#This Row],[Retard livraison VEFA (jour)]]-30)*Tableau6[[#This Row],[Montant pénalité /j  &gt; 31 j]],0)</f>
        <v>0</v>
      </c>
      <c r="ACA10"/>
    </row>
    <row r="11" spans="1:755" ht="15" customHeight="1" x14ac:dyDescent="0.3">
      <c r="A11" s="35" t="s">
        <v>36</v>
      </c>
      <c r="B11" s="17" t="s">
        <v>5</v>
      </c>
      <c r="C11" s="37">
        <f t="shared" si="0"/>
        <v>78</v>
      </c>
      <c r="D11" s="24"/>
      <c r="E11" s="24"/>
      <c r="F11" s="17">
        <v>78</v>
      </c>
      <c r="G11" s="38">
        <v>44558</v>
      </c>
      <c r="H11" s="20">
        <v>26</v>
      </c>
      <c r="I11" s="26">
        <f t="shared" si="1"/>
        <v>26</v>
      </c>
      <c r="J11" s="27">
        <f t="shared" si="7"/>
        <v>45350</v>
      </c>
      <c r="K11" s="28">
        <f>DATE(YEAR(J11),MONTH(J11),DAY(J11))</f>
        <v>45350</v>
      </c>
      <c r="L11" s="29">
        <f t="shared" si="2"/>
        <v>0</v>
      </c>
      <c r="M11" s="30">
        <f t="shared" ca="1" si="3"/>
        <v>24.6</v>
      </c>
      <c r="N11" s="42">
        <v>45351</v>
      </c>
      <c r="O11" s="42">
        <v>45351</v>
      </c>
      <c r="P11" s="39">
        <f>Tableau6[[#This Row],[Date Livraison initiale VEFA]]</f>
        <v>45351</v>
      </c>
      <c r="Q11" s="42">
        <v>45351</v>
      </c>
      <c r="R11" s="22">
        <f>(Q11-Tableau6[[#This Row],[Date livraison contractuelle y/c avenant]])/30</f>
        <v>0</v>
      </c>
      <c r="S11" s="22">
        <f>Tableau6[[#This Row],[Date Livraison VEFA estimée avec retards constatés]]-Tableau6[[#This Row],[Date livraison contractuelle y/c avenant]]</f>
        <v>0</v>
      </c>
      <c r="T11" s="31">
        <f t="shared" si="4"/>
        <v>45380</v>
      </c>
      <c r="U11" s="28">
        <f t="shared" si="5"/>
        <v>45380</v>
      </c>
      <c r="V11" s="32"/>
      <c r="W11" s="33">
        <f t="shared" si="6"/>
        <v>0</v>
      </c>
      <c r="X11" s="72">
        <v>4669073.3601299999</v>
      </c>
      <c r="Y11" s="21">
        <v>1200</v>
      </c>
      <c r="Z11" s="21">
        <v>1500</v>
      </c>
      <c r="AA11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B11" s="45">
        <f>IF(Tableau6[[#This Row],[Retard livraison VEFA (jour)]]&gt;30,(Tableau6[[#This Row],[Retard livraison VEFA (jour)]]-30)*Tableau6[[#This Row],[Montant pénalité /j  &gt; 31 j]],0)</f>
        <v>0</v>
      </c>
      <c r="ACA11"/>
    </row>
    <row r="12" spans="1:755" ht="15" customHeight="1" thickBot="1" x14ac:dyDescent="0.35">
      <c r="A12" s="48" t="s">
        <v>27</v>
      </c>
      <c r="B12" s="49">
        <f>SUBTOTAL(103,Tableau6[TYPE])</f>
        <v>10</v>
      </c>
      <c r="C12" s="50">
        <f>SUBTOTAL(109,Tableau6[N])</f>
        <v>479</v>
      </c>
      <c r="D12" s="50">
        <f>SUBTOTAL(109,Tableau6[LLS])</f>
        <v>159</v>
      </c>
      <c r="E12" s="50">
        <f>SUBTOTAL(109,Tableau6[LLTS])</f>
        <v>45</v>
      </c>
      <c r="F12" s="50">
        <f>SUBTOTAL(109,Tableau6[PLS])</f>
        <v>275</v>
      </c>
      <c r="G12" s="51"/>
      <c r="H12" s="52"/>
      <c r="I12" s="53"/>
      <c r="J12" s="54"/>
      <c r="K12" s="55"/>
      <c r="L12" s="56">
        <f>SUBTOTAL(101,Tableau6[Retard de réception])</f>
        <v>0.98333333333333339</v>
      </c>
      <c r="M12" s="57"/>
      <c r="N12" s="58"/>
      <c r="O12" s="58"/>
      <c r="P12" s="58"/>
      <c r="Q12" s="58"/>
      <c r="R12" s="59">
        <f>SUBTOTAL(101,Tableau6[Retard livraison VEFA (mois)])</f>
        <v>1.22</v>
      </c>
      <c r="S12" s="59"/>
      <c r="T12" s="61"/>
      <c r="U12" s="51"/>
      <c r="V12" s="60"/>
      <c r="W12" s="62">
        <f>SUBTOTAL(101,Tableau6[Retard Inauguration (m)])</f>
        <v>1.0266666666666668</v>
      </c>
      <c r="X12" s="62"/>
      <c r="Y12" s="62"/>
      <c r="Z12" s="62"/>
      <c r="AA12" s="62">
        <f>SUBTOTAL(109,Tableau6[PENALITES/0-30 jours])</f>
        <v>90000</v>
      </c>
      <c r="AB12" s="62">
        <f>SUBTOTAL(109,Tableau6[PENALITES/+ 31 jours])</f>
        <v>134900</v>
      </c>
      <c r="ACA12"/>
    </row>
    <row r="13" spans="1:755" customFormat="1" ht="15" customHeight="1" x14ac:dyDescent="0.3"/>
    <row r="14" spans="1:755" customFormat="1" ht="15" customHeight="1" x14ac:dyDescent="0.3"/>
    <row r="15" spans="1:755" customFormat="1" ht="15" customHeight="1" x14ac:dyDescent="0.3"/>
    <row r="16" spans="1:755" customFormat="1" ht="15" customHeight="1" x14ac:dyDescent="0.3"/>
    <row r="17" customFormat="1" ht="15" customHeight="1" x14ac:dyDescent="0.3"/>
    <row r="18" customFormat="1" ht="15" customHeight="1" x14ac:dyDescent="0.3"/>
    <row r="19" customFormat="1" ht="15" customHeight="1" x14ac:dyDescent="0.3"/>
    <row r="20" customFormat="1" ht="15" customHeight="1" x14ac:dyDescent="0.3"/>
    <row r="21" customFormat="1" ht="15" customHeight="1" x14ac:dyDescent="0.3"/>
    <row r="22" customFormat="1" ht="15" customHeight="1" x14ac:dyDescent="0.3"/>
    <row r="23" customFormat="1" ht="15" customHeight="1" x14ac:dyDescent="0.3"/>
    <row r="24" customFormat="1" ht="15" customHeight="1" x14ac:dyDescent="0.3"/>
    <row r="25" customFormat="1" ht="15" customHeight="1" x14ac:dyDescent="0.3"/>
    <row r="26" customFormat="1" ht="15" customHeight="1" x14ac:dyDescent="0.3"/>
    <row r="27" customFormat="1" ht="15" customHeight="1" x14ac:dyDescent="0.3"/>
    <row r="28" customFormat="1" ht="21" customHeight="1" x14ac:dyDescent="0.3"/>
    <row r="29" customFormat="1" ht="15" customHeight="1" x14ac:dyDescent="0.3"/>
    <row r="30" customFormat="1" ht="30" customHeight="1" x14ac:dyDescent="0.3"/>
    <row r="31" customFormat="1" ht="15" customHeight="1" x14ac:dyDescent="0.3"/>
    <row r="32" customFormat="1" ht="24" customHeight="1" x14ac:dyDescent="0.3"/>
    <row r="33" customFormat="1" ht="15" customHeight="1" x14ac:dyDescent="0.3"/>
    <row r="34" customFormat="1" ht="15" customHeight="1" x14ac:dyDescent="0.3"/>
    <row r="35" customFormat="1" ht="15" customHeight="1" x14ac:dyDescent="0.3"/>
    <row r="36" customFormat="1" ht="15" customHeight="1" x14ac:dyDescent="0.3"/>
    <row r="37" customFormat="1" ht="15" customHeight="1" x14ac:dyDescent="0.3"/>
    <row r="38" customFormat="1" ht="15" customHeight="1" x14ac:dyDescent="0.3"/>
    <row r="39" customFormat="1" ht="15" customHeight="1" x14ac:dyDescent="0.3"/>
    <row r="40" customFormat="1" ht="15" customHeight="1" x14ac:dyDescent="0.3"/>
    <row r="41" customFormat="1" ht="15" customHeight="1" x14ac:dyDescent="0.3"/>
    <row r="42" customFormat="1" ht="15" customHeight="1" x14ac:dyDescent="0.3"/>
    <row r="43" customFormat="1" ht="15" customHeight="1" x14ac:dyDescent="0.3"/>
    <row r="44" customFormat="1" ht="15" customHeight="1" x14ac:dyDescent="0.3"/>
    <row r="45" customFormat="1" ht="15" customHeight="1" x14ac:dyDescent="0.3"/>
    <row r="46" customFormat="1" ht="15" customHeight="1" x14ac:dyDescent="0.3"/>
    <row r="47" customFormat="1" ht="15" customHeight="1" x14ac:dyDescent="0.3"/>
    <row r="48" customFormat="1" ht="15" customHeight="1" x14ac:dyDescent="0.3"/>
    <row r="49" customFormat="1" ht="15" customHeight="1" x14ac:dyDescent="0.3"/>
    <row r="50" customFormat="1" ht="33.6" customHeight="1" x14ac:dyDescent="0.3"/>
    <row r="51" customFormat="1" ht="15" customHeight="1" x14ac:dyDescent="0.3"/>
    <row r="52" customFormat="1" ht="15" customHeight="1" x14ac:dyDescent="0.3"/>
    <row r="53" customFormat="1" ht="15" customHeight="1" x14ac:dyDescent="0.3"/>
    <row r="54" customFormat="1" ht="29.4" customHeight="1" x14ac:dyDescent="0.3"/>
    <row r="55" customFormat="1" ht="15" customHeight="1" x14ac:dyDescent="0.3"/>
    <row r="56" customFormat="1" ht="15" customHeight="1" x14ac:dyDescent="0.3"/>
    <row r="57" customFormat="1" ht="15" customHeight="1" x14ac:dyDescent="0.3"/>
    <row r="58" customFormat="1" ht="15" customHeight="1" x14ac:dyDescent="0.3"/>
    <row r="59" customFormat="1" ht="15" customHeight="1" x14ac:dyDescent="0.3"/>
    <row r="60" customFormat="1" ht="15" customHeight="1" x14ac:dyDescent="0.3"/>
    <row r="61" customFormat="1" ht="25.95" customHeight="1" x14ac:dyDescent="0.3"/>
    <row r="62" customFormat="1" ht="36" customHeight="1" x14ac:dyDescent="0.3"/>
    <row r="63" customFormat="1" ht="15" customHeight="1" x14ac:dyDescent="0.3"/>
    <row r="64" customFormat="1" ht="15" customHeight="1" x14ac:dyDescent="0.3"/>
    <row r="65" customFormat="1" ht="15" customHeight="1" x14ac:dyDescent="0.3"/>
    <row r="66" customFormat="1" ht="15" customHeight="1" x14ac:dyDescent="0.3"/>
    <row r="67" customFormat="1" ht="15" customHeight="1" x14ac:dyDescent="0.3"/>
    <row r="68" customFormat="1" ht="24.6" customHeight="1" x14ac:dyDescent="0.3"/>
    <row r="69" customFormat="1" ht="30" customHeight="1" x14ac:dyDescent="0.3"/>
    <row r="70" customFormat="1" ht="33.6" customHeight="1" x14ac:dyDescent="0.3"/>
    <row r="71" customFormat="1" ht="30" customHeight="1" x14ac:dyDescent="0.3"/>
    <row r="72" customFormat="1" ht="15" customHeight="1" x14ac:dyDescent="0.3"/>
    <row r="73" customFormat="1" ht="15" customHeight="1" x14ac:dyDescent="0.3"/>
    <row r="74" customFormat="1" ht="30" customHeight="1" x14ac:dyDescent="0.3"/>
    <row r="75" customFormat="1" ht="30" customHeight="1" x14ac:dyDescent="0.3"/>
    <row r="76" customFormat="1" ht="33.6" customHeight="1" x14ac:dyDescent="0.3"/>
    <row r="77" customFormat="1" ht="30" customHeight="1" x14ac:dyDescent="0.3"/>
    <row r="78" customFormat="1" ht="30" customHeight="1" x14ac:dyDescent="0.3"/>
    <row r="79" customFormat="1" ht="30" customHeight="1" x14ac:dyDescent="0.3"/>
    <row r="80" customFormat="1" ht="15" customHeight="1" x14ac:dyDescent="0.3"/>
    <row r="81" customFormat="1" ht="30.6" customHeight="1" x14ac:dyDescent="0.3"/>
    <row r="82" customFormat="1" ht="24.6" customHeight="1" x14ac:dyDescent="0.3"/>
    <row r="83" customFormat="1" ht="15" customHeight="1" x14ac:dyDescent="0.3"/>
    <row r="84" customFormat="1" ht="15" customHeight="1" x14ac:dyDescent="0.3"/>
    <row r="85" customFormat="1" ht="15" customHeight="1" x14ac:dyDescent="0.3"/>
    <row r="86" customFormat="1" ht="15" customHeight="1" x14ac:dyDescent="0.3"/>
    <row r="87" customFormat="1" ht="15" customHeight="1" x14ac:dyDescent="0.3"/>
    <row r="88" customFormat="1" ht="15" customHeight="1" x14ac:dyDescent="0.3"/>
    <row r="89" customFormat="1" ht="15" customHeight="1" x14ac:dyDescent="0.3"/>
    <row r="90" customFormat="1" ht="15" customHeight="1" x14ac:dyDescent="0.3"/>
    <row r="91" customFormat="1" ht="15" customHeight="1" x14ac:dyDescent="0.3"/>
    <row r="92" customFormat="1" ht="15" customHeight="1" x14ac:dyDescent="0.3"/>
    <row r="93" customFormat="1" ht="15" customHeight="1" x14ac:dyDescent="0.3"/>
    <row r="94" customFormat="1" ht="15" customHeight="1" x14ac:dyDescent="0.3"/>
    <row r="95" customFormat="1" ht="15" customHeight="1" x14ac:dyDescent="0.3"/>
    <row r="96" customFormat="1" ht="15" customHeight="1" x14ac:dyDescent="0.3"/>
    <row r="97" customFormat="1" ht="15" customHeight="1" x14ac:dyDescent="0.3"/>
    <row r="98" customFormat="1" ht="15" customHeight="1" x14ac:dyDescent="0.3"/>
    <row r="99" customFormat="1" ht="15" customHeight="1" x14ac:dyDescent="0.3"/>
    <row r="100" customFormat="1" ht="15" customHeight="1" x14ac:dyDescent="0.3"/>
    <row r="101" customFormat="1" ht="15" customHeight="1" x14ac:dyDescent="0.3"/>
    <row r="102" customFormat="1" ht="15" customHeight="1" x14ac:dyDescent="0.3"/>
    <row r="103" customFormat="1" ht="15" customHeight="1" x14ac:dyDescent="0.3"/>
    <row r="104" customFormat="1" ht="14.4" x14ac:dyDescent="0.3"/>
    <row r="105" customFormat="1" ht="14.4" x14ac:dyDescent="0.3"/>
    <row r="106" customFormat="1" ht="14.4" x14ac:dyDescent="0.3"/>
    <row r="107" customFormat="1" ht="14.4" x14ac:dyDescent="0.3"/>
    <row r="108" customFormat="1" ht="14.4" x14ac:dyDescent="0.3"/>
    <row r="109" customFormat="1" ht="14.4" x14ac:dyDescent="0.3"/>
    <row r="110" customFormat="1" ht="14.4" x14ac:dyDescent="0.3"/>
    <row r="111" customFormat="1" ht="14.4" x14ac:dyDescent="0.3"/>
    <row r="112" customFormat="1" ht="14.4" x14ac:dyDescent="0.3"/>
    <row r="113" customFormat="1" ht="14.4" x14ac:dyDescent="0.3"/>
    <row r="114" customFormat="1" ht="14.4" x14ac:dyDescent="0.3"/>
    <row r="115" customFormat="1" ht="14.4" x14ac:dyDescent="0.3"/>
    <row r="116" customFormat="1" ht="14.4" x14ac:dyDescent="0.3"/>
    <row r="117" customFormat="1" ht="14.4" x14ac:dyDescent="0.3"/>
    <row r="118" customFormat="1" ht="14.4" x14ac:dyDescent="0.3"/>
    <row r="119" customFormat="1" ht="14.4" x14ac:dyDescent="0.3"/>
    <row r="120" customFormat="1" ht="15" customHeight="1" x14ac:dyDescent="0.3"/>
    <row r="121" customFormat="1" ht="15" customHeight="1" x14ac:dyDescent="0.3"/>
    <row r="122" customFormat="1" ht="14.4" x14ac:dyDescent="0.3"/>
    <row r="123" customFormat="1" ht="14.4" x14ac:dyDescent="0.3"/>
    <row r="124" customFormat="1" ht="14.4" x14ac:dyDescent="0.3"/>
    <row r="125" customFormat="1" ht="14.4" x14ac:dyDescent="0.3"/>
    <row r="126" customFormat="1" ht="15" customHeight="1" x14ac:dyDescent="0.3"/>
    <row r="127" customFormat="1" ht="15" customHeight="1" x14ac:dyDescent="0.3"/>
    <row r="128" customFormat="1" ht="15" customHeight="1" x14ac:dyDescent="0.3"/>
    <row r="129" customFormat="1" ht="15" customHeight="1" x14ac:dyDescent="0.3"/>
    <row r="130" customFormat="1" ht="15" customHeight="1" x14ac:dyDescent="0.3"/>
    <row r="131" customFormat="1" ht="15" customHeight="1" x14ac:dyDescent="0.3"/>
    <row r="132" customFormat="1" ht="15" customHeight="1" x14ac:dyDescent="0.3"/>
    <row r="133" customFormat="1" ht="15" customHeight="1" x14ac:dyDescent="0.3"/>
    <row r="134" customFormat="1" ht="15" customHeight="1" x14ac:dyDescent="0.3"/>
    <row r="135" customFormat="1" ht="15" customHeight="1" x14ac:dyDescent="0.3"/>
    <row r="136" customFormat="1" ht="15" customHeight="1" x14ac:dyDescent="0.3"/>
    <row r="137" customFormat="1" ht="15" customHeight="1" x14ac:dyDescent="0.3"/>
    <row r="138" customFormat="1" ht="15" customHeight="1" x14ac:dyDescent="0.3"/>
    <row r="139" customFormat="1" ht="15" customHeight="1" x14ac:dyDescent="0.3"/>
    <row r="140" customFormat="1" ht="15" customHeight="1" x14ac:dyDescent="0.3"/>
    <row r="141" customFormat="1" ht="15" customHeight="1" x14ac:dyDescent="0.3"/>
    <row r="142" customFormat="1" ht="15" customHeight="1" x14ac:dyDescent="0.3"/>
    <row r="143" customFormat="1" ht="15" customHeight="1" x14ac:dyDescent="0.3"/>
    <row r="144" customFormat="1" ht="15" customHeight="1" x14ac:dyDescent="0.3"/>
    <row r="145" customFormat="1" ht="15" customHeight="1" x14ac:dyDescent="0.3"/>
    <row r="146" customFormat="1" ht="15" customHeight="1" x14ac:dyDescent="0.3"/>
    <row r="147" customFormat="1" ht="15" customHeight="1" x14ac:dyDescent="0.3"/>
    <row r="148" customFormat="1" ht="15" customHeight="1" x14ac:dyDescent="0.3"/>
    <row r="149" customFormat="1" ht="15" customHeight="1" x14ac:dyDescent="0.3"/>
    <row r="150" customFormat="1" ht="15" customHeight="1" x14ac:dyDescent="0.3"/>
    <row r="151" customFormat="1" ht="15" customHeight="1" x14ac:dyDescent="0.3"/>
    <row r="152" customFormat="1" ht="15" customHeight="1" x14ac:dyDescent="0.3"/>
    <row r="153" customFormat="1" ht="15" customHeight="1" x14ac:dyDescent="0.3"/>
    <row r="154" customFormat="1" ht="15" customHeight="1" x14ac:dyDescent="0.3"/>
    <row r="155" customFormat="1" ht="15" customHeight="1" x14ac:dyDescent="0.3"/>
    <row r="156" customFormat="1" ht="15" customHeight="1" x14ac:dyDescent="0.3"/>
    <row r="157" customFormat="1" ht="15" customHeight="1" x14ac:dyDescent="0.3"/>
    <row r="158" customFormat="1" ht="15" customHeight="1" x14ac:dyDescent="0.3"/>
    <row r="159" customFormat="1" ht="15" customHeight="1" x14ac:dyDescent="0.3"/>
    <row r="160" customFormat="1" ht="15" customHeight="1" x14ac:dyDescent="0.3"/>
    <row r="161" customFormat="1" ht="15" customHeight="1" x14ac:dyDescent="0.3"/>
    <row r="162" customFormat="1" ht="15" customHeight="1" x14ac:dyDescent="0.3"/>
    <row r="163" customFormat="1" ht="15" customHeight="1" x14ac:dyDescent="0.3"/>
    <row r="164" customFormat="1" ht="15" customHeight="1" x14ac:dyDescent="0.3"/>
    <row r="165" customFormat="1" ht="15" customHeight="1" x14ac:dyDescent="0.3"/>
    <row r="166" customFormat="1" ht="15" customHeight="1" x14ac:dyDescent="0.3"/>
    <row r="167" customFormat="1" ht="15" customHeight="1" x14ac:dyDescent="0.3"/>
    <row r="168" customFormat="1" ht="15" customHeight="1" x14ac:dyDescent="0.3"/>
    <row r="169" customFormat="1" ht="15" customHeight="1" x14ac:dyDescent="0.3"/>
    <row r="170" customFormat="1" ht="15" customHeight="1" x14ac:dyDescent="0.3"/>
    <row r="171" customFormat="1" ht="15" customHeight="1" x14ac:dyDescent="0.3"/>
    <row r="172" customFormat="1" ht="15" customHeight="1" x14ac:dyDescent="0.3"/>
    <row r="173" customFormat="1" ht="15" customHeight="1" x14ac:dyDescent="0.3"/>
    <row r="174" customFormat="1" ht="15" customHeight="1" x14ac:dyDescent="0.3"/>
    <row r="175" customFormat="1" ht="15" customHeight="1" x14ac:dyDescent="0.3"/>
    <row r="176" customFormat="1" ht="15" customHeight="1" x14ac:dyDescent="0.3"/>
    <row r="177" customFormat="1" ht="15" customHeight="1" x14ac:dyDescent="0.3"/>
    <row r="178" customFormat="1" ht="15" customHeight="1" x14ac:dyDescent="0.3"/>
  </sheetData>
  <dataConsolidate>
    <dataRefs count="1">
      <dataRef ref="AL167:AM185" sheet="Données initiales" r:id="rId1"/>
    </dataRefs>
  </dataConsolidate>
  <dataValidations count="1">
    <dataValidation type="list" allowBlank="1" showInputMessage="1" showErrorMessage="1" sqref="B2:B11" xr:uid="{9DA83FE2-2A59-45C9-B5A1-0EE59FD142B9}">
      <formula1>"LLS,LLTS,PLS,Rehab"</formula1>
    </dataValidation>
  </dataValidations>
  <pageMargins left="0.25" right="0.25" top="0.75" bottom="0.75" header="0.3" footer="0.3"/>
  <pageSetup paperSize="8" scale="10" orientation="landscape" r:id="rId2"/>
  <headerFooter>
    <oddFooter>Préparé par NBL &amp;D&amp;RPage &amp;P</oddFooter>
  </headerFooter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 initiales</vt:lpstr>
      <vt:lpstr>'Données initiales'!Zone_d_impression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2022-02-20T06:05:57Z</dcterms:created>
  <dcterms:modified xsi:type="dcterms:W3CDTF">2022-02-20T06:22:05Z</dcterms:modified>
</cp:coreProperties>
</file>