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bl\Downloads\"/>
    </mc:Choice>
  </mc:AlternateContent>
  <xr:revisionPtr revIDLastSave="0" documentId="13_ncr:1_{D00F330C-20DF-4E31-A3DE-253FA435C6CD}" xr6:coauthVersionLast="47" xr6:coauthVersionMax="47" xr10:uidLastSave="{00000000-0000-0000-0000-000000000000}"/>
  <bookViews>
    <workbookView xWindow="-108" yWindow="-108" windowWidth="23256" windowHeight="12576" xr2:uid="{DB87B27F-73A8-475B-875A-858A8D45CFB8}"/>
  </bookViews>
  <sheets>
    <sheet name="Données opérations REHAB" sheetId="1" r:id="rId1"/>
  </sheets>
  <externalReferences>
    <externalReference r:id="rId2"/>
    <externalReference r:id="rId3"/>
    <externalReference r:id="rId4"/>
    <externalReference r:id="rId5"/>
    <externalReference r:id="rId6"/>
  </externalReferences>
  <definedNames>
    <definedName name="Annee_Inaug">'[2]Données initiales'!$FL$2:$FL$136</definedName>
    <definedName name="Annee_OS">'[2]Données initiales'!$DY$2:$DY$136</definedName>
    <definedName name="Ass">'[2]Données initiales'!$H$2:$H$136</definedName>
    <definedName name="Avancement">[1]Listes!$A$1:$A$15</definedName>
    <definedName name="Avancement_Propre">[1]Listes!$A$19:$A$34</definedName>
    <definedName name="Avancement_VEFA">[1]Listes!$A$37:$A$50</definedName>
    <definedName name="Bdgt">'[2]Données initiales'!$GW$4:$GW$136</definedName>
    <definedName name="Bdgt2016">'[3]Prév Hono Construction 2021'!$H$60:$H$66</definedName>
    <definedName name="Bdgt2017">'[3]Prév Hono Construction 2021'!$H$68:$H$73</definedName>
    <definedName name="Bdgt2018">'[3]Prév Hono Construction 2021'!$H$75:$H$79</definedName>
    <definedName name="Bdgt2019">'[3]Prév Hono Construction 2021'!$H$81:$H$83</definedName>
    <definedName name="Bdgt2020">'[3]Prév Hono Construction 2021'!$H$85:$H$96</definedName>
    <definedName name="Bdgt2021">'[3]Prév Hono Construction 2021'!$H$98:$H$106</definedName>
    <definedName name="Ecart_DEAL_OS">'[2]Données initiales'!$DZ$2:$DZ$136</definedName>
    <definedName name="Fonds_propres">'[2]Données initiales'!$IL$2:$IL$136</definedName>
    <definedName name="LBU">'[2]Données initiales'!$HR$2:$HR$136</definedName>
    <definedName name="Liste_RO">[1]Listes!$G$1:$G$6</definedName>
    <definedName name="Livraison">'[2]Données initiales'!$FK$2:$FK$136</definedName>
    <definedName name="Loyers">'[2]Données initiales'!$FO$2:$FO$136</definedName>
    <definedName name="Nlgts">'[2]Données initiales'!$AE$2:$AE$136</definedName>
    <definedName name="Nlgts_hors_rehab">'[2]Données initiales'!$AF$2:$AF$136</definedName>
    <definedName name="Notaire">'[2]Données initiales'!$CS$2:$CS$136</definedName>
    <definedName name="OS">'[2]Données initiales'!$DX$2:$DX$136</definedName>
    <definedName name="PA_SAS_HT_PLS">'[4]DPR PLS'!$E$68</definedName>
    <definedName name="Phase2016">'[3]Prév Hono Construction 2021'!$G$60:$G$66</definedName>
    <definedName name="Phase2017">'[3]Prév Hono Construction 2021'!$G$68:$G$73</definedName>
    <definedName name="Phase2018">'[3]Prév Hono Construction 2021'!$G$75:$G$79</definedName>
    <definedName name="Phase2019">'[3]Prév Hono Construction 2021'!$G$81:$G$83</definedName>
    <definedName name="Phase2020">'[3]Prév Hono Construction 2021'!$G$85:$G$96</definedName>
    <definedName name="Phase2021">'[3]Prév Hono Construction 2021'!$G$98:$G$106</definedName>
    <definedName name="Phases">[1]Listes!$E$1:$E$10</definedName>
    <definedName name="Prog">'[2]Données initiales'!$E$2:$E$136</definedName>
    <definedName name="Prog2016">'[3]Prév Hono Construction 2021'!$E$60:$E$66</definedName>
    <definedName name="Prog2018">'[3]Prév Hono Construction 2021'!$E$75:$E$79</definedName>
    <definedName name="Prog2019">'[3]Prév Hono Construction 2021'!$E$81:$E$83</definedName>
    <definedName name="Prog2020">'[3]Prév Hono Construction 2021'!$E$85:$E$96</definedName>
    <definedName name="Prog2021">'[3]Prév Hono Construction 2021'!$E$98:$E$106</definedName>
    <definedName name="PRP">'[2]Données initiales'!$GX$2:$GX$136</definedName>
    <definedName name="Px_Foncier">'[2]Données initiales'!$Q$2:$Q$136</definedName>
    <definedName name="Rem_2016">'[3]Prév Hono Construction 2021'!$J$60:$J$66</definedName>
    <definedName name="Rem_2017">'[3]Prév Hono Construction 2021'!$J$68:$J$73</definedName>
    <definedName name="Rem_2018">'[3]Prév Hono Construction 2021'!$J$75:$J$79</definedName>
    <definedName name="Rem_2019">'[3]Prév Hono Construction 2021'!$J$81:$J$83</definedName>
    <definedName name="Rem_2020">'[3]Prév Hono Construction 2021'!$J$85:$J$96</definedName>
    <definedName name="Rem_2021">'[3]Prév Hono Construction 2021'!$J$98:$J$106</definedName>
    <definedName name="Rem_Amgt">'[3]Prév Hono Construction 2021'!$I$246:$I$258</definedName>
    <definedName name="Rem2012en2015">'[3]Prév Hono Construction 2021'!$T$19:$T$30</definedName>
    <definedName name="Rem2012en2016">'[3]Prév Hono Construction 2021'!$W$19:$W$30</definedName>
    <definedName name="Rem2012en2017">'[3]Prév Hono Construction 2021'!$Z$19:$Z$30</definedName>
    <definedName name="Rem2013en2015">'[3]Prév Hono Construction 2021'!$T$32:$T$41</definedName>
    <definedName name="Rem2013en2016">'[3]Prév Hono Construction 2021'!$W$32:$W$41</definedName>
    <definedName name="Rem2013en2017">'[3]Prév Hono Construction 2021'!$Z$32:$Z$41</definedName>
    <definedName name="Rem2013en2018">'[3]Prév Hono Construction 2021'!$AC$32:$AC$41</definedName>
    <definedName name="Rem2013en2020">'[3]Prév Hono Construction 2021'!$AL$32:$AL$41</definedName>
    <definedName name="Rem2013Preven2018">'[5]Prév Hono Construction 2019'!$AH$32:$AH$41</definedName>
    <definedName name="Rem2013Preven2020">'[3]Prév Hono Construction 2021'!$AN$32:$AN$41</definedName>
    <definedName name="Rem2014en2015">'[3]Prév Hono Construction 2021'!$T$43:$T$49</definedName>
    <definedName name="Rem2014en2016">'[3]Prév Hono Construction 2021'!$W$43:$W$49</definedName>
    <definedName name="Rem2014en2017">'[3]Prév Hono Construction 2021'!$Z$43:$Z$49</definedName>
    <definedName name="Rem2014en2018">'[3]Prév Hono Construction 2021'!$AC$43:$AC$49</definedName>
    <definedName name="Rem2014en2019">'[3]Prév Hono Construction 2021'!$AF$43:$AF$49</definedName>
    <definedName name="Rem2014en2020">'[3]Prév Hono Construction 2021'!$AL$43:$AL$49</definedName>
    <definedName name="Rem2014Preven2018">'[5]Prév Hono Construction 2019'!$AH$43:$AH$49</definedName>
    <definedName name="Rem2014Preven2020">'[3]Prév Hono Construction 2021'!$AN$43:$AN$49</definedName>
    <definedName name="Rem2015en2015">'[3]Prév Hono Construction 2021'!$T$51:$T$58</definedName>
    <definedName name="Rem2015en2016">'[3]Prév Hono Construction 2021'!$W$51:$W$58</definedName>
    <definedName name="Rem2015en2017">'[3]Prév Hono Construction 2021'!$Z$51:$Z$58</definedName>
    <definedName name="Rem2015en2018">'[3]Prév Hono Construction 2021'!$AC$51:$AC$58</definedName>
    <definedName name="Rem2015en2019">'[3]Prév Hono Construction 2021'!$AF$51:$AF$58</definedName>
    <definedName name="Rem2015en2020">'[3]Prév Hono Construction 2021'!$AL$51:$AL$58</definedName>
    <definedName name="Rem2015Preven2019">'[5]Prév Hono Construction 2019'!$AH$51:$AH$57</definedName>
    <definedName name="Rem2015Preven2020">'[3]Prév Hono Construction 2021'!$AN$51:$AN$58</definedName>
    <definedName name="Rem2016en2012">'[3]Prév Hono Construction 2021'!$M$60:$M$66</definedName>
    <definedName name="Rem2016en2013">'[3]Prév Hono Construction 2021'!$N$60:$N$66</definedName>
    <definedName name="Rem2016en2014">'[3]Prév Hono Construction 2021'!$Q$60:$Q$66</definedName>
    <definedName name="Rem2016en2015">'[3]Prév Hono Construction 2021'!$T$60:$T$66</definedName>
    <definedName name="Rem2016en2016">'[3]Prév Hono Construction 2021'!$W$60:$W$66</definedName>
    <definedName name="Rem2016en2017">'[3]Prév Hono Construction 2021'!$Z$60:$Z$66</definedName>
    <definedName name="Rem2016en2018">'[3]Prév Hono Construction 2021'!$AC$60:$AC$66</definedName>
    <definedName name="Rem2016en2019">'[3]Prév Hono Construction 2021'!$AF$60:$AF$66</definedName>
    <definedName name="Rem2016en2020">'[3]Prév Hono Construction 2021'!$AL$60:$AL$66</definedName>
    <definedName name="Rem2016Preven2019">'[5]Prév Hono Construction 2019'!$AH$59:$AH$66</definedName>
    <definedName name="Rem2016Preven2020">'[3]Prév Hono Construction 2021'!$AN$60:$AN$66</definedName>
    <definedName name="Rem2017en2013">'[3]Prév Hono Construction 2021'!$N$68:$N$73</definedName>
    <definedName name="Rem2017en2014">'[3]Prév Hono Construction 2021'!$Q$68:$Q$73</definedName>
    <definedName name="Rem2017en2015">'[3]Prév Hono Construction 2021'!$T$68:$T$73</definedName>
    <definedName name="Rem2017en2016">'[3]Prév Hono Construction 2021'!$W$68:$W$73</definedName>
    <definedName name="Rem2017en2017">'[3]Prév Hono Construction 2021'!$Z$68:$Z$73</definedName>
    <definedName name="Rem2017en2018">'[3]Prév Hono Construction 2021'!$AC$68:$AC$73</definedName>
    <definedName name="Rem2017en2019">'[3]Prév Hono Construction 2021'!$AF$68:$AF$73</definedName>
    <definedName name="Rem2017en2020">'[3]Prév Hono Construction 2021'!$AL$68:$AL$73</definedName>
    <definedName name="Rem2017Preven2019">'[5]Prév Hono Construction 2019'!$AH$68:$AH$75</definedName>
    <definedName name="Rem2017Preven2020">'[3]Prév Hono Construction 2021'!$AN$68:$AN$73</definedName>
    <definedName name="Rem2018en2016">'[3]Prév Hono Construction 2021'!$W$75:$W$79</definedName>
    <definedName name="Rem2018en2017">'[3]Prév Hono Construction 2021'!$Z$75:$Z$79</definedName>
    <definedName name="Rem2018en2018">'[3]Prév Hono Construction 2021'!$AC$75:$AC$79</definedName>
    <definedName name="Rem2018en2019">'[3]Prév Hono Construction 2021'!$AF$75:$AF$79</definedName>
    <definedName name="Rem2018en2020">'[3]Prév Hono Construction 2021'!$AL$75:$AL$79</definedName>
    <definedName name="Rem2018Preven2019">'[5]Prév Hono Construction 2019'!$AH$77:$AH$82</definedName>
    <definedName name="Rem2018Preven2020">'[3]Prév Hono Construction 2021'!$AN$75:$AN$79</definedName>
    <definedName name="Rem2019en2016">'[3]Prév Hono Construction 2021'!$W$81:$W$83</definedName>
    <definedName name="Rem2019en2017">'[3]Prév Hono Construction 2021'!$Z$81:$Z$83</definedName>
    <definedName name="Rem2019en2018">'[3]Prév Hono Construction 2021'!$AC$81:$AC$83</definedName>
    <definedName name="Rem2019en2019">'[3]Prév Hono Construction 2021'!$AF$81:$AF$83</definedName>
    <definedName name="Rem2019en2020">'[3]Prév Hono Construction 2021'!$AL$81:$AL$83</definedName>
    <definedName name="Rem2019Preven2019">'[5]Prév Hono Construction 2019'!$AH$84:$AH$91</definedName>
    <definedName name="Rem2019Preven2020">'[3]Prév Hono Construction 2021'!$AN$81:$AN$83</definedName>
    <definedName name="Rem2020en2016">'[3]Prév Hono Construction 2021'!$W$85:$W$96</definedName>
    <definedName name="Rem2020en2017">'[3]Prév Hono Construction 2021'!$Z$85:$Z$96</definedName>
    <definedName name="Rem2020en2018">'[3]Prév Hono Construction 2021'!$AC$85:$AC$96</definedName>
    <definedName name="Rem2020en2019">'[3]Prév Hono Construction 2021'!$AF$85:$AF$96</definedName>
    <definedName name="Rem2020en2020">'[3]Prév Hono Construction 2021'!$AL$85:$AL$96</definedName>
    <definedName name="Rem2020Preven2019">'[5]Prév Hono Construction 2019'!$AH$93:$AH$101</definedName>
    <definedName name="Rem2020Preven2020">'[3]Prév Hono Construction 2021'!$AN$85:$AN$96</definedName>
    <definedName name="Rem2021en2019">'[3]Prév Hono Construction 2021'!$AF$98:$AF$106</definedName>
    <definedName name="Rem2021en2020">'[3]Prév Hono Construction 2021'!$AL$98:$AL$106</definedName>
    <definedName name="Rem2021Preven2020">'[3]Prév Hono Construction 2021'!$AN$98:$AN$106</definedName>
    <definedName name="RemRest2016">'[3]Prév Hono Construction 2021'!$AP$60:$AP$66</definedName>
    <definedName name="RemRest2017">'[3]Prév Hono Construction 2021'!$AP$68:$AP$73</definedName>
    <definedName name="RemRest2018">'[3]Prév Hono Construction 2021'!$AP$75:$AP$79</definedName>
    <definedName name="RemRest2019">'[3]Prév Hono Construction 2021'!$AP$81:$AP$83</definedName>
    <definedName name="RemRest2020">'[3]Prév Hono Construction 2021'!$AP$85:$AP$96</definedName>
    <definedName name="RemRest2021">'[3]Prév Hono Construction 2021'!$AP$98:$AP$106</definedName>
    <definedName name="Retard_loyer">'[2]Données initiales'!$FM$2:$FM$136</definedName>
    <definedName name="Retard_VEFA">'[2]Données initiales'!$DA$2:$DA$136</definedName>
    <definedName name="RO">'[2]Données initiales'!$G$2:$G$136</definedName>
    <definedName name="RO_2016">'[3]Prév Hono Construction 2021'!$F$60:$F$66</definedName>
    <definedName name="RO_2017">'[3]Prév Hono Construction 2021'!$F$68:$F$73</definedName>
    <definedName name="RO_2018">'[3]Prév Hono Construction 2021'!$F$75:$F$79</definedName>
    <definedName name="RO_2019">'[3]Prév Hono Construction 2021'!$F$81:$F$83</definedName>
    <definedName name="RO_2020">'[3]Prév Hono Construction 2021'!$F$85:$F$96</definedName>
    <definedName name="RO_2021">'[3]Prév Hono Construction 2021'!$F$98:$F$106</definedName>
    <definedName name="RO_gen">'[3]Prév Hono Construction 2021'!$F$32:$F$106</definedName>
    <definedName name="S_TERRAIN">'[2]Données initiales'!$P$2:$P$136</definedName>
    <definedName name="SF">'[2]Données initiales'!$AN$2:$AN$136</definedName>
    <definedName name="Type">'[2]Données initiales'!$AD$2:$AD$136</definedName>
    <definedName name="Ville">'[2]Données initiales'!$C$2:$C$136</definedName>
    <definedName name="_xlnm.Print_Area" localSheetId="0">'Données opérations REHAB'!$A$1:$S$23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T29" i="1" l="1"/>
  <c r="P28" i="1" a="1"/>
  <c r="P28" i="1" s="1"/>
  <c r="O28" i="1" a="1"/>
  <c r="O28" i="1" s="1"/>
  <c r="N28" i="1"/>
  <c r="N28" i="1" a="1"/>
  <c r="M28" i="1" a="1"/>
  <c r="M28" i="1" s="1"/>
  <c r="L28" i="1" a="1"/>
  <c r="L28" i="1" s="1"/>
  <c r="K28" i="1" a="1"/>
  <c r="K28" i="1" s="1"/>
  <c r="J28" i="1"/>
  <c r="I28" i="1" s="1"/>
  <c r="H28" i="1"/>
  <c r="S28" i="1" s="1"/>
  <c r="S27" i="1"/>
  <c r="Q27" i="1"/>
  <c r="R27" i="1" s="1"/>
  <c r="P27" i="1" a="1"/>
  <c r="P27" i="1" s="1"/>
  <c r="O27" i="1"/>
  <c r="O27" i="1" a="1"/>
  <c r="N27" i="1" a="1"/>
  <c r="N27" i="1" s="1"/>
  <c r="M27" i="1" a="1"/>
  <c r="M27" i="1" s="1"/>
  <c r="L27" i="1" a="1"/>
  <c r="L27" i="1" s="1"/>
  <c r="K27" i="1"/>
  <c r="K27" i="1" a="1"/>
  <c r="J27" i="1"/>
  <c r="I27" i="1"/>
  <c r="H27" i="1"/>
  <c r="S26" i="1"/>
  <c r="P26" i="1"/>
  <c r="P26" i="1" a="1"/>
  <c r="O26" i="1" a="1"/>
  <c r="O26" i="1" s="1"/>
  <c r="N26" i="1" a="1"/>
  <c r="N26" i="1" s="1"/>
  <c r="M26" i="1" a="1"/>
  <c r="M26" i="1" s="1"/>
  <c r="L26" i="1"/>
  <c r="L26" i="1" a="1"/>
  <c r="K26" i="1" a="1"/>
  <c r="K26" i="1" s="1"/>
  <c r="H26" i="1"/>
  <c r="J26" i="1" s="1"/>
  <c r="P25" i="1" a="1"/>
  <c r="P25" i="1" s="1"/>
  <c r="O25" i="1" a="1"/>
  <c r="O25" i="1" s="1"/>
  <c r="N25" i="1" a="1"/>
  <c r="N25" i="1" s="1"/>
  <c r="M25" i="1"/>
  <c r="M25" i="1" a="1"/>
  <c r="L25" i="1" a="1"/>
  <c r="L25" i="1" s="1"/>
  <c r="K25" i="1" a="1"/>
  <c r="K25" i="1" s="1"/>
  <c r="H25" i="1"/>
  <c r="J25" i="1" s="1"/>
  <c r="S24" i="1"/>
  <c r="P24" i="1" a="1"/>
  <c r="P24" i="1" s="1"/>
  <c r="O24" i="1" a="1"/>
  <c r="O24" i="1" s="1"/>
  <c r="N24" i="1"/>
  <c r="N24" i="1" a="1"/>
  <c r="M24" i="1" a="1"/>
  <c r="M24" i="1" s="1"/>
  <c r="L24" i="1" a="1"/>
  <c r="L24" i="1" s="1"/>
  <c r="K24" i="1" a="1"/>
  <c r="K24" i="1" s="1"/>
  <c r="J24" i="1"/>
  <c r="I24" i="1" s="1"/>
  <c r="H24" i="1"/>
  <c r="S23" i="1"/>
  <c r="Q23" i="1"/>
  <c r="R23" i="1" s="1"/>
  <c r="P23" i="1" a="1"/>
  <c r="P23" i="1" s="1"/>
  <c r="O23" i="1"/>
  <c r="O23" i="1" a="1"/>
  <c r="N23" i="1" a="1"/>
  <c r="N23" i="1" s="1"/>
  <c r="M23" i="1" a="1"/>
  <c r="M23" i="1" s="1"/>
  <c r="L23" i="1" a="1"/>
  <c r="L23" i="1" s="1"/>
  <c r="K23" i="1"/>
  <c r="K23" i="1" a="1"/>
  <c r="J23" i="1"/>
  <c r="I23" i="1"/>
  <c r="H23" i="1"/>
  <c r="S22" i="1"/>
  <c r="P22" i="1"/>
  <c r="P22" i="1" a="1"/>
  <c r="O22" i="1" a="1"/>
  <c r="O22" i="1" s="1"/>
  <c r="N22" i="1" a="1"/>
  <c r="N22" i="1" s="1"/>
  <c r="M22" i="1" a="1"/>
  <c r="M22" i="1" s="1"/>
  <c r="L22" i="1"/>
  <c r="L22" i="1" a="1"/>
  <c r="K22" i="1" a="1"/>
  <c r="K22" i="1" s="1"/>
  <c r="H22" i="1"/>
  <c r="J22" i="1" s="1"/>
  <c r="P21" i="1" a="1"/>
  <c r="P21" i="1" s="1"/>
  <c r="O21" i="1" a="1"/>
  <c r="O21" i="1" s="1"/>
  <c r="N21" i="1" a="1"/>
  <c r="N21" i="1" s="1"/>
  <c r="M21" i="1"/>
  <c r="M21" i="1" a="1"/>
  <c r="L21" i="1" a="1"/>
  <c r="L21" i="1" s="1"/>
  <c r="K21" i="1" a="1"/>
  <c r="K21" i="1" s="1"/>
  <c r="H21" i="1"/>
  <c r="J21" i="1" s="1"/>
  <c r="S20" i="1"/>
  <c r="P20" i="1" a="1"/>
  <c r="P20" i="1" s="1"/>
  <c r="O20" i="1" a="1"/>
  <c r="O20" i="1" s="1"/>
  <c r="N20" i="1"/>
  <c r="N20" i="1" a="1"/>
  <c r="M20" i="1" a="1"/>
  <c r="M20" i="1" s="1"/>
  <c r="L20" i="1" a="1"/>
  <c r="L20" i="1" s="1"/>
  <c r="K20" i="1" a="1"/>
  <c r="K20" i="1" s="1"/>
  <c r="J20" i="1"/>
  <c r="I20" i="1" s="1"/>
  <c r="H20" i="1"/>
  <c r="S19" i="1"/>
  <c r="Q19" i="1"/>
  <c r="R19" i="1" s="1"/>
  <c r="P19" i="1" a="1"/>
  <c r="P19" i="1" s="1"/>
  <c r="O19" i="1" a="1"/>
  <c r="O19" i="1" s="1"/>
  <c r="N19" i="1" a="1"/>
  <c r="N19" i="1" s="1"/>
  <c r="M19" i="1" a="1"/>
  <c r="M19" i="1" s="1"/>
  <c r="L19" i="1" a="1"/>
  <c r="L19" i="1" s="1"/>
  <c r="K19" i="1" a="1"/>
  <c r="K19" i="1" s="1"/>
  <c r="J19" i="1"/>
  <c r="I19" i="1"/>
  <c r="H19" i="1"/>
  <c r="S18" i="1"/>
  <c r="P18" i="1" a="1"/>
  <c r="P18" i="1" s="1"/>
  <c r="O18" i="1" a="1"/>
  <c r="O18" i="1" s="1"/>
  <c r="N18" i="1" a="1"/>
  <c r="N18" i="1" s="1"/>
  <c r="M18" i="1" a="1"/>
  <c r="M18" i="1" s="1"/>
  <c r="L18" i="1" a="1"/>
  <c r="L18" i="1" s="1"/>
  <c r="K18" i="1" a="1"/>
  <c r="K18" i="1" s="1"/>
  <c r="H18" i="1"/>
  <c r="J18" i="1" s="1"/>
  <c r="S17" i="1"/>
  <c r="P17" i="1" a="1"/>
  <c r="P17" i="1" s="1"/>
  <c r="O17" i="1" a="1"/>
  <c r="O17" i="1" s="1"/>
  <c r="N17" i="1" a="1"/>
  <c r="N17" i="1" s="1"/>
  <c r="M17" i="1" a="1"/>
  <c r="M17" i="1" s="1"/>
  <c r="L17" i="1" a="1"/>
  <c r="L17" i="1" s="1"/>
  <c r="K17" i="1" a="1"/>
  <c r="K17" i="1" s="1"/>
  <c r="H17" i="1"/>
  <c r="J17" i="1" s="1"/>
  <c r="S16" i="1"/>
  <c r="Q16" i="1"/>
  <c r="R16" i="1" s="1"/>
  <c r="P16" i="1" a="1"/>
  <c r="P16" i="1" s="1"/>
  <c r="O16" i="1" a="1"/>
  <c r="O16" i="1" s="1"/>
  <c r="N16" i="1" a="1"/>
  <c r="N16" i="1" s="1"/>
  <c r="M16" i="1" a="1"/>
  <c r="M16" i="1" s="1"/>
  <c r="L16" i="1" a="1"/>
  <c r="L16" i="1" s="1"/>
  <c r="K16" i="1" a="1"/>
  <c r="K16" i="1" s="1"/>
  <c r="J16" i="1"/>
  <c r="I16" i="1"/>
  <c r="H16" i="1"/>
  <c r="S15" i="1"/>
  <c r="Q15" i="1"/>
  <c r="R15" i="1" s="1"/>
  <c r="P15" i="1" a="1"/>
  <c r="P15" i="1" s="1"/>
  <c r="O15" i="1" a="1"/>
  <c r="O15" i="1" s="1"/>
  <c r="N15" i="1" a="1"/>
  <c r="N15" i="1" s="1"/>
  <c r="M15" i="1" a="1"/>
  <c r="M15" i="1" s="1"/>
  <c r="L15" i="1" a="1"/>
  <c r="L15" i="1" s="1"/>
  <c r="K15" i="1" a="1"/>
  <c r="K15" i="1" s="1"/>
  <c r="J15" i="1"/>
  <c r="I15" i="1"/>
  <c r="H15" i="1"/>
  <c r="S14" i="1"/>
  <c r="Q14" i="1"/>
  <c r="R14" i="1" s="1"/>
  <c r="P14" i="1" a="1"/>
  <c r="P14" i="1" s="1"/>
  <c r="O14" i="1" a="1"/>
  <c r="O14" i="1" s="1"/>
  <c r="N14" i="1" a="1"/>
  <c r="N14" i="1" s="1"/>
  <c r="M14" i="1" a="1"/>
  <c r="M14" i="1" s="1"/>
  <c r="L14" i="1" a="1"/>
  <c r="L14" i="1" s="1"/>
  <c r="K14" i="1" a="1"/>
  <c r="K14" i="1" s="1"/>
  <c r="J14" i="1"/>
  <c r="I14" i="1"/>
  <c r="H14" i="1"/>
  <c r="S13" i="1"/>
  <c r="P13" i="1" a="1"/>
  <c r="P13" i="1" s="1"/>
  <c r="O13" i="1" a="1"/>
  <c r="O13" i="1" s="1"/>
  <c r="N13" i="1" a="1"/>
  <c r="N13" i="1" s="1"/>
  <c r="M13" i="1" a="1"/>
  <c r="M13" i="1" s="1"/>
  <c r="L13" i="1" a="1"/>
  <c r="L13" i="1" s="1"/>
  <c r="K13" i="1" a="1"/>
  <c r="K13" i="1" s="1"/>
  <c r="H13" i="1"/>
  <c r="J13" i="1" s="1"/>
  <c r="S12" i="1"/>
  <c r="Q12" i="1"/>
  <c r="R12" i="1" s="1"/>
  <c r="P12" i="1" a="1"/>
  <c r="P12" i="1" s="1"/>
  <c r="O12" i="1" a="1"/>
  <c r="O12" i="1" s="1"/>
  <c r="N12" i="1" a="1"/>
  <c r="N12" i="1" s="1"/>
  <c r="M12" i="1" a="1"/>
  <c r="M12" i="1" s="1"/>
  <c r="L12" i="1" a="1"/>
  <c r="L12" i="1" s="1"/>
  <c r="K12" i="1" a="1"/>
  <c r="K12" i="1" s="1"/>
  <c r="J12" i="1"/>
  <c r="I12" i="1"/>
  <c r="H12" i="1"/>
  <c r="F12" i="1"/>
  <c r="P11" i="1"/>
  <c r="P11" i="1" a="1"/>
  <c r="O11" i="1"/>
  <c r="O11" i="1" a="1"/>
  <c r="N11" i="1"/>
  <c r="N11" i="1" a="1"/>
  <c r="M11" i="1"/>
  <c r="M11" i="1" a="1"/>
  <c r="L11" i="1"/>
  <c r="L11" i="1" a="1"/>
  <c r="K11" i="1"/>
  <c r="K11" i="1" a="1"/>
  <c r="H11" i="1"/>
  <c r="J11" i="1" s="1"/>
  <c r="P10" i="1"/>
  <c r="P10" i="1" a="1"/>
  <c r="O10" i="1"/>
  <c r="O10" i="1" a="1"/>
  <c r="N10" i="1"/>
  <c r="N10" i="1" a="1"/>
  <c r="M10" i="1"/>
  <c r="M10" i="1" a="1"/>
  <c r="L10" i="1"/>
  <c r="L10" i="1" a="1"/>
  <c r="K10" i="1"/>
  <c r="K10" i="1" a="1"/>
  <c r="J10" i="1"/>
  <c r="I10" i="1" s="1"/>
  <c r="H10" i="1"/>
  <c r="S10" i="1" s="1"/>
  <c r="P9" i="1"/>
  <c r="P9" i="1" a="1"/>
  <c r="O9" i="1"/>
  <c r="O9" i="1" a="1"/>
  <c r="N9" i="1"/>
  <c r="N9" i="1" a="1"/>
  <c r="M9" i="1"/>
  <c r="M9" i="1" a="1"/>
  <c r="L9" i="1"/>
  <c r="L9" i="1" a="1"/>
  <c r="K9" i="1"/>
  <c r="K9" i="1" a="1"/>
  <c r="H9" i="1"/>
  <c r="J9" i="1" s="1"/>
  <c r="P8" i="1"/>
  <c r="P8" i="1" a="1"/>
  <c r="O8" i="1"/>
  <c r="O8" i="1" a="1"/>
  <c r="N8" i="1"/>
  <c r="N8" i="1" a="1"/>
  <c r="M8" i="1"/>
  <c r="M8" i="1" a="1"/>
  <c r="L8" i="1"/>
  <c r="L8" i="1" a="1"/>
  <c r="K8" i="1" a="1"/>
  <c r="K8" i="1" s="1"/>
  <c r="J8" i="1"/>
  <c r="I8" i="1" s="1"/>
  <c r="H8" i="1"/>
  <c r="G8" i="1"/>
  <c r="S8" i="1" s="1"/>
  <c r="F8" i="1"/>
  <c r="P7" i="1"/>
  <c r="P7" i="1" a="1"/>
  <c r="O7" i="1"/>
  <c r="O7" i="1" a="1"/>
  <c r="N7" i="1"/>
  <c r="N7" i="1" a="1"/>
  <c r="M7" i="1" a="1"/>
  <c r="M7" i="1" s="1"/>
  <c r="L7" i="1"/>
  <c r="L7" i="1" a="1"/>
  <c r="K7" i="1"/>
  <c r="K7" i="1" a="1"/>
  <c r="J7" i="1"/>
  <c r="Q7" i="1" s="1"/>
  <c r="R7" i="1" s="1"/>
  <c r="H7" i="1"/>
  <c r="S7" i="1" s="1"/>
  <c r="P6" i="1" a="1"/>
  <c r="P6" i="1" s="1"/>
  <c r="O6" i="1" a="1"/>
  <c r="O6" i="1" s="1"/>
  <c r="N6" i="1" a="1"/>
  <c r="N6" i="1" s="1"/>
  <c r="M6" i="1" a="1"/>
  <c r="M6" i="1" s="1"/>
  <c r="L6" i="1" a="1"/>
  <c r="L6" i="1" s="1"/>
  <c r="K6" i="1" a="1"/>
  <c r="K6" i="1" s="1"/>
  <c r="H6" i="1"/>
  <c r="J6" i="1" s="1"/>
  <c r="Q6" i="1" s="1"/>
  <c r="R6" i="1" s="1"/>
  <c r="P5" i="1"/>
  <c r="P5" i="1" a="1"/>
  <c r="O5" i="1"/>
  <c r="O5" i="1" a="1"/>
  <c r="N5" i="1" a="1"/>
  <c r="N5" i="1" s="1"/>
  <c r="M5" i="1"/>
  <c r="M5" i="1" a="1"/>
  <c r="L5" i="1"/>
  <c r="L5" i="1" a="1"/>
  <c r="K5" i="1"/>
  <c r="K5" i="1" a="1"/>
  <c r="H5" i="1"/>
  <c r="J5" i="1" s="1"/>
  <c r="Q5" i="1" s="1"/>
  <c r="R5" i="1" s="1"/>
  <c r="P4" i="1"/>
  <c r="P4" i="1" a="1"/>
  <c r="O4" i="1"/>
  <c r="O4" i="1" a="1"/>
  <c r="N4" i="1" a="1"/>
  <c r="N4" i="1" s="1"/>
  <c r="M4" i="1"/>
  <c r="M4" i="1" a="1"/>
  <c r="L4" i="1"/>
  <c r="L4" i="1" a="1"/>
  <c r="K4" i="1"/>
  <c r="K4" i="1" a="1"/>
  <c r="H4" i="1"/>
  <c r="R4" i="1" s="1"/>
  <c r="G4" i="1"/>
  <c r="S4" i="1" s="1"/>
  <c r="F4" i="1"/>
  <c r="S3" i="1"/>
  <c r="R3" i="1"/>
  <c r="P3" i="1"/>
  <c r="P3" i="1" a="1"/>
  <c r="O3" i="1" a="1"/>
  <c r="O3" i="1" s="1"/>
  <c r="N3" i="1"/>
  <c r="N3" i="1" a="1"/>
  <c r="M3" i="1"/>
  <c r="M3" i="1" a="1"/>
  <c r="L3" i="1"/>
  <c r="L3" i="1" a="1"/>
  <c r="K3" i="1" a="1"/>
  <c r="K3" i="1" s="1"/>
  <c r="J3" i="1"/>
  <c r="H3" i="1"/>
  <c r="S2" i="1"/>
  <c r="P2" i="1" a="1"/>
  <c r="P2" i="1" s="1"/>
  <c r="O2" i="1" a="1"/>
  <c r="O2" i="1" s="1"/>
  <c r="N2" i="1" a="1"/>
  <c r="N2" i="1" s="1"/>
  <c r="M2" i="1" a="1"/>
  <c r="M2" i="1" s="1"/>
  <c r="L2" i="1" a="1"/>
  <c r="L2" i="1" s="1"/>
  <c r="K2" i="1" a="1"/>
  <c r="K2" i="1" s="1"/>
  <c r="H2" i="1"/>
  <c r="J2" i="1" s="1"/>
  <c r="Q17" i="1" l="1"/>
  <c r="R17" i="1" s="1"/>
  <c r="I17" i="1"/>
  <c r="K29" i="1"/>
  <c r="L29" i="1"/>
  <c r="M29" i="1"/>
  <c r="Q9" i="1"/>
  <c r="R9" i="1" s="1"/>
  <c r="I9" i="1"/>
  <c r="I2" i="1"/>
  <c r="Q2" i="1"/>
  <c r="N29" i="1"/>
  <c r="Q13" i="1"/>
  <c r="R13" i="1" s="1"/>
  <c r="I13" i="1"/>
  <c r="I18" i="1"/>
  <c r="Q18" i="1"/>
  <c r="R18" i="1" s="1"/>
  <c r="O29" i="1"/>
  <c r="Q21" i="1"/>
  <c r="R21" i="1" s="1"/>
  <c r="I21" i="1"/>
  <c r="I22" i="1"/>
  <c r="Q22" i="1"/>
  <c r="R22" i="1" s="1"/>
  <c r="P29" i="1"/>
  <c r="I11" i="1"/>
  <c r="Q11" i="1"/>
  <c r="R11" i="1" s="1"/>
  <c r="Q25" i="1"/>
  <c r="R25" i="1" s="1"/>
  <c r="I25" i="1"/>
  <c r="I26" i="1"/>
  <c r="Q26" i="1"/>
  <c r="R26" i="1" s="1"/>
  <c r="S5" i="1"/>
  <c r="S9" i="1"/>
  <c r="Q10" i="1"/>
  <c r="R10" i="1" s="1"/>
  <c r="S6" i="1"/>
  <c r="S21" i="1"/>
  <c r="S25" i="1"/>
  <c r="J4" i="1"/>
  <c r="Q8" i="1"/>
  <c r="R8" i="1" s="1"/>
  <c r="S11" i="1"/>
  <c r="Q20" i="1"/>
  <c r="R20" i="1" s="1"/>
  <c r="Q24" i="1"/>
  <c r="R24" i="1" s="1"/>
  <c r="Q28" i="1"/>
  <c r="R28" i="1" s="1"/>
  <c r="Q29" i="1" l="1"/>
  <c r="R2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<sst xmlns="http://schemas.openxmlformats.org/spreadsheetml/2006/main" count="124" uniqueCount="60">
  <si>
    <t>OPERATION</t>
  </si>
  <si>
    <t>PROG</t>
  </si>
  <si>
    <t>N lgts</t>
  </si>
  <si>
    <t>RO</t>
  </si>
  <si>
    <t>Phase</t>
  </si>
  <si>
    <t>PRP</t>
  </si>
  <si>
    <t>TOTAL HONORAIRES</t>
  </si>
  <si>
    <t>CUMUL HONORAIRES FACTURES</t>
  </si>
  <si>
    <t>AVANCEMENT FACTURE</t>
  </si>
  <si>
    <t>% AVANCEMENT</t>
  </si>
  <si>
    <t>PERCU EN 2017</t>
  </si>
  <si>
    <t>PERCU EN 2018</t>
  </si>
  <si>
    <t>PERCU EN 2019</t>
  </si>
  <si>
    <t>PERCU EN 2020</t>
  </si>
  <si>
    <t>PERCU EN 2021</t>
  </si>
  <si>
    <t>PERCU EN 2022</t>
  </si>
  <si>
    <t>RESTE A PERCEVOIR EN 2022</t>
  </si>
  <si>
    <t>% Avancement prév fin 2022</t>
  </si>
  <si>
    <t>RESTE A PERCEVOIR</t>
  </si>
  <si>
    <t>OBS</t>
  </si>
  <si>
    <t>100 Marches</t>
  </si>
  <si>
    <t>JER</t>
  </si>
  <si>
    <t>fin</t>
  </si>
  <si>
    <t>Bougainvillées</t>
  </si>
  <si>
    <t>GPA</t>
  </si>
  <si>
    <t>Bilan final</t>
  </si>
  <si>
    <t>50% bilan final</t>
  </si>
  <si>
    <t>Bras des Etangs</t>
  </si>
  <si>
    <t>Caramboles</t>
  </si>
  <si>
    <t>Citronnelles</t>
  </si>
  <si>
    <t>Hubert Delisle</t>
  </si>
  <si>
    <t>Bellevue A-B-C</t>
  </si>
  <si>
    <t>bilan final</t>
  </si>
  <si>
    <t>Canal Lilis</t>
  </si>
  <si>
    <t>La Cure</t>
  </si>
  <si>
    <t>Poinsétias</t>
  </si>
  <si>
    <t>Casabianca</t>
  </si>
  <si>
    <t>AO</t>
  </si>
  <si>
    <t>Chapelle</t>
  </si>
  <si>
    <t>MHO</t>
  </si>
  <si>
    <t>Chemin Galet 1</t>
  </si>
  <si>
    <t>Chemin Galet 2</t>
  </si>
  <si>
    <t>La Cure 2</t>
  </si>
  <si>
    <t>Le Choka Bleu</t>
  </si>
  <si>
    <t>Orchidées 1</t>
  </si>
  <si>
    <t>Lacaussade 1</t>
  </si>
  <si>
    <t>PRO</t>
  </si>
  <si>
    <t>CAO</t>
  </si>
  <si>
    <t>Cœur de village 40</t>
  </si>
  <si>
    <t>APS</t>
  </si>
  <si>
    <t>Cazala</t>
  </si>
  <si>
    <t>Le Ruisseau</t>
  </si>
  <si>
    <t>La Forêt</t>
  </si>
  <si>
    <t>Orchidées 2</t>
  </si>
  <si>
    <t>Nid Joli</t>
  </si>
  <si>
    <t>ESQ</t>
  </si>
  <si>
    <t>Benjoins 1</t>
  </si>
  <si>
    <t>Berive</t>
  </si>
  <si>
    <t>Usine à Vetyver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</si>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</sst>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&quot; opérations en cours&quot;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4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30">
    <xf numFmtId="0" fontId="0" fillId="0" borderId="0" xfId="0"/>
    <xf numFmtId="0" fontId="4" fillId="0" borderId="0" xfId="0" applyFont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/>
    </xf>
    <xf numFmtId="3" fontId="0" fillId="0" borderId="0" xfId="0" applyNumberFormat="1" applyAlignment="1">
      <alignment horizontal="right"/>
    </xf>
    <xf numFmtId="9" fontId="5" fillId="0" borderId="0" xfId="0" applyNumberFormat="1" applyFont="1" applyAlignment="1">
      <alignment horizontal="center"/>
    </xf>
    <xf numFmtId="9" fontId="1" fillId="0" borderId="0" xfId="1" applyFont="1" applyBorder="1"/>
    <xf numFmtId="3" fontId="1" fillId="0" borderId="0" xfId="1" applyNumberFormat="1" applyFont="1" applyBorder="1"/>
    <xf numFmtId="3" fontId="2" fillId="2" borderId="0" xfId="1" applyNumberFormat="1" applyFont="1" applyFill="1" applyBorder="1"/>
    <xf numFmtId="9" fontId="2" fillId="2" borderId="0" xfId="1" applyFont="1" applyFill="1" applyBorder="1"/>
    <xf numFmtId="3" fontId="5" fillId="0" borderId="0" xfId="0" applyNumberFormat="1" applyFont="1" applyAlignment="1">
      <alignment horizontal="right"/>
    </xf>
    <xf numFmtId="0" fontId="2" fillId="0" borderId="0" xfId="0" applyFont="1" applyAlignment="1">
      <alignment horizontal="left"/>
    </xf>
    <xf numFmtId="10" fontId="1" fillId="0" borderId="0" xfId="1" applyNumberFormat="1" applyFont="1"/>
    <xf numFmtId="3" fontId="1" fillId="0" borderId="0" xfId="1" applyNumberFormat="1" applyFont="1"/>
    <xf numFmtId="3" fontId="2" fillId="2" borderId="0" xfId="1" applyNumberFormat="1" applyFont="1" applyFill="1"/>
    <xf numFmtId="9" fontId="2" fillId="2" borderId="0" xfId="1" applyFont="1" applyFill="1"/>
    <xf numFmtId="0" fontId="0" fillId="0" borderId="0" xfId="0" applyAlignment="1">
      <alignment horizontal="left"/>
    </xf>
    <xf numFmtId="9" fontId="2" fillId="0" borderId="0" xfId="0" applyNumberFormat="1" applyFont="1" applyAlignment="1">
      <alignment horizontal="center"/>
    </xf>
    <xf numFmtId="10" fontId="1" fillId="0" borderId="0" xfId="1" applyNumberFormat="1" applyFont="1" applyBorder="1"/>
    <xf numFmtId="9" fontId="0" fillId="0" borderId="0" xfId="0" applyNumberFormat="1" applyAlignment="1">
      <alignment horizontal="left"/>
    </xf>
    <xf numFmtId="10" fontId="0" fillId="0" borderId="0" xfId="1" applyNumberFormat="1" applyFont="1"/>
    <xf numFmtId="3" fontId="0" fillId="0" borderId="0" xfId="1" applyNumberFormat="1" applyFont="1"/>
    <xf numFmtId="0" fontId="0" fillId="0" borderId="0" xfId="0" applyAlignment="1">
      <alignment horizontal="right"/>
    </xf>
    <xf numFmtId="0" fontId="4" fillId="0" borderId="0" xfId="0" applyFont="1" applyAlignment="1">
      <alignment horizontal="center"/>
    </xf>
    <xf numFmtId="3" fontId="0" fillId="0" borderId="0" xfId="0" applyNumberFormat="1"/>
    <xf numFmtId="3" fontId="3" fillId="0" borderId="0" xfId="0" applyNumberFormat="1" applyFont="1"/>
    <xf numFmtId="3" fontId="6" fillId="2" borderId="0" xfId="0" applyNumberFormat="1" applyFont="1" applyFill="1"/>
    <xf numFmtId="0" fontId="3" fillId="0" borderId="0" xfId="0" applyFont="1"/>
    <xf numFmtId="164" fontId="7" fillId="0" borderId="0" xfId="0" applyNumberFormat="1" applyFont="1"/>
    <xf numFmtId="0" fontId="0" fillId="0" borderId="0" xfId="0" applyAlignment="1">
      <alignment horizontal="center"/>
    </xf>
  </cellXfs>
  <cellStyles count="2">
    <cellStyle name="Normal" xfId="0" builtinId="0"/>
    <cellStyle name="Pourcentage" xfId="1" builtinId="5"/>
  </cellStyles>
  <dxfs count="4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</font>
      <numFmt numFmtId="3" formatCode="#,##0"/>
      <alignment horizontal="right" vertical="bottom" textRotation="0" wrapText="0" indent="0" justifyLastLine="0" shrinkToFit="0" readingOrder="0"/>
    </dxf>
    <dxf>
      <alignment horizontal="righ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13" formatCode="0%"/>
      <fill>
        <patternFill patternType="solid">
          <fgColor indexed="64"/>
          <bgColor rgb="FFFFFF0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3" formatCode="#,##0"/>
      <fill>
        <patternFill patternType="solid">
          <fgColor indexed="64"/>
          <bgColor rgb="FFFFFF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3" formatCode="#,##0"/>
      <fill>
        <patternFill patternType="solid">
          <fgColor indexed="64"/>
          <bgColor rgb="FFFFFF0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3" formatCode="#,##0"/>
      <fill>
        <patternFill patternType="solid">
          <fgColor indexed="64"/>
          <bgColor rgb="FFFFFF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" formatCode="#,##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" formatCode="#,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" formatCode="#,##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" formatCode="#,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" formatCode="#,##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" formatCode="#,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" formatCode="#,##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" formatCode="#,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" formatCode="#,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" formatCode="#,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" formatCode="#,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" formatCode="#,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4" formatCode="0.00%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3" formatCode="0%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b val="0"/>
      </font>
      <numFmt numFmtId="3" formatCode="#,##0"/>
      <alignment horizontal="right" vertical="bottom" textRotation="0" wrapText="0" indent="0" justifyLastLine="0" shrinkToFit="0" readingOrder="0"/>
    </dxf>
    <dxf>
      <alignment horizontal="right" vertical="bottom" textRotation="0" wrapText="0" indent="0" justifyLastLine="0" shrinkToFit="0" readingOrder="0"/>
    </dxf>
    <dxf>
      <font>
        <b val="0"/>
      </font>
      <numFmt numFmtId="3" formatCode="#,##0"/>
      <alignment horizontal="right" vertical="bottom" textRotation="0" wrapText="0" indent="0" justifyLastLine="0" shrinkToFit="0" readingOrder="0"/>
    </dxf>
    <dxf>
      <alignment horizontal="right" vertical="bottom" textRotation="0" wrapText="0" indent="0" justifyLastLine="0" shrinkToFit="0" readingOrder="0"/>
    </dxf>
    <dxf>
      <font>
        <b val="0"/>
      </font>
      <numFmt numFmtId="3" formatCode="#,##0"/>
      <alignment horizontal="right" vertical="bottom" textRotation="0" wrapText="0" indent="0" justifyLastLine="0" shrinkToFit="0" readingOrder="0"/>
    </dxf>
    <dxf>
      <alignment horizontal="righ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>
          <bgColor theme="1" tint="0.49998474074526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externalLink" Target="externalLinks/externalLink2.xml"/><Relationship Id="rId7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5.xml"/><Relationship Id="rId11" Type="http://schemas.openxmlformats.org/officeDocument/2006/relationships/calcChain" Target="calcChain.xml"/><Relationship Id="rId5" Type="http://schemas.openxmlformats.org/officeDocument/2006/relationships/externalLink" Target="externalLinks/externalLink4.xml"/><Relationship Id="rId10" Type="http://schemas.openxmlformats.org/officeDocument/2006/relationships/sheetMetadata" Target="metadata.xml"/><Relationship Id="rId4" Type="http://schemas.openxmlformats.org/officeDocument/2006/relationships/externalLink" Target="externalLinks/externalLink3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O:\4%20-%20DOP\40%20-%20%20DOP%20G&#233;n&#233;ral\suivi%20d'activit&#233;\3.%20TABLEAUX%20DE%20BORD\HONORAIRES%20PAC\Pr&#233;visionnel%20HONO%202021\Suivi%20honoraires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bl/Desktop/A%20REMETTRE%20SUR%20BUREAU/PERSONNEL/A%20TRAVAILLER/WE/Tableau%20suivi%20financement%20r&#233;cap%20-%20macro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O:\4%20-%20DOP\40%20-%20%20DOP%20G&#233;n&#233;ral\suivi%20d'activit&#233;\3.%20TABLEAUX%20DE%20BORD\HONORAIRES%20PAC\Pr&#233;visionnel%20HONO%202021\Avancement%20HONO%202021%20atterrissage.xlsx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FICS-01\Organisation\4%20-%20DOP\42%20-%20P&#244;le%20Construction%20Immobili&#232;re\P&#244;le%20Immobilier\PRLC\Programmation%202019\0205-VEFA%20MIAMI\3.%20Budget\4.%20APS\19_01_14%20v2\BUDGET%20VEFA%20MIAMI%20140119%20v2.xlsx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FS01\Organisation\4%20-%20DOP\40%20-%20%20DOP%20G&#233;n&#233;ral\suivi%20d'activit&#233;\PCA\3.%20TABLEAUX%20DE%20BORD\HONORAIRES%20PAC\Pr&#233;visionnel%20HONO%202019\Avancement%20HONO%202019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LOBAL"/>
      <sheetName val="SYNTHESE REHAB"/>
      <sheetName val="Données NH REHAB"/>
      <sheetName val="Données opérations REHAB"/>
      <sheetName val="SYNTHESE NEUF"/>
      <sheetName val="Données NH NEUF"/>
      <sheetName val="Données opérations NEUVES"/>
      <sheetName val="PREVISIONNEL AVANCEMENT NEUF"/>
      <sheetName val="Aménagement 2021"/>
      <sheetName val="PREVISIONNEL AVANCEMENT REHAB"/>
      <sheetName val="Liste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>
        <row r="1">
          <cell r="A1" t="str">
            <v>Programmation</v>
          </cell>
          <cell r="C1">
            <v>0.1</v>
          </cell>
          <cell r="E1" t="str">
            <v>ESQ</v>
          </cell>
          <cell r="G1" t="str">
            <v>JER</v>
          </cell>
        </row>
        <row r="2">
          <cell r="A2" t="str">
            <v>ESQ</v>
          </cell>
          <cell r="C2">
            <v>0.15</v>
          </cell>
          <cell r="E2" t="str">
            <v>APS</v>
          </cell>
          <cell r="G2" t="str">
            <v>LCYC</v>
          </cell>
        </row>
        <row r="3">
          <cell r="A3" t="str">
            <v>APS</v>
          </cell>
          <cell r="C3">
            <v>0.25</v>
          </cell>
          <cell r="E3" t="str">
            <v>PC</v>
          </cell>
          <cell r="G3" t="str">
            <v>MHO</v>
          </cell>
        </row>
        <row r="4">
          <cell r="A4" t="str">
            <v>APD</v>
          </cell>
          <cell r="C4">
            <v>0.35</v>
          </cell>
          <cell r="E4" t="str">
            <v>APD</v>
          </cell>
          <cell r="G4" t="str">
            <v>OPO</v>
          </cell>
        </row>
        <row r="5">
          <cell r="A5" t="str">
            <v>PRO</v>
          </cell>
          <cell r="C5">
            <v>0.5</v>
          </cell>
          <cell r="E5" t="str">
            <v>PRO</v>
          </cell>
          <cell r="G5" t="str">
            <v>TQU</v>
          </cell>
        </row>
        <row r="6">
          <cell r="A6" t="str">
            <v>CAO</v>
          </cell>
          <cell r="C6">
            <v>0.55000000000000004</v>
          </cell>
          <cell r="E6" t="str">
            <v>AO</v>
          </cell>
          <cell r="G6" t="str">
            <v>YFR</v>
          </cell>
        </row>
        <row r="7">
          <cell r="A7" t="str">
            <v>OS</v>
          </cell>
          <cell r="C7">
            <v>0.65</v>
          </cell>
          <cell r="E7" t="str">
            <v>OS</v>
          </cell>
        </row>
        <row r="8">
          <cell r="A8">
            <v>0.2</v>
          </cell>
          <cell r="C8">
            <v>0.7</v>
          </cell>
          <cell r="E8" t="str">
            <v>Travaux</v>
          </cell>
        </row>
        <row r="9">
          <cell r="A9">
            <v>0.4</v>
          </cell>
          <cell r="C9">
            <v>0.75</v>
          </cell>
          <cell r="E9" t="str">
            <v>GPA</v>
          </cell>
        </row>
        <row r="10">
          <cell r="A10">
            <v>0.55000000000000004</v>
          </cell>
          <cell r="C10">
            <v>0.8</v>
          </cell>
          <cell r="E10" t="str">
            <v>fin</v>
          </cell>
        </row>
        <row r="11">
          <cell r="A11">
            <v>0.75</v>
          </cell>
          <cell r="C11">
            <v>0.85</v>
          </cell>
        </row>
        <row r="12">
          <cell r="A12">
            <v>0.95</v>
          </cell>
          <cell r="C12">
            <v>0.9</v>
          </cell>
        </row>
        <row r="13">
          <cell r="A13" t="str">
            <v>OPR</v>
          </cell>
          <cell r="C13">
            <v>0.93</v>
          </cell>
        </row>
        <row r="14">
          <cell r="A14" t="str">
            <v>Réception</v>
          </cell>
          <cell r="C14">
            <v>0.95</v>
          </cell>
        </row>
        <row r="15">
          <cell r="A15" t="str">
            <v>Bilan final</v>
          </cell>
          <cell r="C15">
            <v>1</v>
          </cell>
        </row>
        <row r="19">
          <cell r="A19" t="str">
            <v>Programmation</v>
          </cell>
        </row>
        <row r="20">
          <cell r="A20" t="str">
            <v>ESQ</v>
          </cell>
        </row>
        <row r="21">
          <cell r="A21" t="str">
            <v>APS</v>
          </cell>
        </row>
        <row r="22">
          <cell r="A22" t="str">
            <v>Dépôt PC</v>
          </cell>
        </row>
        <row r="23">
          <cell r="A23" t="str">
            <v>APD</v>
          </cell>
        </row>
        <row r="24">
          <cell r="A24" t="str">
            <v>PRO</v>
          </cell>
        </row>
        <row r="25">
          <cell r="A25" t="str">
            <v>CAO</v>
          </cell>
        </row>
        <row r="26">
          <cell r="A26" t="str">
            <v>OS</v>
          </cell>
        </row>
        <row r="27">
          <cell r="A27" t="str">
            <v>Fondations</v>
          </cell>
        </row>
        <row r="28">
          <cell r="A28" t="str">
            <v>Plancher bas du R+1</v>
          </cell>
        </row>
        <row r="29">
          <cell r="A29" t="str">
            <v>HDE</v>
          </cell>
        </row>
        <row r="30">
          <cell r="A30" t="str">
            <v>HDA</v>
          </cell>
        </row>
        <row r="31">
          <cell r="A31" t="str">
            <v>Plâtres</v>
          </cell>
        </row>
        <row r="32">
          <cell r="A32" t="str">
            <v>DAT</v>
          </cell>
        </row>
        <row r="33">
          <cell r="A33" t="str">
            <v>RDC</v>
          </cell>
        </row>
        <row r="34">
          <cell r="A34" t="str">
            <v>Bilan final</v>
          </cell>
        </row>
        <row r="37">
          <cell r="A37" t="str">
            <v>Programmation</v>
          </cell>
        </row>
        <row r="38">
          <cell r="A38" t="str">
            <v>Dépôt PC</v>
          </cell>
        </row>
        <row r="39">
          <cell r="A39" t="str">
            <v>Contrat réservation</v>
          </cell>
        </row>
        <row r="40">
          <cell r="A40" t="str">
            <v xml:space="preserve">VEFA </v>
          </cell>
        </row>
        <row r="41">
          <cell r="A41" t="str">
            <v>OS</v>
          </cell>
        </row>
        <row r="42">
          <cell r="A42" t="str">
            <v>Terrassement</v>
          </cell>
        </row>
        <row r="43">
          <cell r="A43" t="str">
            <v>Fondations</v>
          </cell>
        </row>
        <row r="44">
          <cell r="A44" t="str">
            <v>Plancher bas du R+1</v>
          </cell>
        </row>
        <row r="45">
          <cell r="A45" t="str">
            <v>HDE</v>
          </cell>
        </row>
        <row r="46">
          <cell r="A46" t="str">
            <v>HDA</v>
          </cell>
        </row>
        <row r="47">
          <cell r="A47" t="str">
            <v>Plâtres</v>
          </cell>
        </row>
        <row r="48">
          <cell r="A48" t="str">
            <v>DAT</v>
          </cell>
        </row>
        <row r="49">
          <cell r="A49" t="str">
            <v>RDC</v>
          </cell>
        </row>
        <row r="50">
          <cell r="A50" t="str">
            <v>Bilan final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onds propres"/>
      <sheetName val="SYNTHESE"/>
      <sheetName val="CGLLS"/>
      <sheetName val="Données initiales"/>
      <sheetName val="REHAB"/>
      <sheetName val="STAT REHAB"/>
      <sheetName val="Prix VEFA"/>
      <sheetName val="PROG par bassin et type"/>
      <sheetName val="Prospections  abandons"/>
      <sheetName val="Evolution LBU"/>
      <sheetName val="TCD REHAB"/>
      <sheetName val="Structure plan financement"/>
      <sheetName val="Evolution des OS"/>
      <sheetName val="Evolution des livraisons"/>
      <sheetName val="Structure PRP"/>
      <sheetName val="St Jo"/>
      <sheetName val="Répartition commune"/>
      <sheetName val="avant 2011"/>
    </sheetNames>
    <sheetDataSet>
      <sheetData sheetId="0"/>
      <sheetData sheetId="1"/>
      <sheetData sheetId="2"/>
      <sheetData sheetId="3">
        <row r="2">
          <cell r="C2" t="str">
            <v>Petite-Ile</v>
          </cell>
          <cell r="E2">
            <v>2010</v>
          </cell>
          <cell r="G2" t="str">
            <v>FHO</v>
          </cell>
          <cell r="P2">
            <v>9556</v>
          </cell>
          <cell r="Q2">
            <v>407560.68000000005</v>
          </cell>
          <cell r="AD2" t="str">
            <v>LLTS</v>
          </cell>
          <cell r="AE2">
            <v>27</v>
          </cell>
          <cell r="AF2">
            <v>27</v>
          </cell>
          <cell r="AN2">
            <v>81.943703703703676</v>
          </cell>
          <cell r="DZ2" t="str">
            <v>0</v>
          </cell>
          <cell r="GX2">
            <v>2306000</v>
          </cell>
        </row>
        <row r="3">
          <cell r="C3" t="str">
            <v>Petite-Ile</v>
          </cell>
          <cell r="E3">
            <v>2010</v>
          </cell>
          <cell r="G3" t="str">
            <v>FMA</v>
          </cell>
          <cell r="H3" t="str">
            <v>SRI</v>
          </cell>
          <cell r="P3">
            <v>9462</v>
          </cell>
          <cell r="Q3">
            <v>874165.66</v>
          </cell>
          <cell r="AD3" t="str">
            <v>LLTS</v>
          </cell>
          <cell r="AE3">
            <v>30</v>
          </cell>
          <cell r="AF3">
            <v>30</v>
          </cell>
          <cell r="AN3">
            <v>74.601333333333329</v>
          </cell>
          <cell r="DZ3" t="str">
            <v>0</v>
          </cell>
          <cell r="GX3">
            <v>2481000</v>
          </cell>
        </row>
        <row r="4">
          <cell r="C4" t="str">
            <v>Tampon</v>
          </cell>
          <cell r="E4">
            <v>2011</v>
          </cell>
          <cell r="G4" t="str">
            <v>FMA</v>
          </cell>
          <cell r="H4" t="str">
            <v>SRI</v>
          </cell>
          <cell r="P4">
            <v>3280</v>
          </cell>
          <cell r="Q4">
            <v>700000</v>
          </cell>
          <cell r="AD4" t="str">
            <v>LLS</v>
          </cell>
          <cell r="AE4">
            <v>20</v>
          </cell>
          <cell r="AF4">
            <v>20</v>
          </cell>
          <cell r="AN4">
            <v>85.367499999999993</v>
          </cell>
          <cell r="DZ4" t="str">
            <v>0</v>
          </cell>
          <cell r="GW4">
            <v>54504.5</v>
          </cell>
          <cell r="GX4">
            <v>2287466</v>
          </cell>
        </row>
        <row r="5">
          <cell r="C5" t="str">
            <v>Tampon</v>
          </cell>
          <cell r="E5">
            <v>2011</v>
          </cell>
          <cell r="P5">
            <v>5169</v>
          </cell>
          <cell r="Q5">
            <v>830607</v>
          </cell>
          <cell r="AD5" t="str">
            <v>LLS</v>
          </cell>
          <cell r="AE5">
            <v>51</v>
          </cell>
          <cell r="AF5">
            <v>51</v>
          </cell>
          <cell r="AN5">
            <v>94.850196078431367</v>
          </cell>
          <cell r="DZ5" t="str">
            <v>0</v>
          </cell>
          <cell r="GW5">
            <v>57503.294117647056</v>
          </cell>
          <cell r="GX5">
            <v>6290107</v>
          </cell>
        </row>
        <row r="6">
          <cell r="C6" t="str">
            <v>St Leu</v>
          </cell>
          <cell r="E6">
            <v>2011</v>
          </cell>
          <cell r="AD6" t="str">
            <v>LLTS</v>
          </cell>
          <cell r="AE6">
            <v>16</v>
          </cell>
          <cell r="AF6">
            <v>16</v>
          </cell>
          <cell r="AN6">
            <v>89.548124999999999</v>
          </cell>
          <cell r="DZ6" t="str">
            <v>0</v>
          </cell>
          <cell r="GW6">
            <v>53339</v>
          </cell>
          <cell r="GX6">
            <v>1530227</v>
          </cell>
        </row>
        <row r="7">
          <cell r="C7" t="str">
            <v>St Pierre</v>
          </cell>
          <cell r="E7">
            <v>2011</v>
          </cell>
          <cell r="G7" t="str">
            <v>NBL</v>
          </cell>
          <cell r="P7">
            <v>4531</v>
          </cell>
          <cell r="Q7">
            <v>799078</v>
          </cell>
          <cell r="AD7" t="str">
            <v>LLS</v>
          </cell>
          <cell r="AE7">
            <v>23</v>
          </cell>
          <cell r="AF7">
            <v>23</v>
          </cell>
          <cell r="AN7">
            <v>83.325217391304349</v>
          </cell>
          <cell r="DZ7" t="str">
            <v>0</v>
          </cell>
          <cell r="GW7">
            <v>51798.521739130432</v>
          </cell>
          <cell r="GX7">
            <v>2593661</v>
          </cell>
        </row>
        <row r="8">
          <cell r="C8" t="str">
            <v>St Leu</v>
          </cell>
          <cell r="E8">
            <v>2011</v>
          </cell>
          <cell r="P8">
            <v>8131</v>
          </cell>
          <cell r="Q8">
            <v>227747.25</v>
          </cell>
          <cell r="AD8" t="str">
            <v>LLS</v>
          </cell>
          <cell r="AE8">
            <v>4</v>
          </cell>
          <cell r="AF8">
            <v>4</v>
          </cell>
          <cell r="AN8">
            <v>79.44</v>
          </cell>
          <cell r="DZ8" t="str">
            <v>0</v>
          </cell>
          <cell r="GW8">
            <v>18750</v>
          </cell>
          <cell r="GX8">
            <v>335412</v>
          </cell>
        </row>
        <row r="9">
          <cell r="C9" t="str">
            <v>Tampon</v>
          </cell>
          <cell r="E9">
            <v>2011</v>
          </cell>
          <cell r="AD9" t="str">
            <v>LLTS</v>
          </cell>
          <cell r="AE9">
            <v>6</v>
          </cell>
          <cell r="AF9">
            <v>6</v>
          </cell>
          <cell r="AN9">
            <v>78.476666666666674</v>
          </cell>
          <cell r="DZ9" t="str">
            <v>0</v>
          </cell>
          <cell r="GW9">
            <v>56687.333333333336</v>
          </cell>
          <cell r="GX9">
            <v>486159</v>
          </cell>
        </row>
        <row r="10">
          <cell r="C10" t="str">
            <v>St Leu</v>
          </cell>
          <cell r="E10">
            <v>2011</v>
          </cell>
          <cell r="G10" t="str">
            <v>YFR</v>
          </cell>
          <cell r="H10" t="str">
            <v>NLE</v>
          </cell>
          <cell r="P10">
            <v>2405</v>
          </cell>
          <cell r="Q10">
            <v>133800</v>
          </cell>
          <cell r="AD10" t="str">
            <v>LLTS</v>
          </cell>
          <cell r="AE10">
            <v>14</v>
          </cell>
          <cell r="AF10">
            <v>14</v>
          </cell>
          <cell r="AN10">
            <v>84.554999999999993</v>
          </cell>
          <cell r="DZ10" t="str">
            <v>0</v>
          </cell>
          <cell r="GW10">
            <v>0</v>
          </cell>
          <cell r="GX10">
            <v>1285412</v>
          </cell>
        </row>
        <row r="11">
          <cell r="C11" t="str">
            <v>Tampon</v>
          </cell>
          <cell r="E11">
            <v>2012</v>
          </cell>
          <cell r="G11" t="str">
            <v>FMA</v>
          </cell>
          <cell r="P11">
            <v>3735</v>
          </cell>
          <cell r="Q11">
            <v>860000</v>
          </cell>
          <cell r="AD11" t="str">
            <v>LLS</v>
          </cell>
          <cell r="AE11">
            <v>29</v>
          </cell>
          <cell r="AF11">
            <v>29</v>
          </cell>
          <cell r="AN11">
            <v>82.355862068965521</v>
          </cell>
          <cell r="DZ11" t="str">
            <v>0</v>
          </cell>
          <cell r="GW11">
            <v>50819.28896551724</v>
          </cell>
          <cell r="GX11">
            <v>3186090</v>
          </cell>
        </row>
        <row r="12">
          <cell r="C12" t="str">
            <v>Tampon</v>
          </cell>
          <cell r="E12">
            <v>2012</v>
          </cell>
          <cell r="G12" t="str">
            <v>FMA</v>
          </cell>
          <cell r="AD12" t="str">
            <v>LLTS</v>
          </cell>
          <cell r="AE12">
            <v>13</v>
          </cell>
          <cell r="AF12">
            <v>13</v>
          </cell>
          <cell r="AN12">
            <v>71.277692307692305</v>
          </cell>
          <cell r="DZ12" t="str">
            <v>0</v>
          </cell>
          <cell r="GW12">
            <v>54338.345384615386</v>
          </cell>
          <cell r="GX12">
            <v>1041347.98</v>
          </cell>
        </row>
        <row r="13">
          <cell r="C13" t="str">
            <v>Tampon</v>
          </cell>
          <cell r="E13">
            <v>2012</v>
          </cell>
          <cell r="G13" t="str">
            <v>FVA</v>
          </cell>
          <cell r="P13">
            <v>12495</v>
          </cell>
          <cell r="Q13">
            <v>825000</v>
          </cell>
          <cell r="AD13" t="str">
            <v>LLTS</v>
          </cell>
          <cell r="AE13">
            <v>65</v>
          </cell>
          <cell r="AF13">
            <v>65</v>
          </cell>
          <cell r="AN13">
            <v>82.197923076923146</v>
          </cell>
          <cell r="DZ13" t="str">
            <v>0</v>
          </cell>
          <cell r="GW13">
            <v>49166.630769230767</v>
          </cell>
          <cell r="GX13">
            <v>6112292.5499999998</v>
          </cell>
        </row>
        <row r="14">
          <cell r="C14" t="str">
            <v>Tampon</v>
          </cell>
          <cell r="E14">
            <v>2012</v>
          </cell>
          <cell r="G14" t="str">
            <v>FHO</v>
          </cell>
          <cell r="H14" t="str">
            <v>MMA</v>
          </cell>
          <cell r="P14">
            <v>8821</v>
          </cell>
          <cell r="Q14">
            <v>530000</v>
          </cell>
          <cell r="AD14" t="str">
            <v>LLTS</v>
          </cell>
          <cell r="AE14">
            <v>40</v>
          </cell>
          <cell r="AF14">
            <v>40</v>
          </cell>
          <cell r="AN14">
            <v>64.791250000000005</v>
          </cell>
          <cell r="DZ14" t="str">
            <v>0</v>
          </cell>
          <cell r="GW14">
            <v>37013.425000000003</v>
          </cell>
          <cell r="GX14">
            <v>2895140.53</v>
          </cell>
        </row>
        <row r="15">
          <cell r="C15" t="str">
            <v>Tampon</v>
          </cell>
          <cell r="E15">
            <v>2012</v>
          </cell>
          <cell r="G15" t="str">
            <v>SGM</v>
          </cell>
          <cell r="P15">
            <v>5530</v>
          </cell>
          <cell r="Q15">
            <v>1300000</v>
          </cell>
          <cell r="AD15" t="str">
            <v>LLTS</v>
          </cell>
          <cell r="AE15">
            <v>75</v>
          </cell>
          <cell r="AF15">
            <v>75</v>
          </cell>
          <cell r="AN15">
            <v>87.451466666666661</v>
          </cell>
          <cell r="DZ15" t="str">
            <v>0</v>
          </cell>
          <cell r="GW15">
            <v>50880.303999999996</v>
          </cell>
          <cell r="GX15">
            <v>7538525.5099999998</v>
          </cell>
        </row>
        <row r="16">
          <cell r="C16" t="str">
            <v>Tampon</v>
          </cell>
          <cell r="E16">
            <v>2012</v>
          </cell>
          <cell r="H16" t="str">
            <v>DBE</v>
          </cell>
          <cell r="P16">
            <v>7275</v>
          </cell>
          <cell r="Q16">
            <v>773000</v>
          </cell>
          <cell r="AD16" t="str">
            <v>LLS</v>
          </cell>
          <cell r="AE16">
            <v>84</v>
          </cell>
          <cell r="AF16">
            <v>84</v>
          </cell>
          <cell r="AN16">
            <v>54.469761904761903</v>
          </cell>
          <cell r="DZ16" t="str">
            <v>0</v>
          </cell>
          <cell r="GW16">
            <v>38852.892857142855</v>
          </cell>
          <cell r="GX16">
            <v>6429606.3699999992</v>
          </cell>
        </row>
        <row r="17">
          <cell r="C17" t="str">
            <v>Etang-Salé</v>
          </cell>
          <cell r="E17">
            <v>2012</v>
          </cell>
          <cell r="G17" t="str">
            <v>FHO</v>
          </cell>
          <cell r="P17">
            <v>2671</v>
          </cell>
          <cell r="Q17">
            <v>176000</v>
          </cell>
          <cell r="AD17" t="str">
            <v>LLTS</v>
          </cell>
          <cell r="AE17">
            <v>14</v>
          </cell>
          <cell r="AF17">
            <v>14</v>
          </cell>
          <cell r="AN17">
            <v>79.085714285714303</v>
          </cell>
          <cell r="DZ17" t="str">
            <v>0</v>
          </cell>
          <cell r="GW17">
            <v>53221.071428571428</v>
          </cell>
          <cell r="GX17">
            <v>1240121</v>
          </cell>
        </row>
        <row r="18">
          <cell r="C18" t="str">
            <v>St Leu</v>
          </cell>
          <cell r="E18">
            <v>2012</v>
          </cell>
          <cell r="G18" t="str">
            <v>YFR</v>
          </cell>
          <cell r="H18" t="str">
            <v>VAF</v>
          </cell>
          <cell r="P18">
            <v>7382</v>
          </cell>
          <cell r="Q18">
            <v>243429</v>
          </cell>
          <cell r="AD18" t="str">
            <v>LLTS</v>
          </cell>
          <cell r="AE18">
            <v>24</v>
          </cell>
          <cell r="AF18">
            <v>24</v>
          </cell>
          <cell r="AN18">
            <v>85.274999999999991</v>
          </cell>
          <cell r="DZ18" t="str">
            <v>0</v>
          </cell>
          <cell r="FM18">
            <v>44803.79</v>
          </cell>
          <cell r="GW18">
            <v>49868.791666666664</v>
          </cell>
          <cell r="GX18">
            <v>2362522</v>
          </cell>
        </row>
        <row r="19">
          <cell r="C19" t="str">
            <v>Tampon</v>
          </cell>
          <cell r="E19">
            <v>2012</v>
          </cell>
          <cell r="P19">
            <v>2666</v>
          </cell>
          <cell r="Q19">
            <v>209000</v>
          </cell>
          <cell r="AD19" t="str">
            <v>LLTS</v>
          </cell>
          <cell r="AE19">
            <v>17</v>
          </cell>
          <cell r="AF19">
            <v>17</v>
          </cell>
          <cell r="AN19">
            <v>72.952941176470588</v>
          </cell>
          <cell r="DZ19" t="str">
            <v>0</v>
          </cell>
          <cell r="GW19">
            <v>44132.23529411765</v>
          </cell>
          <cell r="GX19">
            <v>1395754</v>
          </cell>
        </row>
        <row r="20">
          <cell r="C20" t="str">
            <v>Petite-Ile</v>
          </cell>
          <cell r="E20">
            <v>2012</v>
          </cell>
          <cell r="G20" t="str">
            <v>YFR</v>
          </cell>
          <cell r="P20">
            <v>606</v>
          </cell>
          <cell r="Q20">
            <v>89040</v>
          </cell>
          <cell r="AD20" t="str">
            <v>LLTS</v>
          </cell>
          <cell r="AE20">
            <v>7</v>
          </cell>
          <cell r="AF20">
            <v>7</v>
          </cell>
          <cell r="AN20">
            <v>76.297142857142859</v>
          </cell>
          <cell r="DZ20" t="str">
            <v>0</v>
          </cell>
          <cell r="GW20">
            <v>42042.428571428572</v>
          </cell>
          <cell r="GX20">
            <v>604971</v>
          </cell>
        </row>
        <row r="21">
          <cell r="C21" t="str">
            <v>St Leu</v>
          </cell>
          <cell r="E21">
            <v>2012</v>
          </cell>
          <cell r="H21" t="str">
            <v>GGO</v>
          </cell>
          <cell r="P21">
            <v>6156.15</v>
          </cell>
          <cell r="Q21">
            <v>164070</v>
          </cell>
          <cell r="AD21" t="str">
            <v>LLTS</v>
          </cell>
          <cell r="AE21">
            <v>22</v>
          </cell>
          <cell r="AF21">
            <v>22</v>
          </cell>
          <cell r="AN21">
            <v>76.75</v>
          </cell>
          <cell r="DZ21" t="str">
            <v>0</v>
          </cell>
          <cell r="FK21">
            <v>125069</v>
          </cell>
          <cell r="GW21">
            <v>42264.5</v>
          </cell>
          <cell r="GX21">
            <v>1895079</v>
          </cell>
        </row>
        <row r="22">
          <cell r="C22" t="str">
            <v>St Leu</v>
          </cell>
          <cell r="E22">
            <v>2012</v>
          </cell>
          <cell r="G22" t="str">
            <v>YFR</v>
          </cell>
          <cell r="H22" t="str">
            <v>VAF</v>
          </cell>
          <cell r="P22">
            <v>3000</v>
          </cell>
          <cell r="Q22">
            <v>200500</v>
          </cell>
          <cell r="AD22" t="str">
            <v>LLTS</v>
          </cell>
          <cell r="AE22">
            <v>10</v>
          </cell>
          <cell r="AF22">
            <v>10</v>
          </cell>
          <cell r="AN22">
            <v>93.558000000000007</v>
          </cell>
          <cell r="DZ22" t="str">
            <v>0</v>
          </cell>
          <cell r="GW22">
            <v>55344.1</v>
          </cell>
          <cell r="GX22">
            <v>1110259</v>
          </cell>
        </row>
        <row r="23">
          <cell r="C23" t="str">
            <v>Tampon</v>
          </cell>
          <cell r="E23">
            <v>2013</v>
          </cell>
          <cell r="H23" t="str">
            <v>MMA</v>
          </cell>
          <cell r="P23">
            <v>2330</v>
          </cell>
          <cell r="Q23">
            <v>800000</v>
          </cell>
          <cell r="AD23" t="str">
            <v>LLS</v>
          </cell>
          <cell r="AE23">
            <v>44</v>
          </cell>
          <cell r="AF23">
            <v>44</v>
          </cell>
          <cell r="AN23">
            <v>82.687727272727258</v>
          </cell>
          <cell r="DZ23" t="str">
            <v>0</v>
          </cell>
          <cell r="FK23">
            <v>285000</v>
          </cell>
          <cell r="FM23">
            <v>194031.93247</v>
          </cell>
          <cell r="GW23">
            <v>55430.63636363636</v>
          </cell>
          <cell r="GX23">
            <v>4693223</v>
          </cell>
        </row>
        <row r="24">
          <cell r="C24" t="str">
            <v>St Paul</v>
          </cell>
          <cell r="E24">
            <v>2013</v>
          </cell>
          <cell r="G24" t="str">
            <v>BBL</v>
          </cell>
          <cell r="H24" t="str">
            <v>SRI</v>
          </cell>
          <cell r="AD24" t="str">
            <v>LLTS</v>
          </cell>
          <cell r="AE24">
            <v>83</v>
          </cell>
          <cell r="AF24">
            <v>83</v>
          </cell>
          <cell r="AN24">
            <v>88.766987951807224</v>
          </cell>
          <cell r="DZ24" t="str">
            <v>0</v>
          </cell>
          <cell r="GW24">
            <v>53283.240963855424</v>
          </cell>
          <cell r="GX24">
            <v>8282245</v>
          </cell>
        </row>
        <row r="25">
          <cell r="C25" t="str">
            <v>Entre-Deux</v>
          </cell>
          <cell r="E25">
            <v>2013</v>
          </cell>
          <cell r="H25" t="str">
            <v>DAM</v>
          </cell>
          <cell r="P25">
            <v>1547</v>
          </cell>
          <cell r="Q25">
            <v>259906</v>
          </cell>
          <cell r="AD25" t="str">
            <v>LLTS</v>
          </cell>
          <cell r="AE25">
            <v>18</v>
          </cell>
          <cell r="AF25">
            <v>18</v>
          </cell>
          <cell r="AN25">
            <v>73.276666666666671</v>
          </cell>
          <cell r="CS25">
            <v>41184</v>
          </cell>
          <cell r="DA25">
            <v>41375</v>
          </cell>
          <cell r="DX25">
            <v>41880</v>
          </cell>
          <cell r="DY25">
            <v>42153</v>
          </cell>
          <cell r="DZ25">
            <v>273</v>
          </cell>
          <cell r="FM25">
            <v>110247.29</v>
          </cell>
          <cell r="FO25" t="str">
            <v>JFO / BBL / FHO / AGA / APU</v>
          </cell>
          <cell r="GW25">
            <v>40940.222222222219</v>
          </cell>
          <cell r="GX25">
            <v>1490303</v>
          </cell>
        </row>
        <row r="26">
          <cell r="C26" t="str">
            <v>St Leu</v>
          </cell>
          <cell r="E26">
            <v>2013</v>
          </cell>
          <cell r="G26" t="str">
            <v>TQU</v>
          </cell>
          <cell r="AD26" t="str">
            <v>LLTS</v>
          </cell>
          <cell r="AE26">
            <v>44</v>
          </cell>
          <cell r="AF26">
            <v>44</v>
          </cell>
          <cell r="AN26">
            <v>80.552045454545478</v>
          </cell>
          <cell r="DZ26" t="str">
            <v>0</v>
          </cell>
          <cell r="GW26">
            <v>43298.454545454544</v>
          </cell>
          <cell r="GX26">
            <v>3678947</v>
          </cell>
        </row>
        <row r="27">
          <cell r="C27" t="str">
            <v>Tampon</v>
          </cell>
          <cell r="E27">
            <v>2013</v>
          </cell>
          <cell r="G27" t="str">
            <v>YFR</v>
          </cell>
          <cell r="H27" t="str">
            <v>DAM</v>
          </cell>
          <cell r="P27">
            <v>5146</v>
          </cell>
          <cell r="Q27">
            <v>1069200</v>
          </cell>
          <cell r="AD27" t="str">
            <v>LLS</v>
          </cell>
          <cell r="AE27">
            <v>54</v>
          </cell>
          <cell r="AF27">
            <v>54</v>
          </cell>
          <cell r="AN27">
            <v>84.940153198653221</v>
          </cell>
          <cell r="DZ27" t="str">
            <v>0</v>
          </cell>
          <cell r="FM27">
            <v>173911.66743999999</v>
          </cell>
          <cell r="GW27">
            <v>60877.777777777781</v>
          </cell>
          <cell r="GX27">
            <v>5918673</v>
          </cell>
        </row>
        <row r="28">
          <cell r="C28" t="str">
            <v>St Joseph</v>
          </cell>
          <cell r="E28">
            <v>2013</v>
          </cell>
          <cell r="G28" t="str">
            <v>YFR</v>
          </cell>
          <cell r="H28" t="str">
            <v>DBA</v>
          </cell>
          <cell r="P28">
            <v>11354</v>
          </cell>
          <cell r="Q28">
            <v>444858</v>
          </cell>
          <cell r="AD28" t="str">
            <v>LLTS</v>
          </cell>
          <cell r="AE28">
            <v>34</v>
          </cell>
          <cell r="AF28">
            <v>34</v>
          </cell>
          <cell r="AN28">
            <v>77.924411764705866</v>
          </cell>
          <cell r="DZ28" t="str">
            <v>0</v>
          </cell>
          <cell r="FK28">
            <v>30629.999999999996</v>
          </cell>
          <cell r="FM28">
            <v>127571.90799999998</v>
          </cell>
          <cell r="GW28">
            <v>47063.87</v>
          </cell>
          <cell r="GX28">
            <v>3023907</v>
          </cell>
        </row>
        <row r="29">
          <cell r="C29" t="str">
            <v>Tampon</v>
          </cell>
          <cell r="E29">
            <v>2013</v>
          </cell>
          <cell r="H29" t="str">
            <v>MMA</v>
          </cell>
          <cell r="P29">
            <v>2250</v>
          </cell>
          <cell r="Q29">
            <v>102507</v>
          </cell>
          <cell r="AD29" t="str">
            <v>LLTS</v>
          </cell>
          <cell r="AE29">
            <v>9</v>
          </cell>
          <cell r="AF29">
            <v>9</v>
          </cell>
          <cell r="AN29">
            <v>78.203333333333333</v>
          </cell>
          <cell r="DZ29" t="str">
            <v>0</v>
          </cell>
          <cell r="FM29">
            <v>40210.961899999995</v>
          </cell>
          <cell r="GW29">
            <v>47378.777777777781</v>
          </cell>
          <cell r="GX29">
            <v>864010</v>
          </cell>
        </row>
        <row r="30">
          <cell r="C30" t="str">
            <v>St Paul</v>
          </cell>
          <cell r="E30">
            <v>2013</v>
          </cell>
          <cell r="G30" t="str">
            <v>BBL</v>
          </cell>
          <cell r="P30">
            <v>20161</v>
          </cell>
          <cell r="Q30">
            <v>1550000</v>
          </cell>
          <cell r="AD30" t="str">
            <v>LLS</v>
          </cell>
          <cell r="AE30">
            <v>27</v>
          </cell>
          <cell r="AF30">
            <v>27</v>
          </cell>
          <cell r="AN30">
            <v>104.25703703703704</v>
          </cell>
          <cell r="DZ30" t="str">
            <v>0</v>
          </cell>
          <cell r="FM30">
            <v>713667.76899999997</v>
          </cell>
          <cell r="GW30">
            <v>70976.629629629635</v>
          </cell>
          <cell r="GX30">
            <v>3571759.95</v>
          </cell>
        </row>
        <row r="31">
          <cell r="C31" t="str">
            <v>St Leu</v>
          </cell>
          <cell r="E31">
            <v>2013</v>
          </cell>
          <cell r="G31" t="str">
            <v>TQU</v>
          </cell>
          <cell r="H31" t="str">
            <v>VAF</v>
          </cell>
          <cell r="P31">
            <v>18523</v>
          </cell>
          <cell r="Q31">
            <v>492000</v>
          </cell>
          <cell r="AD31" t="str">
            <v>LLS</v>
          </cell>
          <cell r="AE31">
            <v>37</v>
          </cell>
          <cell r="AF31">
            <v>37</v>
          </cell>
          <cell r="AN31">
            <v>96.989189189189176</v>
          </cell>
          <cell r="DZ31" t="str">
            <v>0</v>
          </cell>
          <cell r="FM31">
            <v>131109.67299999998</v>
          </cell>
          <cell r="GW31">
            <v>66317.16216216216</v>
          </cell>
          <cell r="GX31">
            <v>4684224</v>
          </cell>
        </row>
        <row r="32">
          <cell r="C32" t="str">
            <v>St Philippe</v>
          </cell>
          <cell r="E32">
            <v>2013</v>
          </cell>
          <cell r="G32" t="str">
            <v>FHO</v>
          </cell>
          <cell r="H32" t="str">
            <v>VAF</v>
          </cell>
          <cell r="P32">
            <v>4625</v>
          </cell>
          <cell r="Q32">
            <v>215000</v>
          </cell>
          <cell r="AD32" t="str">
            <v>LLTS</v>
          </cell>
          <cell r="AE32">
            <v>14</v>
          </cell>
          <cell r="AF32">
            <v>14</v>
          </cell>
          <cell r="AN32">
            <v>83.024642857142837</v>
          </cell>
          <cell r="DZ32" t="str">
            <v>0</v>
          </cell>
          <cell r="FM32">
            <v>66160.799999999988</v>
          </cell>
          <cell r="GW32">
            <v>45897.5</v>
          </cell>
          <cell r="GX32">
            <v>1260196</v>
          </cell>
        </row>
        <row r="33">
          <cell r="C33" t="str">
            <v>Trois Bassins</v>
          </cell>
          <cell r="E33">
            <v>2013</v>
          </cell>
          <cell r="G33" t="str">
            <v>FVA</v>
          </cell>
          <cell r="H33" t="str">
            <v>DAM</v>
          </cell>
          <cell r="P33">
            <v>15520</v>
          </cell>
          <cell r="Q33">
            <v>130195</v>
          </cell>
          <cell r="AD33" t="str">
            <v>LLTS</v>
          </cell>
          <cell r="AE33">
            <v>24</v>
          </cell>
          <cell r="AF33">
            <v>24</v>
          </cell>
          <cell r="AN33">
            <v>77.122500000000002</v>
          </cell>
          <cell r="DZ33" t="str">
            <v>0</v>
          </cell>
          <cell r="FM33">
            <v>59499.795999999995</v>
          </cell>
          <cell r="GW33">
            <v>43444.708333333336</v>
          </cell>
          <cell r="GX33">
            <v>2051712</v>
          </cell>
        </row>
        <row r="34">
          <cell r="C34" t="str">
            <v>St Joseph</v>
          </cell>
          <cell r="E34">
            <v>2013</v>
          </cell>
          <cell r="G34" t="str">
            <v>FHO</v>
          </cell>
          <cell r="H34" t="str">
            <v>DAM</v>
          </cell>
          <cell r="P34">
            <v>4550</v>
          </cell>
          <cell r="Q34">
            <v>298500</v>
          </cell>
          <cell r="AD34" t="str">
            <v>LLTS</v>
          </cell>
          <cell r="AE34">
            <v>15</v>
          </cell>
          <cell r="AF34">
            <v>15</v>
          </cell>
          <cell r="AN34">
            <v>78.694666666666663</v>
          </cell>
          <cell r="DZ34" t="str">
            <v>0</v>
          </cell>
          <cell r="FM34">
            <v>0</v>
          </cell>
          <cell r="GW34">
            <v>55731.133333333331</v>
          </cell>
          <cell r="GX34">
            <v>1314229</v>
          </cell>
        </row>
        <row r="35">
          <cell r="C35" t="str">
            <v>Etang-Salé</v>
          </cell>
          <cell r="E35">
            <v>2014</v>
          </cell>
          <cell r="G35" t="str">
            <v>FVA</v>
          </cell>
          <cell r="H35" t="str">
            <v>DBE</v>
          </cell>
          <cell r="P35">
            <v>1750</v>
          </cell>
          <cell r="Q35">
            <v>325000</v>
          </cell>
          <cell r="AD35" t="str">
            <v>LLS</v>
          </cell>
          <cell r="AE35">
            <v>9</v>
          </cell>
          <cell r="AF35">
            <v>9</v>
          </cell>
          <cell r="AN35">
            <v>92.61388888888888</v>
          </cell>
          <cell r="CS35">
            <v>41548</v>
          </cell>
          <cell r="DA35">
            <v>41688</v>
          </cell>
          <cell r="DX35">
            <v>42615</v>
          </cell>
          <cell r="DY35">
            <v>42604</v>
          </cell>
          <cell r="DZ35">
            <v>-11</v>
          </cell>
          <cell r="FK35">
            <v>3439.7489999999998</v>
          </cell>
          <cell r="FM35">
            <v>27474.088999999996</v>
          </cell>
          <cell r="FO35" t="str">
            <v>SFE / AGA / FVA</v>
          </cell>
          <cell r="GW35">
            <v>68247.222222222219</v>
          </cell>
          <cell r="GX35">
            <v>1199946</v>
          </cell>
        </row>
        <row r="36">
          <cell r="C36" t="str">
            <v>Tampon</v>
          </cell>
          <cell r="E36">
            <v>2014</v>
          </cell>
          <cell r="P36">
            <v>2671</v>
          </cell>
          <cell r="Q36">
            <v>637295</v>
          </cell>
          <cell r="AD36" t="str">
            <v>LLTS</v>
          </cell>
          <cell r="AE36">
            <v>47</v>
          </cell>
          <cell r="AF36">
            <v>47</v>
          </cell>
          <cell r="AN36">
            <v>81.40425531914893</v>
          </cell>
          <cell r="DZ36" t="str">
            <v>0</v>
          </cell>
          <cell r="FM36">
            <v>0</v>
          </cell>
          <cell r="GW36">
            <v>47546.829787234041</v>
          </cell>
          <cell r="GX36">
            <v>4540907.43</v>
          </cell>
        </row>
        <row r="37">
          <cell r="C37" t="str">
            <v>St Joseph</v>
          </cell>
          <cell r="E37">
            <v>2014</v>
          </cell>
          <cell r="G37" t="str">
            <v>FHO</v>
          </cell>
          <cell r="H37" t="str">
            <v>VAF</v>
          </cell>
          <cell r="P37">
            <v>7020</v>
          </cell>
          <cell r="Q37">
            <v>577000</v>
          </cell>
          <cell r="AD37" t="str">
            <v>LLTS</v>
          </cell>
          <cell r="AE37">
            <v>21</v>
          </cell>
          <cell r="AF37">
            <v>21</v>
          </cell>
          <cell r="AN37">
            <v>72.47999999999999</v>
          </cell>
          <cell r="DX37">
            <v>43266</v>
          </cell>
          <cell r="DY37">
            <v>43284</v>
          </cell>
          <cell r="DZ37">
            <v>18</v>
          </cell>
          <cell r="FK37" t="str">
            <v>80659
31 478 FRAFU</v>
          </cell>
          <cell r="FL37">
            <v>0</v>
          </cell>
          <cell r="FM37">
            <v>0</v>
          </cell>
          <cell r="FO37" t="str">
            <v>FHO</v>
          </cell>
          <cell r="GW37">
            <v>60659.587142857148</v>
          </cell>
          <cell r="GX37">
            <v>1784577</v>
          </cell>
        </row>
        <row r="38">
          <cell r="C38" t="str">
            <v>Tampon</v>
          </cell>
          <cell r="E38">
            <v>2014</v>
          </cell>
          <cell r="G38" t="str">
            <v>YFR</v>
          </cell>
          <cell r="H38" t="str">
            <v>DBA</v>
          </cell>
          <cell r="P38">
            <v>3512</v>
          </cell>
          <cell r="Q38">
            <v>977347</v>
          </cell>
          <cell r="AD38" t="str">
            <v>LLTS</v>
          </cell>
          <cell r="AE38">
            <v>50</v>
          </cell>
          <cell r="AF38">
            <v>50</v>
          </cell>
          <cell r="AN38">
            <v>89.848799999999997</v>
          </cell>
          <cell r="DY38">
            <v>42606</v>
          </cell>
          <cell r="DZ38" t="str">
            <v>0</v>
          </cell>
          <cell r="FM38">
            <v>0</v>
          </cell>
          <cell r="FO38" t="str">
            <v>FMA / YFR</v>
          </cell>
          <cell r="GW38">
            <v>51448.520799999998</v>
          </cell>
          <cell r="GX38">
            <v>5272823.875</v>
          </cell>
        </row>
        <row r="39">
          <cell r="C39" t="str">
            <v>Etang-Salé</v>
          </cell>
          <cell r="E39">
            <v>2014</v>
          </cell>
          <cell r="G39" t="str">
            <v>FHO</v>
          </cell>
          <cell r="H39" t="str">
            <v>VAF</v>
          </cell>
          <cell r="P39">
            <v>2529</v>
          </cell>
          <cell r="Q39">
            <v>217810</v>
          </cell>
          <cell r="AD39" t="str">
            <v>LLTS</v>
          </cell>
          <cell r="AE39">
            <v>30</v>
          </cell>
          <cell r="AF39">
            <v>30</v>
          </cell>
          <cell r="AN39">
            <v>85.464999999999989</v>
          </cell>
          <cell r="CS39">
            <v>41543</v>
          </cell>
          <cell r="DA39">
            <v>41708</v>
          </cell>
          <cell r="DX39">
            <v>42908</v>
          </cell>
          <cell r="DY39">
            <v>42907</v>
          </cell>
          <cell r="DZ39">
            <v>-1</v>
          </cell>
          <cell r="FK39">
            <v>101278.04394999999</v>
          </cell>
          <cell r="FM39">
            <v>84397</v>
          </cell>
          <cell r="FO39" t="str">
            <v>FMA / FHO</v>
          </cell>
          <cell r="GW39">
            <v>48754.066666666666</v>
          </cell>
          <cell r="GX39">
            <v>2706086</v>
          </cell>
        </row>
        <row r="40">
          <cell r="C40" t="str">
            <v>Etang-Salé</v>
          </cell>
          <cell r="E40">
            <v>2014</v>
          </cell>
          <cell r="G40" t="str">
            <v>YFR</v>
          </cell>
          <cell r="H40" t="str">
            <v>DBE</v>
          </cell>
          <cell r="P40">
            <v>1500</v>
          </cell>
          <cell r="Q40">
            <v>128915</v>
          </cell>
          <cell r="AD40" t="str">
            <v>LLTS</v>
          </cell>
          <cell r="AE40">
            <v>16</v>
          </cell>
          <cell r="AF40">
            <v>16</v>
          </cell>
          <cell r="AN40">
            <v>88.41</v>
          </cell>
          <cell r="DZ40" t="str">
            <v>0</v>
          </cell>
          <cell r="FM40">
            <v>12993.96</v>
          </cell>
          <cell r="GW40">
            <v>53939</v>
          </cell>
          <cell r="GX40">
            <v>1596953.37</v>
          </cell>
        </row>
        <row r="41">
          <cell r="C41" t="str">
            <v>St Philippe</v>
          </cell>
          <cell r="E41">
            <v>2015</v>
          </cell>
          <cell r="G41" t="str">
            <v>FHO</v>
          </cell>
          <cell r="H41" t="str">
            <v>MMA</v>
          </cell>
          <cell r="P41">
            <v>3547</v>
          </cell>
          <cell r="Q41">
            <v>319230</v>
          </cell>
          <cell r="AD41" t="str">
            <v>LLTS</v>
          </cell>
          <cell r="AE41">
            <v>19</v>
          </cell>
          <cell r="AF41">
            <v>19</v>
          </cell>
          <cell r="AN41">
            <v>63.241052631578945</v>
          </cell>
          <cell r="DX41">
            <v>43059</v>
          </cell>
          <cell r="DY41">
            <v>43144</v>
          </cell>
          <cell r="DZ41">
            <v>85</v>
          </cell>
          <cell r="FK41">
            <v>99692.481999999989</v>
          </cell>
          <cell r="FM41">
            <v>1791.7937399999998</v>
          </cell>
          <cell r="FO41" t="str">
            <v>FHO</v>
          </cell>
          <cell r="GW41">
            <v>40586.368421052633</v>
          </cell>
          <cell r="GX41">
            <v>0</v>
          </cell>
        </row>
        <row r="42">
          <cell r="C42" t="str">
            <v>St Joseph</v>
          </cell>
          <cell r="E42">
            <v>2015</v>
          </cell>
          <cell r="G42" t="str">
            <v>TQU</v>
          </cell>
          <cell r="H42" t="str">
            <v>DAM</v>
          </cell>
          <cell r="P42">
            <v>779</v>
          </cell>
          <cell r="Q42">
            <v>195000</v>
          </cell>
          <cell r="AD42" t="str">
            <v>LLTS</v>
          </cell>
          <cell r="AE42">
            <v>20</v>
          </cell>
          <cell r="AF42">
            <v>20</v>
          </cell>
          <cell r="AN42">
            <v>64.975499999999997</v>
          </cell>
          <cell r="CS42">
            <v>41828</v>
          </cell>
          <cell r="DA42">
            <v>42027</v>
          </cell>
          <cell r="DX42">
            <v>42899</v>
          </cell>
          <cell r="DY42">
            <v>42978</v>
          </cell>
          <cell r="DZ42">
            <v>79</v>
          </cell>
          <cell r="FK42">
            <v>11509.23</v>
          </cell>
          <cell r="FL42">
            <v>0</v>
          </cell>
          <cell r="FM42">
            <v>31941.984999999997</v>
          </cell>
          <cell r="FO42" t="str">
            <v>JMO / NBL / FBR</v>
          </cell>
          <cell r="GW42">
            <v>40154.9</v>
          </cell>
          <cell r="GX42">
            <v>1544668</v>
          </cell>
        </row>
        <row r="43">
          <cell r="C43" t="str">
            <v>Etang-Salé</v>
          </cell>
          <cell r="E43">
            <v>2015</v>
          </cell>
          <cell r="G43" t="str">
            <v>FVA</v>
          </cell>
          <cell r="H43" t="str">
            <v>DBE</v>
          </cell>
          <cell r="P43">
            <v>1263</v>
          </cell>
          <cell r="Q43">
            <v>126500</v>
          </cell>
          <cell r="AD43" t="str">
            <v>LLTS</v>
          </cell>
          <cell r="AE43">
            <v>18</v>
          </cell>
          <cell r="AF43">
            <v>18</v>
          </cell>
          <cell r="AN43">
            <v>81.286666666666676</v>
          </cell>
          <cell r="CS43">
            <v>41963</v>
          </cell>
          <cell r="DA43">
            <v>42033</v>
          </cell>
          <cell r="DY43">
            <v>43222</v>
          </cell>
          <cell r="DZ43" t="str">
            <v>0</v>
          </cell>
          <cell r="FK43">
            <v>115573</v>
          </cell>
          <cell r="FL43">
            <v>96000</v>
          </cell>
          <cell r="FO43" t="str">
            <v>JMO / AGA / FVA</v>
          </cell>
          <cell r="GW43">
            <v>48683.093675939657</v>
          </cell>
          <cell r="GX43">
            <v>1657979</v>
          </cell>
        </row>
        <row r="44">
          <cell r="C44" t="str">
            <v>St Louis</v>
          </cell>
          <cell r="E44">
            <v>2015</v>
          </cell>
          <cell r="G44" t="str">
            <v>EMO</v>
          </cell>
          <cell r="P44">
            <v>10371.413793103447</v>
          </cell>
          <cell r="Q44">
            <v>468089.65517241386</v>
          </cell>
          <cell r="AD44" t="str">
            <v>LLS</v>
          </cell>
          <cell r="AE44">
            <v>46</v>
          </cell>
          <cell r="AF44">
            <v>46</v>
          </cell>
          <cell r="AN44">
            <v>87.731847826086991</v>
          </cell>
          <cell r="DX44">
            <v>42942</v>
          </cell>
          <cell r="DY44">
            <v>43160</v>
          </cell>
          <cell r="DZ44">
            <v>218</v>
          </cell>
          <cell r="FK44">
            <v>491714.43721999996</v>
          </cell>
          <cell r="FL44">
            <v>345197.8408103516</v>
          </cell>
          <cell r="FM44">
            <v>77194.093559999994</v>
          </cell>
          <cell r="FO44" t="str">
            <v>SFE / APU</v>
          </cell>
          <cell r="GW44">
            <v>57449.67391304348</v>
          </cell>
          <cell r="GX44">
            <v>5285874</v>
          </cell>
        </row>
        <row r="45">
          <cell r="C45" t="str">
            <v>St Louis</v>
          </cell>
          <cell r="E45">
            <v>2015</v>
          </cell>
          <cell r="G45" t="str">
            <v>EMO</v>
          </cell>
          <cell r="H45" t="str">
            <v>VAF</v>
          </cell>
          <cell r="P45">
            <v>2705.5862068965516</v>
          </cell>
          <cell r="Q45">
            <v>122110.34482758622</v>
          </cell>
          <cell r="AD45" t="str">
            <v>LLTS</v>
          </cell>
          <cell r="AE45">
            <v>12</v>
          </cell>
          <cell r="AF45">
            <v>12</v>
          </cell>
          <cell r="AN45">
            <v>56.438333333333333</v>
          </cell>
          <cell r="DZ45" t="str">
            <v>0</v>
          </cell>
          <cell r="FK45" t="str">
            <v>-</v>
          </cell>
          <cell r="GW45">
            <v>36957.657500000001</v>
          </cell>
          <cell r="GX45">
            <v>771556</v>
          </cell>
        </row>
        <row r="46">
          <cell r="C46" t="str">
            <v>St Paul</v>
          </cell>
          <cell r="E46">
            <v>2015</v>
          </cell>
          <cell r="G46" t="str">
            <v>BBL</v>
          </cell>
          <cell r="H46" t="str">
            <v>DBE</v>
          </cell>
          <cell r="P46">
            <v>1767</v>
          </cell>
          <cell r="Q46">
            <v>210000</v>
          </cell>
          <cell r="AD46" t="str">
            <v>LLTS</v>
          </cell>
          <cell r="AE46">
            <v>18</v>
          </cell>
          <cell r="AF46">
            <v>18</v>
          </cell>
          <cell r="AN46">
            <v>94.928333333333342</v>
          </cell>
          <cell r="CS46">
            <v>41813</v>
          </cell>
          <cell r="DA46">
            <v>42038</v>
          </cell>
          <cell r="DX46">
            <v>42899</v>
          </cell>
          <cell r="DY46">
            <v>42923</v>
          </cell>
          <cell r="DZ46">
            <v>24</v>
          </cell>
          <cell r="FK46">
            <v>177717.03653999997</v>
          </cell>
          <cell r="FL46">
            <v>128189</v>
          </cell>
          <cell r="FM46">
            <v>8425.6391399999993</v>
          </cell>
          <cell r="FO46" t="str">
            <v>JMO / NBL / FBR / BBL</v>
          </cell>
          <cell r="GW46">
            <v>54598.888888888891</v>
          </cell>
          <cell r="GX46">
            <v>0</v>
          </cell>
        </row>
        <row r="47">
          <cell r="C47" t="str">
            <v>St Joseph</v>
          </cell>
          <cell r="E47">
            <v>2015</v>
          </cell>
          <cell r="G47" t="str">
            <v>FHO</v>
          </cell>
          <cell r="H47" t="str">
            <v>VAF</v>
          </cell>
          <cell r="P47">
            <v>3038</v>
          </cell>
          <cell r="Q47">
            <v>690000</v>
          </cell>
          <cell r="AD47" t="str">
            <v>LLTS</v>
          </cell>
          <cell r="AE47">
            <v>55</v>
          </cell>
          <cell r="AF47">
            <v>55</v>
          </cell>
          <cell r="AN47">
            <v>58.805454545454538</v>
          </cell>
          <cell r="DX47">
            <v>42946</v>
          </cell>
          <cell r="DY47">
            <v>42895</v>
          </cell>
          <cell r="DZ47">
            <v>-51</v>
          </cell>
          <cell r="FK47">
            <v>0</v>
          </cell>
          <cell r="FM47">
            <v>0</v>
          </cell>
          <cell r="FO47" t="str">
            <v>FHO</v>
          </cell>
          <cell r="GW47">
            <v>35061.345454545452</v>
          </cell>
          <cell r="GX47">
            <v>3865450</v>
          </cell>
        </row>
        <row r="48">
          <cell r="C48" t="str">
            <v>Tampon</v>
          </cell>
          <cell r="E48">
            <v>2015</v>
          </cell>
          <cell r="G48" t="str">
            <v>BBL</v>
          </cell>
          <cell r="H48" t="str">
            <v>SRI</v>
          </cell>
          <cell r="P48">
            <v>8838</v>
          </cell>
          <cell r="Q48">
            <v>652080</v>
          </cell>
          <cell r="AD48" t="str">
            <v>LLS</v>
          </cell>
          <cell r="AE48">
            <v>20</v>
          </cell>
          <cell r="AF48">
            <v>20</v>
          </cell>
          <cell r="AN48">
            <v>97.031999999999982</v>
          </cell>
          <cell r="DX48">
            <v>43315</v>
          </cell>
          <cell r="DY48">
            <v>43446</v>
          </cell>
          <cell r="DZ48">
            <v>131</v>
          </cell>
          <cell r="FK48">
            <v>485791.79999999993</v>
          </cell>
          <cell r="FM48">
            <v>0</v>
          </cell>
          <cell r="FO48" t="str">
            <v>JMO / FBR</v>
          </cell>
          <cell r="GW48">
            <v>61031.4</v>
          </cell>
          <cell r="GX48">
            <v>2066681</v>
          </cell>
        </row>
        <row r="49">
          <cell r="C49" t="str">
            <v>Tampon</v>
          </cell>
          <cell r="E49">
            <v>2016</v>
          </cell>
          <cell r="G49" t="str">
            <v>BBL</v>
          </cell>
          <cell r="P49">
            <v>8838</v>
          </cell>
          <cell r="Q49">
            <v>652080</v>
          </cell>
          <cell r="AD49" t="str">
            <v>LLTS</v>
          </cell>
          <cell r="AE49">
            <v>69</v>
          </cell>
          <cell r="AF49">
            <v>69</v>
          </cell>
          <cell r="AN49">
            <v>72.319999999999993</v>
          </cell>
          <cell r="DX49">
            <v>43315</v>
          </cell>
          <cell r="DY49">
            <v>43446</v>
          </cell>
          <cell r="DZ49">
            <v>131</v>
          </cell>
          <cell r="FM49">
            <v>0</v>
          </cell>
          <cell r="GW49">
            <v>44386.768115942032</v>
          </cell>
          <cell r="GX49">
            <v>5336445</v>
          </cell>
        </row>
        <row r="50">
          <cell r="C50" t="str">
            <v>Avirons</v>
          </cell>
          <cell r="E50">
            <v>2016</v>
          </cell>
          <cell r="G50" t="str">
            <v>YFR</v>
          </cell>
          <cell r="H50" t="str">
            <v>DAM</v>
          </cell>
          <cell r="P50">
            <v>807</v>
          </cell>
          <cell r="Q50">
            <v>250272</v>
          </cell>
          <cell r="AD50" t="str">
            <v>LLTS</v>
          </cell>
          <cell r="AE50">
            <v>23</v>
          </cell>
          <cell r="AF50">
            <v>23</v>
          </cell>
          <cell r="AN50">
            <v>66.787391304347821</v>
          </cell>
          <cell r="DX50">
            <v>42712</v>
          </cell>
          <cell r="DY50">
            <v>42712</v>
          </cell>
          <cell r="DZ50">
            <v>0</v>
          </cell>
          <cell r="FK50">
            <v>0</v>
          </cell>
          <cell r="FM50">
            <v>0</v>
          </cell>
          <cell r="FO50" t="str">
            <v>MFL / ADE</v>
          </cell>
          <cell r="GW50">
            <v>39203.956521739128</v>
          </cell>
          <cell r="GX50">
            <v>1772076</v>
          </cell>
        </row>
        <row r="51">
          <cell r="C51" t="str">
            <v>Etang-Salé</v>
          </cell>
          <cell r="E51">
            <v>2016</v>
          </cell>
          <cell r="G51" t="str">
            <v>TQU</v>
          </cell>
          <cell r="H51" t="str">
            <v>MMA</v>
          </cell>
          <cell r="P51">
            <v>3126</v>
          </cell>
          <cell r="Q51">
            <v>268450</v>
          </cell>
          <cell r="AD51" t="str">
            <v>LLS</v>
          </cell>
          <cell r="AE51">
            <v>30</v>
          </cell>
          <cell r="AF51">
            <v>30</v>
          </cell>
          <cell r="AN51">
            <v>89.279666666666657</v>
          </cell>
          <cell r="CS51">
            <v>41548</v>
          </cell>
          <cell r="DA51">
            <v>41697</v>
          </cell>
          <cell r="DX51">
            <v>42916</v>
          </cell>
          <cell r="DY51">
            <v>42936</v>
          </cell>
          <cell r="DZ51">
            <v>20</v>
          </cell>
          <cell r="FK51">
            <v>316521.23099999997</v>
          </cell>
          <cell r="FM51">
            <v>0</v>
          </cell>
          <cell r="FO51" t="str">
            <v>JDC / NBL / MFL / ADE</v>
          </cell>
          <cell r="GW51">
            <v>54631.871333333329</v>
          </cell>
          <cell r="GX51">
            <v>3296474.06</v>
          </cell>
        </row>
        <row r="52">
          <cell r="C52" t="str">
            <v>Petite-Ile</v>
          </cell>
          <cell r="E52">
            <v>2016</v>
          </cell>
          <cell r="G52" t="str">
            <v>FHO</v>
          </cell>
          <cell r="H52" t="str">
            <v>DAM</v>
          </cell>
          <cell r="P52">
            <v>5130</v>
          </cell>
          <cell r="Q52">
            <v>425624</v>
          </cell>
          <cell r="AD52" t="str">
            <v>LLTS</v>
          </cell>
          <cell r="AE52">
            <v>28</v>
          </cell>
          <cell r="AF52">
            <v>28</v>
          </cell>
          <cell r="AN52">
            <v>67.352499999999992</v>
          </cell>
          <cell r="DX52">
            <v>43484</v>
          </cell>
          <cell r="DY52">
            <v>43453</v>
          </cell>
          <cell r="DZ52">
            <v>-31</v>
          </cell>
          <cell r="FK52">
            <v>134399.71276999998</v>
          </cell>
          <cell r="FL52">
            <v>131635.37</v>
          </cell>
          <cell r="FM52">
            <v>0</v>
          </cell>
          <cell r="GW52">
            <v>41581.392857142855</v>
          </cell>
          <cell r="GX52">
            <v>2105582</v>
          </cell>
        </row>
        <row r="53">
          <cell r="C53" t="str">
            <v>Tampon</v>
          </cell>
          <cell r="E53" t="str">
            <v>abandon</v>
          </cell>
          <cell r="H53" t="str">
            <v>DBE</v>
          </cell>
          <cell r="P53">
            <v>785</v>
          </cell>
          <cell r="Q53">
            <v>550000</v>
          </cell>
          <cell r="AD53" t="str">
            <v>LLTS</v>
          </cell>
          <cell r="AE53">
            <v>22</v>
          </cell>
          <cell r="AF53">
            <v>22</v>
          </cell>
          <cell r="AN53">
            <v>76.766818181818181</v>
          </cell>
          <cell r="DX53">
            <v>43776</v>
          </cell>
          <cell r="DY53">
            <v>43776</v>
          </cell>
          <cell r="DZ53">
            <v>0</v>
          </cell>
          <cell r="GW53">
            <v>0</v>
          </cell>
          <cell r="GX53">
            <v>0</v>
          </cell>
        </row>
        <row r="54">
          <cell r="C54" t="str">
            <v>Entre-Deux</v>
          </cell>
          <cell r="E54">
            <v>2016</v>
          </cell>
          <cell r="G54" t="str">
            <v>TQU</v>
          </cell>
          <cell r="H54" t="str">
            <v>VAF</v>
          </cell>
          <cell r="P54">
            <v>2307</v>
          </cell>
          <cell r="Q54">
            <v>184560</v>
          </cell>
          <cell r="AD54" t="str">
            <v>LLTS</v>
          </cell>
          <cell r="AE54">
            <v>18</v>
          </cell>
          <cell r="AF54">
            <v>18</v>
          </cell>
          <cell r="AN54">
            <v>77.175000000000011</v>
          </cell>
          <cell r="DX54">
            <v>43845</v>
          </cell>
          <cell r="DY54">
            <v>43845</v>
          </cell>
          <cell r="DZ54">
            <v>0</v>
          </cell>
          <cell r="GW54">
            <v>60978</v>
          </cell>
          <cell r="GX54">
            <v>1611685</v>
          </cell>
        </row>
        <row r="55">
          <cell r="C55" t="str">
            <v>St Louis</v>
          </cell>
          <cell r="E55">
            <v>2018</v>
          </cell>
          <cell r="G55" t="str">
            <v>YFR</v>
          </cell>
          <cell r="H55" t="str">
            <v>MMA</v>
          </cell>
          <cell r="P55">
            <v>7382</v>
          </cell>
          <cell r="Q55">
            <v>1016540</v>
          </cell>
          <cell r="AD55" t="str">
            <v>LLS</v>
          </cell>
          <cell r="AE55">
            <v>39</v>
          </cell>
          <cell r="AF55">
            <v>39</v>
          </cell>
          <cell r="AN55">
            <v>73.192307692307708</v>
          </cell>
          <cell r="CS55">
            <v>43012</v>
          </cell>
          <cell r="DA55">
            <v>43189</v>
          </cell>
          <cell r="DX55">
            <v>43804</v>
          </cell>
          <cell r="DY55">
            <v>43804</v>
          </cell>
          <cell r="DZ55">
            <v>0</v>
          </cell>
          <cell r="GW55">
            <v>58207.656924890507</v>
          </cell>
          <cell r="GX55">
            <v>3759574.2570932982</v>
          </cell>
        </row>
        <row r="56">
          <cell r="C56" t="str">
            <v>St Joseph</v>
          </cell>
          <cell r="E56">
            <v>2016</v>
          </cell>
          <cell r="G56" t="str">
            <v>FHO</v>
          </cell>
          <cell r="H56" t="str">
            <v>SRI</v>
          </cell>
          <cell r="P56">
            <v>2872</v>
          </cell>
          <cell r="Q56">
            <v>516960</v>
          </cell>
          <cell r="AD56" t="str">
            <v>LLTS</v>
          </cell>
          <cell r="AE56">
            <v>40</v>
          </cell>
          <cell r="AF56">
            <v>40</v>
          </cell>
          <cell r="AN56">
            <v>58.558500000000002</v>
          </cell>
          <cell r="DX56">
            <v>43739</v>
          </cell>
          <cell r="DY56">
            <v>43739</v>
          </cell>
          <cell r="DZ56">
            <v>0</v>
          </cell>
          <cell r="GW56">
            <v>40883.199999999997</v>
          </cell>
          <cell r="GX56">
            <v>2754467</v>
          </cell>
        </row>
        <row r="57">
          <cell r="C57" t="str">
            <v>Entre-Deux</v>
          </cell>
          <cell r="E57">
            <v>2016</v>
          </cell>
          <cell r="G57" t="str">
            <v>FHO</v>
          </cell>
          <cell r="H57" t="str">
            <v>DBE</v>
          </cell>
          <cell r="P57">
            <v>8111</v>
          </cell>
          <cell r="Q57">
            <v>405550</v>
          </cell>
          <cell r="AD57" t="str">
            <v>LLTS</v>
          </cell>
          <cell r="AE57">
            <v>35</v>
          </cell>
          <cell r="AF57">
            <v>35</v>
          </cell>
          <cell r="AN57">
            <v>66.181142857142859</v>
          </cell>
          <cell r="CS57">
            <v>42296</v>
          </cell>
          <cell r="DA57">
            <v>42593</v>
          </cell>
          <cell r="DX57">
            <v>43287</v>
          </cell>
          <cell r="DY57">
            <v>43355</v>
          </cell>
          <cell r="DZ57">
            <v>68</v>
          </cell>
          <cell r="FK57">
            <v>124561.99999999999</v>
          </cell>
          <cell r="FM57">
            <v>0</v>
          </cell>
          <cell r="GW57">
            <v>44360.714285714283</v>
          </cell>
          <cell r="GX57">
            <v>2760459</v>
          </cell>
        </row>
        <row r="58">
          <cell r="C58" t="str">
            <v>St Pierre</v>
          </cell>
          <cell r="E58">
            <v>2017</v>
          </cell>
          <cell r="G58" t="str">
            <v>YFR</v>
          </cell>
          <cell r="H58" t="str">
            <v>VAF</v>
          </cell>
          <cell r="P58">
            <v>4801</v>
          </cell>
          <cell r="Q58">
            <v>473822</v>
          </cell>
          <cell r="AD58" t="str">
            <v>LLTS</v>
          </cell>
          <cell r="AE58">
            <v>30</v>
          </cell>
          <cell r="AF58">
            <v>30</v>
          </cell>
          <cell r="AN58">
            <v>56.943666666666665</v>
          </cell>
          <cell r="DY58">
            <v>43145</v>
          </cell>
          <cell r="DZ58" t="str">
            <v>0</v>
          </cell>
          <cell r="FK58">
            <v>0</v>
          </cell>
          <cell r="FM58">
            <v>0</v>
          </cell>
          <cell r="GW58">
            <v>37771.155666666666</v>
          </cell>
          <cell r="GX58">
            <v>2100287</v>
          </cell>
        </row>
        <row r="59">
          <cell r="C59" t="str">
            <v>Tampon</v>
          </cell>
          <cell r="E59">
            <v>2017</v>
          </cell>
          <cell r="G59" t="str">
            <v>YFR</v>
          </cell>
          <cell r="H59" t="str">
            <v>DBA</v>
          </cell>
          <cell r="P59">
            <v>1976</v>
          </cell>
          <cell r="Q59">
            <v>300000</v>
          </cell>
          <cell r="AD59" t="str">
            <v>LLTS</v>
          </cell>
          <cell r="AE59">
            <v>24</v>
          </cell>
          <cell r="AF59">
            <v>24</v>
          </cell>
          <cell r="AN59">
            <v>74.856666666666669</v>
          </cell>
          <cell r="CS59">
            <v>42583</v>
          </cell>
          <cell r="DA59">
            <v>42751</v>
          </cell>
          <cell r="DX59">
            <v>43710</v>
          </cell>
          <cell r="DY59">
            <v>43710</v>
          </cell>
          <cell r="DZ59">
            <v>0</v>
          </cell>
          <cell r="FK59">
            <v>197331.09</v>
          </cell>
          <cell r="GW59">
            <v>50346.928076154443</v>
          </cell>
          <cell r="GX59">
            <v>2207104</v>
          </cell>
        </row>
        <row r="60">
          <cell r="C60" t="str">
            <v>Tampon</v>
          </cell>
          <cell r="E60">
            <v>2017</v>
          </cell>
          <cell r="G60" t="str">
            <v>TQU</v>
          </cell>
          <cell r="H60" t="str">
            <v>DAM</v>
          </cell>
          <cell r="P60">
            <v>1953</v>
          </cell>
          <cell r="Q60">
            <v>452000</v>
          </cell>
          <cell r="AD60" t="str">
            <v>LLTS</v>
          </cell>
          <cell r="AE60">
            <v>26</v>
          </cell>
          <cell r="AF60">
            <v>26</v>
          </cell>
          <cell r="AN60">
            <v>66.144038461538457</v>
          </cell>
          <cell r="DX60">
            <v>43800</v>
          </cell>
          <cell r="DY60">
            <v>43800</v>
          </cell>
          <cell r="DZ60">
            <v>0</v>
          </cell>
          <cell r="GW60">
            <v>55010.5</v>
          </cell>
          <cell r="GX60">
            <v>2432335</v>
          </cell>
        </row>
        <row r="61">
          <cell r="C61" t="str">
            <v>St Leu</v>
          </cell>
          <cell r="E61">
            <v>2018</v>
          </cell>
          <cell r="G61" t="str">
            <v>EMO</v>
          </cell>
          <cell r="H61" t="str">
            <v>DBE</v>
          </cell>
          <cell r="P61">
            <v>4783.68</v>
          </cell>
          <cell r="Q61">
            <v>230090</v>
          </cell>
          <cell r="AD61" t="str">
            <v>LLS</v>
          </cell>
          <cell r="AE61">
            <v>22</v>
          </cell>
          <cell r="AF61">
            <v>22</v>
          </cell>
          <cell r="AN61">
            <v>94.526818181818186</v>
          </cell>
          <cell r="DX61">
            <v>43854</v>
          </cell>
          <cell r="DY61">
            <v>43854</v>
          </cell>
          <cell r="DZ61">
            <v>0</v>
          </cell>
          <cell r="GW61">
            <v>59603.350269829527</v>
          </cell>
          <cell r="GX61">
            <v>2162113.8846824975</v>
          </cell>
        </row>
        <row r="62">
          <cell r="C62" t="str">
            <v>St Joseph</v>
          </cell>
          <cell r="E62">
            <v>2017</v>
          </cell>
          <cell r="G62" t="str">
            <v>YFR</v>
          </cell>
          <cell r="H62" t="str">
            <v>DBA</v>
          </cell>
          <cell r="P62">
            <v>10895</v>
          </cell>
          <cell r="Q62">
            <v>949780</v>
          </cell>
          <cell r="AD62" t="str">
            <v>LLTS</v>
          </cell>
          <cell r="AE62">
            <v>37</v>
          </cell>
          <cell r="AF62">
            <v>37</v>
          </cell>
          <cell r="AN62">
            <v>86.431891891891894</v>
          </cell>
          <cell r="DY62">
            <v>43658</v>
          </cell>
          <cell r="DZ62" t="str">
            <v>0</v>
          </cell>
          <cell r="GW62">
            <v>61398.351351351354</v>
          </cell>
          <cell r="GX62">
            <v>3931799.2</v>
          </cell>
        </row>
        <row r="63">
          <cell r="C63" t="str">
            <v>St Joseph</v>
          </cell>
          <cell r="E63">
            <v>2017</v>
          </cell>
          <cell r="G63" t="str">
            <v>JER</v>
          </cell>
          <cell r="H63" t="str">
            <v>DBA</v>
          </cell>
          <cell r="AD63" t="str">
            <v>Rehab</v>
          </cell>
          <cell r="AE63">
            <v>10</v>
          </cell>
          <cell r="AF63">
            <v>0</v>
          </cell>
          <cell r="AN63">
            <v>0</v>
          </cell>
          <cell r="CS63">
            <v>42773</v>
          </cell>
          <cell r="DA63">
            <v>42853</v>
          </cell>
          <cell r="DY63">
            <v>43658</v>
          </cell>
          <cell r="DZ63" t="str">
            <v>0</v>
          </cell>
          <cell r="FK63">
            <v>17638</v>
          </cell>
          <cell r="FL63">
            <v>14427</v>
          </cell>
          <cell r="GW63" t="e">
            <v>#REF!</v>
          </cell>
          <cell r="GX63">
            <v>177156</v>
          </cell>
        </row>
        <row r="64">
          <cell r="C64" t="str">
            <v>St Joseph</v>
          </cell>
          <cell r="E64">
            <v>2017</v>
          </cell>
          <cell r="G64" t="str">
            <v>JER</v>
          </cell>
          <cell r="H64" t="str">
            <v>DAM</v>
          </cell>
          <cell r="AD64" t="str">
            <v>Rehab</v>
          </cell>
          <cell r="AE64">
            <v>26</v>
          </cell>
          <cell r="AF64">
            <v>0</v>
          </cell>
          <cell r="AN64">
            <v>0</v>
          </cell>
          <cell r="CS64">
            <v>42649</v>
          </cell>
          <cell r="DA64">
            <v>42793</v>
          </cell>
          <cell r="DY64">
            <v>43658</v>
          </cell>
          <cell r="DZ64" t="str">
            <v>0</v>
          </cell>
          <cell r="GW64" t="e">
            <v>#REF!</v>
          </cell>
          <cell r="GX64">
            <v>827340</v>
          </cell>
        </row>
        <row r="65">
          <cell r="C65" t="str">
            <v>Entre-Deux</v>
          </cell>
          <cell r="E65">
            <v>2017</v>
          </cell>
          <cell r="G65" t="str">
            <v>EMO</v>
          </cell>
          <cell r="H65" t="str">
            <v>VAF</v>
          </cell>
          <cell r="AD65" t="str">
            <v>Rehab</v>
          </cell>
          <cell r="AE65">
            <v>6</v>
          </cell>
          <cell r="AF65">
            <v>0</v>
          </cell>
          <cell r="AN65">
            <v>0</v>
          </cell>
          <cell r="CS65">
            <v>42649</v>
          </cell>
          <cell r="DA65">
            <v>42881</v>
          </cell>
          <cell r="DY65">
            <v>43658</v>
          </cell>
          <cell r="DZ65" t="str">
            <v>0</v>
          </cell>
          <cell r="GW65" t="e">
            <v>#REF!</v>
          </cell>
          <cell r="GX65">
            <v>82610</v>
          </cell>
        </row>
        <row r="66">
          <cell r="C66" t="str">
            <v>Avirons</v>
          </cell>
          <cell r="E66">
            <v>2017</v>
          </cell>
          <cell r="G66" t="str">
            <v>FVA</v>
          </cell>
          <cell r="H66" t="str">
            <v>MMA</v>
          </cell>
          <cell r="P66">
            <v>5443</v>
          </cell>
          <cell r="Q66">
            <v>381010</v>
          </cell>
          <cell r="AD66" t="str">
            <v>LLTS</v>
          </cell>
          <cell r="AE66">
            <v>21</v>
          </cell>
          <cell r="AF66">
            <v>21</v>
          </cell>
          <cell r="AN66">
            <v>76.001904761904754</v>
          </cell>
          <cell r="DX66">
            <v>43747</v>
          </cell>
          <cell r="DY66">
            <v>43747</v>
          </cell>
          <cell r="DZ66">
            <v>0</v>
          </cell>
          <cell r="GW66">
            <v>56692.884157926375</v>
          </cell>
          <cell r="GX66">
            <v>2029899</v>
          </cell>
        </row>
        <row r="67">
          <cell r="C67" t="str">
            <v>St Pierre</v>
          </cell>
          <cell r="E67">
            <v>2017</v>
          </cell>
          <cell r="G67" t="str">
            <v>FVA</v>
          </cell>
          <cell r="H67" t="str">
            <v>VAF</v>
          </cell>
          <cell r="P67">
            <v>3474</v>
          </cell>
          <cell r="Q67">
            <v>1</v>
          </cell>
          <cell r="AD67" t="str">
            <v>PLS</v>
          </cell>
          <cell r="AE67">
            <v>200</v>
          </cell>
          <cell r="AF67">
            <v>200</v>
          </cell>
          <cell r="AN67">
            <v>20.254749999999998</v>
          </cell>
          <cell r="DY67">
            <v>43251</v>
          </cell>
          <cell r="DZ67" t="str">
            <v>0</v>
          </cell>
          <cell r="GW67">
            <v>17038.298862835098</v>
          </cell>
          <cell r="GX67">
            <v>5854059</v>
          </cell>
        </row>
        <row r="68">
          <cell r="C68" t="str">
            <v>Tampon</v>
          </cell>
          <cell r="E68">
            <v>2017</v>
          </cell>
          <cell r="G68" t="str">
            <v>JER</v>
          </cell>
          <cell r="H68" t="str">
            <v>NLE</v>
          </cell>
          <cell r="AD68" t="str">
            <v>Rehab</v>
          </cell>
          <cell r="AE68">
            <v>45</v>
          </cell>
          <cell r="AF68">
            <v>0</v>
          </cell>
          <cell r="AN68">
            <v>0</v>
          </cell>
          <cell r="CS68">
            <v>42649</v>
          </cell>
          <cell r="DA68">
            <v>42853</v>
          </cell>
          <cell r="DY68">
            <v>43658</v>
          </cell>
          <cell r="DZ68" t="str">
            <v>0</v>
          </cell>
          <cell r="GW68" t="e">
            <v>#REF!</v>
          </cell>
          <cell r="GX68">
            <v>1348508</v>
          </cell>
        </row>
        <row r="69">
          <cell r="C69" t="str">
            <v>Cilaos</v>
          </cell>
          <cell r="E69">
            <v>2017</v>
          </cell>
          <cell r="G69" t="str">
            <v>EMO</v>
          </cell>
          <cell r="H69" t="str">
            <v>NLE</v>
          </cell>
          <cell r="AD69" t="str">
            <v>Rehab</v>
          </cell>
          <cell r="AE69">
            <v>31</v>
          </cell>
          <cell r="AF69">
            <v>0</v>
          </cell>
          <cell r="AN69">
            <v>0</v>
          </cell>
          <cell r="CS69">
            <v>42632</v>
          </cell>
          <cell r="DA69">
            <v>42893</v>
          </cell>
          <cell r="DY69">
            <v>43658</v>
          </cell>
          <cell r="DZ69" t="str">
            <v>0</v>
          </cell>
          <cell r="GW69" t="e">
            <v>#REF!</v>
          </cell>
          <cell r="GX69">
            <v>989127</v>
          </cell>
        </row>
        <row r="70">
          <cell r="C70" t="str">
            <v>Tampon</v>
          </cell>
          <cell r="E70">
            <v>2017</v>
          </cell>
          <cell r="G70" t="str">
            <v>EMO</v>
          </cell>
          <cell r="H70" t="str">
            <v>NLE</v>
          </cell>
          <cell r="AD70" t="str">
            <v>Rehab</v>
          </cell>
          <cell r="AE70">
            <v>74</v>
          </cell>
          <cell r="AF70">
            <v>0</v>
          </cell>
          <cell r="AN70">
            <v>0</v>
          </cell>
          <cell r="CS70">
            <v>42632</v>
          </cell>
          <cell r="DA70">
            <v>42851</v>
          </cell>
          <cell r="DY70">
            <v>43658</v>
          </cell>
          <cell r="DZ70" t="str">
            <v>0</v>
          </cell>
          <cell r="FK70">
            <v>111598</v>
          </cell>
          <cell r="GW70" t="e">
            <v>#REF!</v>
          </cell>
          <cell r="GX70">
            <v>2214755</v>
          </cell>
        </row>
        <row r="71">
          <cell r="C71" t="str">
            <v>Tampon</v>
          </cell>
          <cell r="E71">
            <v>2018</v>
          </cell>
          <cell r="G71" t="str">
            <v>FVA</v>
          </cell>
          <cell r="H71" t="str">
            <v>VAF</v>
          </cell>
          <cell r="P71">
            <v>1952</v>
          </cell>
          <cell r="Q71">
            <v>1</v>
          </cell>
          <cell r="AD71" t="str">
            <v>PLS</v>
          </cell>
          <cell r="AE71">
            <v>100</v>
          </cell>
          <cell r="AF71">
            <v>100</v>
          </cell>
          <cell r="AN71">
            <v>19.2347</v>
          </cell>
          <cell r="DY71">
            <v>43348</v>
          </cell>
          <cell r="DZ71" t="str">
            <v>0</v>
          </cell>
          <cell r="GW71">
            <v>17369.93</v>
          </cell>
          <cell r="GX71">
            <v>3189669</v>
          </cell>
        </row>
        <row r="72">
          <cell r="C72" t="str">
            <v>Etang-Salé</v>
          </cell>
          <cell r="E72">
            <v>2018</v>
          </cell>
          <cell r="H72" t="str">
            <v>DBA</v>
          </cell>
          <cell r="P72">
            <v>3040</v>
          </cell>
          <cell r="Q72">
            <v>205275</v>
          </cell>
          <cell r="AD72" t="str">
            <v>LLTS</v>
          </cell>
          <cell r="AE72">
            <v>30</v>
          </cell>
          <cell r="AF72">
            <v>30</v>
          </cell>
          <cell r="AN72">
            <v>74.674500000000009</v>
          </cell>
          <cell r="DY72">
            <v>43658</v>
          </cell>
          <cell r="DZ72" t="str">
            <v>0</v>
          </cell>
          <cell r="GW72">
            <v>49830.933333333334</v>
          </cell>
          <cell r="GX72">
            <v>2692427</v>
          </cell>
        </row>
        <row r="73">
          <cell r="C73" t="str">
            <v>St Leu</v>
          </cell>
          <cell r="E73">
            <v>2018</v>
          </cell>
          <cell r="G73" t="str">
            <v>EMO</v>
          </cell>
          <cell r="P73">
            <v>6088.3200000000006</v>
          </cell>
          <cell r="Q73">
            <v>290092</v>
          </cell>
          <cell r="AD73" t="str">
            <v>LLTS</v>
          </cell>
          <cell r="AE73">
            <v>34</v>
          </cell>
          <cell r="AF73">
            <v>34</v>
          </cell>
          <cell r="AN73">
            <v>77.160294117647055</v>
          </cell>
          <cell r="DX73">
            <v>43854</v>
          </cell>
          <cell r="DY73">
            <v>43854</v>
          </cell>
          <cell r="DZ73">
            <v>0</v>
          </cell>
          <cell r="GW73">
            <v>46860.826970625334</v>
          </cell>
          <cell r="GX73">
            <v>2719535.7093663453</v>
          </cell>
        </row>
        <row r="74">
          <cell r="C74" t="str">
            <v>Etang-Salé</v>
          </cell>
          <cell r="E74">
            <v>2018</v>
          </cell>
          <cell r="G74" t="str">
            <v>BBL</v>
          </cell>
          <cell r="P74">
            <v>2641</v>
          </cell>
          <cell r="Q74">
            <v>313500</v>
          </cell>
          <cell r="AD74" t="str">
            <v>LLS</v>
          </cell>
          <cell r="AE74">
            <v>33</v>
          </cell>
          <cell r="AF74">
            <v>33</v>
          </cell>
          <cell r="AN74">
            <v>78.654242424242426</v>
          </cell>
          <cell r="DY74">
            <v>43658</v>
          </cell>
          <cell r="DZ74" t="str">
            <v>0</v>
          </cell>
          <cell r="GW74">
            <v>53681.242424242424</v>
          </cell>
          <cell r="GX74">
            <v>3149217</v>
          </cell>
        </row>
        <row r="75">
          <cell r="C75" t="str">
            <v>Etang-Salé</v>
          </cell>
          <cell r="E75">
            <v>2018</v>
          </cell>
          <cell r="G75" t="str">
            <v>FVA</v>
          </cell>
          <cell r="H75" t="str">
            <v>DBE</v>
          </cell>
          <cell r="P75">
            <v>1627</v>
          </cell>
          <cell r="Q75">
            <v>154050</v>
          </cell>
          <cell r="AD75" t="str">
            <v>LLS</v>
          </cell>
          <cell r="AE75">
            <v>17</v>
          </cell>
          <cell r="AF75">
            <v>17</v>
          </cell>
          <cell r="AN75">
            <v>91.74382352941177</v>
          </cell>
          <cell r="DX75">
            <v>43793</v>
          </cell>
          <cell r="DY75">
            <v>43793</v>
          </cell>
          <cell r="DZ75">
            <v>0</v>
          </cell>
          <cell r="GW75">
            <v>61064.882352941175</v>
          </cell>
          <cell r="GX75">
            <v>1806096</v>
          </cell>
        </row>
        <row r="76">
          <cell r="C76" t="str">
            <v>St Leu</v>
          </cell>
          <cell r="E76">
            <v>2017</v>
          </cell>
          <cell r="G76" t="str">
            <v>EMO</v>
          </cell>
          <cell r="H76" t="str">
            <v>DBE</v>
          </cell>
          <cell r="P76">
            <v>11037</v>
          </cell>
          <cell r="Q76">
            <v>705655.44208162103</v>
          </cell>
          <cell r="AD76" t="str">
            <v>LLTS</v>
          </cell>
          <cell r="AE76">
            <v>84</v>
          </cell>
          <cell r="AF76">
            <v>84</v>
          </cell>
          <cell r="AN76">
            <v>77.410476190476189</v>
          </cell>
          <cell r="DX76">
            <v>43854</v>
          </cell>
          <cell r="DY76">
            <v>43854</v>
          </cell>
          <cell r="DZ76">
            <v>0</v>
          </cell>
          <cell r="GW76">
            <v>46555.009088713494</v>
          </cell>
          <cell r="GX76">
            <v>7205057.8443256905</v>
          </cell>
        </row>
        <row r="77">
          <cell r="C77" t="str">
            <v>St Joseph</v>
          </cell>
          <cell r="E77">
            <v>2018</v>
          </cell>
          <cell r="G77" t="str">
            <v>JER</v>
          </cell>
          <cell r="H77" t="str">
            <v>DBE</v>
          </cell>
          <cell r="AD77" t="str">
            <v>Rehab</v>
          </cell>
          <cell r="AE77">
            <v>23</v>
          </cell>
          <cell r="AF77">
            <v>0</v>
          </cell>
          <cell r="AN77">
            <v>0</v>
          </cell>
          <cell r="DA77">
            <v>43658</v>
          </cell>
          <cell r="DY77">
            <v>43658</v>
          </cell>
          <cell r="DZ77" t="str">
            <v>0</v>
          </cell>
          <cell r="GW77">
            <v>0</v>
          </cell>
          <cell r="GX77">
            <v>784792.94</v>
          </cell>
        </row>
        <row r="78">
          <cell r="C78" t="str">
            <v>St Joseph</v>
          </cell>
          <cell r="E78">
            <v>2018</v>
          </cell>
          <cell r="G78" t="str">
            <v>JER</v>
          </cell>
          <cell r="H78" t="str">
            <v>NLE</v>
          </cell>
          <cell r="AD78" t="str">
            <v>Rehab</v>
          </cell>
          <cell r="AE78">
            <v>30</v>
          </cell>
          <cell r="AF78">
            <v>0</v>
          </cell>
          <cell r="AN78">
            <v>0</v>
          </cell>
          <cell r="DA78">
            <v>43658</v>
          </cell>
          <cell r="DY78">
            <v>43658</v>
          </cell>
          <cell r="DZ78" t="str">
            <v>0</v>
          </cell>
          <cell r="GW78">
            <v>0</v>
          </cell>
          <cell r="GX78">
            <v>617569.68000000005</v>
          </cell>
        </row>
        <row r="79">
          <cell r="C79" t="str">
            <v>Entre-Deux</v>
          </cell>
          <cell r="E79">
            <v>2018</v>
          </cell>
          <cell r="G79" t="str">
            <v>EMO</v>
          </cell>
          <cell r="H79" t="str">
            <v>NLE</v>
          </cell>
          <cell r="AD79" t="str">
            <v>Rehab</v>
          </cell>
          <cell r="AE79">
            <v>34</v>
          </cell>
          <cell r="AF79">
            <v>0</v>
          </cell>
          <cell r="AN79">
            <v>0</v>
          </cell>
          <cell r="CS79">
            <v>42927</v>
          </cell>
          <cell r="DA79">
            <v>43658</v>
          </cell>
          <cell r="DY79">
            <v>43658</v>
          </cell>
          <cell r="DZ79" t="str">
            <v>0</v>
          </cell>
          <cell r="FK79">
            <v>251577</v>
          </cell>
          <cell r="GW79">
            <v>0</v>
          </cell>
          <cell r="GX79">
            <v>555110.19999999995</v>
          </cell>
        </row>
        <row r="80">
          <cell r="C80" t="str">
            <v>Tampon</v>
          </cell>
          <cell r="E80">
            <v>2016</v>
          </cell>
          <cell r="G80" t="str">
            <v>YFR</v>
          </cell>
          <cell r="H80" t="str">
            <v>VAF</v>
          </cell>
          <cell r="P80">
            <v>2433</v>
          </cell>
          <cell r="Q80">
            <v>487212</v>
          </cell>
          <cell r="AD80" t="str">
            <v>LLS</v>
          </cell>
          <cell r="AE80">
            <v>30</v>
          </cell>
          <cell r="AF80">
            <v>30</v>
          </cell>
          <cell r="AN80">
            <v>84.811333333333337</v>
          </cell>
          <cell r="DX80">
            <v>43753</v>
          </cell>
          <cell r="DY80">
            <v>43753</v>
          </cell>
          <cell r="DZ80">
            <v>0</v>
          </cell>
          <cell r="GW80">
            <v>60874.710934228897</v>
          </cell>
          <cell r="GX80">
            <v>3241933</v>
          </cell>
        </row>
        <row r="81">
          <cell r="C81" t="str">
            <v>Tampon</v>
          </cell>
          <cell r="E81">
            <v>2018</v>
          </cell>
          <cell r="G81" t="str">
            <v>EMO</v>
          </cell>
          <cell r="H81" t="str">
            <v>NLE</v>
          </cell>
          <cell r="AD81" t="str">
            <v>Rehab</v>
          </cell>
          <cell r="AE81">
            <v>128</v>
          </cell>
          <cell r="AF81">
            <v>0</v>
          </cell>
          <cell r="AN81">
            <v>0</v>
          </cell>
          <cell r="CS81">
            <v>42935</v>
          </cell>
          <cell r="DA81">
            <v>43658</v>
          </cell>
          <cell r="DY81">
            <v>43658</v>
          </cell>
          <cell r="DZ81" t="str">
            <v>0</v>
          </cell>
          <cell r="GW81">
            <v>0</v>
          </cell>
          <cell r="GX81">
            <v>2287412.2400000002</v>
          </cell>
        </row>
        <row r="82">
          <cell r="C82" t="str">
            <v>Tampon</v>
          </cell>
          <cell r="E82">
            <v>2019</v>
          </cell>
          <cell r="G82" t="str">
            <v>FVA</v>
          </cell>
          <cell r="H82" t="str">
            <v>VAF</v>
          </cell>
          <cell r="P82">
            <v>808.55172413793105</v>
          </cell>
          <cell r="Q82">
            <v>445600</v>
          </cell>
          <cell r="AD82" t="str">
            <v>PLS</v>
          </cell>
          <cell r="AE82">
            <v>24</v>
          </cell>
          <cell r="AF82">
            <v>24</v>
          </cell>
          <cell r="AN82">
            <v>93.379166666666663</v>
          </cell>
          <cell r="DY82">
            <v>43658</v>
          </cell>
          <cell r="DZ82" t="str">
            <v>0</v>
          </cell>
          <cell r="GW82">
            <v>74170.559981473416</v>
          </cell>
          <cell r="GX82">
            <v>3116861.2472038409</v>
          </cell>
        </row>
        <row r="83">
          <cell r="C83" t="str">
            <v>La Possession</v>
          </cell>
          <cell r="E83">
            <v>2019</v>
          </cell>
          <cell r="H83" t="str">
            <v>MMA</v>
          </cell>
          <cell r="P83">
            <v>6860</v>
          </cell>
          <cell r="Q83">
            <v>1500000</v>
          </cell>
          <cell r="AD83" t="str">
            <v>PLS</v>
          </cell>
          <cell r="AE83">
            <v>60</v>
          </cell>
          <cell r="AF83">
            <v>60</v>
          </cell>
          <cell r="AN83">
            <v>88.766833333333338</v>
          </cell>
          <cell r="DY83">
            <v>43658</v>
          </cell>
          <cell r="DZ83" t="str">
            <v>0</v>
          </cell>
          <cell r="GW83">
            <v>69123.68366668286</v>
          </cell>
          <cell r="GX83">
            <v>7341819.4354348741</v>
          </cell>
        </row>
        <row r="84">
          <cell r="C84" t="str">
            <v>Tampon</v>
          </cell>
          <cell r="E84">
            <v>2019</v>
          </cell>
          <cell r="G84" t="str">
            <v>FVA</v>
          </cell>
          <cell r="H84" t="str">
            <v>DAM</v>
          </cell>
          <cell r="P84">
            <v>1048</v>
          </cell>
          <cell r="AD84" t="str">
            <v>LLS</v>
          </cell>
          <cell r="AE84">
            <v>22</v>
          </cell>
          <cell r="AF84">
            <v>22</v>
          </cell>
          <cell r="AN84">
            <v>85.421363636363637</v>
          </cell>
          <cell r="DY84">
            <v>43658</v>
          </cell>
          <cell r="DZ84" t="str">
            <v>0</v>
          </cell>
          <cell r="GW84">
            <v>57911.318181818184</v>
          </cell>
          <cell r="GX84">
            <v>2288349</v>
          </cell>
        </row>
        <row r="85">
          <cell r="C85" t="str">
            <v>Tampon</v>
          </cell>
          <cell r="E85">
            <v>2019</v>
          </cell>
          <cell r="G85" t="str">
            <v>YFR</v>
          </cell>
          <cell r="H85" t="str">
            <v>DBE</v>
          </cell>
          <cell r="P85">
            <v>3320.3636363636365</v>
          </cell>
          <cell r="Q85">
            <v>599393.93939393933</v>
          </cell>
          <cell r="AD85" t="str">
            <v>LLS</v>
          </cell>
          <cell r="AE85">
            <v>46</v>
          </cell>
          <cell r="AF85">
            <v>46</v>
          </cell>
          <cell r="AN85">
            <v>90.109565217391307</v>
          </cell>
          <cell r="DY85">
            <v>43658</v>
          </cell>
          <cell r="DZ85" t="str">
            <v>0</v>
          </cell>
          <cell r="GW85">
            <v>58773.923507530315</v>
          </cell>
          <cell r="GX85">
            <v>5041502.8694703858</v>
          </cell>
        </row>
        <row r="86">
          <cell r="C86" t="str">
            <v>Tampon</v>
          </cell>
          <cell r="E86">
            <v>2019</v>
          </cell>
          <cell r="P86">
            <v>1145.4482758620691</v>
          </cell>
          <cell r="Q86">
            <v>533000</v>
          </cell>
          <cell r="AD86" t="str">
            <v>LLS</v>
          </cell>
          <cell r="AE86">
            <v>34</v>
          </cell>
          <cell r="AF86">
            <v>34</v>
          </cell>
          <cell r="AN86">
            <v>78.348235294117657</v>
          </cell>
          <cell r="DY86">
            <v>43658</v>
          </cell>
          <cell r="DZ86" t="str">
            <v>0</v>
          </cell>
          <cell r="GW86">
            <v>55316.698994037091</v>
          </cell>
          <cell r="GX86">
            <v>3305901.538129135</v>
          </cell>
        </row>
        <row r="87">
          <cell r="C87" t="str">
            <v>Etang-Salé</v>
          </cell>
          <cell r="E87">
            <v>2020</v>
          </cell>
          <cell r="G87" t="str">
            <v>FHO</v>
          </cell>
          <cell r="H87" t="str">
            <v>MMA</v>
          </cell>
          <cell r="AD87" t="str">
            <v>LLS</v>
          </cell>
          <cell r="AE87">
            <v>25</v>
          </cell>
          <cell r="AF87">
            <v>25</v>
          </cell>
          <cell r="AN87">
            <v>0</v>
          </cell>
          <cell r="DZ87" t="str">
            <v>0</v>
          </cell>
          <cell r="GW87">
            <v>51233.282190668331</v>
          </cell>
          <cell r="GX87">
            <v>2262364.2519721426</v>
          </cell>
        </row>
        <row r="88">
          <cell r="C88" t="str">
            <v>Tampon</v>
          </cell>
          <cell r="E88">
            <v>2020</v>
          </cell>
          <cell r="G88" t="str">
            <v>BBL</v>
          </cell>
          <cell r="H88" t="str">
            <v>MMA</v>
          </cell>
          <cell r="AD88" t="str">
            <v>LLS</v>
          </cell>
          <cell r="AE88">
            <v>123</v>
          </cell>
          <cell r="AF88">
            <v>123</v>
          </cell>
          <cell r="AN88">
            <v>0</v>
          </cell>
          <cell r="DZ88" t="str">
            <v>0</v>
          </cell>
          <cell r="GW88">
            <v>55587.182232797917</v>
          </cell>
          <cell r="GX88">
            <v>12018057.418599648</v>
          </cell>
        </row>
        <row r="89">
          <cell r="C89" t="str">
            <v>St Louis</v>
          </cell>
          <cell r="E89">
            <v>2020</v>
          </cell>
          <cell r="G89" t="str">
            <v>TQU</v>
          </cell>
          <cell r="H89" t="str">
            <v>DBA</v>
          </cell>
          <cell r="P89">
            <v>4000</v>
          </cell>
          <cell r="Q89">
            <v>394000</v>
          </cell>
          <cell r="AD89" t="str">
            <v>LLS</v>
          </cell>
          <cell r="AE89">
            <v>24</v>
          </cell>
          <cell r="AF89">
            <v>24</v>
          </cell>
          <cell r="AN89">
            <v>0</v>
          </cell>
          <cell r="DA89">
            <v>43658</v>
          </cell>
          <cell r="DY89">
            <v>43658</v>
          </cell>
          <cell r="DZ89" t="str">
            <v>0</v>
          </cell>
        </row>
        <row r="90">
          <cell r="C90" t="str">
            <v>St Louis</v>
          </cell>
          <cell r="E90">
            <v>2020</v>
          </cell>
          <cell r="G90" t="str">
            <v>YFR</v>
          </cell>
          <cell r="P90">
            <v>6000</v>
          </cell>
          <cell r="Q90">
            <v>1300000</v>
          </cell>
          <cell r="AD90" t="str">
            <v>LLS</v>
          </cell>
          <cell r="AE90">
            <v>36</v>
          </cell>
          <cell r="AF90">
            <v>36</v>
          </cell>
          <cell r="AN90">
            <v>0</v>
          </cell>
        </row>
        <row r="91">
          <cell r="C91" t="str">
            <v>Tampon</v>
          </cell>
          <cell r="E91">
            <v>2022</v>
          </cell>
          <cell r="P91">
            <v>2165</v>
          </cell>
          <cell r="Q91">
            <v>866000</v>
          </cell>
          <cell r="AD91" t="str">
            <v>LLS</v>
          </cell>
          <cell r="AE91">
            <v>60</v>
          </cell>
          <cell r="AF91">
            <v>60</v>
          </cell>
          <cell r="AN91">
            <v>0</v>
          </cell>
          <cell r="DY91">
            <v>43658</v>
          </cell>
          <cell r="DZ91" t="str">
            <v>0</v>
          </cell>
          <cell r="GX91">
            <v>0</v>
          </cell>
        </row>
        <row r="92">
          <cell r="C92" t="str">
            <v>Tampon</v>
          </cell>
          <cell r="E92" t="str">
            <v>abandon</v>
          </cell>
          <cell r="P92">
            <v>5498</v>
          </cell>
          <cell r="Q92">
            <v>924932</v>
          </cell>
          <cell r="AD92" t="str">
            <v>LLS</v>
          </cell>
          <cell r="AE92">
            <v>42</v>
          </cell>
          <cell r="AF92">
            <v>42</v>
          </cell>
          <cell r="AN92">
            <v>0</v>
          </cell>
          <cell r="DY92">
            <v>43658</v>
          </cell>
          <cell r="DZ92" t="str">
            <v>0</v>
          </cell>
          <cell r="GW92" t="e">
            <v>#REF!</v>
          </cell>
          <cell r="GX92">
            <v>0</v>
          </cell>
        </row>
        <row r="93">
          <cell r="C93" t="str">
            <v>Tampon</v>
          </cell>
          <cell r="E93">
            <v>2019</v>
          </cell>
          <cell r="G93" t="str">
            <v>FHO</v>
          </cell>
          <cell r="H93" t="str">
            <v>DBA</v>
          </cell>
          <cell r="P93">
            <v>1278</v>
          </cell>
          <cell r="AD93" t="str">
            <v>LLTS</v>
          </cell>
          <cell r="AE93">
            <v>41</v>
          </cell>
          <cell r="AF93">
            <v>41</v>
          </cell>
          <cell r="AN93">
            <v>76.289512195121944</v>
          </cell>
          <cell r="DY93">
            <v>43658</v>
          </cell>
          <cell r="DZ93" t="str">
            <v>0</v>
          </cell>
          <cell r="GW93">
            <v>44348.557360934683</v>
          </cell>
          <cell r="GX93">
            <v>3440178.8807964772</v>
          </cell>
        </row>
        <row r="94">
          <cell r="C94" t="str">
            <v>Tampon</v>
          </cell>
          <cell r="E94">
            <v>2019</v>
          </cell>
          <cell r="G94" t="str">
            <v>FVA</v>
          </cell>
          <cell r="P94">
            <v>1048</v>
          </cell>
          <cell r="AD94" t="str">
            <v>LLTS</v>
          </cell>
          <cell r="AE94">
            <v>13</v>
          </cell>
          <cell r="AF94">
            <v>13</v>
          </cell>
          <cell r="AN94">
            <v>62.70461538461538</v>
          </cell>
          <cell r="DY94">
            <v>43658</v>
          </cell>
          <cell r="DZ94" t="str">
            <v>0</v>
          </cell>
          <cell r="GW94">
            <v>35988.923076923078</v>
          </cell>
          <cell r="GX94">
            <v>846657</v>
          </cell>
        </row>
        <row r="95">
          <cell r="C95" t="str">
            <v>Tampon</v>
          </cell>
          <cell r="E95">
            <v>2019</v>
          </cell>
          <cell r="G95" t="str">
            <v>YFR</v>
          </cell>
          <cell r="P95">
            <v>1443.6363636363637</v>
          </cell>
          <cell r="Q95">
            <v>260606.06060606061</v>
          </cell>
          <cell r="AD95" t="str">
            <v>LLTS</v>
          </cell>
          <cell r="AE95">
            <v>20</v>
          </cell>
          <cell r="AF95">
            <v>20</v>
          </cell>
          <cell r="AN95">
            <v>62.65</v>
          </cell>
          <cell r="DY95">
            <v>43658</v>
          </cell>
          <cell r="DZ95" t="str">
            <v>0</v>
          </cell>
          <cell r="GW95">
            <v>28243.925057103606</v>
          </cell>
          <cell r="GX95">
            <v>1064198.0946150457</v>
          </cell>
        </row>
        <row r="96">
          <cell r="C96" t="str">
            <v>Tampon</v>
          </cell>
          <cell r="E96">
            <v>2020</v>
          </cell>
          <cell r="G96" t="str">
            <v>FVA</v>
          </cell>
          <cell r="H96" t="str">
            <v>DBE</v>
          </cell>
          <cell r="P96">
            <v>33407</v>
          </cell>
          <cell r="AD96" t="str">
            <v>LLTS</v>
          </cell>
          <cell r="AE96">
            <v>178</v>
          </cell>
          <cell r="AF96">
            <v>178</v>
          </cell>
          <cell r="AN96">
            <v>0</v>
          </cell>
          <cell r="DA96">
            <v>43658</v>
          </cell>
          <cell r="DY96">
            <v>43658</v>
          </cell>
          <cell r="DZ96" t="str">
            <v>0</v>
          </cell>
          <cell r="GW96">
            <v>59692.286084701816</v>
          </cell>
          <cell r="GX96">
            <v>20150873.07692308</v>
          </cell>
        </row>
        <row r="97">
          <cell r="C97" t="str">
            <v>Tampon</v>
          </cell>
          <cell r="E97">
            <v>2020</v>
          </cell>
          <cell r="G97" t="str">
            <v>TQU</v>
          </cell>
          <cell r="H97" t="str">
            <v>VAF</v>
          </cell>
          <cell r="P97">
            <v>4330</v>
          </cell>
          <cell r="Q97">
            <v>400000</v>
          </cell>
          <cell r="AD97" t="str">
            <v>LLTS</v>
          </cell>
          <cell r="AE97">
            <v>32</v>
          </cell>
          <cell r="AF97">
            <v>32</v>
          </cell>
          <cell r="AN97">
            <v>0</v>
          </cell>
          <cell r="CS97">
            <v>43558</v>
          </cell>
          <cell r="DA97">
            <v>43709</v>
          </cell>
          <cell r="DY97">
            <v>43658</v>
          </cell>
          <cell r="DZ97" t="str">
            <v>0</v>
          </cell>
          <cell r="GW97">
            <v>63764.220197512375</v>
          </cell>
          <cell r="GX97">
            <v>3431435.2913354686</v>
          </cell>
        </row>
        <row r="98">
          <cell r="C98" t="str">
            <v>Tampon</v>
          </cell>
          <cell r="E98">
            <v>2020</v>
          </cell>
          <cell r="G98" t="str">
            <v>TQU</v>
          </cell>
          <cell r="H98" t="str">
            <v>DBA</v>
          </cell>
          <cell r="P98">
            <v>20320</v>
          </cell>
          <cell r="AD98" t="str">
            <v>LLTS</v>
          </cell>
          <cell r="AE98">
            <v>70</v>
          </cell>
          <cell r="AF98">
            <v>70</v>
          </cell>
          <cell r="AN98">
            <v>0</v>
          </cell>
          <cell r="DZ98" t="str">
            <v>0</v>
          </cell>
          <cell r="GW98">
            <v>53979.72754285713</v>
          </cell>
          <cell r="GX98">
            <v>6796867.8956317324</v>
          </cell>
        </row>
        <row r="99">
          <cell r="C99" t="str">
            <v>Etang-Salé</v>
          </cell>
          <cell r="E99">
            <v>2020</v>
          </cell>
          <cell r="AD99" t="str">
            <v>LLTS</v>
          </cell>
          <cell r="AE99">
            <v>15</v>
          </cell>
          <cell r="AF99">
            <v>15</v>
          </cell>
          <cell r="AN99">
            <v>0</v>
          </cell>
          <cell r="DZ99" t="str">
            <v>0</v>
          </cell>
          <cell r="GW99">
            <v>25722.109913404427</v>
          </cell>
          <cell r="GX99">
            <v>694232.06475108338</v>
          </cell>
        </row>
        <row r="100">
          <cell r="C100" t="str">
            <v>Tampon</v>
          </cell>
          <cell r="E100">
            <v>2020</v>
          </cell>
          <cell r="G100" t="str">
            <v>FVA</v>
          </cell>
          <cell r="H100" t="str">
            <v>DBA</v>
          </cell>
          <cell r="P100">
            <v>4088</v>
          </cell>
          <cell r="Q100">
            <v>550000</v>
          </cell>
          <cell r="AD100" t="str">
            <v>LLTS</v>
          </cell>
          <cell r="AE100">
            <v>50</v>
          </cell>
          <cell r="AF100">
            <v>50</v>
          </cell>
          <cell r="AN100">
            <v>0</v>
          </cell>
        </row>
        <row r="101">
          <cell r="C101" t="str">
            <v>Tampon</v>
          </cell>
          <cell r="E101">
            <v>2021</v>
          </cell>
          <cell r="G101" t="str">
            <v>FVA</v>
          </cell>
          <cell r="H101" t="str">
            <v>DBE</v>
          </cell>
          <cell r="P101">
            <v>33407</v>
          </cell>
          <cell r="AD101" t="str">
            <v>LLTS</v>
          </cell>
          <cell r="AE101">
            <v>205</v>
          </cell>
          <cell r="AF101">
            <v>205</v>
          </cell>
          <cell r="AN101">
            <v>0</v>
          </cell>
          <cell r="DY101">
            <v>43658</v>
          </cell>
          <cell r="DZ101" t="str">
            <v>0</v>
          </cell>
          <cell r="GX101">
            <v>0</v>
          </cell>
        </row>
        <row r="102">
          <cell r="C102" t="str">
            <v>Tampon</v>
          </cell>
          <cell r="E102">
            <v>2021</v>
          </cell>
          <cell r="P102">
            <v>3115</v>
          </cell>
          <cell r="AD102" t="str">
            <v>LLTS</v>
          </cell>
          <cell r="AE102">
            <v>40</v>
          </cell>
          <cell r="AF102">
            <v>40</v>
          </cell>
          <cell r="AN102">
            <v>0</v>
          </cell>
          <cell r="DY102">
            <v>43658</v>
          </cell>
          <cell r="DZ102" t="str">
            <v>0</v>
          </cell>
          <cell r="GX102">
            <v>0</v>
          </cell>
        </row>
        <row r="103">
          <cell r="C103" t="str">
            <v>Tampon</v>
          </cell>
          <cell r="E103">
            <v>2021</v>
          </cell>
          <cell r="P103">
            <v>5375</v>
          </cell>
          <cell r="AD103" t="str">
            <v>LLTS</v>
          </cell>
          <cell r="AE103">
            <v>48</v>
          </cell>
          <cell r="AF103">
            <v>48</v>
          </cell>
          <cell r="AN103">
            <v>0</v>
          </cell>
          <cell r="GX103">
            <v>0</v>
          </cell>
        </row>
        <row r="104">
          <cell r="C104" t="str">
            <v>Etang-Salé</v>
          </cell>
          <cell r="E104">
            <v>2022</v>
          </cell>
          <cell r="P104">
            <v>10113</v>
          </cell>
          <cell r="Q104">
            <v>1097000</v>
          </cell>
          <cell r="AD104" t="str">
            <v>LLTS</v>
          </cell>
          <cell r="AE104">
            <v>88</v>
          </cell>
          <cell r="AF104">
            <v>88</v>
          </cell>
          <cell r="AN104">
            <v>0</v>
          </cell>
          <cell r="DY104">
            <v>43658</v>
          </cell>
          <cell r="DZ104" t="str">
            <v>0</v>
          </cell>
          <cell r="GX104">
            <v>0</v>
          </cell>
        </row>
        <row r="105">
          <cell r="C105" t="str">
            <v>St Philippe</v>
          </cell>
          <cell r="E105">
            <v>2022</v>
          </cell>
          <cell r="P105">
            <v>19762</v>
          </cell>
          <cell r="AD105" t="str">
            <v>LLTS</v>
          </cell>
          <cell r="AE105">
            <v>60</v>
          </cell>
          <cell r="AF105">
            <v>60</v>
          </cell>
          <cell r="AN105">
            <v>0</v>
          </cell>
          <cell r="GX105">
            <v>0</v>
          </cell>
        </row>
        <row r="106">
          <cell r="C106" t="str">
            <v>Petite-Ile</v>
          </cell>
          <cell r="E106">
            <v>2022</v>
          </cell>
          <cell r="P106">
            <v>3252</v>
          </cell>
          <cell r="Q106">
            <v>567840</v>
          </cell>
          <cell r="AD106" t="str">
            <v>LLTS</v>
          </cell>
          <cell r="AE106">
            <v>15</v>
          </cell>
          <cell r="AF106">
            <v>15</v>
          </cell>
          <cell r="AN106">
            <v>0</v>
          </cell>
          <cell r="DY106">
            <v>43658</v>
          </cell>
          <cell r="DZ106" t="str">
            <v>0</v>
          </cell>
          <cell r="GX106">
            <v>0</v>
          </cell>
        </row>
        <row r="107">
          <cell r="C107" t="str">
            <v>St Joseph</v>
          </cell>
          <cell r="E107">
            <v>2022</v>
          </cell>
          <cell r="P107">
            <v>7800</v>
          </cell>
          <cell r="Q107">
            <v>330000</v>
          </cell>
          <cell r="AD107" t="str">
            <v>LLTS</v>
          </cell>
          <cell r="AE107">
            <v>15</v>
          </cell>
          <cell r="AF107">
            <v>15</v>
          </cell>
          <cell r="AN107">
            <v>0</v>
          </cell>
          <cell r="DY107">
            <v>43658</v>
          </cell>
          <cell r="DZ107" t="str">
            <v>0</v>
          </cell>
          <cell r="GX107">
            <v>0</v>
          </cell>
        </row>
        <row r="108">
          <cell r="C108" t="str">
            <v>St Joseph</v>
          </cell>
          <cell r="E108">
            <v>2022</v>
          </cell>
          <cell r="P108">
            <v>42374</v>
          </cell>
          <cell r="Q108">
            <v>1330000</v>
          </cell>
          <cell r="AD108" t="str">
            <v>LLTS</v>
          </cell>
          <cell r="AE108">
            <v>120</v>
          </cell>
          <cell r="AF108">
            <v>120</v>
          </cell>
          <cell r="AN108">
            <v>0</v>
          </cell>
          <cell r="DY108">
            <v>43658</v>
          </cell>
          <cell r="DZ108" t="str">
            <v>0</v>
          </cell>
          <cell r="GX108">
            <v>0</v>
          </cell>
        </row>
        <row r="109">
          <cell r="C109" t="str">
            <v>Tampon</v>
          </cell>
          <cell r="E109">
            <v>2022</v>
          </cell>
          <cell r="P109">
            <v>45094</v>
          </cell>
          <cell r="Q109">
            <v>2460000</v>
          </cell>
          <cell r="AD109" t="str">
            <v>LLTS</v>
          </cell>
          <cell r="AE109">
            <v>90</v>
          </cell>
          <cell r="AF109">
            <v>90</v>
          </cell>
          <cell r="AN109">
            <v>0</v>
          </cell>
          <cell r="DY109">
            <v>43658</v>
          </cell>
          <cell r="DZ109" t="str">
            <v>0</v>
          </cell>
          <cell r="GX109">
            <v>0</v>
          </cell>
        </row>
        <row r="110">
          <cell r="C110" t="str">
            <v>St Joseph</v>
          </cell>
          <cell r="E110">
            <v>2022</v>
          </cell>
          <cell r="AD110" t="str">
            <v>LLTS</v>
          </cell>
          <cell r="AE110">
            <v>50</v>
          </cell>
          <cell r="AF110">
            <v>50</v>
          </cell>
          <cell r="AN110">
            <v>0</v>
          </cell>
          <cell r="GX110">
            <v>0</v>
          </cell>
        </row>
        <row r="111">
          <cell r="C111" t="str">
            <v>Tampon</v>
          </cell>
          <cell r="E111" t="str">
            <v>abandon</v>
          </cell>
          <cell r="P111">
            <v>5498</v>
          </cell>
          <cell r="Q111">
            <v>1219167</v>
          </cell>
          <cell r="AD111" t="str">
            <v>LLTS</v>
          </cell>
          <cell r="AE111">
            <v>53</v>
          </cell>
          <cell r="AF111">
            <v>53</v>
          </cell>
          <cell r="AN111">
            <v>0</v>
          </cell>
          <cell r="DY111">
            <v>43658</v>
          </cell>
          <cell r="DZ111" t="str">
            <v>0</v>
          </cell>
          <cell r="GW111" t="e">
            <v>#REF!</v>
          </cell>
          <cell r="GX111">
            <v>0</v>
          </cell>
        </row>
        <row r="112">
          <cell r="C112" t="str">
            <v>Tampon</v>
          </cell>
          <cell r="E112" t="str">
            <v>non inscrit</v>
          </cell>
          <cell r="G112" t="str">
            <v>FVA</v>
          </cell>
          <cell r="P112">
            <v>12700</v>
          </cell>
          <cell r="Q112">
            <v>787400</v>
          </cell>
          <cell r="AD112" t="str">
            <v>LLTS</v>
          </cell>
          <cell r="AE112">
            <v>60</v>
          </cell>
          <cell r="AF112">
            <v>60</v>
          </cell>
          <cell r="AN112">
            <v>0</v>
          </cell>
          <cell r="DY112">
            <v>43658</v>
          </cell>
          <cell r="DZ112" t="str">
            <v>0</v>
          </cell>
          <cell r="GW112">
            <v>0</v>
          </cell>
          <cell r="GX112">
            <v>0</v>
          </cell>
        </row>
        <row r="113">
          <cell r="C113" t="str">
            <v>Tampon</v>
          </cell>
          <cell r="E113" t="str">
            <v>non inscrit</v>
          </cell>
          <cell r="P113">
            <v>6396</v>
          </cell>
          <cell r="Q113">
            <v>703760</v>
          </cell>
          <cell r="AD113" t="str">
            <v>LLTS</v>
          </cell>
          <cell r="AE113">
            <v>37</v>
          </cell>
          <cell r="AF113">
            <v>37</v>
          </cell>
          <cell r="AN113">
            <v>75.064054054054054</v>
          </cell>
          <cell r="DY113">
            <v>43658</v>
          </cell>
          <cell r="DZ113" t="str">
            <v>0</v>
          </cell>
          <cell r="GW113">
            <v>0</v>
          </cell>
          <cell r="GX113">
            <v>0</v>
          </cell>
        </row>
        <row r="114">
          <cell r="C114" t="str">
            <v>St Joseph</v>
          </cell>
          <cell r="E114" t="str">
            <v>non inscrit</v>
          </cell>
          <cell r="P114">
            <v>18000</v>
          </cell>
          <cell r="AD114" t="str">
            <v>LLTS</v>
          </cell>
          <cell r="AE114">
            <v>45</v>
          </cell>
          <cell r="AF114">
            <v>45</v>
          </cell>
          <cell r="AN114">
            <v>0</v>
          </cell>
          <cell r="DY114">
            <v>43658</v>
          </cell>
          <cell r="DZ114" t="str">
            <v>0</v>
          </cell>
          <cell r="GX114">
            <v>0</v>
          </cell>
        </row>
        <row r="115">
          <cell r="C115" t="str">
            <v>St Joseph</v>
          </cell>
          <cell r="E115" t="str">
            <v>non inscrit</v>
          </cell>
          <cell r="P115">
            <v>30000</v>
          </cell>
          <cell r="AD115" t="str">
            <v>LLTS</v>
          </cell>
          <cell r="AE115">
            <v>45</v>
          </cell>
          <cell r="AF115">
            <v>45</v>
          </cell>
          <cell r="AN115">
            <v>0</v>
          </cell>
          <cell r="DY115">
            <v>43658</v>
          </cell>
          <cell r="DZ115" t="str">
            <v>0</v>
          </cell>
          <cell r="GX115">
            <v>0</v>
          </cell>
        </row>
        <row r="116">
          <cell r="C116" t="str">
            <v>St Joseph</v>
          </cell>
          <cell r="E116" t="str">
            <v>non inscrit</v>
          </cell>
          <cell r="P116">
            <v>4900</v>
          </cell>
          <cell r="AD116" t="str">
            <v>LLTS</v>
          </cell>
          <cell r="AE116">
            <v>30</v>
          </cell>
          <cell r="AF116">
            <v>30</v>
          </cell>
          <cell r="AN116">
            <v>0</v>
          </cell>
          <cell r="DY116">
            <v>43658</v>
          </cell>
          <cell r="DZ116" t="str">
            <v>0</v>
          </cell>
          <cell r="GX116">
            <v>0</v>
          </cell>
        </row>
        <row r="117">
          <cell r="C117" t="str">
            <v>St Joseph</v>
          </cell>
          <cell r="E117" t="str">
            <v>non inscrit</v>
          </cell>
          <cell r="P117">
            <v>5900</v>
          </cell>
          <cell r="AD117" t="str">
            <v>LLTS</v>
          </cell>
          <cell r="AE117">
            <v>15</v>
          </cell>
          <cell r="AF117">
            <v>15</v>
          </cell>
          <cell r="AN117">
            <v>0</v>
          </cell>
          <cell r="DY117">
            <v>43658</v>
          </cell>
          <cell r="DZ117" t="str">
            <v>0</v>
          </cell>
          <cell r="GX117">
            <v>0</v>
          </cell>
        </row>
        <row r="118">
          <cell r="C118" t="str">
            <v>St Joseph</v>
          </cell>
          <cell r="E118" t="str">
            <v>non inscrit</v>
          </cell>
          <cell r="P118">
            <v>5300</v>
          </cell>
          <cell r="AD118" t="str">
            <v>LLTS</v>
          </cell>
          <cell r="AE118">
            <v>35</v>
          </cell>
          <cell r="AF118">
            <v>35</v>
          </cell>
          <cell r="AN118">
            <v>0</v>
          </cell>
          <cell r="DY118">
            <v>43658</v>
          </cell>
          <cell r="DZ118" t="str">
            <v>0</v>
          </cell>
          <cell r="GX118">
            <v>0</v>
          </cell>
        </row>
        <row r="119">
          <cell r="C119" t="str">
            <v>St Joseph</v>
          </cell>
          <cell r="E119" t="str">
            <v>non inscrit</v>
          </cell>
          <cell r="P119">
            <v>4000</v>
          </cell>
          <cell r="AD119" t="str">
            <v>LLTS</v>
          </cell>
          <cell r="AE119">
            <v>15</v>
          </cell>
          <cell r="AF119">
            <v>15</v>
          </cell>
          <cell r="AN119">
            <v>0</v>
          </cell>
          <cell r="DY119">
            <v>43658</v>
          </cell>
          <cell r="DZ119" t="str">
            <v>0</v>
          </cell>
          <cell r="GX119">
            <v>0</v>
          </cell>
        </row>
        <row r="120">
          <cell r="C120" t="str">
            <v>St Joseph</v>
          </cell>
          <cell r="E120" t="str">
            <v>non inscrit</v>
          </cell>
          <cell r="P120">
            <v>8400</v>
          </cell>
          <cell r="AD120" t="str">
            <v>LLTS</v>
          </cell>
          <cell r="AE120">
            <v>30</v>
          </cell>
          <cell r="AF120">
            <v>30</v>
          </cell>
          <cell r="AN120">
            <v>0</v>
          </cell>
          <cell r="DY120">
            <v>43658</v>
          </cell>
          <cell r="DZ120" t="str">
            <v>0</v>
          </cell>
          <cell r="GX120">
            <v>0</v>
          </cell>
        </row>
        <row r="121">
          <cell r="C121" t="str">
            <v>St Joseph</v>
          </cell>
          <cell r="E121" t="str">
            <v>non inscrit</v>
          </cell>
          <cell r="AD121" t="str">
            <v>LLTS</v>
          </cell>
          <cell r="AE121">
            <v>60</v>
          </cell>
          <cell r="AF121">
            <v>60</v>
          </cell>
          <cell r="AN121">
            <v>0</v>
          </cell>
          <cell r="DY121">
            <v>43658</v>
          </cell>
          <cell r="DZ121" t="str">
            <v>0</v>
          </cell>
          <cell r="GX121">
            <v>0</v>
          </cell>
        </row>
        <row r="122">
          <cell r="C122" t="str">
            <v>St Joseph</v>
          </cell>
          <cell r="E122" t="str">
            <v>non inscrit</v>
          </cell>
          <cell r="AD122" t="str">
            <v>LLTS</v>
          </cell>
          <cell r="AE122">
            <v>150</v>
          </cell>
          <cell r="AF122">
            <v>150</v>
          </cell>
          <cell r="AN122">
            <v>0</v>
          </cell>
        </row>
        <row r="123">
          <cell r="C123" t="str">
            <v>Entre-Deux</v>
          </cell>
          <cell r="P123">
            <v>5468</v>
          </cell>
          <cell r="AD123" t="str">
            <v>LLTS</v>
          </cell>
          <cell r="AE123">
            <v>56</v>
          </cell>
          <cell r="AF123">
            <v>56</v>
          </cell>
          <cell r="AN123">
            <v>0</v>
          </cell>
          <cell r="DA123">
            <v>43658</v>
          </cell>
          <cell r="DY123">
            <v>43658</v>
          </cell>
          <cell r="DZ123" t="str">
            <v>0</v>
          </cell>
          <cell r="GX123">
            <v>0</v>
          </cell>
        </row>
        <row r="124">
          <cell r="C124" t="str">
            <v>Tampon</v>
          </cell>
          <cell r="P124">
            <v>1268</v>
          </cell>
          <cell r="Q124">
            <v>317000</v>
          </cell>
          <cell r="AD124" t="str">
            <v>LLTS</v>
          </cell>
          <cell r="AE124">
            <v>35</v>
          </cell>
          <cell r="AF124">
            <v>35</v>
          </cell>
          <cell r="AN124">
            <v>0</v>
          </cell>
          <cell r="DY124">
            <v>43658</v>
          </cell>
          <cell r="DZ124" t="str">
            <v>0</v>
          </cell>
          <cell r="GX124">
            <v>0</v>
          </cell>
        </row>
        <row r="125">
          <cell r="C125" t="str">
            <v>Tampon</v>
          </cell>
          <cell r="P125">
            <v>52241</v>
          </cell>
          <cell r="AD125" t="str">
            <v>LLTS</v>
          </cell>
          <cell r="AE125">
            <v>60</v>
          </cell>
          <cell r="AF125">
            <v>60</v>
          </cell>
          <cell r="AN125">
            <v>0</v>
          </cell>
          <cell r="DY125">
            <v>43658</v>
          </cell>
          <cell r="DZ125" t="str">
            <v>0</v>
          </cell>
          <cell r="GX125">
            <v>0</v>
          </cell>
        </row>
        <row r="126">
          <cell r="C126" t="str">
            <v>Tampon</v>
          </cell>
          <cell r="E126">
            <v>2020</v>
          </cell>
          <cell r="G126" t="str">
            <v>YFR</v>
          </cell>
          <cell r="H126" t="str">
            <v>SRI</v>
          </cell>
          <cell r="P126">
            <v>1043</v>
          </cell>
          <cell r="Q126">
            <v>320000</v>
          </cell>
          <cell r="AD126" t="str">
            <v>PLS</v>
          </cell>
          <cell r="AE126">
            <v>31</v>
          </cell>
          <cell r="AF126">
            <v>31</v>
          </cell>
          <cell r="AN126">
            <v>87.464516129032262</v>
          </cell>
          <cell r="CS126">
            <v>43437</v>
          </cell>
          <cell r="DA126">
            <v>43658</v>
          </cell>
          <cell r="DY126">
            <v>43658</v>
          </cell>
          <cell r="DZ126" t="str">
            <v>0</v>
          </cell>
          <cell r="GW126">
            <v>68765.07889995139</v>
          </cell>
          <cell r="GX126">
            <v>3750280.1044237465</v>
          </cell>
        </row>
        <row r="127">
          <cell r="C127" t="str">
            <v>La Possession</v>
          </cell>
          <cell r="E127">
            <v>2021</v>
          </cell>
          <cell r="P127">
            <v>1245</v>
          </cell>
          <cell r="Q127">
            <v>747000</v>
          </cell>
          <cell r="AD127" t="str">
            <v>PLS</v>
          </cell>
          <cell r="AE127">
            <v>0</v>
          </cell>
          <cell r="AF127">
            <v>0</v>
          </cell>
          <cell r="AN127" t="e">
            <v>#DIV/0!</v>
          </cell>
        </row>
        <row r="128">
          <cell r="C128" t="str">
            <v>Entre-Deux</v>
          </cell>
          <cell r="E128">
            <v>2020</v>
          </cell>
          <cell r="G128" t="str">
            <v>EMO</v>
          </cell>
          <cell r="H128" t="str">
            <v>NLE</v>
          </cell>
          <cell r="AD128" t="str">
            <v>Rehab</v>
          </cell>
          <cell r="AE128">
            <v>16</v>
          </cell>
          <cell r="AF128">
            <v>0</v>
          </cell>
          <cell r="AN128">
            <v>0</v>
          </cell>
          <cell r="DA128">
            <v>43658</v>
          </cell>
          <cell r="DY128">
            <v>43658</v>
          </cell>
          <cell r="DZ128" t="str">
            <v>0</v>
          </cell>
          <cell r="GW128" t="e">
            <v>#REF!</v>
          </cell>
          <cell r="GX128">
            <v>1135531.9985258898</v>
          </cell>
        </row>
        <row r="129">
          <cell r="C129" t="str">
            <v>Tampon</v>
          </cell>
          <cell r="E129">
            <v>2020</v>
          </cell>
          <cell r="G129" t="str">
            <v>JER</v>
          </cell>
          <cell r="H129" t="str">
            <v>NLE</v>
          </cell>
          <cell r="AD129" t="str">
            <v>Rehab</v>
          </cell>
          <cell r="AE129">
            <v>38</v>
          </cell>
          <cell r="AF129">
            <v>0</v>
          </cell>
          <cell r="AN129">
            <v>0</v>
          </cell>
          <cell r="DA129">
            <v>43658</v>
          </cell>
          <cell r="DY129">
            <v>43658</v>
          </cell>
          <cell r="DZ129" t="str">
            <v>0</v>
          </cell>
          <cell r="GW129" t="e">
            <v>#REF!</v>
          </cell>
          <cell r="GX129">
            <v>2108899.3492399501</v>
          </cell>
        </row>
        <row r="130">
          <cell r="C130" t="str">
            <v>St Joseph</v>
          </cell>
          <cell r="E130">
            <v>2020</v>
          </cell>
          <cell r="G130" t="str">
            <v>JER</v>
          </cell>
          <cell r="H130" t="str">
            <v>NLE</v>
          </cell>
          <cell r="AD130" t="str">
            <v>Rehab</v>
          </cell>
          <cell r="AE130">
            <v>30</v>
          </cell>
          <cell r="AF130">
            <v>0</v>
          </cell>
          <cell r="AN130">
            <v>0</v>
          </cell>
          <cell r="DA130">
            <v>43658</v>
          </cell>
          <cell r="DY130">
            <v>43658</v>
          </cell>
          <cell r="DZ130" t="str">
            <v>0</v>
          </cell>
          <cell r="GW130" t="e">
            <v>#REF!</v>
          </cell>
          <cell r="GX130">
            <v>1559764.5946257999</v>
          </cell>
        </row>
        <row r="131">
          <cell r="C131" t="str">
            <v>St Joseph</v>
          </cell>
          <cell r="E131">
            <v>2020</v>
          </cell>
          <cell r="G131" t="str">
            <v>JER</v>
          </cell>
          <cell r="AD131" t="str">
            <v>Rehab</v>
          </cell>
          <cell r="AE131">
            <v>32</v>
          </cell>
          <cell r="AF131">
            <v>0</v>
          </cell>
          <cell r="AN131">
            <v>0</v>
          </cell>
          <cell r="DA131">
            <v>43658</v>
          </cell>
          <cell r="DY131">
            <v>43658</v>
          </cell>
          <cell r="DZ131" t="str">
            <v>0</v>
          </cell>
          <cell r="GW131" t="e">
            <v>#REF!</v>
          </cell>
          <cell r="GX131">
            <v>1655285.8827731796</v>
          </cell>
        </row>
        <row r="132">
          <cell r="C132" t="str">
            <v>St Joseph</v>
          </cell>
          <cell r="E132">
            <v>2020</v>
          </cell>
          <cell r="G132" t="str">
            <v>JER</v>
          </cell>
          <cell r="AD132" t="str">
            <v>Rehab</v>
          </cell>
          <cell r="AE132">
            <v>18</v>
          </cell>
          <cell r="AF132">
            <v>0</v>
          </cell>
          <cell r="AN132">
            <v>0</v>
          </cell>
          <cell r="DA132">
            <v>43658</v>
          </cell>
          <cell r="DY132">
            <v>43658</v>
          </cell>
          <cell r="DZ132" t="str">
            <v>0</v>
          </cell>
          <cell r="GW132" t="e">
            <v>#REF!</v>
          </cell>
          <cell r="GX132">
            <v>1042243.66</v>
          </cell>
        </row>
        <row r="133">
          <cell r="C133" t="str">
            <v>St Joseph</v>
          </cell>
          <cell r="E133">
            <v>2020</v>
          </cell>
          <cell r="G133" t="str">
            <v>JER</v>
          </cell>
          <cell r="AD133" t="str">
            <v>Rehab</v>
          </cell>
          <cell r="AE133">
            <v>26</v>
          </cell>
          <cell r="AF133">
            <v>0</v>
          </cell>
          <cell r="AN133">
            <v>0</v>
          </cell>
          <cell r="DA133">
            <v>43658</v>
          </cell>
          <cell r="DY133">
            <v>43658</v>
          </cell>
          <cell r="DZ133" t="str">
            <v>0</v>
          </cell>
          <cell r="GW133" t="e">
            <v>#REF!</v>
          </cell>
          <cell r="GX133">
            <v>1159191.79</v>
          </cell>
        </row>
        <row r="134">
          <cell r="C134" t="str">
            <v>Tampon</v>
          </cell>
          <cell r="E134">
            <v>2020</v>
          </cell>
          <cell r="G134" t="str">
            <v>JER</v>
          </cell>
          <cell r="AD134" t="str">
            <v>Rehab</v>
          </cell>
          <cell r="AE134">
            <v>83</v>
          </cell>
          <cell r="AF134">
            <v>0</v>
          </cell>
          <cell r="AN134">
            <v>0</v>
          </cell>
          <cell r="DA134">
            <v>43658</v>
          </cell>
          <cell r="DY134">
            <v>43658</v>
          </cell>
          <cell r="DZ134" t="str">
            <v>0</v>
          </cell>
          <cell r="GW134" t="e">
            <v>#REF!</v>
          </cell>
          <cell r="GX134">
            <v>2925263.24244005</v>
          </cell>
        </row>
        <row r="135">
          <cell r="GX135">
            <v>270890984.26735938</v>
          </cell>
          <cell r="HR135">
            <v>0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YNTHESE à REVOIR"/>
      <sheetName val="Prév Hono Amgt 2021"/>
      <sheetName val="Prév Hono Construction 2021"/>
      <sheetName val="Rem par phase"/>
      <sheetName val="Prevision Hono REHAB 2021"/>
      <sheetName val="Mensuel Rem"/>
    </sheetNames>
    <sheetDataSet>
      <sheetData sheetId="0" refreshError="1"/>
      <sheetData sheetId="1"/>
      <sheetData sheetId="2">
        <row r="19">
          <cell r="T19">
            <v>6213</v>
          </cell>
        </row>
        <row r="20">
          <cell r="T20">
            <v>3061</v>
          </cell>
        </row>
        <row r="21">
          <cell r="T21">
            <v>6726</v>
          </cell>
          <cell r="W21">
            <v>16817</v>
          </cell>
        </row>
        <row r="22">
          <cell r="T22">
            <v>234732</v>
          </cell>
          <cell r="W22">
            <v>24897</v>
          </cell>
        </row>
        <row r="23">
          <cell r="T23">
            <v>17098</v>
          </cell>
          <cell r="W23">
            <v>11763</v>
          </cell>
        </row>
        <row r="24">
          <cell r="T24">
            <v>15455</v>
          </cell>
          <cell r="W24">
            <v>39275</v>
          </cell>
          <cell r="Z24">
            <v>7272.15</v>
          </cell>
        </row>
        <row r="25">
          <cell r="T25">
            <v>0</v>
          </cell>
          <cell r="W25">
            <v>46412</v>
          </cell>
          <cell r="Z25">
            <v>42222</v>
          </cell>
        </row>
        <row r="26">
          <cell r="T26">
            <v>18895</v>
          </cell>
          <cell r="W26">
            <v>27268</v>
          </cell>
          <cell r="Z26">
            <v>8995</v>
          </cell>
        </row>
        <row r="27">
          <cell r="T27">
            <v>14537</v>
          </cell>
          <cell r="W27">
            <v>9179</v>
          </cell>
        </row>
        <row r="28">
          <cell r="T28">
            <v>187566</v>
          </cell>
          <cell r="W28">
            <v>16999</v>
          </cell>
        </row>
        <row r="29">
          <cell r="T29">
            <v>5060</v>
          </cell>
          <cell r="W29">
            <v>20059</v>
          </cell>
        </row>
        <row r="30">
          <cell r="T30">
            <v>90052</v>
          </cell>
          <cell r="W30">
            <v>69399</v>
          </cell>
        </row>
        <row r="32">
          <cell r="F32" t="str">
            <v>FHO</v>
          </cell>
          <cell r="T32">
            <v>29632</v>
          </cell>
          <cell r="Z32">
            <v>6133</v>
          </cell>
          <cell r="AN32">
            <v>0</v>
          </cell>
        </row>
        <row r="33">
          <cell r="F33" t="str">
            <v>NBL</v>
          </cell>
          <cell r="T33">
            <v>51472</v>
          </cell>
          <cell r="W33">
            <v>21718</v>
          </cell>
          <cell r="Z33">
            <v>15661</v>
          </cell>
          <cell r="AC33">
            <v>71.260000000000005</v>
          </cell>
          <cell r="AN33">
            <v>0</v>
          </cell>
        </row>
        <row r="34">
          <cell r="F34" t="str">
            <v>YFR</v>
          </cell>
          <cell r="T34">
            <v>43701</v>
          </cell>
          <cell r="W34">
            <v>20543</v>
          </cell>
          <cell r="Z34">
            <v>75610</v>
          </cell>
          <cell r="AC34">
            <v>38349</v>
          </cell>
          <cell r="AN34">
            <v>0</v>
          </cell>
        </row>
        <row r="35">
          <cell r="F35" t="str">
            <v>FVA</v>
          </cell>
          <cell r="T35">
            <v>34928</v>
          </cell>
          <cell r="W35">
            <v>29222</v>
          </cell>
          <cell r="Z35">
            <v>17110</v>
          </cell>
          <cell r="AN35">
            <v>0</v>
          </cell>
        </row>
        <row r="36">
          <cell r="F36" t="str">
            <v>NBL</v>
          </cell>
          <cell r="T36">
            <v>17870</v>
          </cell>
          <cell r="W36">
            <v>22068</v>
          </cell>
          <cell r="Z36">
            <v>18911</v>
          </cell>
          <cell r="AC36">
            <v>8105</v>
          </cell>
          <cell r="AN36">
            <v>0</v>
          </cell>
        </row>
        <row r="37">
          <cell r="F37" t="str">
            <v>BBL</v>
          </cell>
          <cell r="T37">
            <v>193001</v>
          </cell>
          <cell r="W37">
            <v>168876</v>
          </cell>
          <cell r="Z37">
            <v>72376</v>
          </cell>
          <cell r="AC37">
            <v>0</v>
          </cell>
          <cell r="AN37">
            <v>0</v>
          </cell>
        </row>
        <row r="38">
          <cell r="F38" t="str">
            <v>TQU</v>
          </cell>
          <cell r="T38">
            <v>115636</v>
          </cell>
          <cell r="W38">
            <v>65774</v>
          </cell>
          <cell r="Z38">
            <v>32887</v>
          </cell>
          <cell r="AN38">
            <v>0</v>
          </cell>
        </row>
        <row r="39">
          <cell r="F39" t="str">
            <v>YFR</v>
          </cell>
          <cell r="T39">
            <v>18409</v>
          </cell>
          <cell r="W39">
            <v>21261</v>
          </cell>
          <cell r="Z39">
            <v>52030</v>
          </cell>
          <cell r="AC39">
            <v>3721</v>
          </cell>
          <cell r="AN39">
            <v>0</v>
          </cell>
        </row>
        <row r="40">
          <cell r="F40" t="str">
            <v>NBL</v>
          </cell>
          <cell r="T40">
            <v>23658</v>
          </cell>
          <cell r="W40">
            <v>3958</v>
          </cell>
          <cell r="Z40">
            <v>7751</v>
          </cell>
          <cell r="AN40">
            <v>0</v>
          </cell>
        </row>
        <row r="41">
          <cell r="F41" t="str">
            <v>FHO</v>
          </cell>
          <cell r="T41">
            <v>60098</v>
          </cell>
          <cell r="W41">
            <v>41918</v>
          </cell>
          <cell r="Z41">
            <v>7220</v>
          </cell>
          <cell r="AC41">
            <v>7556</v>
          </cell>
          <cell r="AN41">
            <v>0</v>
          </cell>
        </row>
        <row r="43">
          <cell r="F43" t="str">
            <v>FHO</v>
          </cell>
          <cell r="Z43">
            <v>53374</v>
          </cell>
          <cell r="AC43">
            <v>41604</v>
          </cell>
          <cell r="AF43">
            <v>9034</v>
          </cell>
          <cell r="AN43">
            <v>0</v>
          </cell>
        </row>
        <row r="44">
          <cell r="F44" t="str">
            <v>FHO</v>
          </cell>
          <cell r="W44">
            <v>28342</v>
          </cell>
          <cell r="Z44">
            <v>22912</v>
          </cell>
          <cell r="AC44">
            <v>47833</v>
          </cell>
          <cell r="AF44">
            <v>14297</v>
          </cell>
          <cell r="AN44">
            <v>0</v>
          </cell>
        </row>
        <row r="45">
          <cell r="F45" t="str">
            <v>FVA</v>
          </cell>
          <cell r="W45">
            <v>23150</v>
          </cell>
          <cell r="Z45">
            <v>15909</v>
          </cell>
          <cell r="AC45">
            <v>6667.88</v>
          </cell>
          <cell r="AN45">
            <v>0</v>
          </cell>
        </row>
        <row r="46">
          <cell r="T46">
            <v>170558.75576036866</v>
          </cell>
          <cell r="W46">
            <v>102336</v>
          </cell>
          <cell r="Z46">
            <v>0</v>
          </cell>
          <cell r="AN46">
            <v>0</v>
          </cell>
        </row>
        <row r="47">
          <cell r="W47">
            <v>0</v>
          </cell>
          <cell r="Z47">
            <v>14394</v>
          </cell>
          <cell r="AC47">
            <v>4730</v>
          </cell>
        </row>
        <row r="48">
          <cell r="F48" t="str">
            <v>YFR</v>
          </cell>
          <cell r="T48">
            <v>185130.15668202765</v>
          </cell>
          <cell r="W48">
            <v>81457.235023041474</v>
          </cell>
          <cell r="Z48">
            <v>77754.672811059922</v>
          </cell>
          <cell r="AC48">
            <v>22215.622119815671</v>
          </cell>
          <cell r="AF48">
            <v>3702.5990783410143</v>
          </cell>
          <cell r="AN48">
            <v>0</v>
          </cell>
        </row>
        <row r="49">
          <cell r="F49" t="str">
            <v>YFR</v>
          </cell>
          <cell r="W49">
            <v>38588</v>
          </cell>
          <cell r="Z49">
            <v>28817</v>
          </cell>
          <cell r="AC49">
            <v>4271</v>
          </cell>
          <cell r="AN49">
            <v>0</v>
          </cell>
        </row>
        <row r="51">
          <cell r="F51" t="str">
            <v>FHO</v>
          </cell>
          <cell r="W51">
            <v>129227.89861751151</v>
          </cell>
          <cell r="Z51">
            <v>46990.981566820279</v>
          </cell>
          <cell r="AC51">
            <v>35243.99</v>
          </cell>
          <cell r="AF51">
            <v>23495.981566820275</v>
          </cell>
          <cell r="AN51">
            <v>0</v>
          </cell>
        </row>
        <row r="52">
          <cell r="F52" t="str">
            <v>TQU</v>
          </cell>
          <cell r="T52">
            <v>33340</v>
          </cell>
          <cell r="W52">
            <v>19717</v>
          </cell>
          <cell r="Z52">
            <v>19717</v>
          </cell>
          <cell r="AC52">
            <v>19717</v>
          </cell>
          <cell r="AF52">
            <v>8717</v>
          </cell>
          <cell r="AN52">
            <v>0</v>
          </cell>
        </row>
        <row r="53">
          <cell r="F53" t="str">
            <v>BBL</v>
          </cell>
          <cell r="T53">
            <v>168765</v>
          </cell>
          <cell r="Z53">
            <v>68549</v>
          </cell>
          <cell r="AC53">
            <v>68550</v>
          </cell>
          <cell r="AF53">
            <v>65876</v>
          </cell>
          <cell r="AL53">
            <v>44145</v>
          </cell>
          <cell r="AN53">
            <v>0</v>
          </cell>
        </row>
        <row r="54">
          <cell r="F54" t="str">
            <v>MHO</v>
          </cell>
          <cell r="T54">
            <v>200625</v>
          </cell>
          <cell r="W54">
            <v>18438</v>
          </cell>
          <cell r="Z54">
            <v>68562</v>
          </cell>
          <cell r="AC54">
            <v>113876</v>
          </cell>
          <cell r="AF54">
            <v>9516</v>
          </cell>
          <cell r="AN54">
            <v>0</v>
          </cell>
        </row>
        <row r="55">
          <cell r="F55" t="str">
            <v>BBL</v>
          </cell>
          <cell r="T55">
            <v>35166</v>
          </cell>
          <cell r="W55">
            <v>25164</v>
          </cell>
          <cell r="Z55">
            <v>25164</v>
          </cell>
          <cell r="AC55">
            <v>25164</v>
          </cell>
          <cell r="AF55">
            <v>5659</v>
          </cell>
          <cell r="AN55">
            <v>0</v>
          </cell>
        </row>
        <row r="56">
          <cell r="F56" t="str">
            <v>RO</v>
          </cell>
          <cell r="T56">
            <v>35474</v>
          </cell>
          <cell r="Z56">
            <v>21534</v>
          </cell>
          <cell r="AC56">
            <v>36171.9</v>
          </cell>
          <cell r="AF56">
            <v>22668</v>
          </cell>
          <cell r="AN56">
            <v>0</v>
          </cell>
        </row>
        <row r="57">
          <cell r="F57" t="str">
            <v>FHO</v>
          </cell>
          <cell r="T57">
            <v>0</v>
          </cell>
          <cell r="W57">
            <v>0</v>
          </cell>
          <cell r="AC57">
            <v>0</v>
          </cell>
          <cell r="AF57">
            <v>0</v>
          </cell>
          <cell r="AN57">
            <v>0</v>
          </cell>
        </row>
        <row r="58">
          <cell r="F58" t="str">
            <v>FHO</v>
          </cell>
          <cell r="T58">
            <v>32524</v>
          </cell>
          <cell r="W58">
            <v>44489</v>
          </cell>
          <cell r="AC58">
            <v>35609</v>
          </cell>
          <cell r="AF58">
            <v>4642</v>
          </cell>
          <cell r="AN58">
            <v>0</v>
          </cell>
        </row>
        <row r="60">
          <cell r="E60">
            <v>30</v>
          </cell>
          <cell r="F60" t="str">
            <v>YFR</v>
          </cell>
          <cell r="G60" t="str">
            <v>Travaux</v>
          </cell>
          <cell r="H60">
            <v>5506953</v>
          </cell>
          <cell r="J60">
            <v>165208.59</v>
          </cell>
          <cell r="M60">
            <v>25155</v>
          </cell>
          <cell r="N60">
            <v>0</v>
          </cell>
          <cell r="W60">
            <v>35020</v>
          </cell>
          <cell r="Z60">
            <v>0</v>
          </cell>
          <cell r="AP60">
            <v>46993.59</v>
          </cell>
        </row>
        <row r="61">
          <cell r="E61">
            <v>30</v>
          </cell>
          <cell r="F61" t="str">
            <v>TQU</v>
          </cell>
          <cell r="G61" t="str">
            <v>fin</v>
          </cell>
          <cell r="H61">
            <v>5013752</v>
          </cell>
          <cell r="J61">
            <v>261561</v>
          </cell>
          <cell r="M61">
            <v>0</v>
          </cell>
          <cell r="N61">
            <v>0</v>
          </cell>
          <cell r="Q61">
            <v>125141</v>
          </cell>
          <cell r="W61">
            <v>39100</v>
          </cell>
          <cell r="Z61">
            <v>33693</v>
          </cell>
          <cell r="AC61">
            <v>41995</v>
          </cell>
          <cell r="AN61">
            <v>0</v>
          </cell>
          <cell r="AP61">
            <v>0</v>
          </cell>
        </row>
        <row r="62">
          <cell r="H62">
            <v>178262</v>
          </cell>
          <cell r="J62">
            <v>12478</v>
          </cell>
          <cell r="M62">
            <v>0</v>
          </cell>
          <cell r="N62">
            <v>0</v>
          </cell>
          <cell r="Q62">
            <v>6374</v>
          </cell>
          <cell r="W62">
            <v>1991</v>
          </cell>
          <cell r="Z62">
            <v>2859</v>
          </cell>
          <cell r="AC62">
            <v>660</v>
          </cell>
          <cell r="AF62">
            <v>12703.73</v>
          </cell>
          <cell r="AN62">
            <v>0</v>
          </cell>
          <cell r="AP62">
            <v>0</v>
          </cell>
        </row>
        <row r="63">
          <cell r="E63">
            <v>40</v>
          </cell>
          <cell r="F63" t="str">
            <v>FHO</v>
          </cell>
          <cell r="G63" t="str">
            <v>GPA</v>
          </cell>
          <cell r="H63">
            <v>5145425</v>
          </cell>
          <cell r="J63">
            <v>257271</v>
          </cell>
          <cell r="T63">
            <v>21429</v>
          </cell>
          <cell r="W63">
            <v>53917</v>
          </cell>
          <cell r="Z63">
            <v>50230</v>
          </cell>
          <cell r="AF63">
            <v>40825</v>
          </cell>
          <cell r="AL63">
            <v>51474</v>
          </cell>
          <cell r="AN63">
            <v>0</v>
          </cell>
          <cell r="AP63">
            <v>0</v>
          </cell>
        </row>
        <row r="64">
          <cell r="E64">
            <v>23</v>
          </cell>
          <cell r="G64" t="str">
            <v>fin</v>
          </cell>
          <cell r="H64">
            <v>3202766.9958733749</v>
          </cell>
          <cell r="J64">
            <v>101410.595275</v>
          </cell>
          <cell r="W64">
            <v>65917</v>
          </cell>
          <cell r="Z64">
            <v>25352.654377880182</v>
          </cell>
          <cell r="AC64">
            <v>10141.050691244242</v>
          </cell>
          <cell r="AN64">
            <v>0</v>
          </cell>
          <cell r="AP64">
            <v>0</v>
          </cell>
        </row>
        <row r="65">
          <cell r="E65">
            <v>28</v>
          </cell>
          <cell r="F65" t="str">
            <v>FHO</v>
          </cell>
          <cell r="G65" t="str">
            <v>fin</v>
          </cell>
          <cell r="H65">
            <v>3767200</v>
          </cell>
          <cell r="J65">
            <v>188360</v>
          </cell>
          <cell r="T65">
            <v>23317</v>
          </cell>
          <cell r="W65">
            <v>61305</v>
          </cell>
          <cell r="Z65">
            <v>22722</v>
          </cell>
          <cell r="AC65">
            <v>35220</v>
          </cell>
          <cell r="AF65">
            <v>37490</v>
          </cell>
          <cell r="AP65">
            <v>0</v>
          </cell>
        </row>
        <row r="66">
          <cell r="E66">
            <v>35</v>
          </cell>
          <cell r="F66" t="str">
            <v>FHO</v>
          </cell>
          <cell r="G66" t="str">
            <v>fin</v>
          </cell>
          <cell r="H66">
            <v>5414135.2837200351</v>
          </cell>
          <cell r="J66">
            <v>270706.76418600179</v>
          </cell>
          <cell r="T66">
            <v>26176</v>
          </cell>
          <cell r="W66">
            <v>83060</v>
          </cell>
          <cell r="Z66">
            <v>36658</v>
          </cell>
          <cell r="AC66">
            <v>53052.1</v>
          </cell>
          <cell r="AF66">
            <v>56775</v>
          </cell>
          <cell r="AP66">
            <v>0</v>
          </cell>
        </row>
        <row r="68">
          <cell r="F68" t="str">
            <v>JER</v>
          </cell>
          <cell r="G68" t="str">
            <v>Travaux</v>
          </cell>
          <cell r="H68">
            <v>12400064</v>
          </cell>
          <cell r="J68">
            <v>372002</v>
          </cell>
          <cell r="W68">
            <v>133744</v>
          </cell>
          <cell r="Z68">
            <v>85861</v>
          </cell>
          <cell r="AC68">
            <v>99766</v>
          </cell>
          <cell r="AN68">
            <v>0</v>
          </cell>
          <cell r="AP68">
            <v>52631</v>
          </cell>
        </row>
        <row r="69">
          <cell r="F69" t="str">
            <v>YFR</v>
          </cell>
          <cell r="G69" t="str">
            <v>fin</v>
          </cell>
          <cell r="H69">
            <v>3822409</v>
          </cell>
          <cell r="J69">
            <v>191120.45</v>
          </cell>
          <cell r="W69">
            <v>45538</v>
          </cell>
          <cell r="Z69">
            <v>31975</v>
          </cell>
          <cell r="AC69">
            <v>39805</v>
          </cell>
          <cell r="AF69">
            <v>41668</v>
          </cell>
          <cell r="AL69">
            <v>1019</v>
          </cell>
          <cell r="AN69">
            <v>0</v>
          </cell>
          <cell r="AP69">
            <v>0.45000000001164153</v>
          </cell>
        </row>
        <row r="70">
          <cell r="F70" t="str">
            <v>YFR</v>
          </cell>
          <cell r="G70" t="str">
            <v>fin</v>
          </cell>
          <cell r="H70">
            <v>3564776</v>
          </cell>
          <cell r="J70">
            <v>178239</v>
          </cell>
          <cell r="Z70">
            <v>115856</v>
          </cell>
          <cell r="AC70">
            <v>16042</v>
          </cell>
          <cell r="AF70">
            <v>17824</v>
          </cell>
          <cell r="AN70">
            <v>0</v>
          </cell>
          <cell r="AP70">
            <v>0</v>
          </cell>
        </row>
        <row r="71">
          <cell r="F71" t="str">
            <v>RO</v>
          </cell>
          <cell r="G71" t="str">
            <v>fin</v>
          </cell>
          <cell r="H71">
            <v>11616560</v>
          </cell>
          <cell r="J71">
            <v>481692</v>
          </cell>
          <cell r="W71">
            <v>51495</v>
          </cell>
          <cell r="Z71">
            <v>130915</v>
          </cell>
          <cell r="AC71">
            <v>120390</v>
          </cell>
          <cell r="AF71">
            <v>178892.19</v>
          </cell>
          <cell r="AN71">
            <v>0</v>
          </cell>
          <cell r="AP71">
            <v>0</v>
          </cell>
        </row>
        <row r="72">
          <cell r="F72" t="str">
            <v>RO</v>
          </cell>
          <cell r="G72" t="str">
            <v>fin</v>
          </cell>
          <cell r="H72">
            <v>6236911</v>
          </cell>
          <cell r="J72">
            <v>303631</v>
          </cell>
          <cell r="W72">
            <v>46179</v>
          </cell>
          <cell r="Z72">
            <v>22525</v>
          </cell>
          <cell r="AC72">
            <v>82444</v>
          </cell>
          <cell r="AF72">
            <v>152482.96</v>
          </cell>
          <cell r="AN72">
            <v>0</v>
          </cell>
          <cell r="AP72">
            <v>0</v>
          </cell>
        </row>
        <row r="73">
          <cell r="F73" t="str">
            <v>TQU</v>
          </cell>
          <cell r="G73" t="str">
            <v>GPA</v>
          </cell>
          <cell r="H73">
            <v>3806900</v>
          </cell>
          <cell r="J73">
            <v>190345</v>
          </cell>
          <cell r="W73">
            <v>45452</v>
          </cell>
          <cell r="Z73">
            <v>59934</v>
          </cell>
          <cell r="AF73">
            <v>40715</v>
          </cell>
          <cell r="AL73">
            <v>14033</v>
          </cell>
          <cell r="AN73">
            <v>0</v>
          </cell>
          <cell r="AP73">
            <v>0</v>
          </cell>
        </row>
        <row r="75">
          <cell r="E75">
            <v>30</v>
          </cell>
          <cell r="H75">
            <v>4926823</v>
          </cell>
          <cell r="J75">
            <v>147804.69</v>
          </cell>
          <cell r="Z75">
            <v>36530</v>
          </cell>
          <cell r="AC75">
            <v>62006.1</v>
          </cell>
          <cell r="AN75">
            <v>0</v>
          </cell>
          <cell r="AP75">
            <v>49268.69</v>
          </cell>
        </row>
        <row r="76">
          <cell r="E76">
            <v>56</v>
          </cell>
          <cell r="F76" t="str">
            <v>JER</v>
          </cell>
          <cell r="G76" t="str">
            <v>Travaux</v>
          </cell>
          <cell r="H76">
            <v>9453797.0685173143</v>
          </cell>
          <cell r="J76">
            <v>283613.91205551941</v>
          </cell>
          <cell r="Z76">
            <v>113602</v>
          </cell>
          <cell r="AC76">
            <v>47870</v>
          </cell>
          <cell r="AF76">
            <v>69202</v>
          </cell>
          <cell r="AN76">
            <v>0</v>
          </cell>
          <cell r="AP76">
            <v>52939.912055519409</v>
          </cell>
        </row>
        <row r="77">
          <cell r="E77">
            <v>17</v>
          </cell>
          <cell r="F77" t="str">
            <v>RO</v>
          </cell>
          <cell r="G77" t="str">
            <v>GPA</v>
          </cell>
          <cell r="H77">
            <v>3165550</v>
          </cell>
          <cell r="J77">
            <v>158277.5</v>
          </cell>
          <cell r="Z77">
            <v>31237</v>
          </cell>
          <cell r="AC77">
            <v>45412</v>
          </cell>
          <cell r="AF77">
            <v>29223</v>
          </cell>
          <cell r="AL77">
            <v>28196</v>
          </cell>
          <cell r="AN77">
            <v>0</v>
          </cell>
          <cell r="AP77">
            <v>-0.5</v>
          </cell>
        </row>
        <row r="78">
          <cell r="E78">
            <v>33</v>
          </cell>
          <cell r="H78">
            <v>5198884</v>
          </cell>
          <cell r="J78">
            <v>155966.51999999999</v>
          </cell>
          <cell r="Z78">
            <v>39542</v>
          </cell>
          <cell r="AC78">
            <v>26361</v>
          </cell>
          <cell r="AN78">
            <v>0</v>
          </cell>
          <cell r="AP78">
            <v>90063.51999999999</v>
          </cell>
        </row>
        <row r="79">
          <cell r="E79">
            <v>39</v>
          </cell>
          <cell r="F79" t="str">
            <v>YFR</v>
          </cell>
          <cell r="G79" t="str">
            <v>Travaux</v>
          </cell>
          <cell r="H79">
            <v>7869899.4131003246</v>
          </cell>
          <cell r="J79">
            <v>236096.98239300973</v>
          </cell>
          <cell r="Z79">
            <v>46591</v>
          </cell>
          <cell r="AC79">
            <v>134379</v>
          </cell>
          <cell r="AN79">
            <v>0</v>
          </cell>
          <cell r="AP79">
            <v>55126.982393009734</v>
          </cell>
        </row>
        <row r="81">
          <cell r="E81">
            <v>66</v>
          </cell>
          <cell r="F81" t="str">
            <v>YFR</v>
          </cell>
          <cell r="G81" t="str">
            <v>Travaux</v>
          </cell>
          <cell r="H81">
            <v>10605600</v>
          </cell>
          <cell r="J81">
            <v>318168</v>
          </cell>
          <cell r="AC81">
            <v>31650</v>
          </cell>
          <cell r="AF81">
            <v>63800</v>
          </cell>
          <cell r="AL81">
            <v>31817</v>
          </cell>
          <cell r="AN81">
            <v>0</v>
          </cell>
          <cell r="AP81">
            <v>79542</v>
          </cell>
        </row>
        <row r="82">
          <cell r="E82">
            <v>58</v>
          </cell>
          <cell r="F82" t="str">
            <v>OPO</v>
          </cell>
          <cell r="G82" t="str">
            <v>Travaux</v>
          </cell>
          <cell r="H82">
            <v>10260594</v>
          </cell>
          <cell r="J82">
            <v>307818</v>
          </cell>
          <cell r="AC82">
            <v>76954</v>
          </cell>
          <cell r="AF82">
            <v>110384</v>
          </cell>
          <cell r="AL82">
            <v>58916</v>
          </cell>
          <cell r="AN82">
            <v>0</v>
          </cell>
          <cell r="AP82">
            <v>61564</v>
          </cell>
        </row>
        <row r="83">
          <cell r="E83">
            <v>60</v>
          </cell>
          <cell r="F83" t="str">
            <v>LXC</v>
          </cell>
          <cell r="G83" t="str">
            <v>Travaux</v>
          </cell>
          <cell r="H83">
            <v>11010000</v>
          </cell>
          <cell r="J83">
            <v>330300</v>
          </cell>
          <cell r="AC83">
            <v>49545</v>
          </cell>
          <cell r="AF83">
            <v>50045</v>
          </cell>
          <cell r="AL83">
            <v>32530</v>
          </cell>
          <cell r="AN83">
            <v>0</v>
          </cell>
          <cell r="AP83">
            <v>66060</v>
          </cell>
        </row>
        <row r="85">
          <cell r="E85">
            <v>35</v>
          </cell>
          <cell r="F85" t="str">
            <v>TQU</v>
          </cell>
          <cell r="G85" t="str">
            <v>AO</v>
          </cell>
          <cell r="H85">
            <v>6931126</v>
          </cell>
          <cell r="J85">
            <v>207933.78</v>
          </cell>
          <cell r="AF85">
            <v>74135</v>
          </cell>
          <cell r="AL85">
            <v>15217</v>
          </cell>
          <cell r="AN85">
            <v>0</v>
          </cell>
          <cell r="AP85">
            <v>103966.78</v>
          </cell>
        </row>
        <row r="86">
          <cell r="E86">
            <v>40</v>
          </cell>
          <cell r="F86" t="str">
            <v>JER</v>
          </cell>
          <cell r="G86" t="str">
            <v>PRO</v>
          </cell>
          <cell r="H86">
            <v>6907326</v>
          </cell>
          <cell r="J86">
            <v>207219.78</v>
          </cell>
          <cell r="AF86">
            <v>26189</v>
          </cell>
          <cell r="AL86">
            <v>45163</v>
          </cell>
          <cell r="AN86">
            <v>0</v>
          </cell>
          <cell r="AP86">
            <v>103609.78</v>
          </cell>
        </row>
        <row r="87">
          <cell r="E87">
            <v>30</v>
          </cell>
          <cell r="F87" t="str">
            <v>LXC</v>
          </cell>
          <cell r="G87" t="str">
            <v>Travaux</v>
          </cell>
          <cell r="H87">
            <v>5000789</v>
          </cell>
          <cell r="J87">
            <v>75011.834999999992</v>
          </cell>
          <cell r="AL87">
            <v>30004</v>
          </cell>
          <cell r="AN87">
            <v>0</v>
          </cell>
          <cell r="AP87">
            <v>26253.834999999992</v>
          </cell>
        </row>
        <row r="88">
          <cell r="E88">
            <v>123</v>
          </cell>
          <cell r="F88" t="str">
            <v>TQU</v>
          </cell>
          <cell r="G88" t="str">
            <v>Travaux</v>
          </cell>
          <cell r="H88">
            <v>18939550</v>
          </cell>
          <cell r="J88">
            <v>284093.25</v>
          </cell>
          <cell r="AF88">
            <v>85228</v>
          </cell>
          <cell r="AL88">
            <v>21907</v>
          </cell>
          <cell r="AN88">
            <v>0</v>
          </cell>
          <cell r="AP88">
            <v>156251.25</v>
          </cell>
        </row>
        <row r="89">
          <cell r="E89">
            <v>70</v>
          </cell>
          <cell r="F89" t="str">
            <v>TQU</v>
          </cell>
          <cell r="G89" t="str">
            <v>Travaux</v>
          </cell>
          <cell r="H89">
            <v>13675255</v>
          </cell>
          <cell r="J89">
            <v>205128.82499999998</v>
          </cell>
          <cell r="AF89">
            <v>56157</v>
          </cell>
          <cell r="AL89">
            <v>71795.088749999995</v>
          </cell>
          <cell r="AN89">
            <v>0</v>
          </cell>
          <cell r="AP89">
            <v>143589.82499999998</v>
          </cell>
        </row>
        <row r="90">
          <cell r="E90">
            <v>18</v>
          </cell>
          <cell r="F90" t="str">
            <v>TQU</v>
          </cell>
          <cell r="G90" t="str">
            <v>Travaux</v>
          </cell>
          <cell r="H90">
            <v>3262728.2436972028</v>
          </cell>
          <cell r="J90">
            <v>97881.847310916084</v>
          </cell>
          <cell r="W90">
            <v>59563</v>
          </cell>
          <cell r="Z90">
            <v>10511</v>
          </cell>
          <cell r="AN90">
            <v>0</v>
          </cell>
          <cell r="AP90">
            <v>27807.847310916084</v>
          </cell>
        </row>
        <row r="91">
          <cell r="E91">
            <v>56</v>
          </cell>
          <cell r="F91" t="str">
            <v>LXC</v>
          </cell>
          <cell r="G91" t="str">
            <v>AO</v>
          </cell>
          <cell r="H91">
            <v>6690718</v>
          </cell>
          <cell r="J91">
            <v>200721.53999999998</v>
          </cell>
          <cell r="AF91">
            <v>88204</v>
          </cell>
          <cell r="AN91">
            <v>0</v>
          </cell>
          <cell r="AP91">
            <v>94542.539999999979</v>
          </cell>
        </row>
        <row r="92">
          <cell r="E92">
            <v>34</v>
          </cell>
          <cell r="F92" t="str">
            <v>TQU</v>
          </cell>
          <cell r="G92" t="str">
            <v>PC</v>
          </cell>
          <cell r="H92">
            <v>5325461</v>
          </cell>
          <cell r="J92">
            <v>79881.914999999994</v>
          </cell>
          <cell r="AF92">
            <v>63721</v>
          </cell>
          <cell r="AN92">
            <v>0</v>
          </cell>
          <cell r="AP92">
            <v>16160.914999999994</v>
          </cell>
        </row>
        <row r="93">
          <cell r="F93" t="str">
            <v>TQU</v>
          </cell>
          <cell r="G93" t="str">
            <v>PC</v>
          </cell>
          <cell r="H93">
            <v>165600</v>
          </cell>
          <cell r="J93">
            <v>5796.0000000000009</v>
          </cell>
          <cell r="AF93">
            <v>5130</v>
          </cell>
          <cell r="AN93">
            <v>0</v>
          </cell>
          <cell r="AP93">
            <v>666.00000000000091</v>
          </cell>
        </row>
        <row r="94">
          <cell r="E94">
            <v>15</v>
          </cell>
          <cell r="F94" t="str">
            <v>TQU</v>
          </cell>
          <cell r="G94" t="str">
            <v>PC</v>
          </cell>
          <cell r="H94">
            <v>2199076</v>
          </cell>
          <cell r="J94">
            <v>32986.14</v>
          </cell>
          <cell r="AN94">
            <v>0</v>
          </cell>
          <cell r="AP94">
            <v>23090.14</v>
          </cell>
        </row>
        <row r="95">
          <cell r="E95">
            <v>22</v>
          </cell>
          <cell r="F95" t="str">
            <v>TQU</v>
          </cell>
          <cell r="G95" t="str">
            <v>PC</v>
          </cell>
          <cell r="H95">
            <v>3320707</v>
          </cell>
          <cell r="J95">
            <v>49810.604999999996</v>
          </cell>
          <cell r="AN95">
            <v>0</v>
          </cell>
          <cell r="AP95">
            <v>34867.604999999996</v>
          </cell>
        </row>
        <row r="96">
          <cell r="E96">
            <v>44</v>
          </cell>
          <cell r="F96" t="str">
            <v>YFR</v>
          </cell>
          <cell r="G96" t="str">
            <v>Travaux</v>
          </cell>
          <cell r="H96">
            <v>8370000</v>
          </cell>
          <cell r="J96">
            <v>251100</v>
          </cell>
          <cell r="AF96">
            <v>75330</v>
          </cell>
          <cell r="AL96">
            <v>100440</v>
          </cell>
          <cell r="AN96">
            <v>0</v>
          </cell>
          <cell r="AP96">
            <v>75330</v>
          </cell>
        </row>
        <row r="98">
          <cell r="E98">
            <v>70</v>
          </cell>
          <cell r="F98" t="str">
            <v>TQU</v>
          </cell>
          <cell r="G98" t="str">
            <v>PC</v>
          </cell>
          <cell r="H98">
            <v>7717940</v>
          </cell>
          <cell r="J98">
            <v>115769.09999999999</v>
          </cell>
          <cell r="AF98">
            <v>33353</v>
          </cell>
          <cell r="AN98">
            <v>0</v>
          </cell>
          <cell r="AP98">
            <v>81038.099999999991</v>
          </cell>
        </row>
        <row r="99">
          <cell r="E99">
            <v>78</v>
          </cell>
          <cell r="F99" t="str">
            <v>LXC</v>
          </cell>
          <cell r="G99" t="str">
            <v>PRO</v>
          </cell>
          <cell r="H99">
            <v>13868583</v>
          </cell>
          <cell r="J99">
            <v>208028.745</v>
          </cell>
          <cell r="AL99">
            <v>73549</v>
          </cell>
          <cell r="AN99">
            <v>0</v>
          </cell>
          <cell r="AP99">
            <v>104014.745</v>
          </cell>
        </row>
        <row r="100">
          <cell r="E100">
            <v>39</v>
          </cell>
          <cell r="F100" t="str">
            <v>TQU</v>
          </cell>
          <cell r="G100" t="str">
            <v>PC</v>
          </cell>
          <cell r="H100">
            <v>6915250</v>
          </cell>
          <cell r="J100">
            <v>103728.75</v>
          </cell>
          <cell r="AF100">
            <v>31119</v>
          </cell>
          <cell r="AN100">
            <v>0</v>
          </cell>
          <cell r="AP100">
            <v>72609.75</v>
          </cell>
        </row>
        <row r="101">
          <cell r="E101">
            <v>48</v>
          </cell>
          <cell r="F101" t="str">
            <v>TQU</v>
          </cell>
          <cell r="G101" t="str">
            <v>PC</v>
          </cell>
          <cell r="H101">
            <v>9256375</v>
          </cell>
          <cell r="J101">
            <v>138845.625</v>
          </cell>
          <cell r="AF101">
            <v>20827</v>
          </cell>
          <cell r="AL101">
            <v>20827</v>
          </cell>
          <cell r="AN101">
            <v>0</v>
          </cell>
          <cell r="AP101">
            <v>97191.625</v>
          </cell>
        </row>
        <row r="102">
          <cell r="E102">
            <v>40</v>
          </cell>
          <cell r="F102" t="str">
            <v>TQU</v>
          </cell>
          <cell r="G102" t="str">
            <v>PC</v>
          </cell>
          <cell r="H102">
            <v>7660599</v>
          </cell>
          <cell r="J102">
            <v>114908.985</v>
          </cell>
          <cell r="AF102">
            <v>34473</v>
          </cell>
          <cell r="AN102">
            <v>0</v>
          </cell>
          <cell r="AP102">
            <v>80435.985000000001</v>
          </cell>
        </row>
        <row r="103">
          <cell r="E103">
            <v>40</v>
          </cell>
          <cell r="F103" t="str">
            <v>TQU</v>
          </cell>
          <cell r="G103" t="str">
            <v>PC</v>
          </cell>
          <cell r="H103">
            <v>7905119</v>
          </cell>
          <cell r="J103">
            <v>118576.78499999999</v>
          </cell>
          <cell r="AF103">
            <v>35573</v>
          </cell>
          <cell r="AN103">
            <v>0</v>
          </cell>
          <cell r="AP103">
            <v>83003.784999999989</v>
          </cell>
        </row>
        <row r="104">
          <cell r="E104">
            <v>22</v>
          </cell>
          <cell r="F104" t="str">
            <v>TQU</v>
          </cell>
          <cell r="G104" t="str">
            <v>PC</v>
          </cell>
          <cell r="H104">
            <v>3884790</v>
          </cell>
          <cell r="J104">
            <v>58271.85</v>
          </cell>
          <cell r="AF104">
            <v>17482</v>
          </cell>
          <cell r="AN104">
            <v>0</v>
          </cell>
          <cell r="AP104">
            <v>40789.85</v>
          </cell>
        </row>
        <row r="105">
          <cell r="E105">
            <v>30</v>
          </cell>
          <cell r="F105" t="str">
            <v>YFR</v>
          </cell>
          <cell r="G105" t="str">
            <v>AO</v>
          </cell>
          <cell r="H105">
            <v>5959345</v>
          </cell>
          <cell r="J105">
            <v>178780.35</v>
          </cell>
          <cell r="AF105">
            <v>57001</v>
          </cell>
          <cell r="AN105">
            <v>0</v>
          </cell>
          <cell r="AP105">
            <v>89390.35</v>
          </cell>
        </row>
        <row r="106">
          <cell r="H106">
            <v>579864</v>
          </cell>
          <cell r="J106">
            <v>28993.200000000001</v>
          </cell>
          <cell r="AF106">
            <v>8381</v>
          </cell>
          <cell r="AN106">
            <v>0</v>
          </cell>
          <cell r="AP106">
            <v>17396.2</v>
          </cell>
        </row>
        <row r="246">
          <cell r="I246">
            <v>1377016.957476445</v>
          </cell>
        </row>
        <row r="247">
          <cell r="I247">
            <v>213517</v>
          </cell>
        </row>
        <row r="248">
          <cell r="I248">
            <v>55798</v>
          </cell>
        </row>
        <row r="249">
          <cell r="I249">
            <v>79512</v>
          </cell>
        </row>
        <row r="250">
          <cell r="I250">
            <v>95475</v>
          </cell>
        </row>
        <row r="251">
          <cell r="I251">
            <v>182788.83</v>
          </cell>
        </row>
        <row r="252">
          <cell r="I252">
            <v>130450</v>
          </cell>
        </row>
        <row r="253">
          <cell r="I253">
            <v>247825</v>
          </cell>
        </row>
        <row r="254">
          <cell r="I254">
            <v>12721.625</v>
          </cell>
        </row>
        <row r="257">
          <cell r="I257">
            <v>26300</v>
          </cell>
        </row>
      </sheetData>
      <sheetData sheetId="3" refreshError="1"/>
      <sheetData sheetId="4" refreshError="1"/>
      <sheetData sheetId="5" refreshError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nnée d'entrée"/>
      <sheetName val="GUIDE DEAL"/>
      <sheetName val="première page"/>
      <sheetName val="Planning VEFA"/>
      <sheetName val="1"/>
      <sheetName val="2"/>
      <sheetName val="3"/>
      <sheetName val="5"/>
      <sheetName val="6"/>
      <sheetName val="7"/>
      <sheetName val="9"/>
      <sheetName val="8"/>
      <sheetName val="Calculs détaillés"/>
      <sheetName val="Notice explicative"/>
      <sheetName val="Test de compensation"/>
      <sheetName val="FFD LLS"/>
      <sheetName val="DPR LLS"/>
      <sheetName val="SF previsio LLS"/>
      <sheetName val="Synthèse LLS"/>
      <sheetName val="DPR LLTS"/>
      <sheetName val="FFD LLTS"/>
      <sheetName val="SF previsio LLTS "/>
      <sheetName val="Synthèse LLTS"/>
      <sheetName val="Base éligible globale"/>
      <sheetName val="Bdgt"/>
      <sheetName val="SYNTHESE DG"/>
      <sheetName val="Prgr. 2018"/>
      <sheetName val="FFD PLS"/>
      <sheetName val="DPR PLS"/>
      <sheetName val="SF previsio PLS"/>
      <sheetName val="Synthèse PLS"/>
      <sheetName val="Loyers Max"/>
      <sheetName val="Base éligible LLS"/>
      <sheetName val="Calcul CIDOM"/>
      <sheetName val="Estim MOE"/>
      <sheetName val="PRD"/>
      <sheetName val="Donnée_d'entrée"/>
      <sheetName val="GUIDE_DEAL"/>
      <sheetName val="première_page"/>
      <sheetName val="Planning_VEFA"/>
      <sheetName val="Calculs_détaillés"/>
      <sheetName val="Notice_explicative"/>
      <sheetName val="Test_de_compensation"/>
      <sheetName val="FFD_LLS"/>
      <sheetName val="DPR_LLS"/>
      <sheetName val="SF_previsio_LLS"/>
      <sheetName val="Synthèse_LLS"/>
      <sheetName val="DPR_LLTS"/>
      <sheetName val="FFD_LLTS"/>
      <sheetName val="SF_previsio_LLTS_"/>
      <sheetName val="Synthèse_LLTS"/>
      <sheetName val="Base_éligible_globale"/>
      <sheetName val="SYNTHESE_DG"/>
      <sheetName val="Prgr__2018"/>
      <sheetName val="FFD_PLS"/>
      <sheetName val="DPR_PLS"/>
      <sheetName val="SF_previsio_PLS"/>
      <sheetName val="Synthèse_PLS"/>
      <sheetName val="Loyers_Max"/>
      <sheetName val="Base_éligible_LLS"/>
      <sheetName val="Calcul_CIDOM"/>
      <sheetName val="Estim_MOE"/>
    </sheetNames>
    <sheetDataSet>
      <sheetData sheetId="0">
        <row r="6">
          <cell r="F6" t="str">
            <v>VEFA MIAMI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>
        <row r="68">
          <cell r="E68">
            <v>0</v>
          </cell>
        </row>
      </sheetData>
      <sheetData sheetId="17"/>
      <sheetData sheetId="18"/>
      <sheetData sheetId="19">
        <row r="68">
          <cell r="E68">
            <v>0</v>
          </cell>
        </row>
      </sheetData>
      <sheetData sheetId="20"/>
      <sheetData sheetId="21"/>
      <sheetData sheetId="22"/>
      <sheetData sheetId="23"/>
      <sheetData sheetId="24">
        <row r="12">
          <cell r="R12">
            <v>0</v>
          </cell>
        </row>
      </sheetData>
      <sheetData sheetId="25"/>
      <sheetData sheetId="26">
        <row r="1">
          <cell r="D1" t="str">
            <v>VEFA MIAMI</v>
          </cell>
        </row>
      </sheetData>
      <sheetData sheetId="27"/>
      <sheetData sheetId="28">
        <row r="68">
          <cell r="E68">
            <v>11311598.726738488</v>
          </cell>
        </row>
      </sheetData>
      <sheetData sheetId="29"/>
      <sheetData sheetId="30"/>
      <sheetData sheetId="31">
        <row r="3">
          <cell r="A3" t="str">
            <v>T I Bis a</v>
          </cell>
        </row>
      </sheetData>
      <sheetData sheetId="32"/>
      <sheetData sheetId="33"/>
      <sheetData sheetId="34"/>
      <sheetData sheetId="35"/>
      <sheetData sheetId="36">
        <row r="6">
          <cell r="F6" t="str">
            <v>VEFA MIAMI</v>
          </cell>
        </row>
      </sheetData>
      <sheetData sheetId="37"/>
      <sheetData sheetId="38"/>
      <sheetData sheetId="39"/>
      <sheetData sheetId="40"/>
      <sheetData sheetId="41"/>
      <sheetData sheetId="42"/>
      <sheetData sheetId="43"/>
      <sheetData sheetId="44">
        <row r="68">
          <cell r="E68">
            <v>0</v>
          </cell>
        </row>
      </sheetData>
      <sheetData sheetId="45"/>
      <sheetData sheetId="46"/>
      <sheetData sheetId="47">
        <row r="68">
          <cell r="E68">
            <v>0</v>
          </cell>
        </row>
      </sheetData>
      <sheetData sheetId="48"/>
      <sheetData sheetId="49"/>
      <sheetData sheetId="50"/>
      <sheetData sheetId="51"/>
      <sheetData sheetId="52"/>
      <sheetData sheetId="53">
        <row r="1">
          <cell r="D1" t="str">
            <v>VEFA MIAMI</v>
          </cell>
        </row>
      </sheetData>
      <sheetData sheetId="54"/>
      <sheetData sheetId="55">
        <row r="68">
          <cell r="E68">
            <v>11311598.726738488</v>
          </cell>
        </row>
      </sheetData>
      <sheetData sheetId="56"/>
      <sheetData sheetId="57"/>
      <sheetData sheetId="58">
        <row r="3">
          <cell r="A3" t="str">
            <v>T I Bis a</v>
          </cell>
        </row>
      </sheetData>
      <sheetData sheetId="59"/>
      <sheetData sheetId="60"/>
      <sheetData sheetId="61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YNTHESE"/>
      <sheetName val="Prév Hono Amgt 2019"/>
      <sheetName val="Prév Hono Construction 2019"/>
      <sheetName val="OPERATION LIVREES 2019"/>
      <sheetName val="Prevision Hono REHAB 2019"/>
      <sheetName val="Mensuel Rem"/>
      <sheetName val="Rem par phase"/>
    </sheetNames>
    <sheetDataSet>
      <sheetData sheetId="0">
        <row r="7">
          <cell r="C7">
            <v>2252991.2806451614</v>
          </cell>
        </row>
      </sheetData>
      <sheetData sheetId="1"/>
      <sheetData sheetId="2">
        <row r="19">
          <cell r="T19">
            <v>6213</v>
          </cell>
        </row>
        <row r="32">
          <cell r="AH32">
            <v>0</v>
          </cell>
        </row>
        <row r="33">
          <cell r="AH33">
            <v>0</v>
          </cell>
        </row>
        <row r="34">
          <cell r="AH34">
            <v>0</v>
          </cell>
        </row>
        <row r="35">
          <cell r="AH35">
            <v>0</v>
          </cell>
        </row>
        <row r="36">
          <cell r="AH36">
            <v>0</v>
          </cell>
        </row>
        <row r="37">
          <cell r="AH37">
            <v>0</v>
          </cell>
        </row>
        <row r="38">
          <cell r="AH38">
            <v>0</v>
          </cell>
        </row>
        <row r="39">
          <cell r="AH39">
            <v>0</v>
          </cell>
        </row>
        <row r="40">
          <cell r="AH40">
            <v>0</v>
          </cell>
        </row>
        <row r="41">
          <cell r="AH41">
            <v>0</v>
          </cell>
        </row>
        <row r="43">
          <cell r="AH43">
            <v>0</v>
          </cell>
        </row>
        <row r="44">
          <cell r="AH44">
            <v>0</v>
          </cell>
        </row>
        <row r="45">
          <cell r="AH45">
            <v>0</v>
          </cell>
        </row>
        <row r="46">
          <cell r="AH46">
            <v>0</v>
          </cell>
        </row>
        <row r="47">
          <cell r="AH47"/>
        </row>
        <row r="48">
          <cell r="AH48">
            <v>0</v>
          </cell>
        </row>
        <row r="49">
          <cell r="AH49">
            <v>0</v>
          </cell>
        </row>
        <row r="51">
          <cell r="AH51">
            <v>0</v>
          </cell>
        </row>
        <row r="52">
          <cell r="AH52">
            <v>0</v>
          </cell>
        </row>
        <row r="53">
          <cell r="AH53">
            <v>0</v>
          </cell>
        </row>
        <row r="54">
          <cell r="AH54">
            <v>0</v>
          </cell>
        </row>
        <row r="55">
          <cell r="AH55">
            <v>0</v>
          </cell>
        </row>
        <row r="56">
          <cell r="AH56">
            <v>0</v>
          </cell>
        </row>
        <row r="57">
          <cell r="AH57">
            <v>0</v>
          </cell>
        </row>
        <row r="59">
          <cell r="AH59">
            <v>0</v>
          </cell>
        </row>
        <row r="60">
          <cell r="AH60">
            <v>0</v>
          </cell>
        </row>
        <row r="61">
          <cell r="AH61">
            <v>0</v>
          </cell>
        </row>
        <row r="62">
          <cell r="AH62">
            <v>0</v>
          </cell>
        </row>
        <row r="63">
          <cell r="AH63">
            <v>0</v>
          </cell>
        </row>
        <row r="64">
          <cell r="AH64">
            <v>0</v>
          </cell>
        </row>
        <row r="65">
          <cell r="AH65">
            <v>0</v>
          </cell>
        </row>
        <row r="66">
          <cell r="AH66">
            <v>0</v>
          </cell>
        </row>
        <row r="68">
          <cell r="AH68">
            <v>0</v>
          </cell>
        </row>
        <row r="69">
          <cell r="AH69">
            <v>0</v>
          </cell>
        </row>
        <row r="70">
          <cell r="AH70">
            <v>0</v>
          </cell>
        </row>
        <row r="71">
          <cell r="AH71">
            <v>0</v>
          </cell>
        </row>
        <row r="72">
          <cell r="AH72">
            <v>0</v>
          </cell>
        </row>
        <row r="73">
          <cell r="AH73">
            <v>0</v>
          </cell>
        </row>
        <row r="74">
          <cell r="AH74">
            <v>0</v>
          </cell>
        </row>
        <row r="75">
          <cell r="AH75"/>
        </row>
        <row r="77">
          <cell r="AH77">
            <v>0</v>
          </cell>
        </row>
        <row r="78">
          <cell r="AH78">
            <v>0</v>
          </cell>
        </row>
        <row r="79">
          <cell r="AH79">
            <v>0</v>
          </cell>
        </row>
        <row r="80">
          <cell r="AH80">
            <v>0</v>
          </cell>
        </row>
        <row r="81">
          <cell r="AH81">
            <v>0</v>
          </cell>
        </row>
        <row r="82">
          <cell r="AH82"/>
        </row>
        <row r="84">
          <cell r="AH84">
            <v>0</v>
          </cell>
        </row>
        <row r="85">
          <cell r="AH85">
            <v>0</v>
          </cell>
        </row>
        <row r="86">
          <cell r="AH86">
            <v>0</v>
          </cell>
        </row>
        <row r="87">
          <cell r="AH87">
            <v>0</v>
          </cell>
        </row>
        <row r="88">
          <cell r="AH88">
            <v>0</v>
          </cell>
        </row>
        <row r="89">
          <cell r="AH89">
            <v>0</v>
          </cell>
        </row>
        <row r="90">
          <cell r="AH90">
            <v>0</v>
          </cell>
        </row>
        <row r="91">
          <cell r="AH91">
            <v>0</v>
          </cell>
        </row>
        <row r="93">
          <cell r="AH93">
            <v>0</v>
          </cell>
        </row>
        <row r="94">
          <cell r="AH94">
            <v>0</v>
          </cell>
        </row>
        <row r="95">
          <cell r="AH95">
            <v>0</v>
          </cell>
        </row>
        <row r="96">
          <cell r="AH96">
            <v>0</v>
          </cell>
        </row>
        <row r="97">
          <cell r="AH97">
            <v>0</v>
          </cell>
        </row>
        <row r="98">
          <cell r="AH98">
            <v>0</v>
          </cell>
        </row>
        <row r="99">
          <cell r="AH99">
            <v>0</v>
          </cell>
        </row>
        <row r="100">
          <cell r="AH100">
            <v>0</v>
          </cell>
        </row>
        <row r="101">
          <cell r="AH101">
            <v>0</v>
          </cell>
        </row>
      </sheetData>
      <sheetData sheetId="3"/>
      <sheetData sheetId="4"/>
      <sheetData sheetId="5"/>
      <sheetData sheetId="6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90BE1E8-82C9-4CEB-8821-328A61BCEB82}" name="Tableau4" displayName="Tableau4" ref="A1:T29" totalsRowCount="1" headerRowDxfId="41" dataDxfId="40">
  <autoFilter ref="A1:T28" xr:uid="{3AFDED57-87FC-447A-8A89-3B06FAAD491C}"/>
  <tableColumns count="20">
    <tableColumn id="1" xr3:uid="{76A38649-7F15-45B5-AD71-615212855171}" name="OPERATION" totalsRowLabel="Total" dataDxfId="38" totalsRowDxfId="39"/>
    <tableColumn id="2" xr3:uid="{F25A59EB-642D-4BE9-AEAF-90E303A021A7}" name="PROG" dataDxfId="36" totalsRowDxfId="37"/>
    <tableColumn id="10" xr3:uid="{60DEA83A-223D-47CD-A137-003C762AC657}" name="N lgts" dataDxfId="34" totalsRowDxfId="35"/>
    <tableColumn id="11" xr3:uid="{475EF2C3-38CC-4802-9C0B-ED4601E49D1C}" name="RO" dataDxfId="32" totalsRowDxfId="33"/>
    <tableColumn id="3" xr3:uid="{B7FF0A86-C290-4EA2-B59E-49DA07E0F27B}" name="Phase" dataDxfId="30" totalsRowDxfId="31"/>
    <tableColumn id="4" xr3:uid="{A4D1E889-52E5-4D91-912B-CF7D19F309F9}" name="PRP" dataDxfId="28" totalsRowDxfId="29"/>
    <tableColumn id="5" xr3:uid="{93E08F99-A555-448A-B5A9-0B180CF537EA}" name="TOTAL HONORAIRES" dataDxfId="26" totalsRowDxfId="27"/>
    <tableColumn id="6" xr3:uid="{50387EFA-888F-43C5-84DF-BC66C4528B6F}" name="CUMUL HONORAIRES FACTURES" dataDxfId="24" totalsRowDxfId="25">
      <calculatedColumnFormula>SUMIF([1]!Tableau1[OPERATION],'Données opérations REHAB'!A2,[1]!Tableau1[Montant])</calculatedColumnFormula>
    </tableColumn>
    <tableColumn id="8" xr3:uid="{65EFD366-8CA2-4A97-AF28-17D0D8676D80}" name="AVANCEMENT FACTURE" dataDxfId="22" totalsRowDxfId="23">
      <calculatedColumnFormula>_xlfn.XLOOKUP(J2,[1]Listes!$C$1:$C$15,Avancement,"?",-1)</calculatedColumnFormula>
    </tableColumn>
    <tableColumn id="7" xr3:uid="{1AF4FC3F-7E0A-4DC4-BF16-E728574EFAB4}" name="% AVANCEMENT" dataDxfId="20" totalsRowDxfId="21" dataCellStyle="Pourcentage">
      <calculatedColumnFormula>ROUND(H2/G2,2)</calculatedColumnFormula>
    </tableColumn>
    <tableColumn id="17" xr3:uid="{EE161304-FE5C-42AE-982F-9208DA1906AE}" name="PERCU EN 2017" totalsRowFunction="sum" dataDxfId="18" totalsRowDxfId="19" dataCellStyle="Pourcentage">
      <calculatedColumnFormula array="1">SUMPRODUCT(([1]!Tableau1[OPERATION]=Tableau4[[#This Row],[OPERATION]])*(YEAR([1]!Tableau1[Date])=2017)*([1]!Tableau1[Montant]))</calculatedColumnFormula>
    </tableColumn>
    <tableColumn id="16" xr3:uid="{F1224908-17F3-4C17-AF32-A81C2A616010}" name="PERCU EN 2018" totalsRowFunction="sum" dataDxfId="16" totalsRowDxfId="17" dataCellStyle="Pourcentage">
      <calculatedColumnFormula array="1">SUMPRODUCT(([1]!Tableau1[OPERATION]=Tableau4[[#This Row],[OPERATION]])*(YEAR([1]!Tableau1[Date])=2018)*([1]!Tableau1[Montant]))</calculatedColumnFormula>
    </tableColumn>
    <tableColumn id="15" xr3:uid="{795F0CBA-CA87-4328-B0C4-DEBF780ED313}" name="PERCU EN 2019" totalsRowFunction="sum" dataDxfId="14" totalsRowDxfId="15" dataCellStyle="Pourcentage">
      <calculatedColumnFormula array="1">SUMPRODUCT(([1]!Tableau1[OPERATION]=Tableau4[[#This Row],[OPERATION]])*(YEAR([1]!Tableau1[Date])=2019)*([1]!Tableau1[Montant]))</calculatedColumnFormula>
    </tableColumn>
    <tableColumn id="14" xr3:uid="{D6F3C58C-0DD6-4F35-B196-996D792605B7}" name="PERCU EN 2020" totalsRowFunction="sum" dataDxfId="12" totalsRowDxfId="13" dataCellStyle="Pourcentage">
      <calculatedColumnFormula array="1">SUMPRODUCT(([1]!Tableau1[OPERATION]=Tableau4[[#This Row],[OPERATION]])*(YEAR([1]!Tableau1[Date])=2020)*([1]!Tableau1[Montant]))</calculatedColumnFormula>
    </tableColumn>
    <tableColumn id="13" xr3:uid="{FE0AEC19-EC1E-48C2-8C24-3B4F3FAB74B1}" name="PERCU EN 2021" totalsRowFunction="sum" dataDxfId="10" totalsRowDxfId="11" dataCellStyle="Pourcentage">
      <calculatedColumnFormula array="1">SUMPRODUCT(([1]!Tableau1[OPERATION]=Tableau4[[#This Row],[OPERATION]])*(YEAR([1]!Tableau1[Date])=2021)*([1]!Tableau1[Montant]))</calculatedColumnFormula>
    </tableColumn>
    <tableColumn id="18" xr3:uid="{5CBF77D5-4C0B-4A89-82B8-CE65D3EE117D}" name="PERCU EN 2022" totalsRowFunction="sum" dataDxfId="8" totalsRowDxfId="9" dataCellStyle="Pourcentage">
      <calculatedColumnFormula array="1">SUMPRODUCT(([1]!Tableau1[OPERATION]=Tableau4[[#This Row],[OPERATION]])*(YEAR([1]!Tableau1[Date])=2022)*([1]!Tableau1[Montant]))</calculatedColumnFormula>
    </tableColumn>
    <tableColumn id="19" xr3:uid="{7AD738C3-DFD0-4C04-B05C-A34B88A7C5AC}" name="RESTE A PERCEVOIR EN 2022" totalsRowFunction="sum" dataDxfId="6" totalsRowDxfId="7" dataCellStyle="Pourcentage">
      <calculatedColumnFormula>(100%-Tableau4[[#This Row],[% AVANCEMENT]])*Tableau4[[#This Row],[TOTAL HONORAIRES]]</calculatedColumnFormula>
    </tableColumn>
    <tableColumn id="20" xr3:uid="{42085516-38E1-4706-BC9D-3A086A935172}" name="% Avancement prév fin 2022" dataDxfId="4" totalsRowDxfId="5" dataCellStyle="Pourcentage">
      <calculatedColumnFormula>(Tableau4[[#This Row],[RESTE A PERCEVOIR EN 2022]]+Tableau4[[#This Row],[CUMUL HONORAIRES FACTURES]])/Tableau4[[#This Row],[TOTAL HONORAIRES]]</calculatedColumnFormula>
    </tableColumn>
    <tableColumn id="9" xr3:uid="{D1ED1979-9971-4645-9524-08B363498FAD}" name="RESTE A PERCEVOIR" dataDxfId="2" totalsRowDxfId="3">
      <calculatedColumnFormula>Tableau4[[#This Row],[TOTAL HONORAIRES]]-Tableau4[[#This Row],[CUMUL HONORAIRES FACTURES]]</calculatedColumnFormula>
    </tableColumn>
    <tableColumn id="12" xr3:uid="{64EE593F-7BDD-4D8F-BEC2-811B60BA0A0C}" name="OBS" totalsRowFunction="count" dataDxfId="0" totalsRowDxfId="1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057C5ED-4C72-4DFA-BEE4-A4F8942418E5}">
  <sheetPr>
    <tabColor rgb="FF0070C0"/>
  </sheetPr>
  <dimension ref="A1:T38"/>
  <sheetViews>
    <sheetView showGridLines="0" tabSelected="1" zoomScaleNormal="100" zoomScaleSheetLayoutView="115" workbookViewId="0">
      <pane xSplit="2" ySplit="1" topLeftCell="C5" activePane="bottomRight" state="frozen"/>
      <selection pane="topRight" activeCell="C1" sqref="C1"/>
      <selection pane="bottomLeft" activeCell="A2" sqref="A2"/>
      <selection pane="bottomRight" activeCell="H13" sqref="H13"/>
    </sheetView>
  </sheetViews>
  <sheetFormatPr baseColWidth="10" defaultRowHeight="14.4" x14ac:dyDescent="0.3"/>
  <cols>
    <col min="1" max="1" width="17.21875" customWidth="1"/>
    <col min="2" max="3" width="9.109375" customWidth="1"/>
    <col min="4" max="4" width="11.88671875" bestFit="1" customWidth="1"/>
    <col min="5" max="5" width="21" customWidth="1"/>
    <col min="6" max="6" width="21.6640625" customWidth="1"/>
    <col min="7" max="7" width="17.6640625" customWidth="1"/>
    <col min="8" max="8" width="23.88671875" customWidth="1"/>
    <col min="9" max="9" width="23.77734375" style="29" bestFit="1" customWidth="1"/>
    <col min="10" max="10" width="18.5546875" customWidth="1"/>
    <col min="11" max="11" width="20.109375" customWidth="1"/>
    <col min="12" max="12" width="14.6640625" customWidth="1"/>
    <col min="19" max="19" width="14.109375" customWidth="1"/>
    <col min="20" max="20" width="20" customWidth="1"/>
  </cols>
  <sheetData>
    <row r="1" spans="1:20" s="2" customFormat="1" ht="57.6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1" t="s">
        <v>14</v>
      </c>
      <c r="P1" s="1" t="s">
        <v>15</v>
      </c>
      <c r="Q1" s="1" t="s">
        <v>16</v>
      </c>
      <c r="R1" s="1" t="s">
        <v>17</v>
      </c>
      <c r="S1" s="1" t="s">
        <v>18</v>
      </c>
      <c r="T1" s="1" t="s">
        <v>19</v>
      </c>
    </row>
    <row r="2" spans="1:20" x14ac:dyDescent="0.3">
      <c r="A2" s="3" t="s">
        <v>20</v>
      </c>
      <c r="B2" s="3">
        <v>2017</v>
      </c>
      <c r="C2" s="3">
        <v>10</v>
      </c>
      <c r="D2" s="3" t="s">
        <v>21</v>
      </c>
      <c r="E2" s="3" t="s">
        <v>22</v>
      </c>
      <c r="F2" s="4">
        <v>343472.32</v>
      </c>
      <c r="G2" s="4">
        <v>17173.62</v>
      </c>
      <c r="H2" s="4">
        <f>SUMIF([1]!Tableau1[OPERATION],'Données opérations REHAB'!A2,[1]!Tableau1[Montant])</f>
        <v>17173.61</v>
      </c>
      <c r="I2" s="5" t="str">
        <f>_xlfn.XLOOKUP(J2,[1]Listes!$C$1:$C$15,Avancement,"?",-1)</f>
        <v>Bilan final</v>
      </c>
      <c r="J2" s="6">
        <f>ROUND(H2/G2,2)</f>
        <v>1</v>
      </c>
      <c r="K2" s="7" cm="1">
        <f t="array" ref="K2">SUMPRODUCT(([1]!Tableau1[OPERATION]=Tableau4[[#This Row],[OPERATION]])*(YEAR([1]!Tableau1[Date])=2017)*([1]!Tableau1[Montant]))</f>
        <v>4719.7700000000004</v>
      </c>
      <c r="L2" s="7" cm="1">
        <f t="array" ref="L2">SUMPRODUCT(([1]!Tableau1[OPERATION]=Tableau4[[#This Row],[OPERATION]])*(YEAR([1]!Tableau1[Date])=2018)*([1]!Tableau1[Montant]))</f>
        <v>1419.99</v>
      </c>
      <c r="M2" s="7" cm="1">
        <f t="array" ref="M2">SUMPRODUCT(([1]!Tableau1[OPERATION]=Tableau4[[#This Row],[OPERATION]])*(YEAR([1]!Tableau1[Date])=2019)*([1]!Tableau1[Montant]))</f>
        <v>2817.82</v>
      </c>
      <c r="N2" s="7" cm="1">
        <f t="array" ref="N2">SUMPRODUCT(([1]!Tableau1[OPERATION]=Tableau4[[#This Row],[OPERATION]])*(YEAR([1]!Tableau1[Date])=2020)*([1]!Tableau1[Montant]))</f>
        <v>471.45</v>
      </c>
      <c r="O2" s="7" cm="1">
        <f t="array" ref="O2">SUMPRODUCT(([1]!Tableau1[OPERATION]=Tableau4[[#This Row],[OPERATION]])*(YEAR([1]!Tableau1[Date])=2021)*([1]!Tableau1[Montant]))</f>
        <v>7744.58</v>
      </c>
      <c r="P2" s="7" cm="1">
        <f t="array" ref="P2">SUMPRODUCT(([1]!Tableau1[OPERATION]=Tableau4[[#This Row],[OPERATION]])*(YEAR([1]!Tableau1[Date])=2022)*([1]!Tableau1[Montant]))</f>
        <v>0</v>
      </c>
      <c r="Q2" s="8">
        <f>(100%-Tableau4[[#This Row],[% AVANCEMENT]])*Tableau4[[#This Row],[TOTAL HONORAIRES]]</f>
        <v>0</v>
      </c>
      <c r="R2" s="9">
        <f>(Tableau4[[#This Row],[RESTE A PERCEVOIR EN 2022]]+Tableau4[[#This Row],[CUMUL HONORAIRES FACTURES]])/Tableau4[[#This Row],[TOTAL HONORAIRES]]</f>
        <v>0.99999941771158329</v>
      </c>
      <c r="S2" s="10">
        <f>Tableau4[[#This Row],[TOTAL HONORAIRES]]-Tableau4[[#This Row],[CUMUL HONORAIRES FACTURES]]</f>
        <v>9.9999999983992893E-3</v>
      </c>
      <c r="T2" s="11"/>
    </row>
    <row r="3" spans="1:20" x14ac:dyDescent="0.3">
      <c r="A3" s="3" t="s">
        <v>23</v>
      </c>
      <c r="B3" s="3">
        <v>2017</v>
      </c>
      <c r="C3" s="3">
        <v>26</v>
      </c>
      <c r="D3" s="3" t="s">
        <v>21</v>
      </c>
      <c r="E3" s="3" t="s">
        <v>24</v>
      </c>
      <c r="F3" s="4">
        <v>1018784.28</v>
      </c>
      <c r="G3" s="4">
        <v>50939.24</v>
      </c>
      <c r="H3" s="4">
        <f>SUMIF([1]!Tableau1[OPERATION],'Données opérations REHAB'!A3,[1]!Tableau1[Montant])</f>
        <v>50939.24</v>
      </c>
      <c r="I3" s="5" t="s">
        <v>25</v>
      </c>
      <c r="J3" s="12">
        <f>ROUND(H3/G3,2)</f>
        <v>1</v>
      </c>
      <c r="K3" s="13" cm="1">
        <f t="array" ref="K3">SUMPRODUCT(([1]!Tableau1[OPERATION]=Tableau4[[#This Row],[OPERATION]])*(YEAR([1]!Tableau1[Date])=2017)*([1]!Tableau1[Montant]))</f>
        <v>20959.449999999997</v>
      </c>
      <c r="L3" s="13" cm="1">
        <f t="array" ref="L3">SUMPRODUCT(([1]!Tableau1[OPERATION]=Tableau4[[#This Row],[OPERATION]])*(YEAR([1]!Tableau1[Date])=2018)*([1]!Tableau1[Montant]))</f>
        <v>8327.6</v>
      </c>
      <c r="M3" s="13" cm="1">
        <f t="array" ref="M3">SUMPRODUCT(([1]!Tableau1[OPERATION]=Tableau4[[#This Row],[OPERATION]])*(YEAR([1]!Tableau1[Date])=2019)*([1]!Tableau1[Montant]))</f>
        <v>19221.84</v>
      </c>
      <c r="N3" s="13" cm="1">
        <f t="array" ref="N3">SUMPRODUCT(([1]!Tableau1[OPERATION]=Tableau4[[#This Row],[OPERATION]])*(YEAR([1]!Tableau1[Date])=2020)*([1]!Tableau1[Montant]))</f>
        <v>80.19</v>
      </c>
      <c r="O3" s="13" cm="1">
        <f t="array" ref="O3">SUMPRODUCT(([1]!Tableau1[OPERATION]=Tableau4[[#This Row],[OPERATION]])*(YEAR([1]!Tableau1[Date])=2021)*([1]!Tableau1[Montant]))</f>
        <v>2350.16</v>
      </c>
      <c r="P3" s="13" cm="1">
        <f t="array" ref="P3">SUMPRODUCT(([1]!Tableau1[OPERATION]=Tableau4[[#This Row],[OPERATION]])*(YEAR([1]!Tableau1[Date])=2022)*([1]!Tableau1[Montant]))</f>
        <v>0</v>
      </c>
      <c r="Q3" s="14">
        <v>0</v>
      </c>
      <c r="R3" s="15">
        <f>(Tableau4[[#This Row],[RESTE A PERCEVOIR EN 2022]]+Tableau4[[#This Row],[CUMUL HONORAIRES FACTURES]])/Tableau4[[#This Row],[TOTAL HONORAIRES]]</f>
        <v>1</v>
      </c>
      <c r="S3" s="10">
        <f>Tableau4[[#This Row],[TOTAL HONORAIRES]]-Tableau4[[#This Row],[CUMUL HONORAIRES FACTURES]]</f>
        <v>0</v>
      </c>
      <c r="T3" s="16" t="s">
        <v>26</v>
      </c>
    </row>
    <row r="4" spans="1:20" x14ac:dyDescent="0.3">
      <c r="A4" s="3" t="s">
        <v>27</v>
      </c>
      <c r="B4" s="3">
        <v>2017</v>
      </c>
      <c r="C4" s="3">
        <v>31</v>
      </c>
      <c r="D4" s="3" t="s">
        <v>21</v>
      </c>
      <c r="E4" s="3" t="s">
        <v>24</v>
      </c>
      <c r="F4" s="4">
        <f>1324690.15+728579.58</f>
        <v>2053269.73</v>
      </c>
      <c r="G4" s="4">
        <f>66234.51+36428.98</f>
        <v>102663.48999999999</v>
      </c>
      <c r="H4" s="4">
        <f>SUMIF([1]!Tableau1[OPERATION],'Données opérations REHAB'!A4,[1]!Tableau1[Montant])</f>
        <v>100096.90091024988</v>
      </c>
      <c r="I4" s="17" t="s">
        <v>25</v>
      </c>
      <c r="J4" s="12">
        <f>ROUND(H4/G4,2)</f>
        <v>0.97</v>
      </c>
      <c r="K4" s="13" cm="1">
        <f t="array" ref="K4">SUMPRODUCT(([1]!Tableau1[OPERATION]=Tableau4[[#This Row],[OPERATION]])*(YEAR([1]!Tableau1[Date])=2017)*([1]!Tableau1[Montant]))</f>
        <v>40573.480000000003</v>
      </c>
      <c r="L4" s="13" cm="1">
        <f t="array" ref="L4">SUMPRODUCT(([1]!Tableau1[OPERATION]=Tableau4[[#This Row],[OPERATION]])*(YEAR([1]!Tableau1[Date])=2018)*([1]!Tableau1[Montant]))</f>
        <v>14416.18</v>
      </c>
      <c r="M4" s="13" cm="1">
        <f t="array" ref="M4">SUMPRODUCT(([1]!Tableau1[OPERATION]=Tableau4[[#This Row],[OPERATION]])*(YEAR([1]!Tableau1[Date])=2019)*([1]!Tableau1[Montant]))</f>
        <v>16890.63</v>
      </c>
      <c r="N4" s="13" cm="1">
        <f t="array" ref="N4">SUMPRODUCT(([1]!Tableau1[OPERATION]=Tableau4[[#This Row],[OPERATION]])*(YEAR([1]!Tableau1[Date])=2020)*([1]!Tableau1[Montant]))</f>
        <v>23881.850910249879</v>
      </c>
      <c r="O4" s="13" cm="1">
        <f t="array" ref="O4">SUMPRODUCT(([1]!Tableau1[OPERATION]=Tableau4[[#This Row],[OPERATION]])*(YEAR([1]!Tableau1[Date])=2021)*([1]!Tableau1[Montant]))</f>
        <v>4334.76</v>
      </c>
      <c r="P4" s="13" cm="1">
        <f t="array" ref="P4">SUMPRODUCT(([1]!Tableau1[OPERATION]=Tableau4[[#This Row],[OPERATION]])*(YEAR([1]!Tableau1[Date])=2022)*([1]!Tableau1[Montant]))</f>
        <v>0</v>
      </c>
      <c r="Q4" s="14">
        <v>0</v>
      </c>
      <c r="R4" s="15">
        <f>(Tableau4[[#This Row],[RESTE A PERCEVOIR EN 2022]]+Tableau4[[#This Row],[CUMUL HONORAIRES FACTURES]])/Tableau4[[#This Row],[TOTAL HONORAIRES]]</f>
        <v>0.97499998207980165</v>
      </c>
      <c r="S4" s="10">
        <f>Tableau4[[#This Row],[TOTAL HONORAIRES]]-Tableau4[[#This Row],[CUMUL HONORAIRES FACTURES]]</f>
        <v>2566.5890897501085</v>
      </c>
      <c r="T4" s="16" t="s">
        <v>26</v>
      </c>
    </row>
    <row r="5" spans="1:20" x14ac:dyDescent="0.3">
      <c r="A5" s="3" t="s">
        <v>28</v>
      </c>
      <c r="B5" s="3">
        <v>2017</v>
      </c>
      <c r="C5" s="3">
        <v>6</v>
      </c>
      <c r="D5" s="3" t="s">
        <v>21</v>
      </c>
      <c r="E5" s="3" t="s">
        <v>22</v>
      </c>
      <c r="F5" s="4">
        <v>251480.22</v>
      </c>
      <c r="G5" s="4">
        <v>12574.01</v>
      </c>
      <c r="H5" s="4">
        <f>SUMIF([1]!Tableau1[OPERATION],'Données opérations REHAB'!A5,[1]!Tableau1[Montant])</f>
        <v>12574.02</v>
      </c>
      <c r="I5" s="5" t="s">
        <v>25</v>
      </c>
      <c r="J5" s="12">
        <f>ROUND(H5/G5,2)</f>
        <v>1</v>
      </c>
      <c r="K5" s="13" cm="1">
        <f t="array" ref="K5">SUMPRODUCT(([1]!Tableau1[OPERATION]=Tableau4[[#This Row],[OPERATION]])*(YEAR([1]!Tableau1[Date])=2017)*([1]!Tableau1[Montant]))</f>
        <v>4463.29</v>
      </c>
      <c r="L5" s="13" cm="1">
        <f t="array" ref="L5">SUMPRODUCT(([1]!Tableau1[OPERATION]=Tableau4[[#This Row],[OPERATION]])*(YEAR([1]!Tableau1[Date])=2018)*([1]!Tableau1[Montant]))</f>
        <v>1581.06</v>
      </c>
      <c r="M5" s="13" cm="1">
        <f t="array" ref="M5">SUMPRODUCT(([1]!Tableau1[OPERATION]=Tableau4[[#This Row],[OPERATION]])*(YEAR([1]!Tableau1[Date])=2019)*([1]!Tableau1[Montant]))</f>
        <v>2788.5</v>
      </c>
      <c r="N5" s="13" cm="1">
        <f t="array" ref="N5">SUMPRODUCT(([1]!Tableau1[OPERATION]=Tableau4[[#This Row],[OPERATION]])*(YEAR([1]!Tableau1[Date])=2020)*([1]!Tableau1[Montant]))</f>
        <v>3152.63</v>
      </c>
      <c r="O5" s="13" cm="1">
        <f t="array" ref="O5">SUMPRODUCT(([1]!Tableau1[OPERATION]=Tableau4[[#This Row],[OPERATION]])*(YEAR([1]!Tableau1[Date])=2021)*([1]!Tableau1[Montant]))</f>
        <v>588.54</v>
      </c>
      <c r="P5" s="13" cm="1">
        <f t="array" ref="P5">SUMPRODUCT(([1]!Tableau1[OPERATION]=Tableau4[[#This Row],[OPERATION]])*(YEAR([1]!Tableau1[Date])=2022)*([1]!Tableau1[Montant]))</f>
        <v>0</v>
      </c>
      <c r="Q5" s="14">
        <f>(100%-Tableau4[[#This Row],[% AVANCEMENT]])*Tableau4[[#This Row],[TOTAL HONORAIRES]]</f>
        <v>0</v>
      </c>
      <c r="R5" s="15">
        <f>(Tableau4[[#This Row],[RESTE A PERCEVOIR EN 2022]]+Tableau4[[#This Row],[CUMUL HONORAIRES FACTURES]])/Tableau4[[#This Row],[TOTAL HONORAIRES]]</f>
        <v>1.0000007952912398</v>
      </c>
      <c r="S5" s="4">
        <f>Tableau4[[#This Row],[TOTAL HONORAIRES]]-Tableau4[[#This Row],[CUMUL HONORAIRES FACTURES]]</f>
        <v>-1.0000000000218279E-2</v>
      </c>
      <c r="T5" s="16"/>
    </row>
    <row r="6" spans="1:20" x14ac:dyDescent="0.3">
      <c r="A6" s="3" t="s">
        <v>29</v>
      </c>
      <c r="B6" s="3">
        <v>2017</v>
      </c>
      <c r="C6" s="3">
        <v>45</v>
      </c>
      <c r="D6" s="3" t="s">
        <v>21</v>
      </c>
      <c r="E6" s="3" t="s">
        <v>22</v>
      </c>
      <c r="F6" s="4">
        <v>2086673.72</v>
      </c>
      <c r="G6" s="4">
        <v>104333.69</v>
      </c>
      <c r="H6" s="4">
        <f>SUMIF([1]!Tableau1[OPERATION],'Données opérations REHAB'!A6,[1]!Tableau1[Montant])</f>
        <v>104333.68</v>
      </c>
      <c r="I6" s="5" t="s">
        <v>25</v>
      </c>
      <c r="J6" s="12">
        <f>ROUND(H6/G6,2)</f>
        <v>1</v>
      </c>
      <c r="K6" s="13" cm="1">
        <f t="array" ref="K6">SUMPRODUCT(([1]!Tableau1[OPERATION]=Tableau4[[#This Row],[OPERATION]])*(YEAR([1]!Tableau1[Date])=2017)*([1]!Tableau1[Montant]))</f>
        <v>50001.38</v>
      </c>
      <c r="L6" s="13" cm="1">
        <f t="array" ref="L6">SUMPRODUCT(([1]!Tableau1[OPERATION]=Tableau4[[#This Row],[OPERATION]])*(YEAR([1]!Tableau1[Date])=2018)*([1]!Tableau1[Montant]))</f>
        <v>20027.53</v>
      </c>
      <c r="M6" s="13" cm="1">
        <f t="array" ref="M6">SUMPRODUCT(([1]!Tableau1[OPERATION]=Tableau4[[#This Row],[OPERATION]])*(YEAR([1]!Tableau1[Date])=2019)*([1]!Tableau1[Montant]))</f>
        <v>14904.28</v>
      </c>
      <c r="N6" s="13" cm="1">
        <f t="array" ref="N6">SUMPRODUCT(([1]!Tableau1[OPERATION]=Tableau4[[#This Row],[OPERATION]])*(YEAR([1]!Tableau1[Date])=2020)*([1]!Tableau1[Montant]))</f>
        <v>15198.34</v>
      </c>
      <c r="O6" s="13" cm="1">
        <f t="array" ref="O6">SUMPRODUCT(([1]!Tableau1[OPERATION]=Tableau4[[#This Row],[OPERATION]])*(YEAR([1]!Tableau1[Date])=2021)*([1]!Tableau1[Montant]))</f>
        <v>4202.1499999999996</v>
      </c>
      <c r="P6" s="13" cm="1">
        <f t="array" ref="P6">SUMPRODUCT(([1]!Tableau1[OPERATION]=Tableau4[[#This Row],[OPERATION]])*(YEAR([1]!Tableau1[Date])=2022)*([1]!Tableau1[Montant]))</f>
        <v>0</v>
      </c>
      <c r="Q6" s="14">
        <f>(100%-Tableau4[[#This Row],[% AVANCEMENT]])*Tableau4[[#This Row],[TOTAL HONORAIRES]]</f>
        <v>0</v>
      </c>
      <c r="R6" s="15">
        <f>(Tableau4[[#This Row],[RESTE A PERCEVOIR EN 2022]]+Tableau4[[#This Row],[CUMUL HONORAIRES FACTURES]])/Tableau4[[#This Row],[TOTAL HONORAIRES]]</f>
        <v>0.99999990415368223</v>
      </c>
      <c r="S6" s="4">
        <f>Tableau4[[#This Row],[TOTAL HONORAIRES]]-Tableau4[[#This Row],[CUMUL HONORAIRES FACTURES]]</f>
        <v>1.0000000009313226E-2</v>
      </c>
      <c r="T6" s="16"/>
    </row>
    <row r="7" spans="1:20" x14ac:dyDescent="0.3">
      <c r="A7" s="3" t="s">
        <v>30</v>
      </c>
      <c r="B7" s="3">
        <v>2017</v>
      </c>
      <c r="C7" s="3">
        <v>74</v>
      </c>
      <c r="D7" s="3" t="s">
        <v>21</v>
      </c>
      <c r="E7" s="3" t="s">
        <v>24</v>
      </c>
      <c r="F7" s="4">
        <v>3623164.03</v>
      </c>
      <c r="G7" s="4">
        <v>181158.19841903498</v>
      </c>
      <c r="H7" s="4">
        <f>SUMIF([1]!Tableau1[OPERATION],'Données opérations REHAB'!A7,[1]!Tableau1[Montant])</f>
        <v>181158.19841903498</v>
      </c>
      <c r="I7" s="17" t="s">
        <v>25</v>
      </c>
      <c r="J7" s="12">
        <f>H7/G7</f>
        <v>1</v>
      </c>
      <c r="K7" s="13" cm="1">
        <f t="array" ref="K7">SUMPRODUCT(([1]!Tableau1[OPERATION]=Tableau4[[#This Row],[OPERATION]])*(YEAR([1]!Tableau1[Date])=2017)*([1]!Tableau1[Montant]))</f>
        <v>81612.03</v>
      </c>
      <c r="L7" s="13" cm="1">
        <f t="array" ref="L7">SUMPRODUCT(([1]!Tableau1[OPERATION]=Tableau4[[#This Row],[OPERATION]])*(YEAR([1]!Tableau1[Date])=2018)*([1]!Tableau1[Montant]))</f>
        <v>33066</v>
      </c>
      <c r="M7" s="13" cm="1">
        <f t="array" ref="M7">SUMPRODUCT(([1]!Tableau1[OPERATION]=Tableau4[[#This Row],[OPERATION]])*(YEAR([1]!Tableau1[Date])=2019)*([1]!Tableau1[Montant]))</f>
        <v>23785.440000000002</v>
      </c>
      <c r="N7" s="13" cm="1">
        <f t="array" ref="N7">SUMPRODUCT(([1]!Tableau1[OPERATION]=Tableau4[[#This Row],[OPERATION]])*(YEAR([1]!Tableau1[Date])=2020)*([1]!Tableau1[Montant]))</f>
        <v>34300.51</v>
      </c>
      <c r="O7" s="13" cm="1">
        <f t="array" ref="O7">SUMPRODUCT(([1]!Tableau1[OPERATION]=Tableau4[[#This Row],[OPERATION]])*(YEAR([1]!Tableau1[Date])=2021)*([1]!Tableau1[Montant]))</f>
        <v>8394.2184190349799</v>
      </c>
      <c r="P7" s="13" cm="1">
        <f t="array" ref="P7">SUMPRODUCT(([1]!Tableau1[OPERATION]=Tableau4[[#This Row],[OPERATION]])*(YEAR([1]!Tableau1[Date])=2022)*([1]!Tableau1[Montant]))</f>
        <v>0</v>
      </c>
      <c r="Q7" s="8">
        <f>(100%-Tableau4[[#This Row],[% AVANCEMENT]])*Tableau4[[#This Row],[TOTAL HONORAIRES]]</f>
        <v>0</v>
      </c>
      <c r="R7" s="15">
        <f>(Tableau4[[#This Row],[RESTE A PERCEVOIR EN 2022]]+Tableau4[[#This Row],[CUMUL HONORAIRES FACTURES]])/Tableau4[[#This Row],[TOTAL HONORAIRES]]</f>
        <v>1</v>
      </c>
      <c r="S7" s="4">
        <f>Tableau4[[#This Row],[TOTAL HONORAIRES]]-Tableau4[[#This Row],[CUMUL HONORAIRES FACTURES]]</f>
        <v>0</v>
      </c>
      <c r="T7" s="16" t="s">
        <v>26</v>
      </c>
    </row>
    <row r="8" spans="1:20" x14ac:dyDescent="0.3">
      <c r="A8" s="3" t="s">
        <v>31</v>
      </c>
      <c r="B8" s="3">
        <v>2018</v>
      </c>
      <c r="C8" s="3">
        <v>128</v>
      </c>
      <c r="D8" s="3" t="s">
        <v>21</v>
      </c>
      <c r="E8" s="3" t="s">
        <v>24</v>
      </c>
      <c r="F8" s="4">
        <f>2242100.25+1437828.97</f>
        <v>3679929.2199999997</v>
      </c>
      <c r="G8" s="4">
        <f>71891.45+112105.01</f>
        <v>183996.46</v>
      </c>
      <c r="H8" s="4">
        <f>SUMIF([1]!Tableau1[OPERATION],'Données opérations REHAB'!A8,[1]!Tableau1[Montant])</f>
        <v>174796.64</v>
      </c>
      <c r="I8" s="5" t="str">
        <f>_xlfn.XLOOKUP(J8,[1]Listes!$C$1:$C$15,Avancement,"?",-1)</f>
        <v>Réception</v>
      </c>
      <c r="J8" s="18">
        <f>ROUND(H8/G8,2)</f>
        <v>0.95</v>
      </c>
      <c r="K8" s="7" cm="1">
        <f t="array" ref="K8">SUMPRODUCT(([1]!Tableau1[OPERATION]=Tableau4[[#This Row],[OPERATION]])*(YEAR([1]!Tableau1[Date])=2017)*([1]!Tableau1[Montant]))</f>
        <v>21651.8</v>
      </c>
      <c r="L8" s="7" cm="1">
        <f t="array" ref="L8">SUMPRODUCT(([1]!Tableau1[OPERATION]=Tableau4[[#This Row],[OPERATION]])*(YEAR([1]!Tableau1[Date])=2018)*([1]!Tableau1[Montant]))</f>
        <v>65016.36</v>
      </c>
      <c r="M8" s="7" cm="1">
        <f t="array" ref="M8">SUMPRODUCT(([1]!Tableau1[OPERATION]=Tableau4[[#This Row],[OPERATION]])*(YEAR([1]!Tableau1[Date])=2019)*([1]!Tableau1[Montant]))</f>
        <v>26337.75</v>
      </c>
      <c r="N8" s="7" cm="1">
        <f t="array" ref="N8">SUMPRODUCT(([1]!Tableau1[OPERATION]=Tableau4[[#This Row],[OPERATION]])*(YEAR([1]!Tableau1[Date])=2020)*([1]!Tableau1[Montant]))</f>
        <v>38370.729999999996</v>
      </c>
      <c r="O8" s="7" cm="1">
        <f t="array" ref="O8">SUMPRODUCT(([1]!Tableau1[OPERATION]=Tableau4[[#This Row],[OPERATION]])*(YEAR([1]!Tableau1[Date])=2021)*([1]!Tableau1[Montant]))</f>
        <v>23420</v>
      </c>
      <c r="P8" s="7" cm="1">
        <f t="array" ref="P8">SUMPRODUCT(([1]!Tableau1[OPERATION]=Tableau4[[#This Row],[OPERATION]])*(YEAR([1]!Tableau1[Date])=2022)*([1]!Tableau1[Montant]))</f>
        <v>0</v>
      </c>
      <c r="Q8" s="8">
        <f>(100%-Tableau4[[#This Row],[% AVANCEMENT]])*Tableau4[[#This Row],[TOTAL HONORAIRES]]</f>
        <v>9199.8230000000076</v>
      </c>
      <c r="R8" s="9">
        <f>(Tableau4[[#This Row],[RESTE A PERCEVOIR EN 2022]]+Tableau4[[#This Row],[CUMUL HONORAIRES FACTURES]])/Tableau4[[#This Row],[TOTAL HONORAIRES]]</f>
        <v>1.0000000163046616</v>
      </c>
      <c r="S8" s="10">
        <f>Tableau4[[#This Row],[TOTAL HONORAIRES]]-Tableau4[[#This Row],[CUMUL HONORAIRES FACTURES]]</f>
        <v>9199.8199999999779</v>
      </c>
      <c r="T8" s="16" t="s">
        <v>32</v>
      </c>
    </row>
    <row r="9" spans="1:20" x14ac:dyDescent="0.3">
      <c r="A9" s="3" t="s">
        <v>33</v>
      </c>
      <c r="B9" s="3">
        <v>2018</v>
      </c>
      <c r="C9" s="3">
        <v>23</v>
      </c>
      <c r="D9" s="3" t="s">
        <v>21</v>
      </c>
      <c r="E9" s="3" t="s">
        <v>24</v>
      </c>
      <c r="F9" s="4">
        <v>1112158.2</v>
      </c>
      <c r="G9" s="4">
        <v>55607.91</v>
      </c>
      <c r="H9" s="4">
        <f>SUMIF([1]!Tableau1[OPERATION],'Données opérations REHAB'!A9,[1]!Tableau1[Montant])</f>
        <v>55607.91</v>
      </c>
      <c r="I9" s="5" t="str">
        <f>_xlfn.XLOOKUP(J9,[1]Listes!$C$1:$C$15,Avancement,"?",-1)</f>
        <v>Bilan final</v>
      </c>
      <c r="J9" s="12">
        <f>ROUND(H9/G9,2)</f>
        <v>1</v>
      </c>
      <c r="K9" s="13" cm="1">
        <f t="array" ref="K9">SUMPRODUCT(([1]!Tableau1[OPERATION]=Tableau4[[#This Row],[OPERATION]])*(YEAR([1]!Tableau1[Date])=2017)*([1]!Tableau1[Montant]))</f>
        <v>6256.63</v>
      </c>
      <c r="L9" s="13" cm="1">
        <f t="array" ref="L9">SUMPRODUCT(([1]!Tableau1[OPERATION]=Tableau4[[#This Row],[OPERATION]])*(YEAR([1]!Tableau1[Date])=2018)*([1]!Tableau1[Montant]))</f>
        <v>19654.559999999998</v>
      </c>
      <c r="M9" s="13" cm="1">
        <f t="array" ref="M9">SUMPRODUCT(([1]!Tableau1[OPERATION]=Tableau4[[#This Row],[OPERATION]])*(YEAR([1]!Tableau1[Date])=2019)*([1]!Tableau1[Montant]))</f>
        <v>11669.560000000001</v>
      </c>
      <c r="N9" s="13" cm="1">
        <f t="array" ref="N9">SUMPRODUCT(([1]!Tableau1[OPERATION]=Tableau4[[#This Row],[OPERATION]])*(YEAR([1]!Tableau1[Date])=2020)*([1]!Tableau1[Montant]))</f>
        <v>15899.52</v>
      </c>
      <c r="O9" s="13" cm="1">
        <f t="array" ref="O9">SUMPRODUCT(([1]!Tableau1[OPERATION]=Tableau4[[#This Row],[OPERATION]])*(YEAR([1]!Tableau1[Date])=2021)*([1]!Tableau1[Montant]))</f>
        <v>2127.64</v>
      </c>
      <c r="P9" s="13" cm="1">
        <f t="array" ref="P9">SUMPRODUCT(([1]!Tableau1[OPERATION]=Tableau4[[#This Row],[OPERATION]])*(YEAR([1]!Tableau1[Date])=2022)*([1]!Tableau1[Montant]))</f>
        <v>0</v>
      </c>
      <c r="Q9" s="8">
        <f>(100%-Tableau4[[#This Row],[% AVANCEMENT]])*Tableau4[[#This Row],[TOTAL HONORAIRES]]</f>
        <v>0</v>
      </c>
      <c r="R9" s="15">
        <f>(Tableau4[[#This Row],[RESTE A PERCEVOIR EN 2022]]+Tableau4[[#This Row],[CUMUL HONORAIRES FACTURES]])/Tableau4[[#This Row],[TOTAL HONORAIRES]]</f>
        <v>1</v>
      </c>
      <c r="S9" s="4">
        <f>Tableau4[[#This Row],[TOTAL HONORAIRES]]-Tableau4[[#This Row],[CUMUL HONORAIRES FACTURES]]</f>
        <v>0</v>
      </c>
      <c r="T9" s="16" t="s">
        <v>32</v>
      </c>
    </row>
    <row r="10" spans="1:20" x14ac:dyDescent="0.3">
      <c r="A10" s="3" t="s">
        <v>34</v>
      </c>
      <c r="B10" s="3">
        <v>2018</v>
      </c>
      <c r="C10" s="3">
        <v>30</v>
      </c>
      <c r="D10" s="3" t="s">
        <v>21</v>
      </c>
      <c r="E10" s="3" t="s">
        <v>24</v>
      </c>
      <c r="F10" s="4">
        <v>1263344.19</v>
      </c>
      <c r="G10" s="4">
        <v>63167.209499999997</v>
      </c>
      <c r="H10" s="4">
        <f>SUMIF([1]!Tableau1[OPERATION],'Données opérations REHAB'!A10,[1]!Tableau1[Montant])</f>
        <v>60008.85</v>
      </c>
      <c r="I10" s="5" t="str">
        <f>_xlfn.XLOOKUP(J10,[1]Listes!$C$1:$C$15,Avancement,"?",-1)</f>
        <v>Réception</v>
      </c>
      <c r="J10" s="12">
        <f>ROUND(H10/G10,2)</f>
        <v>0.95</v>
      </c>
      <c r="K10" s="13" cm="1">
        <f t="array" ref="K10">SUMPRODUCT(([1]!Tableau1[OPERATION]=Tableau4[[#This Row],[OPERATION]])*(YEAR([1]!Tableau1[Date])=2017)*([1]!Tableau1[Montant]))</f>
        <v>6194.47</v>
      </c>
      <c r="L10" s="13" cm="1">
        <f t="array" ref="L10">SUMPRODUCT(([1]!Tableau1[OPERATION]=Tableau4[[#This Row],[OPERATION]])*(YEAR([1]!Tableau1[Date])=2018)*([1]!Tableau1[Montant]))</f>
        <v>18173.59</v>
      </c>
      <c r="M10" s="13" cm="1">
        <f t="array" ref="M10">SUMPRODUCT(([1]!Tableau1[OPERATION]=Tableau4[[#This Row],[OPERATION]])*(YEAR([1]!Tableau1[Date])=2019)*([1]!Tableau1[Montant]))</f>
        <v>7279.94</v>
      </c>
      <c r="N10" s="13" cm="1">
        <f t="array" ref="N10">SUMPRODUCT(([1]!Tableau1[OPERATION]=Tableau4[[#This Row],[OPERATION]])*(YEAR([1]!Tableau1[Date])=2020)*([1]!Tableau1[Montant]))</f>
        <v>15799.31</v>
      </c>
      <c r="O10" s="13" cm="1">
        <f t="array" ref="O10">SUMPRODUCT(([1]!Tableau1[OPERATION]=Tableau4[[#This Row],[OPERATION]])*(YEAR([1]!Tableau1[Date])=2021)*([1]!Tableau1[Montant]))</f>
        <v>12561.54</v>
      </c>
      <c r="P10" s="13" cm="1">
        <f t="array" ref="P10">SUMPRODUCT(([1]!Tableau1[OPERATION]=Tableau4[[#This Row],[OPERATION]])*(YEAR([1]!Tableau1[Date])=2022)*([1]!Tableau1[Montant]))</f>
        <v>0</v>
      </c>
      <c r="Q10" s="8">
        <f>(100%-Tableau4[[#This Row],[% AVANCEMENT]])*Tableau4[[#This Row],[TOTAL HONORAIRES]]</f>
        <v>3158.3604750000027</v>
      </c>
      <c r="R10" s="15">
        <f>(Tableau4[[#This Row],[RESTE A PERCEVOIR EN 2022]]+Tableau4[[#This Row],[CUMUL HONORAIRES FACTURES]])/Tableau4[[#This Row],[TOTAL HONORAIRES]]</f>
        <v>1.0000000154352235</v>
      </c>
      <c r="S10" s="4">
        <f>Tableau4[[#This Row],[TOTAL HONORAIRES]]-Tableau4[[#This Row],[CUMUL HONORAIRES FACTURES]]</f>
        <v>3158.3594999999987</v>
      </c>
      <c r="T10" s="16" t="s">
        <v>32</v>
      </c>
    </row>
    <row r="11" spans="1:20" x14ac:dyDescent="0.3">
      <c r="A11" s="3" t="s">
        <v>35</v>
      </c>
      <c r="B11" s="3">
        <v>2018</v>
      </c>
      <c r="C11" s="3">
        <v>34</v>
      </c>
      <c r="D11" s="3" t="s">
        <v>21</v>
      </c>
      <c r="E11" s="3" t="s">
        <v>24</v>
      </c>
      <c r="F11" s="4">
        <v>1016703.89</v>
      </c>
      <c r="G11" s="4">
        <v>50835.194500000005</v>
      </c>
      <c r="H11" s="4">
        <f>SUMIF([1]!Tableau1[OPERATION],'Données opérations REHAB'!A11,[1]!Tableau1[Montant])</f>
        <v>49564.31</v>
      </c>
      <c r="I11" s="5" t="str">
        <f>_xlfn.XLOOKUP(J11,[1]Listes!$C$1:$C$15,Avancement,"?",-1)</f>
        <v>Réception</v>
      </c>
      <c r="J11" s="12">
        <f>ROUND(H11/G11,2)</f>
        <v>0.97</v>
      </c>
      <c r="K11" s="13" cm="1">
        <f t="array" ref="K11">SUMPRODUCT(([1]!Tableau1[OPERATION]=Tableau4[[#This Row],[OPERATION]])*(YEAR([1]!Tableau1[Date])=2017)*([1]!Tableau1[Montant]))</f>
        <v>5305.63</v>
      </c>
      <c r="L11" s="13" cm="1">
        <f t="array" ref="L11">SUMPRODUCT(([1]!Tableau1[OPERATION]=Tableau4[[#This Row],[OPERATION]])*(YEAR([1]!Tableau1[Date])=2018)*([1]!Tableau1[Montant]))</f>
        <v>20720.670000000002</v>
      </c>
      <c r="M11" s="13" cm="1">
        <f t="array" ref="M11">SUMPRODUCT(([1]!Tableau1[OPERATION]=Tableau4[[#This Row],[OPERATION]])*(YEAR([1]!Tableau1[Date])=2019)*([1]!Tableau1[Montant]))</f>
        <v>6220.4</v>
      </c>
      <c r="N11" s="13" cm="1">
        <f t="array" ref="N11">SUMPRODUCT(([1]!Tableau1[OPERATION]=Tableau4[[#This Row],[OPERATION]])*(YEAR([1]!Tableau1[Date])=2020)*([1]!Tableau1[Montant]))</f>
        <v>16154.12</v>
      </c>
      <c r="O11" s="13" cm="1">
        <f t="array" ref="O11">SUMPRODUCT(([1]!Tableau1[OPERATION]=Tableau4[[#This Row],[OPERATION]])*(YEAR([1]!Tableau1[Date])=2021)*([1]!Tableau1[Montant]))</f>
        <v>1163.49</v>
      </c>
      <c r="P11" s="13" cm="1">
        <f t="array" ref="P11">SUMPRODUCT(([1]!Tableau1[OPERATION]=Tableau4[[#This Row],[OPERATION]])*(YEAR([1]!Tableau1[Date])=2022)*([1]!Tableau1[Montant]))</f>
        <v>0</v>
      </c>
      <c r="Q11" s="8">
        <f>(100%-Tableau4[[#This Row],[% AVANCEMENT]])*Tableau4[[#This Row],[TOTAL HONORAIRES]]</f>
        <v>1525.0558350000015</v>
      </c>
      <c r="R11" s="15">
        <f>(Tableau4[[#This Row],[RESTE A PERCEVOIR EN 2022]]+Tableau4[[#This Row],[CUMUL HONORAIRES FACTURES]])/Tableau4[[#This Row],[TOTAL HONORAIRES]]</f>
        <v>1.0049999087738317</v>
      </c>
      <c r="S11" s="4">
        <f>Tableau4[[#This Row],[TOTAL HONORAIRES]]-Tableau4[[#This Row],[CUMUL HONORAIRES FACTURES]]</f>
        <v>1270.8845000000074</v>
      </c>
      <c r="T11" s="16" t="s">
        <v>32</v>
      </c>
    </row>
    <row r="12" spans="1:20" x14ac:dyDescent="0.3">
      <c r="A12" s="3" t="s">
        <v>36</v>
      </c>
      <c r="B12" s="3">
        <v>2020</v>
      </c>
      <c r="C12" s="3">
        <v>16</v>
      </c>
      <c r="D12" s="3" t="s">
        <v>21</v>
      </c>
      <c r="E12" s="3" t="s">
        <v>37</v>
      </c>
      <c r="F12" s="4">
        <f>Tableau4[[#This Row],[TOTAL HONORAIRES]]/0.03</f>
        <v>886270.36167287338</v>
      </c>
      <c r="G12" s="4">
        <v>26588.1108501862</v>
      </c>
      <c r="H12" s="4">
        <f>SUMIF([1]!Tableau1[OPERATION],'Données opérations REHAB'!A12,[1]!Tableau1[Montant])</f>
        <v>14945.4</v>
      </c>
      <c r="I12" s="5" t="str">
        <f>_xlfn.XLOOKUP(J12,[1]Listes!$C$1:$C$15,Avancement,"?",-1)</f>
        <v>CAO</v>
      </c>
      <c r="J12" s="12">
        <f>ROUND(H12/G12,2)</f>
        <v>0.56000000000000005</v>
      </c>
      <c r="K12" s="13" cm="1">
        <f t="array" ref="K12">SUMPRODUCT(([1]!Tableau1[OPERATION]=Tableau4[[#This Row],[OPERATION]])*(YEAR([1]!Tableau1[Date])=2017)*([1]!Tableau1[Montant]))</f>
        <v>0</v>
      </c>
      <c r="L12" s="13" cm="1">
        <f t="array" ref="L12">SUMPRODUCT(([1]!Tableau1[OPERATION]=Tableau4[[#This Row],[OPERATION]])*(YEAR([1]!Tableau1[Date])=2018)*([1]!Tableau1[Montant]))</f>
        <v>0</v>
      </c>
      <c r="M12" s="13" cm="1">
        <f t="array" ref="M12">SUMPRODUCT(([1]!Tableau1[OPERATION]=Tableau4[[#This Row],[OPERATION]])*(YEAR([1]!Tableau1[Date])=2019)*([1]!Tableau1[Montant]))</f>
        <v>8343.6299999999992</v>
      </c>
      <c r="N12" s="13" cm="1">
        <f t="array" ref="N12">SUMPRODUCT(([1]!Tableau1[OPERATION]=Tableau4[[#This Row],[OPERATION]])*(YEAR([1]!Tableau1[Date])=2020)*([1]!Tableau1[Montant]))</f>
        <v>6601.77</v>
      </c>
      <c r="O12" s="13" cm="1">
        <f t="array" ref="O12">SUMPRODUCT(([1]!Tableau1[OPERATION]=Tableau4[[#This Row],[OPERATION]])*(YEAR([1]!Tableau1[Date])=2021)*([1]!Tableau1[Montant]))</f>
        <v>0</v>
      </c>
      <c r="P12" s="13" cm="1">
        <f t="array" ref="P12">SUMPRODUCT(([1]!Tableau1[OPERATION]=Tableau4[[#This Row],[OPERATION]])*(YEAR([1]!Tableau1[Date])=2022)*([1]!Tableau1[Montant]))</f>
        <v>0</v>
      </c>
      <c r="Q12" s="8">
        <f>(75%-Tableau4[[#This Row],[% AVANCEMENT]])*Tableau4[[#This Row],[TOTAL HONORAIRES]]</f>
        <v>5051.7410615353765</v>
      </c>
      <c r="R12" s="15">
        <f>(Tableau4[[#This Row],[RESTE A PERCEVOIR EN 2022]]+Tableau4[[#This Row],[CUMUL HONORAIRES FACTURES]])/Tableau4[[#This Row],[TOTAL HONORAIRES]]</f>
        <v>0.75210838311197026</v>
      </c>
      <c r="S12" s="4">
        <f>Tableau4[[#This Row],[TOTAL HONORAIRES]]-Tableau4[[#This Row],[CUMUL HONORAIRES FACTURES]]</f>
        <v>11642.7108501862</v>
      </c>
      <c r="T12" s="19">
        <v>0.4</v>
      </c>
    </row>
    <row r="13" spans="1:20" x14ac:dyDescent="0.3">
      <c r="A13" s="3" t="s">
        <v>38</v>
      </c>
      <c r="B13" s="3">
        <v>2020</v>
      </c>
      <c r="C13" s="3">
        <v>38</v>
      </c>
      <c r="D13" s="3" t="s">
        <v>39</v>
      </c>
      <c r="E13" s="3" t="s">
        <v>37</v>
      </c>
      <c r="F13" s="4">
        <v>2236226</v>
      </c>
      <c r="G13" s="4">
        <v>67086.78</v>
      </c>
      <c r="H13" s="4">
        <f>SUMIF([1]!Tableau1[OPERATION],'Données opérations REHAB'!A13,[1]!Tableau1[Montant])</f>
        <v>40109.43</v>
      </c>
      <c r="I13" s="5" t="str">
        <f>_xlfn.XLOOKUP(J13,[1]Listes!$C$1:$C$15,Avancement,"?",-1)</f>
        <v>CAO</v>
      </c>
      <c r="J13" s="12">
        <f>ROUND(H13/G13,2)</f>
        <v>0.6</v>
      </c>
      <c r="K13" s="13" cm="1">
        <f t="array" ref="K13">SUMPRODUCT(([1]!Tableau1[OPERATION]=Tableau4[[#This Row],[OPERATION]])*(YEAR([1]!Tableau1[Date])=2017)*([1]!Tableau1[Montant]))</f>
        <v>0</v>
      </c>
      <c r="L13" s="13" cm="1">
        <f t="array" ref="L13">SUMPRODUCT(([1]!Tableau1[OPERATION]=Tableau4[[#This Row],[OPERATION]])*(YEAR([1]!Tableau1[Date])=2018)*([1]!Tableau1[Montant]))</f>
        <v>0</v>
      </c>
      <c r="M13" s="13" cm="1">
        <f t="array" ref="M13">SUMPRODUCT(([1]!Tableau1[OPERATION]=Tableau4[[#This Row],[OPERATION]])*(YEAR([1]!Tableau1[Date])=2019)*([1]!Tableau1[Montant]))</f>
        <v>15579.45</v>
      </c>
      <c r="N13" s="13" cm="1">
        <f t="array" ref="N13">SUMPRODUCT(([1]!Tableau1[OPERATION]=Tableau4[[#This Row],[OPERATION]])*(YEAR([1]!Tableau1[Date])=2020)*([1]!Tableau1[Montant]))</f>
        <v>24529.98</v>
      </c>
      <c r="O13" s="13" cm="1">
        <f t="array" ref="O13">SUMPRODUCT(([1]!Tableau1[OPERATION]=Tableau4[[#This Row],[OPERATION]])*(YEAR([1]!Tableau1[Date])=2021)*([1]!Tableau1[Montant]))</f>
        <v>0</v>
      </c>
      <c r="P13" s="13" cm="1">
        <f t="array" ref="P13">SUMPRODUCT(([1]!Tableau1[OPERATION]=Tableau4[[#This Row],[OPERATION]])*(YEAR([1]!Tableau1[Date])=2022)*([1]!Tableau1[Montant]))</f>
        <v>0</v>
      </c>
      <c r="Q13" s="8">
        <f>(75%-Tableau4[[#This Row],[% AVANCEMENT]])*Tableau4[[#This Row],[TOTAL HONORAIRES]]</f>
        <v>10063.017000000002</v>
      </c>
      <c r="R13" s="15">
        <f>(Tableau4[[#This Row],[RESTE A PERCEVOIR EN 2022]]+Tableau4[[#This Row],[CUMUL HONORAIRES FACTURES]])/Tableau4[[#This Row],[TOTAL HONORAIRES]]</f>
        <v>0.74787382849497319</v>
      </c>
      <c r="S13" s="4">
        <f>Tableau4[[#This Row],[TOTAL HONORAIRES]]-Tableau4[[#This Row],[CUMUL HONORAIRES FACTURES]]</f>
        <v>26977.35</v>
      </c>
      <c r="T13" s="19">
        <v>0.4</v>
      </c>
    </row>
    <row r="14" spans="1:20" x14ac:dyDescent="0.3">
      <c r="A14" s="3" t="s">
        <v>40</v>
      </c>
      <c r="B14" s="3">
        <v>2020</v>
      </c>
      <c r="C14" s="3">
        <v>30</v>
      </c>
      <c r="D14" s="3" t="s">
        <v>21</v>
      </c>
      <c r="E14" s="3" t="s">
        <v>37</v>
      </c>
      <c r="F14" s="4">
        <v>1473644.6666666665</v>
      </c>
      <c r="G14" s="4">
        <v>44209.34</v>
      </c>
      <c r="H14" s="4">
        <f>SUMIF([1]!Tableau1[OPERATION],'Données opérations REHAB'!A14,[1]!Tableau1[Montant])</f>
        <v>24779.54</v>
      </c>
      <c r="I14" s="5" t="str">
        <f>_xlfn.XLOOKUP(J14,[1]Listes!$C$1:$C$15,Avancement,"?",-1)</f>
        <v>CAO</v>
      </c>
      <c r="J14" s="12">
        <f>ROUND(H14/G14,2)</f>
        <v>0.56000000000000005</v>
      </c>
      <c r="K14" s="13" cm="1">
        <f t="array" ref="K14">SUMPRODUCT(([1]!Tableau1[OPERATION]=Tableau4[[#This Row],[OPERATION]])*(YEAR([1]!Tableau1[Date])=2017)*([1]!Tableau1[Montant]))</f>
        <v>0</v>
      </c>
      <c r="L14" s="13" cm="1">
        <f t="array" ref="L14">SUMPRODUCT(([1]!Tableau1[OPERATION]=Tableau4[[#This Row],[OPERATION]])*(YEAR([1]!Tableau1[Date])=2018)*([1]!Tableau1[Montant]))</f>
        <v>0</v>
      </c>
      <c r="M14" s="13" cm="1">
        <f t="array" ref="M14">SUMPRODUCT(([1]!Tableau1[OPERATION]=Tableau4[[#This Row],[OPERATION]])*(YEAR([1]!Tableau1[Date])=2019)*([1]!Tableau1[Montant]))</f>
        <v>11569.49</v>
      </c>
      <c r="N14" s="13" cm="1">
        <f t="array" ref="N14">SUMPRODUCT(([1]!Tableau1[OPERATION]=Tableau4[[#This Row],[OPERATION]])*(YEAR([1]!Tableau1[Date])=2020)*([1]!Tableau1[Montant]))</f>
        <v>13210.05</v>
      </c>
      <c r="O14" s="13" cm="1">
        <f t="array" ref="O14">SUMPRODUCT(([1]!Tableau1[OPERATION]=Tableau4[[#This Row],[OPERATION]])*(YEAR([1]!Tableau1[Date])=2021)*([1]!Tableau1[Montant]))</f>
        <v>0</v>
      </c>
      <c r="P14" s="13" cm="1">
        <f t="array" ref="P14">SUMPRODUCT(([1]!Tableau1[OPERATION]=Tableau4[[#This Row],[OPERATION]])*(YEAR([1]!Tableau1[Date])=2022)*([1]!Tableau1[Montant]))</f>
        <v>0</v>
      </c>
      <c r="Q14" s="8">
        <f>(75%-Tableau4[[#This Row],[% AVANCEMENT]])*Tableau4[[#This Row],[TOTAL HONORAIRES]]</f>
        <v>8399.774599999997</v>
      </c>
      <c r="R14" s="15">
        <f>(Tableau4[[#This Row],[RESTE A PERCEVOIR EN 2022]]+Tableau4[[#This Row],[CUMUL HONORAIRES FACTURES]])/Tableau4[[#This Row],[TOTAL HONORAIRES]]</f>
        <v>0.75050463544581303</v>
      </c>
      <c r="S14" s="4">
        <f>Tableau4[[#This Row],[TOTAL HONORAIRES]]-Tableau4[[#This Row],[CUMUL HONORAIRES FACTURES]]</f>
        <v>19429.799999999996</v>
      </c>
      <c r="T14" s="19">
        <v>0.4</v>
      </c>
    </row>
    <row r="15" spans="1:20" x14ac:dyDescent="0.3">
      <c r="A15" s="3" t="s">
        <v>41</v>
      </c>
      <c r="B15" s="3">
        <v>2020</v>
      </c>
      <c r="C15" s="3">
        <v>32</v>
      </c>
      <c r="D15" s="3" t="s">
        <v>21</v>
      </c>
      <c r="E15" s="3" t="s">
        <v>37</v>
      </c>
      <c r="F15" s="4">
        <v>1578821.81</v>
      </c>
      <c r="G15" s="4">
        <v>47364.654300000002</v>
      </c>
      <c r="H15" s="4">
        <f>SUMIF([1]!Tableau1[OPERATION],'Données opérations REHAB'!A15,[1]!Tableau1[Montant])</f>
        <v>26050.560000000001</v>
      </c>
      <c r="I15" s="5" t="str">
        <f>_xlfn.XLOOKUP(J15,[1]Listes!$C$1:$C$15,Avancement,"?",-1)</f>
        <v>CAO</v>
      </c>
      <c r="J15" s="12">
        <f>ROUND(H15/G15,2)</f>
        <v>0.55000000000000004</v>
      </c>
      <c r="K15" s="13" cm="1">
        <f t="array" ref="K15">SUMPRODUCT(([1]!Tableau1[OPERATION]=Tableau4[[#This Row],[OPERATION]])*(YEAR([1]!Tableau1[Date])=2017)*([1]!Tableau1[Montant]))</f>
        <v>0</v>
      </c>
      <c r="L15" s="13" cm="1">
        <f t="array" ref="L15">SUMPRODUCT(([1]!Tableau1[OPERATION]=Tableau4[[#This Row],[OPERATION]])*(YEAR([1]!Tableau1[Date])=2018)*([1]!Tableau1[Montant]))</f>
        <v>0</v>
      </c>
      <c r="M15" s="13" cm="1">
        <f t="array" ref="M15">SUMPRODUCT(([1]!Tableau1[OPERATION]=Tableau4[[#This Row],[OPERATION]])*(YEAR([1]!Tableau1[Date])=2019)*([1]!Tableau1[Montant]))</f>
        <v>12285.78</v>
      </c>
      <c r="N15" s="13" cm="1">
        <f t="array" ref="N15">SUMPRODUCT(([1]!Tableau1[OPERATION]=Tableau4[[#This Row],[OPERATION]])*(YEAR([1]!Tableau1[Date])=2020)*([1]!Tableau1[Montant]))</f>
        <v>12620.99</v>
      </c>
      <c r="O15" s="13" cm="1">
        <f t="array" ref="O15">SUMPRODUCT(([1]!Tableau1[OPERATION]=Tableau4[[#This Row],[OPERATION]])*(YEAR([1]!Tableau1[Date])=2021)*([1]!Tableau1[Montant]))</f>
        <v>1143.79</v>
      </c>
      <c r="P15" s="13" cm="1">
        <f t="array" ref="P15">SUMPRODUCT(([1]!Tableau1[OPERATION]=Tableau4[[#This Row],[OPERATION]])*(YEAR([1]!Tableau1[Date])=2022)*([1]!Tableau1[Montant]))</f>
        <v>0</v>
      </c>
      <c r="Q15" s="8">
        <f>(75%-Tableau4[[#This Row],[% AVANCEMENT]])*Tableau4[[#This Row],[TOTAL HONORAIRES]]</f>
        <v>9472.9308599999986</v>
      </c>
      <c r="R15" s="15">
        <f>(Tableau4[[#This Row],[RESTE A PERCEVOIR EN 2022]]+Tableau4[[#This Row],[CUMUL HONORAIRES FACTURES]])/Tableau4[[#This Row],[TOTAL HONORAIRES]]</f>
        <v>0.75000000285022661</v>
      </c>
      <c r="S15" s="4">
        <f>Tableau4[[#This Row],[TOTAL HONORAIRES]]-Tableau4[[#This Row],[CUMUL HONORAIRES FACTURES]]</f>
        <v>21314.094300000001</v>
      </c>
      <c r="T15" s="19">
        <v>0.4</v>
      </c>
    </row>
    <row r="16" spans="1:20" x14ac:dyDescent="0.3">
      <c r="A16" s="3" t="s">
        <v>42</v>
      </c>
      <c r="B16" s="3">
        <v>2020</v>
      </c>
      <c r="C16" s="3">
        <v>18</v>
      </c>
      <c r="D16" s="3" t="s">
        <v>39</v>
      </c>
      <c r="E16" s="3" t="s">
        <v>37</v>
      </c>
      <c r="F16" s="4">
        <v>906172</v>
      </c>
      <c r="G16" s="4">
        <v>27185.16</v>
      </c>
      <c r="H16" s="4">
        <f>SUMIF([1]!Tableau1[OPERATION],'Données opérations REHAB'!A16,[1]!Tableau1[Montant])</f>
        <v>16187.960000000001</v>
      </c>
      <c r="I16" s="5" t="str">
        <f>_xlfn.XLOOKUP(J16,[1]Listes!$C$1:$C$15,Avancement,"?",-1)</f>
        <v>CAO</v>
      </c>
      <c r="J16" s="12">
        <f>ROUND(H16/G16,2)</f>
        <v>0.6</v>
      </c>
      <c r="K16" s="13" cm="1">
        <f t="array" ref="K16">SUMPRODUCT(([1]!Tableau1[OPERATION]=Tableau4[[#This Row],[OPERATION]])*(YEAR([1]!Tableau1[Date])=2017)*([1]!Tableau1[Montant]))</f>
        <v>0</v>
      </c>
      <c r="L16" s="13" cm="1">
        <f t="array" ref="L16">SUMPRODUCT(([1]!Tableau1[OPERATION]=Tableau4[[#This Row],[OPERATION]])*(YEAR([1]!Tableau1[Date])=2018)*([1]!Tableau1[Montant]))</f>
        <v>0</v>
      </c>
      <c r="M16" s="13" cm="1">
        <f t="array" ref="M16">SUMPRODUCT(([1]!Tableau1[OPERATION]=Tableau4[[#This Row],[OPERATION]])*(YEAR([1]!Tableau1[Date])=2019)*([1]!Tableau1[Montant]))</f>
        <v>7701.27</v>
      </c>
      <c r="N16" s="13" cm="1">
        <f t="array" ref="N16">SUMPRODUCT(([1]!Tableau1[OPERATION]=Tableau4[[#This Row],[OPERATION]])*(YEAR([1]!Tableau1[Date])=2020)*([1]!Tableau1[Montant]))</f>
        <v>8486.69</v>
      </c>
      <c r="O16" s="13" cm="1">
        <f t="array" ref="O16">SUMPRODUCT(([1]!Tableau1[OPERATION]=Tableau4[[#This Row],[OPERATION]])*(YEAR([1]!Tableau1[Date])=2021)*([1]!Tableau1[Montant]))</f>
        <v>0</v>
      </c>
      <c r="P16" s="13" cm="1">
        <f t="array" ref="P16">SUMPRODUCT(([1]!Tableau1[OPERATION]=Tableau4[[#This Row],[OPERATION]])*(YEAR([1]!Tableau1[Date])=2022)*([1]!Tableau1[Montant]))</f>
        <v>0</v>
      </c>
      <c r="Q16" s="8">
        <f>(75%-Tableau4[[#This Row],[% AVANCEMENT]])*Tableau4[[#This Row],[TOTAL HONORAIRES]]</f>
        <v>4077.7740000000008</v>
      </c>
      <c r="R16" s="15">
        <f>(Tableau4[[#This Row],[RESTE A PERCEVOIR EN 2022]]+Tableau4[[#This Row],[CUMUL HONORAIRES FACTURES]])/Tableau4[[#This Row],[TOTAL HONORAIRES]]</f>
        <v>0.74547046991814658</v>
      </c>
      <c r="S16" s="4">
        <f>Tableau4[[#This Row],[TOTAL HONORAIRES]]-Tableau4[[#This Row],[CUMUL HONORAIRES FACTURES]]</f>
        <v>10997.199999999999</v>
      </c>
      <c r="T16" s="19">
        <v>0.4</v>
      </c>
    </row>
    <row r="17" spans="1:20" x14ac:dyDescent="0.3">
      <c r="A17" s="3" t="s">
        <v>43</v>
      </c>
      <c r="B17" s="3">
        <v>2020</v>
      </c>
      <c r="C17" s="3">
        <v>26</v>
      </c>
      <c r="D17" s="3" t="s">
        <v>21</v>
      </c>
      <c r="E17" s="3" t="s">
        <v>37</v>
      </c>
      <c r="F17" s="4">
        <v>1323288.7</v>
      </c>
      <c r="G17" s="4">
        <v>39698.661</v>
      </c>
      <c r="H17" s="4">
        <f>SUMIF([1]!Tableau1[OPERATION],'Données opérations REHAB'!A17,[1]!Tableau1[Montant])</f>
        <v>21834.26</v>
      </c>
      <c r="I17" s="5" t="str">
        <f>_xlfn.XLOOKUP(J17,[1]Listes!$C$1:$C$15,Avancement,"?",-1)</f>
        <v>CAO</v>
      </c>
      <c r="J17" s="12">
        <f>ROUND(H17/G17,2)</f>
        <v>0.55000000000000004</v>
      </c>
      <c r="K17" s="13" cm="1">
        <f t="array" ref="K17">SUMPRODUCT(([1]!Tableau1[OPERATION]=Tableau4[[#This Row],[OPERATION]])*(YEAR([1]!Tableau1[Date])=2017)*([1]!Tableau1[Montant]))</f>
        <v>0</v>
      </c>
      <c r="L17" s="13" cm="1">
        <f t="array" ref="L17">SUMPRODUCT(([1]!Tableau1[OPERATION]=Tableau4[[#This Row],[OPERATION]])*(YEAR([1]!Tableau1[Date])=2018)*([1]!Tableau1[Montant]))</f>
        <v>0</v>
      </c>
      <c r="M17" s="13" cm="1">
        <f t="array" ref="M17">SUMPRODUCT(([1]!Tableau1[OPERATION]=Tableau4[[#This Row],[OPERATION]])*(YEAR([1]!Tableau1[Date])=2019)*([1]!Tableau1[Montant]))</f>
        <v>8647.66</v>
      </c>
      <c r="N17" s="13" cm="1">
        <f t="array" ref="N17">SUMPRODUCT(([1]!Tableau1[OPERATION]=Tableau4[[#This Row],[OPERATION]])*(YEAR([1]!Tableau1[Date])=2020)*([1]!Tableau1[Montant]))</f>
        <v>11438.37</v>
      </c>
      <c r="O17" s="13" cm="1">
        <f t="array" ref="O17">SUMPRODUCT(([1]!Tableau1[OPERATION]=Tableau4[[#This Row],[OPERATION]])*(YEAR([1]!Tableau1[Date])=2021)*([1]!Tableau1[Montant]))</f>
        <v>1748.23</v>
      </c>
      <c r="P17" s="13" cm="1">
        <f t="array" ref="P17">SUMPRODUCT(([1]!Tableau1[OPERATION]=Tableau4[[#This Row],[OPERATION]])*(YEAR([1]!Tableau1[Date])=2022)*([1]!Tableau1[Montant]))</f>
        <v>0</v>
      </c>
      <c r="Q17" s="8">
        <f>(75%-Tableau4[[#This Row],[% AVANCEMENT]])*Tableau4[[#This Row],[TOTAL HONORAIRES]]</f>
        <v>7939.7321999999986</v>
      </c>
      <c r="R17" s="15">
        <f>(Tableau4[[#This Row],[RESTE A PERCEVOIR EN 2022]]+Tableau4[[#This Row],[CUMUL HONORAIRES FACTURES]])/Tableau4[[#This Row],[TOTAL HONORAIRES]]</f>
        <v>0.74999991057632898</v>
      </c>
      <c r="S17" s="4">
        <f>Tableau4[[#This Row],[TOTAL HONORAIRES]]-Tableau4[[#This Row],[CUMUL HONORAIRES FACTURES]]</f>
        <v>17864.401000000002</v>
      </c>
      <c r="T17" s="19">
        <v>0.4</v>
      </c>
    </row>
    <row r="18" spans="1:20" x14ac:dyDescent="0.3">
      <c r="A18" s="3" t="s">
        <v>44</v>
      </c>
      <c r="B18" s="3">
        <v>2020</v>
      </c>
      <c r="C18" s="3">
        <v>83</v>
      </c>
      <c r="D18" s="3" t="s">
        <v>39</v>
      </c>
      <c r="E18" s="3" t="s">
        <v>37</v>
      </c>
      <c r="F18" s="4">
        <v>4112369.71</v>
      </c>
      <c r="G18" s="4">
        <v>123371.0913</v>
      </c>
      <c r="H18" s="4">
        <f>SUMIF([1]!Tableau1[OPERATION],'Données opérations REHAB'!A18,[1]!Tableau1[Montant])</f>
        <v>67854.099999999991</v>
      </c>
      <c r="I18" s="5" t="str">
        <f>_xlfn.XLOOKUP(J18,[1]Listes!$C$1:$C$15,Avancement,"?",-1)</f>
        <v>CAO</v>
      </c>
      <c r="J18" s="12">
        <f>ROUND(H18/G18,2)</f>
        <v>0.55000000000000004</v>
      </c>
      <c r="K18" s="13" cm="1">
        <f t="array" ref="K18">SUMPRODUCT(([1]!Tableau1[OPERATION]=Tableau4[[#This Row],[OPERATION]])*(YEAR([1]!Tableau1[Date])=2017)*([1]!Tableau1[Montant]))</f>
        <v>0</v>
      </c>
      <c r="L18" s="13" cm="1">
        <f t="array" ref="L18">SUMPRODUCT(([1]!Tableau1[OPERATION]=Tableau4[[#This Row],[OPERATION]])*(YEAR([1]!Tableau1[Date])=2018)*([1]!Tableau1[Montant]))</f>
        <v>0</v>
      </c>
      <c r="M18" s="13" cm="1">
        <f t="array" ref="M18">SUMPRODUCT(([1]!Tableau1[OPERATION]=Tableau4[[#This Row],[OPERATION]])*(YEAR([1]!Tableau1[Date])=2019)*([1]!Tableau1[Montant]))</f>
        <v>22069.51</v>
      </c>
      <c r="N18" s="13" cm="1">
        <f t="array" ref="N18">SUMPRODUCT(([1]!Tableau1[OPERATION]=Tableau4[[#This Row],[OPERATION]])*(YEAR([1]!Tableau1[Date])=2020)*([1]!Tableau1[Montant]))</f>
        <v>39762.25</v>
      </c>
      <c r="O18" s="13" cm="1">
        <f t="array" ref="O18">SUMPRODUCT(([1]!Tableau1[OPERATION]=Tableau4[[#This Row],[OPERATION]])*(YEAR([1]!Tableau1[Date])=2021)*([1]!Tableau1[Montant]))</f>
        <v>6022.34</v>
      </c>
      <c r="P18" s="13" cm="1">
        <f t="array" ref="P18">SUMPRODUCT(([1]!Tableau1[OPERATION]=Tableau4[[#This Row],[OPERATION]])*(YEAR([1]!Tableau1[Date])=2022)*([1]!Tableau1[Montant]))</f>
        <v>0</v>
      </c>
      <c r="Q18" s="8">
        <f>(70%-Tableau4[[#This Row],[% AVANCEMENT]])*Tableau4[[#This Row],[TOTAL HONORAIRES]]</f>
        <v>18505.663694999988</v>
      </c>
      <c r="R18" s="15">
        <f>(Tableau4[[#This Row],[RESTE A PERCEVOIR EN 2022]]+Tableau4[[#This Row],[CUMUL HONORAIRES FACTURES]])/Tableau4[[#This Row],[TOTAL HONORAIRES]]</f>
        <v>0.69999999825729009</v>
      </c>
      <c r="S18" s="4">
        <f>Tableau4[[#This Row],[TOTAL HONORAIRES]]-Tableau4[[#This Row],[CUMUL HONORAIRES FACTURES]]</f>
        <v>55516.991300000009</v>
      </c>
      <c r="T18" s="19">
        <v>0.2</v>
      </c>
    </row>
    <row r="19" spans="1:20" x14ac:dyDescent="0.3">
      <c r="A19" s="3" t="s">
        <v>45</v>
      </c>
      <c r="B19" s="3">
        <v>2021</v>
      </c>
      <c r="C19" s="3">
        <v>36</v>
      </c>
      <c r="D19" s="3" t="s">
        <v>39</v>
      </c>
      <c r="E19" s="3" t="s">
        <v>46</v>
      </c>
      <c r="F19" s="4">
        <v>1757572.5</v>
      </c>
      <c r="G19" s="4">
        <v>52727.17</v>
      </c>
      <c r="H19" s="4">
        <f>SUMIF([1]!Tableau1[OPERATION],'Données opérations REHAB'!A19,[1]!Tableau1[Montant])</f>
        <v>26363.59</v>
      </c>
      <c r="I19" s="5" t="str">
        <f>_xlfn.XLOOKUP(J19,[1]Listes!$C$1:$C$15,Avancement,"?",-1)</f>
        <v>PRO</v>
      </c>
      <c r="J19" s="12">
        <f>ROUND(H19/G19,2)</f>
        <v>0.5</v>
      </c>
      <c r="K19" s="13" cm="1">
        <f t="array" ref="K19">SUMPRODUCT(([1]!Tableau1[OPERATION]=Tableau4[[#This Row],[OPERATION]])*(YEAR([1]!Tableau1[Date])=2017)*([1]!Tableau1[Montant]))</f>
        <v>0</v>
      </c>
      <c r="L19" s="13" cm="1">
        <f t="array" ref="L19">SUMPRODUCT(([1]!Tableau1[OPERATION]=Tableau4[[#This Row],[OPERATION]])*(YEAR([1]!Tableau1[Date])=2018)*([1]!Tableau1[Montant]))</f>
        <v>0</v>
      </c>
      <c r="M19" s="13" cm="1">
        <f t="array" ref="M19">SUMPRODUCT(([1]!Tableau1[OPERATION]=Tableau4[[#This Row],[OPERATION]])*(YEAR([1]!Tableau1[Date])=2019)*([1]!Tableau1[Montant]))</f>
        <v>0</v>
      </c>
      <c r="N19" s="13" cm="1">
        <f t="array" ref="N19">SUMPRODUCT(([1]!Tableau1[OPERATION]=Tableau4[[#This Row],[OPERATION]])*(YEAR([1]!Tableau1[Date])=2020)*([1]!Tableau1[Montant]))</f>
        <v>5015.66</v>
      </c>
      <c r="O19" s="13" cm="1">
        <f t="array" ref="O19">SUMPRODUCT(([1]!Tableau1[OPERATION]=Tableau4[[#This Row],[OPERATION]])*(YEAR([1]!Tableau1[Date])=2021)*([1]!Tableau1[Montant]))</f>
        <v>13495.74</v>
      </c>
      <c r="P19" s="13" cm="1">
        <f t="array" ref="P19">SUMPRODUCT(([1]!Tableau1[OPERATION]=Tableau4[[#This Row],[OPERATION]])*(YEAR([1]!Tableau1[Date])=2022)*([1]!Tableau1[Montant]))</f>
        <v>7852.19</v>
      </c>
      <c r="Q19" s="8">
        <f>(55%-Tableau4[[#This Row],[% AVANCEMENT]])*Tableau4[[#This Row],[TOTAL HONORAIRES]]</f>
        <v>2636.3585000000021</v>
      </c>
      <c r="R19" s="15">
        <f>(Tableau4[[#This Row],[RESTE A PERCEVOIR EN 2022]]+Tableau4[[#This Row],[CUMUL HONORAIRES FACTURES]])/Tableau4[[#This Row],[TOTAL HONORAIRES]]</f>
        <v>0.55000009482777101</v>
      </c>
      <c r="S19" s="4">
        <f>Tableau4[[#This Row],[TOTAL HONORAIRES]]-Tableau4[[#This Row],[CUMUL HONORAIRES FACTURES]]</f>
        <v>26363.579999999998</v>
      </c>
      <c r="T19" s="16" t="s">
        <v>47</v>
      </c>
    </row>
    <row r="20" spans="1:20" x14ac:dyDescent="0.3">
      <c r="A20" s="3" t="s">
        <v>48</v>
      </c>
      <c r="B20" s="3">
        <v>2021</v>
      </c>
      <c r="C20" s="3">
        <v>40</v>
      </c>
      <c r="D20" s="3" t="s">
        <v>39</v>
      </c>
      <c r="E20" s="3" t="s">
        <v>49</v>
      </c>
      <c r="F20" s="4">
        <v>1558448.59</v>
      </c>
      <c r="G20" s="4">
        <v>46753.457699999999</v>
      </c>
      <c r="H20" s="4">
        <f>SUMIF([1]!Tableau1[OPERATION],'Données opérations REHAB'!A20,[1]!Tableau1[Montant])</f>
        <v>11688.36</v>
      </c>
      <c r="I20" s="5" t="str">
        <f>_xlfn.XLOOKUP(J20,[1]Listes!$C$1:$C$15,Avancement,"?",-1)</f>
        <v>APS</v>
      </c>
      <c r="J20" s="12">
        <f>ROUND(H20/G20,2)</f>
        <v>0.25</v>
      </c>
      <c r="K20" s="13" cm="1">
        <f t="array" ref="K20">SUMPRODUCT(([1]!Tableau1[OPERATION]=Tableau4[[#This Row],[OPERATION]])*(YEAR([1]!Tableau1[Date])=2017)*([1]!Tableau1[Montant]))</f>
        <v>0</v>
      </c>
      <c r="L20" s="13" cm="1">
        <f t="array" ref="L20">SUMPRODUCT(([1]!Tableau1[OPERATION]=Tableau4[[#This Row],[OPERATION]])*(YEAR([1]!Tableau1[Date])=2018)*([1]!Tableau1[Montant]))</f>
        <v>0</v>
      </c>
      <c r="M20" s="13" cm="1">
        <f t="array" ref="M20">SUMPRODUCT(([1]!Tableau1[OPERATION]=Tableau4[[#This Row],[OPERATION]])*(YEAR([1]!Tableau1[Date])=2019)*([1]!Tableau1[Montant]))</f>
        <v>0</v>
      </c>
      <c r="N20" s="13" cm="1">
        <f t="array" ref="N20">SUMPRODUCT(([1]!Tableau1[OPERATION]=Tableau4[[#This Row],[OPERATION]])*(YEAR([1]!Tableau1[Date])=2020)*([1]!Tableau1[Montant]))</f>
        <v>4675.63</v>
      </c>
      <c r="O20" s="13" cm="1">
        <f t="array" ref="O20">SUMPRODUCT(([1]!Tableau1[OPERATION]=Tableau4[[#This Row],[OPERATION]])*(YEAR([1]!Tableau1[Date])=2021)*([1]!Tableau1[Montant]))</f>
        <v>7012.73</v>
      </c>
      <c r="P20" s="13" cm="1">
        <f t="array" ref="P20">SUMPRODUCT(([1]!Tableau1[OPERATION]=Tableau4[[#This Row],[OPERATION]])*(YEAR([1]!Tableau1[Date])=2022)*([1]!Tableau1[Montant]))</f>
        <v>0</v>
      </c>
      <c r="Q20" s="8">
        <f>(55%-Tableau4[[#This Row],[% AVANCEMENT]])*Tableau4[[#This Row],[TOTAL HONORAIRES]]</f>
        <v>14026.037310000002</v>
      </c>
      <c r="R20" s="15">
        <f>(Tableau4[[#This Row],[RESTE A PERCEVOIR EN 2022]]+Tableau4[[#This Row],[CUMUL HONORAIRES FACTURES]])/Tableau4[[#This Row],[TOTAL HONORAIRES]]</f>
        <v>0.54999990535459375</v>
      </c>
      <c r="S20" s="4">
        <f>Tableau4[[#This Row],[TOTAL HONORAIRES]]-Tableau4[[#This Row],[CUMUL HONORAIRES FACTURES]]</f>
        <v>35065.097699999998</v>
      </c>
      <c r="T20" s="16" t="s">
        <v>47</v>
      </c>
    </row>
    <row r="21" spans="1:20" x14ac:dyDescent="0.3">
      <c r="A21" s="3" t="s">
        <v>50</v>
      </c>
      <c r="B21" s="3">
        <v>2021</v>
      </c>
      <c r="C21" s="3">
        <v>57</v>
      </c>
      <c r="D21" s="3" t="s">
        <v>39</v>
      </c>
      <c r="E21" s="3" t="s">
        <v>49</v>
      </c>
      <c r="F21" s="4">
        <v>2786432.77</v>
      </c>
      <c r="G21" s="4">
        <v>83592.983099999998</v>
      </c>
      <c r="H21" s="4">
        <f>SUMIF([1]!Tableau1[OPERATION],'Données opérations REHAB'!A21,[1]!Tableau1[Montant])</f>
        <v>20898.240000000002</v>
      </c>
      <c r="I21" s="5" t="str">
        <f>_xlfn.XLOOKUP(J21,[1]Listes!$C$1:$C$15,Avancement,"?",-1)</f>
        <v>APS</v>
      </c>
      <c r="J21" s="12">
        <f>ROUND(H21/G21,2)</f>
        <v>0.25</v>
      </c>
      <c r="K21" s="13" cm="1">
        <f t="array" ref="K21">SUMPRODUCT(([1]!Tableau1[OPERATION]=Tableau4[[#This Row],[OPERATION]])*(YEAR([1]!Tableau1[Date])=2017)*([1]!Tableau1[Montant]))</f>
        <v>0</v>
      </c>
      <c r="L21" s="13" cm="1">
        <f t="array" ref="L21">SUMPRODUCT(([1]!Tableau1[OPERATION]=Tableau4[[#This Row],[OPERATION]])*(YEAR([1]!Tableau1[Date])=2018)*([1]!Tableau1[Montant]))</f>
        <v>0</v>
      </c>
      <c r="M21" s="13" cm="1">
        <f t="array" ref="M21">SUMPRODUCT(([1]!Tableau1[OPERATION]=Tableau4[[#This Row],[OPERATION]])*(YEAR([1]!Tableau1[Date])=2019)*([1]!Tableau1[Montant]))</f>
        <v>0</v>
      </c>
      <c r="N21" s="13" cm="1">
        <f t="array" ref="N21">SUMPRODUCT(([1]!Tableau1[OPERATION]=Tableau4[[#This Row],[OPERATION]])*(YEAR([1]!Tableau1[Date])=2020)*([1]!Tableau1[Montant]))</f>
        <v>8370.5400000000009</v>
      </c>
      <c r="O21" s="13" cm="1">
        <f t="array" ref="O21">SUMPRODUCT(([1]!Tableau1[OPERATION]=Tableau4[[#This Row],[OPERATION]])*(YEAR([1]!Tableau1[Date])=2021)*([1]!Tableau1[Montant]))</f>
        <v>12527.7</v>
      </c>
      <c r="P21" s="13" cm="1">
        <f t="array" ref="P21">SUMPRODUCT(([1]!Tableau1[OPERATION]=Tableau4[[#This Row],[OPERATION]])*(YEAR([1]!Tableau1[Date])=2022)*([1]!Tableau1[Montant]))</f>
        <v>0</v>
      </c>
      <c r="Q21" s="8">
        <f>(55%-Tableau4[[#This Row],[% AVANCEMENT]])*Tableau4[[#This Row],[TOTAL HONORAIRES]]</f>
        <v>25077.894930000002</v>
      </c>
      <c r="R21" s="15">
        <f>(Tableau4[[#This Row],[RESTE A PERCEVOIR EN 2022]]+Tableau4[[#This Row],[CUMUL HONORAIRES FACTURES]])/Tableau4[[#This Row],[TOTAL HONORAIRES]]</f>
        <v>0.54999993091525412</v>
      </c>
      <c r="S21" s="4">
        <f>Tableau4[[#This Row],[TOTAL HONORAIRES]]-Tableau4[[#This Row],[CUMUL HONORAIRES FACTURES]]</f>
        <v>62694.743099999992</v>
      </c>
      <c r="T21" s="16" t="s">
        <v>47</v>
      </c>
    </row>
    <row r="22" spans="1:20" x14ac:dyDescent="0.3">
      <c r="A22" s="3" t="s">
        <v>51</v>
      </c>
      <c r="B22" s="3">
        <v>2021</v>
      </c>
      <c r="C22" s="3">
        <v>29</v>
      </c>
      <c r="D22" s="3" t="s">
        <v>39</v>
      </c>
      <c r="E22" s="3" t="s">
        <v>49</v>
      </c>
      <c r="F22" s="4">
        <v>1129017.8</v>
      </c>
      <c r="G22" s="4">
        <v>33870.534</v>
      </c>
      <c r="H22" s="4">
        <f>SUMIF([1]!Tableau1[OPERATION],'Données opérations REHAB'!A22,[1]!Tableau1[Montant])</f>
        <v>11854.68</v>
      </c>
      <c r="I22" s="5" t="str">
        <f>_xlfn.XLOOKUP(J22,[1]Listes!$C$1:$C$15,Avancement,"?",-1)</f>
        <v>APD</v>
      </c>
      <c r="J22" s="12">
        <f>ROUND(H22/G22,2)</f>
        <v>0.35</v>
      </c>
      <c r="K22" s="13" cm="1">
        <f t="array" ref="K22">SUMPRODUCT(([1]!Tableau1[OPERATION]=Tableau4[[#This Row],[OPERATION]])*(YEAR([1]!Tableau1[Date])=2017)*([1]!Tableau1[Montant]))</f>
        <v>0</v>
      </c>
      <c r="L22" s="13" cm="1">
        <f t="array" ref="L22">SUMPRODUCT(([1]!Tableau1[OPERATION]=Tableau4[[#This Row],[OPERATION]])*(YEAR([1]!Tableau1[Date])=2018)*([1]!Tableau1[Montant]))</f>
        <v>0</v>
      </c>
      <c r="M22" s="13" cm="1">
        <f t="array" ref="M22">SUMPRODUCT(([1]!Tableau1[OPERATION]=Tableau4[[#This Row],[OPERATION]])*(YEAR([1]!Tableau1[Date])=2019)*([1]!Tableau1[Montant]))</f>
        <v>0</v>
      </c>
      <c r="N22" s="13" cm="1">
        <f t="array" ref="N22">SUMPRODUCT(([1]!Tableau1[OPERATION]=Tableau4[[#This Row],[OPERATION]])*(YEAR([1]!Tableau1[Date])=2020)*([1]!Tableau1[Montant]))</f>
        <v>3397.51</v>
      </c>
      <c r="O22" s="13" cm="1">
        <f t="array" ref="O22">SUMPRODUCT(([1]!Tableau1[OPERATION]=Tableau4[[#This Row],[OPERATION]])*(YEAR([1]!Tableau1[Date])=2021)*([1]!Tableau1[Montant]))</f>
        <v>8457.17</v>
      </c>
      <c r="P22" s="13" cm="1">
        <f t="array" ref="P22">SUMPRODUCT(([1]!Tableau1[OPERATION]=Tableau4[[#This Row],[OPERATION]])*(YEAR([1]!Tableau1[Date])=2022)*([1]!Tableau1[Montant]))</f>
        <v>0</v>
      </c>
      <c r="Q22" s="8">
        <f>(55%-Tableau4[[#This Row],[% AVANCEMENT]])*Tableau4[[#This Row],[TOTAL HONORAIRES]]</f>
        <v>6774.1068000000023</v>
      </c>
      <c r="R22" s="15">
        <f>(Tableau4[[#This Row],[RESTE A PERCEVOIR EN 2022]]+Tableau4[[#This Row],[CUMUL HONORAIRES FACTURES]])/Tableau4[[#This Row],[TOTAL HONORAIRES]]</f>
        <v>0.54999979628310558</v>
      </c>
      <c r="S22" s="4">
        <f>Tableau4[[#This Row],[TOTAL HONORAIRES]]-Tableau4[[#This Row],[CUMUL HONORAIRES FACTURES]]</f>
        <v>22015.853999999999</v>
      </c>
      <c r="T22" s="16" t="s">
        <v>47</v>
      </c>
    </row>
    <row r="23" spans="1:20" x14ac:dyDescent="0.3">
      <c r="A23" s="3" t="s">
        <v>52</v>
      </c>
      <c r="B23" s="3">
        <v>2021</v>
      </c>
      <c r="C23" s="3">
        <v>10</v>
      </c>
      <c r="D23" s="3" t="s">
        <v>39</v>
      </c>
      <c r="E23" s="3" t="s">
        <v>49</v>
      </c>
      <c r="F23" s="4">
        <v>718805.92</v>
      </c>
      <c r="G23" s="4">
        <v>21564.177599999999</v>
      </c>
      <c r="H23" s="4">
        <f>SUMIF([1]!Tableau1[OPERATION],'Données opérations REHAB'!A23,[1]!Tableau1[Montant])</f>
        <v>7547.46</v>
      </c>
      <c r="I23" s="5" t="str">
        <f>_xlfn.XLOOKUP(J23,[1]Listes!$C$1:$C$15,Avancement,"?",-1)</f>
        <v>APD</v>
      </c>
      <c r="J23" s="12">
        <f>ROUND(H23/G23,2)</f>
        <v>0.35</v>
      </c>
      <c r="K23" s="13" cm="1">
        <f t="array" ref="K23">SUMPRODUCT(([1]!Tableau1[OPERATION]=Tableau4[[#This Row],[OPERATION]])*(YEAR([1]!Tableau1[Date])=2017)*([1]!Tableau1[Montant]))</f>
        <v>0</v>
      </c>
      <c r="L23" s="13" cm="1">
        <f t="array" ref="L23">SUMPRODUCT(([1]!Tableau1[OPERATION]=Tableau4[[#This Row],[OPERATION]])*(YEAR([1]!Tableau1[Date])=2018)*([1]!Tableau1[Montant]))</f>
        <v>0</v>
      </c>
      <c r="M23" s="13" cm="1">
        <f t="array" ref="M23">SUMPRODUCT(([1]!Tableau1[OPERATION]=Tableau4[[#This Row],[OPERATION]])*(YEAR([1]!Tableau1[Date])=2019)*([1]!Tableau1[Montant]))</f>
        <v>0</v>
      </c>
      <c r="N23" s="13" cm="1">
        <f t="array" ref="N23">SUMPRODUCT(([1]!Tableau1[OPERATION]=Tableau4[[#This Row],[OPERATION]])*(YEAR([1]!Tableau1[Date])=2020)*([1]!Tableau1[Montant]))</f>
        <v>1610.12</v>
      </c>
      <c r="O23" s="13" cm="1">
        <f t="array" ref="O23">SUMPRODUCT(([1]!Tableau1[OPERATION]=Tableau4[[#This Row],[OPERATION]])*(YEAR([1]!Tableau1[Date])=2021)*([1]!Tableau1[Montant]))</f>
        <v>5937.34</v>
      </c>
      <c r="P23" s="13" cm="1">
        <f t="array" ref="P23">SUMPRODUCT(([1]!Tableau1[OPERATION]=Tableau4[[#This Row],[OPERATION]])*(YEAR([1]!Tableau1[Date])=2022)*([1]!Tableau1[Montant]))</f>
        <v>0</v>
      </c>
      <c r="Q23" s="8">
        <f>(55%-Tableau4[[#This Row],[% AVANCEMENT]])*Tableau4[[#This Row],[TOTAL HONORAIRES]]</f>
        <v>4312.8355200000015</v>
      </c>
      <c r="R23" s="15">
        <f>(Tableau4[[#This Row],[RESTE A PERCEVOIR EN 2022]]+Tableau4[[#This Row],[CUMUL HONORAIRES FACTURES]])/Tableau4[[#This Row],[TOTAL HONORAIRES]]</f>
        <v>0.5499998998338802</v>
      </c>
      <c r="S23" s="4">
        <f>Tableau4[[#This Row],[TOTAL HONORAIRES]]-Tableau4[[#This Row],[CUMUL HONORAIRES FACTURES]]</f>
        <v>14016.7176</v>
      </c>
      <c r="T23" s="16" t="s">
        <v>47</v>
      </c>
    </row>
    <row r="24" spans="1:20" x14ac:dyDescent="0.3">
      <c r="A24" s="3" t="s">
        <v>53</v>
      </c>
      <c r="B24" s="3">
        <v>2021</v>
      </c>
      <c r="C24" s="3">
        <v>86</v>
      </c>
      <c r="D24" s="3" t="s">
        <v>39</v>
      </c>
      <c r="E24" s="3" t="s">
        <v>49</v>
      </c>
      <c r="F24" s="4">
        <v>4325731.2300000004</v>
      </c>
      <c r="G24" s="4">
        <v>129771.94</v>
      </c>
      <c r="H24" s="4">
        <f>SUMIF([1]!Tableau1[OPERATION],'Données opérations REHAB'!A24,[1]!Tableau1[Montant])</f>
        <v>45420.18</v>
      </c>
      <c r="I24" s="5" t="str">
        <f>_xlfn.XLOOKUP(J24,[1]Listes!$C$1:$C$15,Avancement,"?",-1)</f>
        <v>APD</v>
      </c>
      <c r="J24" s="12">
        <f>ROUND(H24/G24,2)</f>
        <v>0.35</v>
      </c>
      <c r="K24" s="13" cm="1">
        <f t="array" ref="K24">SUMPRODUCT(([1]!Tableau1[OPERATION]=Tableau4[[#This Row],[OPERATION]])*(YEAR([1]!Tableau1[Date])=2017)*([1]!Tableau1[Montant]))</f>
        <v>0</v>
      </c>
      <c r="L24" s="13" cm="1">
        <f t="array" ref="L24">SUMPRODUCT(([1]!Tableau1[OPERATION]=Tableau4[[#This Row],[OPERATION]])*(YEAR([1]!Tableau1[Date])=2018)*([1]!Tableau1[Montant]))</f>
        <v>0</v>
      </c>
      <c r="M24" s="13" cm="1">
        <f t="array" ref="M24">SUMPRODUCT(([1]!Tableau1[OPERATION]=Tableau4[[#This Row],[OPERATION]])*(YEAR([1]!Tableau1[Date])=2019)*([1]!Tableau1[Montant]))</f>
        <v>0</v>
      </c>
      <c r="N24" s="13" cm="1">
        <f t="array" ref="N24">SUMPRODUCT(([1]!Tableau1[OPERATION]=Tableau4[[#This Row],[OPERATION]])*(YEAR([1]!Tableau1[Date])=2020)*([1]!Tableau1[Montant]))</f>
        <v>12655.11</v>
      </c>
      <c r="O24" s="13" cm="1">
        <f t="array" ref="O24">SUMPRODUCT(([1]!Tableau1[OPERATION]=Tableau4[[#This Row],[OPERATION]])*(YEAR([1]!Tableau1[Date])=2021)*([1]!Tableau1[Montant]))</f>
        <v>32765.07</v>
      </c>
      <c r="P24" s="13" cm="1">
        <f t="array" ref="P24">SUMPRODUCT(([1]!Tableau1[OPERATION]=Tableau4[[#This Row],[OPERATION]])*(YEAR([1]!Tableau1[Date])=2022)*([1]!Tableau1[Montant]))</f>
        <v>0</v>
      </c>
      <c r="Q24" s="8">
        <f>(55%-Tableau4[[#This Row],[% AVANCEMENT]])*Tableau4[[#This Row],[TOTAL HONORAIRES]]</f>
        <v>25954.38800000001</v>
      </c>
      <c r="R24" s="15">
        <f>(Tableau4[[#This Row],[RESTE A PERCEVOIR EN 2022]]+Tableau4[[#This Row],[CUMUL HONORAIRES FACTURES]])/Tableau4[[#This Row],[TOTAL HONORAIRES]]</f>
        <v>0.55000000770582613</v>
      </c>
      <c r="S24" s="4">
        <f>Tableau4[[#This Row],[TOTAL HONORAIRES]]-Tableau4[[#This Row],[CUMUL HONORAIRES FACTURES]]</f>
        <v>84351.760000000009</v>
      </c>
      <c r="T24" s="16" t="s">
        <v>47</v>
      </c>
    </row>
    <row r="25" spans="1:20" x14ac:dyDescent="0.3">
      <c r="A25" s="3" t="s">
        <v>54</v>
      </c>
      <c r="B25" s="3">
        <v>2022</v>
      </c>
      <c r="C25" s="3"/>
      <c r="D25" s="3" t="s">
        <v>39</v>
      </c>
      <c r="E25" s="3" t="s">
        <v>55</v>
      </c>
      <c r="F25" s="4">
        <v>1176300.5958359223</v>
      </c>
      <c r="G25" s="4">
        <v>35289.017875077669</v>
      </c>
      <c r="H25" s="4">
        <f>SUMIF([1]!Tableau1[OPERATION],'Données opérations REHAB'!A25,[1]!Tableau1[Montant])</f>
        <v>3528.9</v>
      </c>
      <c r="I25" s="5" t="str">
        <f>_xlfn.XLOOKUP(J25,[1]Listes!$C$1:$C$15,Avancement,"?",-1)</f>
        <v>Programmation</v>
      </c>
      <c r="J25" s="20">
        <f>ROUND(H25/G25,2)</f>
        <v>0.1</v>
      </c>
      <c r="K25" s="21" cm="1">
        <f t="array" ref="K25">SUMPRODUCT(([1]!Tableau1[OPERATION]=Tableau4[[#This Row],[OPERATION]])*(YEAR([1]!Tableau1[Date])=2017)*([1]!Tableau1[Montant]))</f>
        <v>0</v>
      </c>
      <c r="L25" s="21" cm="1">
        <f t="array" ref="L25">SUMPRODUCT(([1]!Tableau1[OPERATION]=Tableau4[[#This Row],[OPERATION]])*(YEAR([1]!Tableau1[Date])=2018)*([1]!Tableau1[Montant]))</f>
        <v>0</v>
      </c>
      <c r="M25" s="21" cm="1">
        <f t="array" ref="M25">SUMPRODUCT(([1]!Tableau1[OPERATION]=Tableau4[[#This Row],[OPERATION]])*(YEAR([1]!Tableau1[Date])=2019)*([1]!Tableau1[Montant]))</f>
        <v>0</v>
      </c>
      <c r="N25" s="21" cm="1">
        <f t="array" ref="N25">SUMPRODUCT(([1]!Tableau1[OPERATION]=Tableau4[[#This Row],[OPERATION]])*(YEAR([1]!Tableau1[Date])=2020)*([1]!Tableau1[Montant]))</f>
        <v>0</v>
      </c>
      <c r="O25" s="21" cm="1">
        <f t="array" ref="O25">SUMPRODUCT(([1]!Tableau1[OPERATION]=Tableau4[[#This Row],[OPERATION]])*(YEAR([1]!Tableau1[Date])=2021)*([1]!Tableau1[Montant]))</f>
        <v>0</v>
      </c>
      <c r="P25" s="21" cm="1">
        <f t="array" ref="P25">SUMPRODUCT(([1]!Tableau1[OPERATION]=Tableau4[[#This Row],[OPERATION]])*(YEAR([1]!Tableau1[Date])=2022)*([1]!Tableau1[Montant]))</f>
        <v>3528.9</v>
      </c>
      <c r="Q25" s="8">
        <f>(25%-Tableau4[[#This Row],[% AVANCEMENT]])*Tableau4[[#This Row],[TOTAL HONORAIRES]]</f>
        <v>5293.3526812616501</v>
      </c>
      <c r="R25" s="15">
        <f>(Tableau4[[#This Row],[RESTE A PERCEVOIR EN 2022]]+Tableau4[[#This Row],[CUMUL HONORAIRES FACTURES]])/Tableau4[[#This Row],[TOTAL HONORAIRES]]</f>
        <v>0.24999994934662753</v>
      </c>
      <c r="S25" s="4">
        <f>Tableau4[[#This Row],[TOTAL HONORAIRES]]-Tableau4[[#This Row],[CUMUL HONORAIRES FACTURES]]</f>
        <v>31760.117875077667</v>
      </c>
      <c r="T25" s="16" t="s">
        <v>49</v>
      </c>
    </row>
    <row r="26" spans="1:20" x14ac:dyDescent="0.3">
      <c r="A26" s="3" t="s">
        <v>56</v>
      </c>
      <c r="B26" s="3">
        <v>2022</v>
      </c>
      <c r="C26" s="3"/>
      <c r="D26" s="3" t="s">
        <v>39</v>
      </c>
      <c r="E26" s="3" t="s">
        <v>55</v>
      </c>
      <c r="F26" s="4">
        <v>1282103.49</v>
      </c>
      <c r="G26" s="4">
        <v>38463.1</v>
      </c>
      <c r="H26" s="4">
        <f>SUMIF([1]!Tableau1[OPERATION],'Données opérations REHAB'!A26,[1]!Tableau1[Montant])</f>
        <v>3846.31</v>
      </c>
      <c r="I26" s="5" t="str">
        <f>_xlfn.XLOOKUP(J26,[1]Listes!$C$1:$C$15,Avancement,"?",-1)</f>
        <v>Programmation</v>
      </c>
      <c r="J26" s="20">
        <f>ROUND(H26/G26,2)</f>
        <v>0.1</v>
      </c>
      <c r="K26" s="21" cm="1">
        <f t="array" ref="K26">SUMPRODUCT(([1]!Tableau1[OPERATION]=Tableau4[[#This Row],[OPERATION]])*(YEAR([1]!Tableau1[Date])=2017)*([1]!Tableau1[Montant]))</f>
        <v>0</v>
      </c>
      <c r="L26" s="21" cm="1">
        <f t="array" ref="L26">SUMPRODUCT(([1]!Tableau1[OPERATION]=Tableau4[[#This Row],[OPERATION]])*(YEAR([1]!Tableau1[Date])=2018)*([1]!Tableau1[Montant]))</f>
        <v>0</v>
      </c>
      <c r="M26" s="21" cm="1">
        <f t="array" ref="M26">SUMPRODUCT(([1]!Tableau1[OPERATION]=Tableau4[[#This Row],[OPERATION]])*(YEAR([1]!Tableau1[Date])=2019)*([1]!Tableau1[Montant]))</f>
        <v>0</v>
      </c>
      <c r="N26" s="21" cm="1">
        <f t="array" ref="N26">SUMPRODUCT(([1]!Tableau1[OPERATION]=Tableau4[[#This Row],[OPERATION]])*(YEAR([1]!Tableau1[Date])=2020)*([1]!Tableau1[Montant]))</f>
        <v>0</v>
      </c>
      <c r="O26" s="21" cm="1">
        <f t="array" ref="O26">SUMPRODUCT(([1]!Tableau1[OPERATION]=Tableau4[[#This Row],[OPERATION]])*(YEAR([1]!Tableau1[Date])=2021)*([1]!Tableau1[Montant]))</f>
        <v>0</v>
      </c>
      <c r="P26" s="21" cm="1">
        <f t="array" ref="P26">SUMPRODUCT(([1]!Tableau1[OPERATION]=Tableau4[[#This Row],[OPERATION]])*(YEAR([1]!Tableau1[Date])=2022)*([1]!Tableau1[Montant]))</f>
        <v>3846.31</v>
      </c>
      <c r="Q26" s="8">
        <f>(25%-Tableau4[[#This Row],[% AVANCEMENT]])*Tableau4[[#This Row],[TOTAL HONORAIRES]]</f>
        <v>5769.4649999999992</v>
      </c>
      <c r="R26" s="15">
        <f>(Tableau4[[#This Row],[RESTE A PERCEVOIR EN 2022]]+Tableau4[[#This Row],[CUMUL HONORAIRES FACTURES]])/Tableau4[[#This Row],[TOTAL HONORAIRES]]</f>
        <v>0.25</v>
      </c>
      <c r="S26" s="4">
        <f>Tableau4[[#This Row],[TOTAL HONORAIRES]]-Tableau4[[#This Row],[CUMUL HONORAIRES FACTURES]]</f>
        <v>34616.79</v>
      </c>
      <c r="T26" s="16" t="s">
        <v>49</v>
      </c>
    </row>
    <row r="27" spans="1:20" x14ac:dyDescent="0.3">
      <c r="A27" s="3" t="s">
        <v>57</v>
      </c>
      <c r="B27" s="3">
        <v>2022</v>
      </c>
      <c r="C27" s="3"/>
      <c r="D27" s="3" t="s">
        <v>39</v>
      </c>
      <c r="E27" s="3" t="s">
        <v>55</v>
      </c>
      <c r="F27" s="4">
        <v>2136676.63</v>
      </c>
      <c r="G27" s="4">
        <v>64100.3</v>
      </c>
      <c r="H27" s="4">
        <f>SUMIF([1]!Tableau1[OPERATION],'Données opérations REHAB'!A27,[1]!Tableau1[Montant])</f>
        <v>6410.03</v>
      </c>
      <c r="I27" s="5" t="str">
        <f>_xlfn.XLOOKUP(J27,[1]Listes!$C$1:$C$15,Avancement,"?",-1)</f>
        <v>Programmation</v>
      </c>
      <c r="J27" s="20">
        <f>ROUND(H27/G27,2)</f>
        <v>0.1</v>
      </c>
      <c r="K27" s="21" cm="1">
        <f t="array" ref="K27">SUMPRODUCT(([1]!Tableau1[OPERATION]=Tableau4[[#This Row],[OPERATION]])*(YEAR([1]!Tableau1[Date])=2017)*([1]!Tableau1[Montant]))</f>
        <v>0</v>
      </c>
      <c r="L27" s="21" cm="1">
        <f t="array" ref="L27">SUMPRODUCT(([1]!Tableau1[OPERATION]=Tableau4[[#This Row],[OPERATION]])*(YEAR([1]!Tableau1[Date])=2018)*([1]!Tableau1[Montant]))</f>
        <v>0</v>
      </c>
      <c r="M27" s="21" cm="1">
        <f t="array" ref="M27">SUMPRODUCT(([1]!Tableau1[OPERATION]=Tableau4[[#This Row],[OPERATION]])*(YEAR([1]!Tableau1[Date])=2019)*([1]!Tableau1[Montant]))</f>
        <v>0</v>
      </c>
      <c r="N27" s="21" cm="1">
        <f t="array" ref="N27">SUMPRODUCT(([1]!Tableau1[OPERATION]=Tableau4[[#This Row],[OPERATION]])*(YEAR([1]!Tableau1[Date])=2020)*([1]!Tableau1[Montant]))</f>
        <v>0</v>
      </c>
      <c r="O27" s="21" cm="1">
        <f t="array" ref="O27">SUMPRODUCT(([1]!Tableau1[OPERATION]=Tableau4[[#This Row],[OPERATION]])*(YEAR([1]!Tableau1[Date])=2021)*([1]!Tableau1[Montant]))</f>
        <v>0</v>
      </c>
      <c r="P27" s="21" cm="1">
        <f t="array" ref="P27">SUMPRODUCT(([1]!Tableau1[OPERATION]=Tableau4[[#This Row],[OPERATION]])*(YEAR([1]!Tableau1[Date])=2022)*([1]!Tableau1[Montant]))</f>
        <v>6410.03</v>
      </c>
      <c r="Q27" s="8">
        <f>(25%-Tableau4[[#This Row],[% AVANCEMENT]])*Tableau4[[#This Row],[TOTAL HONORAIRES]]</f>
        <v>9615.0450000000001</v>
      </c>
      <c r="R27" s="15">
        <f>(Tableau4[[#This Row],[RESTE A PERCEVOIR EN 2022]]+Tableau4[[#This Row],[CUMUL HONORAIRES FACTURES]])/Tableau4[[#This Row],[TOTAL HONORAIRES]]</f>
        <v>0.25</v>
      </c>
      <c r="S27" s="4">
        <f>Tableau4[[#This Row],[TOTAL HONORAIRES]]-Tableau4[[#This Row],[CUMUL HONORAIRES FACTURES]]</f>
        <v>57690.270000000004</v>
      </c>
      <c r="T27" s="16" t="s">
        <v>49</v>
      </c>
    </row>
    <row r="28" spans="1:20" x14ac:dyDescent="0.3">
      <c r="A28" s="3" t="s">
        <v>58</v>
      </c>
      <c r="B28" s="3">
        <v>2022</v>
      </c>
      <c r="C28" s="3"/>
      <c r="D28" s="3" t="s">
        <v>21</v>
      </c>
      <c r="E28" s="3" t="s">
        <v>55</v>
      </c>
      <c r="F28" s="4">
        <v>2138788.5</v>
      </c>
      <c r="G28" s="4">
        <v>64163.65</v>
      </c>
      <c r="H28" s="4">
        <f>SUMIF([1]!Tableau1[OPERATION],'Données opérations REHAB'!A28,[1]!Tableau1[Montant])</f>
        <v>6416.37</v>
      </c>
      <c r="I28" s="5" t="str">
        <f>_xlfn.XLOOKUP(J28,[1]Listes!$C$1:$C$15,Avancement,"?",-1)</f>
        <v>Programmation</v>
      </c>
      <c r="J28" s="20">
        <f>ROUND(H28/G28,2)</f>
        <v>0.1</v>
      </c>
      <c r="K28" s="21" cm="1">
        <f t="array" ref="K28">SUMPRODUCT(([1]!Tableau1[OPERATION]=Tableau4[[#This Row],[OPERATION]])*(YEAR([1]!Tableau1[Date])=2017)*([1]!Tableau1[Montant]))</f>
        <v>0</v>
      </c>
      <c r="L28" s="21" cm="1">
        <f t="array" ref="L28">SUMPRODUCT(([1]!Tableau1[OPERATION]=Tableau4[[#This Row],[OPERATION]])*(YEAR([1]!Tableau1[Date])=2018)*([1]!Tableau1[Montant]))</f>
        <v>0</v>
      </c>
      <c r="M28" s="21" cm="1">
        <f t="array" ref="M28">SUMPRODUCT(([1]!Tableau1[OPERATION]=Tableau4[[#This Row],[OPERATION]])*(YEAR([1]!Tableau1[Date])=2019)*([1]!Tableau1[Montant]))</f>
        <v>0</v>
      </c>
      <c r="N28" s="21" cm="1">
        <f t="array" ref="N28">SUMPRODUCT(([1]!Tableau1[OPERATION]=Tableau4[[#This Row],[OPERATION]])*(YEAR([1]!Tableau1[Date])=2020)*([1]!Tableau1[Montant]))</f>
        <v>0</v>
      </c>
      <c r="O28" s="21" cm="1">
        <f t="array" ref="O28">SUMPRODUCT(([1]!Tableau1[OPERATION]=Tableau4[[#This Row],[OPERATION]])*(YEAR([1]!Tableau1[Date])=2021)*([1]!Tableau1[Montant]))</f>
        <v>0</v>
      </c>
      <c r="P28" s="21" cm="1">
        <f t="array" ref="P28">SUMPRODUCT(([1]!Tableau1[OPERATION]=Tableau4[[#This Row],[OPERATION]])*(YEAR([1]!Tableau1[Date])=2022)*([1]!Tableau1[Montant]))</f>
        <v>6416.37</v>
      </c>
      <c r="Q28" s="8">
        <f>(25%-Tableau4[[#This Row],[% AVANCEMENT]])*Tableau4[[#This Row],[TOTAL HONORAIRES]]</f>
        <v>9624.5475000000006</v>
      </c>
      <c r="R28" s="15">
        <f>(Tableau4[[#This Row],[RESTE A PERCEVOIR EN 2022]]+Tableau4[[#This Row],[CUMUL HONORAIRES FACTURES]])/Tableau4[[#This Row],[TOTAL HONORAIRES]]</f>
        <v>0.25000007792574142</v>
      </c>
      <c r="S28" s="4">
        <f>Tableau4[[#This Row],[TOTAL HONORAIRES]]-Tableau4[[#This Row],[CUMUL HONORAIRES FACTURES]]</f>
        <v>57747.28</v>
      </c>
      <c r="T28" s="16" t="s">
        <v>49</v>
      </c>
    </row>
    <row r="29" spans="1:20" x14ac:dyDescent="0.3">
      <c r="A29" s="3" t="s">
        <v>59</v>
      </c>
      <c r="B29" s="3"/>
      <c r="C29" s="3"/>
      <c r="D29" s="3"/>
      <c r="E29" s="3"/>
      <c r="F29" s="22"/>
      <c r="G29" s="22"/>
      <c r="H29" s="22"/>
      <c r="I29" s="23"/>
      <c r="K29" s="24">
        <f>SUBTOTAL(109,Tableau4[PERCU EN 2017])</f>
        <v>241737.93</v>
      </c>
      <c r="L29" s="24">
        <f>SUBTOTAL(109,Tableau4[PERCU EN 2018])</f>
        <v>202403.54</v>
      </c>
      <c r="M29" s="25">
        <f>SUBTOTAL(109,Tableau4[PERCU EN 2019])</f>
        <v>218112.95</v>
      </c>
      <c r="N29" s="25">
        <f>SUBTOTAL(109,Tableau4[PERCU EN 2020])</f>
        <v>315683.32091024984</v>
      </c>
      <c r="O29" s="25">
        <f>SUBTOTAL(109,Tableau4[PERCU EN 2021])</f>
        <v>155997.18841903497</v>
      </c>
      <c r="P29" s="25">
        <f>SUBTOTAL(109,Tableau4[PERCU EN 2022])</f>
        <v>28053.8</v>
      </c>
      <c r="Q29" s="26">
        <f>SUBTOTAL(109,Tableau4[RESTE A PERCEVOIR EN 2022])</f>
        <v>186477.90396779706</v>
      </c>
      <c r="R29" s="26"/>
      <c r="S29" s="22"/>
      <c r="T29" s="27">
        <f>SUBTOTAL(103,Tableau4[OBS])</f>
        <v>24</v>
      </c>
    </row>
    <row r="38" spans="14:14" ht="18" x14ac:dyDescent="0.35">
      <c r="N38" s="28"/>
    </row>
  </sheetData>
  <conditionalFormatting sqref="A2:T28">
    <cfRule type="expression" dxfId="42" priority="1">
      <formula>$J2=100%</formula>
    </cfRule>
  </conditionalFormatting>
  <dataValidations count="2">
    <dataValidation type="list" allowBlank="1" showInputMessage="1" showErrorMessage="1" sqref="D2:D28" xr:uid="{F9FCBD7B-DBFD-4440-AB2C-61082EC24CA8}">
      <formula1>Liste_RO</formula1>
    </dataValidation>
    <dataValidation type="list" allowBlank="1" showInputMessage="1" showErrorMessage="1" sqref="E2:E28" xr:uid="{94F3D58F-1737-411D-AE8E-BC59848D8F24}">
      <formula1>Phases</formula1>
    </dataValidation>
  </dataValidations>
  <pageMargins left="0.7" right="0.7" top="0.75" bottom="0.75" header="0.3" footer="0.3"/>
  <pageSetup paperSize="9" scale="50" orientation="portrait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Données opérations REHAB</vt:lpstr>
      <vt:lpstr>'Données opérations REHAB'!Zone_d_impression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Nathalie BLANDINO</dc:creator>
  <cp:lastModifiedBy>Nathalie BLANDINO</cp:lastModifiedBy>
  <dcterms:created xsi:type="dcterms:W3CDTF">2022-01-25T10:00:09Z</dcterms:created>
  <dcterms:modified xsi:type="dcterms:W3CDTF">2022-01-25T10:04:28Z</dcterms:modified>
</cp:coreProperties>
</file>