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comments3.xml" ContentType="application/vnd.openxmlformats-officedocument.spreadsheetml.comments+xml"/>
  <Override PartName="/xl/charts/chart6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7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8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9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10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11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2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3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drawings/drawing5.xml" ContentType="application/vnd.openxmlformats-officedocument.drawing+xml"/>
  <Override PartName="/xl/charts/chart14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drawings/drawing6.xml" ContentType="application/vnd.openxmlformats-officedocument.drawing+xml"/>
  <Override PartName="/xl/charts/chart15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drawings/drawing7.xml" ContentType="application/vnd.openxmlformats-officedocument.drawing+xml"/>
  <Override PartName="/xl/charts/chart16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drawings/drawing8.xml" ContentType="application/vnd.openxmlformats-officedocument.drawing+xml"/>
  <Override PartName="/xl/charts/chart17.xml" ContentType="application/vnd.openxmlformats-officedocument.drawingml.chart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nbl\Desktop\A REMETTRE SUR BUREAU\"/>
    </mc:Choice>
  </mc:AlternateContent>
  <bookViews>
    <workbookView xWindow="0" yWindow="0" windowWidth="13905" windowHeight="1170" tabRatio="792" firstSheet="8" activeTab="16"/>
  </bookViews>
  <sheets>
    <sheet name="SYNTHESE" sheetId="19" r:id="rId1"/>
    <sheet name="FRAFU DEAL" sheetId="21" r:id="rId2"/>
    <sheet name="LBU REHAB" sheetId="27" r:id="rId3"/>
    <sheet name="LBU DEAL" sheetId="8" r:id="rId4"/>
    <sheet name="ST LEU" sheetId="5" r:id="rId5"/>
    <sheet name="CAF" sheetId="9" r:id="rId6"/>
    <sheet name="REGION" sheetId="13" r:id="rId7"/>
    <sheet name="RECTORAT" sheetId="28" r:id="rId8"/>
    <sheet name="DIECCTE" sheetId="11" r:id="rId9"/>
    <sheet name="FEDER" sheetId="10" r:id="rId10"/>
    <sheet name="TCO" sheetId="14" r:id="rId11"/>
    <sheet name="ADEME" sheetId="15" r:id="rId12"/>
    <sheet name="PETITE ILE" sheetId="18" r:id="rId13"/>
    <sheet name="EDF" sheetId="22" r:id="rId14"/>
    <sheet name="OFFICE DE L'EAU" sheetId="23" r:id="rId15"/>
    <sheet name="ETANG-SALE" sheetId="24" r:id="rId16"/>
    <sheet name="GLOBAL OPERATION" sheetId="29" r:id="rId17"/>
    <sheet name="ST JOSEPH" sheetId="26" r:id="rId18"/>
    <sheet name="CILGERE" sheetId="12" state="hidden" r:id="rId19"/>
    <sheet name="cilgère" sheetId="25" r:id="rId20"/>
  </sheets>
  <definedNames>
    <definedName name="_xlnm._FilterDatabase" localSheetId="5" hidden="1">CAF!$A$4:$O$5</definedName>
    <definedName name="_xlnm._FilterDatabase" localSheetId="8" hidden="1">DIECCTE!$A$4:$M$5</definedName>
    <definedName name="_xlnm._FilterDatabase" localSheetId="13" hidden="1">EDF!$A$4:$M$59</definedName>
    <definedName name="_xlnm._FilterDatabase" localSheetId="9" hidden="1">FEDER!$A$4:$Q$5</definedName>
    <definedName name="_xlnm._FilterDatabase" localSheetId="1" hidden="1">'FRAFU DEAL'!$A$5:$R$154</definedName>
    <definedName name="_xlnm._FilterDatabase" localSheetId="16" hidden="1">'GLOBAL OPERATION'!$A$2:$V$60</definedName>
    <definedName name="_xlnm._FilterDatabase" localSheetId="3" hidden="1">'LBU DEAL'!$A$4:$S$399</definedName>
    <definedName name="_xlnm._FilterDatabase" localSheetId="6" hidden="1">REGION!$A$4:$Q$5</definedName>
    <definedName name="_xlnm._FilterDatabase" localSheetId="4" hidden="1">'ST LEU'!$A$4:$L$36</definedName>
    <definedName name="_xlnm._FilterDatabase" localSheetId="10" hidden="1">TCO!$A$4:$O$5</definedName>
    <definedName name="Bdgt_ADEME">ADEME!$E$6:$E$30</definedName>
    <definedName name="Bdgt_EDF">EDF!$E$6:$E$84</definedName>
    <definedName name="Bdgt_ETG_SALE">'ETANG-SALE'!$D$5:$D$11</definedName>
    <definedName name="Bdgt_FRAFU">'FRAFU DEAL'!$H$6:$H$152</definedName>
    <definedName name="Bdgt_LBU">'LBU DEAL'!$I$6:$I$397</definedName>
    <definedName name="Bdgt_P_Ile">'PETITE ILE'!$C$6:$C$16</definedName>
    <definedName name="Bdgt_Rectorat">RECTORAT!$G$6:$G$13</definedName>
    <definedName name="Bdgt_Region">REGION!$G$6:$G$29</definedName>
    <definedName name="Bdgt_Rehab">'LBU REHAB'!$I$6:$I$48</definedName>
    <definedName name="Bdgt_ST_JO">'ST JOSEPH'!$D$5:$D$16</definedName>
    <definedName name="Date_AF_FRAFU">'FRAFU DEAL'!$K$6:$K$152</definedName>
    <definedName name="DateAF">'FRAFU DEAL'!$K$6:$K$152</definedName>
    <definedName name="DateAF_ADEME">ADEME!$H$6:$H$30</definedName>
    <definedName name="DateAF_CAF">CAF!$H$6:$H$41</definedName>
    <definedName name="DateAF_EAU">'OFFICE DE L''EAU'!$G$7:$G$14</definedName>
    <definedName name="DateAF_EDF">EDF!$H$7:$H$59</definedName>
    <definedName name="DateAF_FEDER">FEDER!$J$7:$J$13</definedName>
    <definedName name="DateAF_LBU">'LBU DEAL'!$L$6:$L$397</definedName>
    <definedName name="DateAF_LBU_rehab">'LBU REHAB'!$L$6:$L$48</definedName>
    <definedName name="DateAF_P_ILE">'PETITE ILE'!$F$7:$F$16</definedName>
    <definedName name="DateAF_Region">REGION!$J$6:$J$29</definedName>
    <definedName name="DateAF_ST_JOSEPH">'ST JOSEPH'!$G$6:$G$15</definedName>
    <definedName name="DateAF_ST_LEU">'ST LEU'!$G$6:$G$45</definedName>
    <definedName name="DateAF_TCO">TCO!$H$7:$H$15</definedName>
    <definedName name="DatePmt">'FRAFU DEAL'!$M$6:$M$152</definedName>
    <definedName name="DatePmt_ADEME">ADEME!$J$6:$J$30</definedName>
    <definedName name="DatePmt_caf">CAF!$J$6:$J$41</definedName>
    <definedName name="DatePmt_EAU">'OFFICE DE L''EAU'!$I$7:$I$14</definedName>
    <definedName name="DatePmt_EDF">EDF!$J$7:$J$59</definedName>
    <definedName name="DatePmt_FEDER">FEDER!$L$7:$L$13</definedName>
    <definedName name="DatePmt_LBU">'LBU DEAL'!$N$6:$N$397</definedName>
    <definedName name="DatePmt_P_ILE">'PETITE ILE'!$H$7:$H$16</definedName>
    <definedName name="DatePmt_Region">REGION!$L$6:$L$29</definedName>
    <definedName name="DatePmt_ST_JOSEPH">'ST JOSEPH'!$I$5:$I$16</definedName>
    <definedName name="DatePmt_ST_LEU">'ST LEU'!$I$6:$I$45</definedName>
    <definedName name="DatePmt_TCO">TCO!$J$7:$J$15</definedName>
    <definedName name="DatePmtRehab">'LBU REHAB'!$N$6:$N$48</definedName>
    <definedName name="_xlnm.Print_Titles" localSheetId="4">'ST LEU'!$4:$4</definedName>
    <definedName name="MontantAF">'FRAFU DEAL'!$I$6:$I$152</definedName>
    <definedName name="MontantAF_ADEME">ADEME!$F$6:$F$30</definedName>
    <definedName name="MontantAF_CAF">CAF!$F$6:$F$41</definedName>
    <definedName name="MontantAF_EAU">'OFFICE DE L''EAU'!$E$7:$E$14</definedName>
    <definedName name="MontantAF_EDF">EDF!$F$7:$F$59</definedName>
    <definedName name="MontantAF_FEDER">FEDER!$H$7:$H$13</definedName>
    <definedName name="MontantAF_FRAFU">'FRAFU DEAL'!$I$6:$I$152</definedName>
    <definedName name="MontantAF_LBU">'LBU DEAL'!$J$6:$J$397</definedName>
    <definedName name="MontantAF_LBU_rehab">'LBU REHAB'!$J$6:$J$48</definedName>
    <definedName name="MontantAF_P_ILE">'PETITE ILE'!$D$7:$D$16</definedName>
    <definedName name="MontantAF_Region">REGION!$H$6:$H$29</definedName>
    <definedName name="MontantAF_ST_JOSEPH">'ST JOSEPH'!$E$6:$E$15</definedName>
    <definedName name="MontantAF_ST_LEU">'ST LEU'!$E$6:$E$45</definedName>
    <definedName name="MontantAF_TCO">TCO!$F$7:$F$15</definedName>
    <definedName name="MontantPaye">'FRAFU DEAL'!$L$6:$L$152</definedName>
    <definedName name="MontantPayeRehab">'LBU REHAB'!$M$6:$M$48</definedName>
    <definedName name="MtntPaye_ADEME">ADEME!$I$6:$I$30</definedName>
    <definedName name="MtntPaye_CAF">CAF!$I$6:$I$41</definedName>
    <definedName name="MtntPaye_EAU">'OFFICE DE L''EAU'!$H$7:$H$14</definedName>
    <definedName name="MtntPaye_EDF">EDF!$I$7:$I$59</definedName>
    <definedName name="MtntPaye_FEDER">FEDER!$K$7:$K$13</definedName>
    <definedName name="MtntPaye_LBU">'LBU DEAL'!$M$6:$M$397</definedName>
    <definedName name="MtntPaye_P_ILE">'PETITE ILE'!$G$7:$G$16</definedName>
    <definedName name="MtntPaye_Region">REGION!$K$6:$K$29</definedName>
    <definedName name="MtntPaye_ST_JOSEPH">'ST JOSEPH'!$H$5:$H$16</definedName>
    <definedName name="MtntPaye_ST_LEU">'ST LEU'!$H$6:$H$45</definedName>
    <definedName name="MtntPaye_TCO">TCO!$I$7:$I$15</definedName>
    <definedName name="OP_ADEME">ADEME!$A$6:$A$30</definedName>
    <definedName name="OP_EDF">EDF!$A$6:$A$84</definedName>
    <definedName name="OP_ETG_SALE">'ETANG-SALE'!$A$5:$A$11</definedName>
    <definedName name="OP_FRAFU">'FRAFU DEAL'!$A$6:$A$152</definedName>
    <definedName name="OP_LBU">'LBU DEAL'!$A$6:$A$397</definedName>
    <definedName name="OP_P_Ile">'PETITE ILE'!$A$6:$A$16</definedName>
    <definedName name="OP_Rectorat">RECTORAT!$A$6:$A$13</definedName>
    <definedName name="OP_Region">REGION!$A$6:$A$29</definedName>
    <definedName name="OP_Rehab">'LBU REHAB'!$A$6:$A$48</definedName>
    <definedName name="OP_ST_JO">'ST JOSEPH'!$A$5:$A$16</definedName>
    <definedName name="_xlnm.Print_Area" localSheetId="5">CAF!$A$1:$O$97</definedName>
    <definedName name="_xlnm.Print_Area" localSheetId="1">'FRAFU DEAL'!$A$1:$R$304</definedName>
    <definedName name="_xlnm.Print_Area" localSheetId="3">'LBU DEAL'!$A$1:$S$399</definedName>
    <definedName name="_xlnm.Print_Area" localSheetId="4">'ST LEU'!$A$1:$N$92</definedName>
  </definedNames>
  <calcPr calcId="162913"/>
</workbook>
</file>

<file path=xl/calcChain.xml><?xml version="1.0" encoding="utf-8"?>
<calcChain xmlns="http://schemas.openxmlformats.org/spreadsheetml/2006/main">
  <c r="V17" i="29" l="1"/>
  <c r="V18" i="29"/>
  <c r="V19" i="29"/>
  <c r="V20" i="29"/>
  <c r="V21" i="29"/>
  <c r="V22" i="29"/>
  <c r="V23" i="29"/>
  <c r="V24" i="29"/>
  <c r="V25" i="29"/>
  <c r="V26" i="29"/>
  <c r="V27" i="29"/>
  <c r="V28" i="29"/>
  <c r="V29" i="29"/>
  <c r="V30" i="29"/>
  <c r="V31" i="29"/>
  <c r="V32" i="29"/>
  <c r="V33" i="29"/>
  <c r="V34" i="29"/>
  <c r="V35" i="29"/>
  <c r="V36" i="29"/>
  <c r="V37" i="29"/>
  <c r="V38" i="29"/>
  <c r="V39" i="29"/>
  <c r="V40" i="29"/>
  <c r="V41" i="29"/>
  <c r="V42" i="29"/>
  <c r="V43" i="29"/>
  <c r="V44" i="29"/>
  <c r="V45" i="29"/>
  <c r="V46" i="29"/>
  <c r="V47" i="29"/>
  <c r="V48" i="29"/>
  <c r="V49" i="29"/>
  <c r="V50" i="29"/>
  <c r="V51" i="29"/>
  <c r="V52" i="29"/>
  <c r="V53" i="29"/>
  <c r="V54" i="29"/>
  <c r="V55" i="29"/>
  <c r="V56" i="29"/>
  <c r="V57" i="29"/>
  <c r="V58" i="29"/>
  <c r="V59" i="29"/>
  <c r="V60" i="29"/>
  <c r="V4" i="29"/>
  <c r="V5" i="29"/>
  <c r="V6" i="29"/>
  <c r="V7" i="29"/>
  <c r="V8" i="29"/>
  <c r="V9" i="29"/>
  <c r="V10" i="29"/>
  <c r="V11" i="29"/>
  <c r="V12" i="29"/>
  <c r="V13" i="29"/>
  <c r="V14" i="29"/>
  <c r="V15" i="29"/>
  <c r="V16" i="29"/>
  <c r="V3" i="29"/>
  <c r="H21" i="26"/>
  <c r="K3" i="29"/>
  <c r="K4" i="29"/>
  <c r="K5" i="29"/>
  <c r="K6" i="29"/>
  <c r="K7" i="29"/>
  <c r="K8" i="29"/>
  <c r="K9" i="29"/>
  <c r="K10" i="29"/>
  <c r="K11" i="29"/>
  <c r="K12" i="29"/>
  <c r="K13" i="29"/>
  <c r="K14" i="29"/>
  <c r="K15" i="29"/>
  <c r="K16" i="29"/>
  <c r="K17" i="29"/>
  <c r="K18" i="29"/>
  <c r="K19" i="29"/>
  <c r="K20" i="29"/>
  <c r="K21" i="29"/>
  <c r="K22" i="29"/>
  <c r="K23" i="29"/>
  <c r="K24" i="29"/>
  <c r="K25" i="29"/>
  <c r="K26" i="29"/>
  <c r="K27" i="29"/>
  <c r="K28" i="29"/>
  <c r="K29" i="29"/>
  <c r="K30" i="29"/>
  <c r="K31" i="29"/>
  <c r="K32" i="29"/>
  <c r="K33" i="29"/>
  <c r="K34" i="29"/>
  <c r="K35" i="29"/>
  <c r="K36" i="29"/>
  <c r="K37" i="29"/>
  <c r="K38" i="29"/>
  <c r="K39" i="29"/>
  <c r="K40" i="29"/>
  <c r="K41" i="29"/>
  <c r="K42" i="29"/>
  <c r="K43" i="29"/>
  <c r="K44" i="29"/>
  <c r="K45" i="29"/>
  <c r="K46" i="29"/>
  <c r="K47" i="29"/>
  <c r="K48" i="29"/>
  <c r="K50" i="29"/>
  <c r="K51" i="29"/>
  <c r="K52" i="29"/>
  <c r="K53" i="29"/>
  <c r="K54" i="29"/>
  <c r="K55" i="29"/>
  <c r="K56" i="29"/>
  <c r="K57" i="29"/>
  <c r="K58" i="29"/>
  <c r="K59" i="29"/>
  <c r="K49" i="29"/>
  <c r="K60" i="29"/>
  <c r="J4" i="29"/>
  <c r="J5" i="29"/>
  <c r="J6" i="29"/>
  <c r="J7" i="29"/>
  <c r="J8" i="29"/>
  <c r="J9" i="29"/>
  <c r="J10" i="29"/>
  <c r="J11" i="29"/>
  <c r="J12" i="29"/>
  <c r="J13" i="29"/>
  <c r="J14" i="29"/>
  <c r="J15" i="29"/>
  <c r="J16" i="29"/>
  <c r="J17" i="29"/>
  <c r="J18" i="29"/>
  <c r="J19" i="29"/>
  <c r="J20" i="29"/>
  <c r="J21" i="29"/>
  <c r="J22" i="29"/>
  <c r="J23" i="29"/>
  <c r="J24" i="29"/>
  <c r="J25" i="29"/>
  <c r="J26" i="29"/>
  <c r="J27" i="29"/>
  <c r="J28" i="29"/>
  <c r="J29" i="29"/>
  <c r="J30" i="29"/>
  <c r="J31" i="29"/>
  <c r="J32" i="29"/>
  <c r="J33" i="29"/>
  <c r="J34" i="29"/>
  <c r="J35" i="29"/>
  <c r="J36" i="29"/>
  <c r="J37" i="29"/>
  <c r="J38" i="29"/>
  <c r="J39" i="29"/>
  <c r="J40" i="29"/>
  <c r="J41" i="29"/>
  <c r="J42" i="29"/>
  <c r="J43" i="29"/>
  <c r="J44" i="29"/>
  <c r="J45" i="29"/>
  <c r="J46" i="29"/>
  <c r="J47" i="29"/>
  <c r="J48" i="29"/>
  <c r="J50" i="29"/>
  <c r="J51" i="29"/>
  <c r="J52" i="29"/>
  <c r="J53" i="29"/>
  <c r="J54" i="29"/>
  <c r="J55" i="29"/>
  <c r="J56" i="29"/>
  <c r="J57" i="29"/>
  <c r="J58" i="29"/>
  <c r="J59" i="29"/>
  <c r="J49" i="29"/>
  <c r="J60" i="29"/>
  <c r="J3" i="29"/>
  <c r="B4" i="29"/>
  <c r="C4" i="29"/>
  <c r="D4" i="29"/>
  <c r="E4" i="29"/>
  <c r="F4" i="29"/>
  <c r="G4" i="29"/>
  <c r="H4" i="29"/>
  <c r="I4" i="29"/>
  <c r="B5" i="29"/>
  <c r="C5" i="29"/>
  <c r="D5" i="29"/>
  <c r="E5" i="29"/>
  <c r="F5" i="29"/>
  <c r="G5" i="29"/>
  <c r="H5" i="29"/>
  <c r="I5" i="29"/>
  <c r="B6" i="29"/>
  <c r="C6" i="29"/>
  <c r="D6" i="29"/>
  <c r="E6" i="29"/>
  <c r="F6" i="29"/>
  <c r="G6" i="29"/>
  <c r="H6" i="29"/>
  <c r="I6" i="29"/>
  <c r="B7" i="29"/>
  <c r="C7" i="29"/>
  <c r="D7" i="29"/>
  <c r="E7" i="29"/>
  <c r="F7" i="29"/>
  <c r="G7" i="29"/>
  <c r="H7" i="29"/>
  <c r="I7" i="29"/>
  <c r="B8" i="29"/>
  <c r="C8" i="29"/>
  <c r="D8" i="29"/>
  <c r="E8" i="29"/>
  <c r="F8" i="29"/>
  <c r="G8" i="29"/>
  <c r="H8" i="29"/>
  <c r="I8" i="29"/>
  <c r="B9" i="29"/>
  <c r="C9" i="29"/>
  <c r="D9" i="29"/>
  <c r="E9" i="29"/>
  <c r="F9" i="29"/>
  <c r="G9" i="29"/>
  <c r="H9" i="29"/>
  <c r="I9" i="29"/>
  <c r="B10" i="29"/>
  <c r="C10" i="29"/>
  <c r="D10" i="29"/>
  <c r="E10" i="29"/>
  <c r="F10" i="29"/>
  <c r="G10" i="29"/>
  <c r="H10" i="29"/>
  <c r="I10" i="29"/>
  <c r="B11" i="29"/>
  <c r="C11" i="29"/>
  <c r="D11" i="29"/>
  <c r="E11" i="29"/>
  <c r="F11" i="29"/>
  <c r="G11" i="29"/>
  <c r="H11" i="29"/>
  <c r="I11" i="29"/>
  <c r="B12" i="29"/>
  <c r="C12" i="29"/>
  <c r="D12" i="29"/>
  <c r="E12" i="29"/>
  <c r="F12" i="29"/>
  <c r="G12" i="29"/>
  <c r="H12" i="29"/>
  <c r="I12" i="29"/>
  <c r="B13" i="29"/>
  <c r="C13" i="29"/>
  <c r="D13" i="29"/>
  <c r="E13" i="29"/>
  <c r="F13" i="29"/>
  <c r="G13" i="29"/>
  <c r="H13" i="29"/>
  <c r="I13" i="29"/>
  <c r="B14" i="29"/>
  <c r="C14" i="29"/>
  <c r="D14" i="29"/>
  <c r="E14" i="29"/>
  <c r="F14" i="29"/>
  <c r="G14" i="29"/>
  <c r="H14" i="29"/>
  <c r="I14" i="29"/>
  <c r="B15" i="29"/>
  <c r="C15" i="29"/>
  <c r="D15" i="29"/>
  <c r="E15" i="29"/>
  <c r="F15" i="29"/>
  <c r="G15" i="29"/>
  <c r="H15" i="29"/>
  <c r="I15" i="29"/>
  <c r="D44" i="29"/>
  <c r="B29" i="29"/>
  <c r="C29" i="29"/>
  <c r="D29" i="29"/>
  <c r="E29" i="29"/>
  <c r="F29" i="29"/>
  <c r="G29" i="29"/>
  <c r="H29" i="29"/>
  <c r="I29" i="29"/>
  <c r="B30" i="29"/>
  <c r="C30" i="29"/>
  <c r="D30" i="29"/>
  <c r="E30" i="29"/>
  <c r="F30" i="29"/>
  <c r="G30" i="29"/>
  <c r="H30" i="29"/>
  <c r="I30" i="29"/>
  <c r="B31" i="29"/>
  <c r="C31" i="29"/>
  <c r="D31" i="29"/>
  <c r="E31" i="29"/>
  <c r="F31" i="29"/>
  <c r="G31" i="29"/>
  <c r="H31" i="29"/>
  <c r="I31" i="29"/>
  <c r="B32" i="29"/>
  <c r="C32" i="29"/>
  <c r="D32" i="29"/>
  <c r="E32" i="29"/>
  <c r="F32" i="29"/>
  <c r="G32" i="29"/>
  <c r="H32" i="29"/>
  <c r="I32" i="29"/>
  <c r="B33" i="29"/>
  <c r="C33" i="29"/>
  <c r="D33" i="29"/>
  <c r="E33" i="29"/>
  <c r="F33" i="29"/>
  <c r="G33" i="29"/>
  <c r="H33" i="29"/>
  <c r="I33" i="29"/>
  <c r="B34" i="29"/>
  <c r="C34" i="29"/>
  <c r="D34" i="29"/>
  <c r="E34" i="29"/>
  <c r="F34" i="29"/>
  <c r="G34" i="29"/>
  <c r="H34" i="29"/>
  <c r="I34" i="29"/>
  <c r="B35" i="29"/>
  <c r="C35" i="29"/>
  <c r="D35" i="29"/>
  <c r="E35" i="29"/>
  <c r="F35" i="29"/>
  <c r="G35" i="29"/>
  <c r="H35" i="29"/>
  <c r="I35" i="29"/>
  <c r="B36" i="29"/>
  <c r="C36" i="29"/>
  <c r="D36" i="29"/>
  <c r="E36" i="29"/>
  <c r="F36" i="29"/>
  <c r="G36" i="29"/>
  <c r="H36" i="29"/>
  <c r="I36" i="29"/>
  <c r="B37" i="29"/>
  <c r="C37" i="29"/>
  <c r="D37" i="29"/>
  <c r="E37" i="29"/>
  <c r="F37" i="29"/>
  <c r="G37" i="29"/>
  <c r="H37" i="29"/>
  <c r="I37" i="29"/>
  <c r="B38" i="29"/>
  <c r="C38" i="29"/>
  <c r="D38" i="29"/>
  <c r="E38" i="29"/>
  <c r="F38" i="29"/>
  <c r="G38" i="29"/>
  <c r="H38" i="29"/>
  <c r="I38" i="29"/>
  <c r="B39" i="29"/>
  <c r="C39" i="29"/>
  <c r="D39" i="29"/>
  <c r="E39" i="29"/>
  <c r="F39" i="29"/>
  <c r="G39" i="29"/>
  <c r="H39" i="29"/>
  <c r="I39" i="29"/>
  <c r="B40" i="29"/>
  <c r="C40" i="29"/>
  <c r="D40" i="29"/>
  <c r="E40" i="29"/>
  <c r="F40" i="29"/>
  <c r="G40" i="29"/>
  <c r="H40" i="29"/>
  <c r="I40" i="29"/>
  <c r="B41" i="29"/>
  <c r="C41" i="29"/>
  <c r="D41" i="29"/>
  <c r="E41" i="29"/>
  <c r="F41" i="29"/>
  <c r="G41" i="29"/>
  <c r="H41" i="29"/>
  <c r="I41" i="29"/>
  <c r="B42" i="29"/>
  <c r="C42" i="29"/>
  <c r="D42" i="29"/>
  <c r="E42" i="29"/>
  <c r="F42" i="29"/>
  <c r="G42" i="29"/>
  <c r="H42" i="29"/>
  <c r="I42" i="29"/>
  <c r="B43" i="29"/>
  <c r="C43" i="29"/>
  <c r="D43" i="29"/>
  <c r="E43" i="29"/>
  <c r="F43" i="29"/>
  <c r="G43" i="29"/>
  <c r="H43" i="29"/>
  <c r="I43" i="29"/>
  <c r="B44" i="29"/>
  <c r="C44" i="29"/>
  <c r="E44" i="29"/>
  <c r="F44" i="29"/>
  <c r="G44" i="29"/>
  <c r="H44" i="29"/>
  <c r="I44" i="29"/>
  <c r="B45" i="29"/>
  <c r="C45" i="29"/>
  <c r="D45" i="29"/>
  <c r="E45" i="29"/>
  <c r="F45" i="29"/>
  <c r="G45" i="29"/>
  <c r="H45" i="29"/>
  <c r="I45" i="29"/>
  <c r="B46" i="29"/>
  <c r="C46" i="29"/>
  <c r="D46" i="29"/>
  <c r="E46" i="29"/>
  <c r="F46" i="29"/>
  <c r="G46" i="29"/>
  <c r="H46" i="29"/>
  <c r="I46" i="29"/>
  <c r="B47" i="29"/>
  <c r="C47" i="29"/>
  <c r="D47" i="29"/>
  <c r="E47" i="29"/>
  <c r="F47" i="29"/>
  <c r="G47" i="29"/>
  <c r="H47" i="29"/>
  <c r="I47" i="29"/>
  <c r="B48" i="29"/>
  <c r="C48" i="29"/>
  <c r="D48" i="29"/>
  <c r="E48" i="29"/>
  <c r="F48" i="29"/>
  <c r="G48" i="29"/>
  <c r="H48" i="29"/>
  <c r="I48" i="29"/>
  <c r="B50" i="29"/>
  <c r="C50" i="29"/>
  <c r="D50" i="29"/>
  <c r="E50" i="29"/>
  <c r="F50" i="29"/>
  <c r="G50" i="29"/>
  <c r="H50" i="29"/>
  <c r="I50" i="29"/>
  <c r="B51" i="29"/>
  <c r="C51" i="29"/>
  <c r="D51" i="29"/>
  <c r="E51" i="29"/>
  <c r="F51" i="29"/>
  <c r="G51" i="29"/>
  <c r="H51" i="29"/>
  <c r="I51" i="29"/>
  <c r="B52" i="29"/>
  <c r="C52" i="29"/>
  <c r="D52" i="29"/>
  <c r="E52" i="29"/>
  <c r="F52" i="29"/>
  <c r="G52" i="29"/>
  <c r="H52" i="29"/>
  <c r="I52" i="29"/>
  <c r="B53" i="29"/>
  <c r="C53" i="29"/>
  <c r="D53" i="29"/>
  <c r="E53" i="29"/>
  <c r="F53" i="29"/>
  <c r="G53" i="29"/>
  <c r="H53" i="29"/>
  <c r="I53" i="29"/>
  <c r="B54" i="29"/>
  <c r="C54" i="29"/>
  <c r="D54" i="29"/>
  <c r="E54" i="29"/>
  <c r="F54" i="29"/>
  <c r="G54" i="29"/>
  <c r="H54" i="29"/>
  <c r="I54" i="29"/>
  <c r="B55" i="29"/>
  <c r="C55" i="29"/>
  <c r="D55" i="29"/>
  <c r="E55" i="29"/>
  <c r="F55" i="29"/>
  <c r="G55" i="29"/>
  <c r="H55" i="29"/>
  <c r="I55" i="29"/>
  <c r="B56" i="29"/>
  <c r="C56" i="29"/>
  <c r="D56" i="29"/>
  <c r="E56" i="29"/>
  <c r="F56" i="29"/>
  <c r="G56" i="29"/>
  <c r="H56" i="29"/>
  <c r="I56" i="29"/>
  <c r="B57" i="29"/>
  <c r="C57" i="29"/>
  <c r="D57" i="29"/>
  <c r="E57" i="29"/>
  <c r="F57" i="29"/>
  <c r="G57" i="29"/>
  <c r="H57" i="29"/>
  <c r="I57" i="29"/>
  <c r="B58" i="29"/>
  <c r="C58" i="29"/>
  <c r="D58" i="29"/>
  <c r="E58" i="29"/>
  <c r="F58" i="29"/>
  <c r="G58" i="29"/>
  <c r="H58" i="29"/>
  <c r="I58" i="29"/>
  <c r="B59" i="29"/>
  <c r="C59" i="29"/>
  <c r="D59" i="29"/>
  <c r="E59" i="29"/>
  <c r="F59" i="29"/>
  <c r="G59" i="29"/>
  <c r="H59" i="29"/>
  <c r="I59" i="29"/>
  <c r="B49" i="29"/>
  <c r="C49" i="29"/>
  <c r="D49" i="29"/>
  <c r="E49" i="29"/>
  <c r="F49" i="29"/>
  <c r="G49" i="29"/>
  <c r="H49" i="29"/>
  <c r="I49" i="29"/>
  <c r="B60" i="29"/>
  <c r="C60" i="29"/>
  <c r="D60" i="29"/>
  <c r="E60" i="29"/>
  <c r="F60" i="29"/>
  <c r="G60" i="29"/>
  <c r="H60" i="29"/>
  <c r="I60" i="29"/>
  <c r="B23" i="29"/>
  <c r="C23" i="29"/>
  <c r="D23" i="29"/>
  <c r="E23" i="29"/>
  <c r="F23" i="29"/>
  <c r="G23" i="29"/>
  <c r="H23" i="29"/>
  <c r="I23" i="29"/>
  <c r="B24" i="29"/>
  <c r="C24" i="29"/>
  <c r="D24" i="29"/>
  <c r="E24" i="29"/>
  <c r="F24" i="29"/>
  <c r="G24" i="29"/>
  <c r="H24" i="29"/>
  <c r="I24" i="29"/>
  <c r="B25" i="29"/>
  <c r="C25" i="29"/>
  <c r="D25" i="29"/>
  <c r="E25" i="29"/>
  <c r="F25" i="29"/>
  <c r="G25" i="29"/>
  <c r="H25" i="29"/>
  <c r="I25" i="29"/>
  <c r="B26" i="29"/>
  <c r="C26" i="29"/>
  <c r="D26" i="29"/>
  <c r="E26" i="29"/>
  <c r="F26" i="29"/>
  <c r="G26" i="29"/>
  <c r="H26" i="29"/>
  <c r="I26" i="29"/>
  <c r="B27" i="29"/>
  <c r="C27" i="29"/>
  <c r="D27" i="29"/>
  <c r="E27" i="29"/>
  <c r="F27" i="29"/>
  <c r="G27" i="29"/>
  <c r="H27" i="29"/>
  <c r="I27" i="29"/>
  <c r="B28" i="29"/>
  <c r="C28" i="29"/>
  <c r="D28" i="29"/>
  <c r="E28" i="29"/>
  <c r="F28" i="29"/>
  <c r="G28" i="29"/>
  <c r="H28" i="29"/>
  <c r="I28" i="29"/>
  <c r="B21" i="29"/>
  <c r="C21" i="29"/>
  <c r="D21" i="29"/>
  <c r="E21" i="29"/>
  <c r="F21" i="29"/>
  <c r="G21" i="29"/>
  <c r="H21" i="29"/>
  <c r="I21" i="29"/>
  <c r="B22" i="29"/>
  <c r="C22" i="29"/>
  <c r="D22" i="29"/>
  <c r="E22" i="29"/>
  <c r="F22" i="29"/>
  <c r="G22" i="29"/>
  <c r="H22" i="29"/>
  <c r="I22" i="29"/>
  <c r="D3" i="29"/>
  <c r="I16" i="29"/>
  <c r="I17" i="29"/>
  <c r="I18" i="29"/>
  <c r="I19" i="29"/>
  <c r="I20" i="29"/>
  <c r="I3" i="29"/>
  <c r="H16" i="29"/>
  <c r="H17" i="29"/>
  <c r="H18" i="29"/>
  <c r="H19" i="29"/>
  <c r="H20" i="29"/>
  <c r="H3" i="29"/>
  <c r="G16" i="29"/>
  <c r="G17" i="29"/>
  <c r="G18" i="29"/>
  <c r="G19" i="29"/>
  <c r="G20" i="29"/>
  <c r="D16" i="29"/>
  <c r="D17" i="29"/>
  <c r="G3" i="29"/>
  <c r="F19" i="29"/>
  <c r="F18" i="29"/>
  <c r="F16" i="29"/>
  <c r="F17" i="29"/>
  <c r="F20" i="29"/>
  <c r="F3" i="29"/>
  <c r="E16" i="29"/>
  <c r="E17" i="29"/>
  <c r="E20" i="29"/>
  <c r="E18" i="29"/>
  <c r="E19" i="29"/>
  <c r="B18" i="29"/>
  <c r="C18" i="29"/>
  <c r="D18" i="29"/>
  <c r="B19" i="29"/>
  <c r="C19" i="29"/>
  <c r="D19" i="29"/>
  <c r="E3" i="29"/>
  <c r="D20" i="29"/>
  <c r="C20" i="29"/>
  <c r="C16" i="29"/>
  <c r="B20" i="29"/>
  <c r="B16" i="29"/>
  <c r="C17" i="29"/>
  <c r="C3" i="29"/>
  <c r="B3" i="29"/>
  <c r="B17" i="29"/>
  <c r="L20" i="29" l="1"/>
  <c r="L35" i="29"/>
  <c r="L33" i="29"/>
  <c r="L30" i="29"/>
  <c r="L29" i="29"/>
  <c r="L17" i="29"/>
  <c r="L19" i="29"/>
  <c r="L23" i="29"/>
  <c r="L57" i="29"/>
  <c r="L53" i="29"/>
  <c r="L49" i="29"/>
  <c r="L46" i="29"/>
  <c r="L42" i="29"/>
  <c r="L38" i="29"/>
  <c r="L34" i="29"/>
  <c r="L31" i="29"/>
  <c r="L15" i="29"/>
  <c r="L11" i="29"/>
  <c r="L7" i="29"/>
  <c r="L16" i="29"/>
  <c r="L27" i="29"/>
  <c r="L3" i="29"/>
  <c r="L44" i="29"/>
  <c r="L41" i="29"/>
  <c r="L40" i="29"/>
  <c r="L39" i="29"/>
  <c r="L36" i="29"/>
  <c r="L43" i="29"/>
  <c r="L37" i="29"/>
  <c r="L18" i="29"/>
  <c r="L22" i="29"/>
  <c r="L21" i="29"/>
  <c r="L28" i="29"/>
  <c r="L26" i="29"/>
  <c r="L25" i="29"/>
  <c r="L24" i="29"/>
  <c r="L60" i="29"/>
  <c r="L59" i="29"/>
  <c r="L58" i="29"/>
  <c r="L56" i="29"/>
  <c r="L55" i="29"/>
  <c r="L54" i="29"/>
  <c r="L52" i="29"/>
  <c r="L51" i="29"/>
  <c r="L50" i="29"/>
  <c r="L48" i="29"/>
  <c r="L47" i="29"/>
  <c r="L45" i="29"/>
  <c r="L14" i="29"/>
  <c r="L13" i="29"/>
  <c r="L12" i="29"/>
  <c r="L10" i="29"/>
  <c r="L9" i="29"/>
  <c r="L8" i="29"/>
  <c r="L6" i="29"/>
  <c r="L5" i="29"/>
  <c r="L4" i="29"/>
  <c r="L32" i="29"/>
  <c r="H87" i="21"/>
  <c r="H88" i="21" s="1"/>
  <c r="H89" i="21" s="1"/>
  <c r="F34" i="19"/>
  <c r="F33" i="19"/>
  <c r="K23" i="26"/>
  <c r="K24" i="26"/>
  <c r="H48" i="26"/>
  <c r="H49" i="26"/>
  <c r="H50" i="26"/>
  <c r="H51" i="26"/>
  <c r="H52" i="26"/>
  <c r="H53" i="26"/>
  <c r="H54" i="26"/>
  <c r="H55" i="26"/>
  <c r="R33" i="19"/>
  <c r="P34" i="19"/>
  <c r="O34" i="19"/>
  <c r="K29" i="18"/>
  <c r="K28" i="18"/>
  <c r="J28" i="18"/>
  <c r="K27" i="18"/>
  <c r="J27" i="18"/>
  <c r="D16" i="18"/>
  <c r="N27" i="19"/>
  <c r="N28" i="19"/>
  <c r="N29" i="19"/>
  <c r="N30" i="19"/>
  <c r="N31" i="19"/>
  <c r="N32" i="19"/>
  <c r="N33" i="19"/>
  <c r="N34" i="19"/>
  <c r="N26" i="19"/>
  <c r="I44" i="15"/>
  <c r="I82" i="15"/>
  <c r="I80" i="15"/>
  <c r="I79" i="15"/>
  <c r="I78" i="15"/>
  <c r="I77" i="15"/>
  <c r="I76" i="15"/>
  <c r="I75" i="15"/>
  <c r="I74" i="15"/>
  <c r="I73" i="15"/>
  <c r="I72" i="15"/>
  <c r="I71" i="15"/>
  <c r="I70" i="15"/>
  <c r="I69" i="15"/>
  <c r="I68" i="15"/>
  <c r="I67" i="15"/>
  <c r="I66" i="15"/>
  <c r="I65" i="15"/>
  <c r="I64" i="15"/>
  <c r="I63" i="15"/>
  <c r="I62" i="15"/>
  <c r="I61" i="15"/>
  <c r="I60" i="15"/>
  <c r="I59" i="15"/>
  <c r="I58" i="15"/>
  <c r="I57" i="15"/>
  <c r="I56" i="15"/>
  <c r="I55" i="15"/>
  <c r="I54" i="15"/>
  <c r="I53" i="15"/>
  <c r="I52" i="15"/>
  <c r="I51" i="15"/>
  <c r="I50" i="15"/>
  <c r="I49" i="15"/>
  <c r="I35" i="15" s="1"/>
  <c r="I48" i="15"/>
  <c r="I47" i="15"/>
  <c r="I41" i="15" s="1"/>
  <c r="F44" i="15"/>
  <c r="F43" i="15"/>
  <c r="F42" i="15"/>
  <c r="F41" i="15"/>
  <c r="F40" i="15"/>
  <c r="F39" i="15"/>
  <c r="F38" i="15"/>
  <c r="F37" i="15"/>
  <c r="F36" i="15"/>
  <c r="F35" i="15"/>
  <c r="F34" i="15"/>
  <c r="F82" i="15"/>
  <c r="L12" i="15"/>
  <c r="L31" i="15" s="1"/>
  <c r="M29" i="15"/>
  <c r="L29" i="15"/>
  <c r="I31" i="15"/>
  <c r="F31" i="15"/>
  <c r="E31" i="15"/>
  <c r="F48" i="15"/>
  <c r="F49" i="15"/>
  <c r="F50" i="15"/>
  <c r="F51" i="15"/>
  <c r="F52" i="15"/>
  <c r="F53" i="15"/>
  <c r="F54" i="15"/>
  <c r="F55" i="15"/>
  <c r="F56" i="15"/>
  <c r="F57" i="15"/>
  <c r="F58" i="15"/>
  <c r="F59" i="15"/>
  <c r="F60" i="15"/>
  <c r="F61" i="15"/>
  <c r="F62" i="15"/>
  <c r="F63" i="15"/>
  <c r="F64" i="15"/>
  <c r="F65" i="15"/>
  <c r="F66" i="15"/>
  <c r="F67" i="15"/>
  <c r="F68" i="15"/>
  <c r="F69" i="15"/>
  <c r="F70" i="15"/>
  <c r="F71" i="15"/>
  <c r="F72" i="15"/>
  <c r="F73" i="15"/>
  <c r="F74" i="15"/>
  <c r="F75" i="15"/>
  <c r="F76" i="15"/>
  <c r="F77" i="15"/>
  <c r="F78" i="15"/>
  <c r="F79" i="15"/>
  <c r="F80" i="15"/>
  <c r="F47" i="15"/>
  <c r="J33" i="19"/>
  <c r="J35" i="19" s="1"/>
  <c r="I31" i="19"/>
  <c r="I32" i="19"/>
  <c r="I33" i="19"/>
  <c r="I34" i="19"/>
  <c r="I30" i="19"/>
  <c r="I26" i="19"/>
  <c r="I27" i="19"/>
  <c r="I28" i="19"/>
  <c r="I35" i="19" s="1"/>
  <c r="I29" i="19"/>
  <c r="K25" i="26" l="1"/>
  <c r="K26" i="26" s="1"/>
  <c r="N35" i="19"/>
  <c r="N36" i="19" s="1"/>
  <c r="I39" i="15"/>
  <c r="I40" i="15"/>
  <c r="I37" i="15"/>
  <c r="I34" i="15"/>
  <c r="I38" i="15"/>
  <c r="I42" i="15"/>
  <c r="I36" i="15"/>
  <c r="F81" i="15"/>
  <c r="I81" i="15"/>
  <c r="P368" i="8"/>
  <c r="P369" i="8"/>
  <c r="P370" i="8"/>
  <c r="P367" i="8"/>
  <c r="P366" i="8" s="1"/>
  <c r="J367" i="8"/>
  <c r="Q367" i="8" s="1"/>
  <c r="J368" i="8" l="1"/>
  <c r="J369" i="8" s="1"/>
  <c r="Q369" i="8" s="1"/>
  <c r="Q368" i="8"/>
  <c r="P340" i="8"/>
  <c r="P341" i="8"/>
  <c r="P342" i="8"/>
  <c r="P343" i="8"/>
  <c r="P336" i="8"/>
  <c r="P335" i="8"/>
  <c r="P337" i="8"/>
  <c r="P330" i="8"/>
  <c r="P331" i="8"/>
  <c r="P332" i="8"/>
  <c r="Q331" i="8"/>
  <c r="J370" i="8" l="1"/>
  <c r="Q370" i="8" s="1"/>
  <c r="Q366" i="8" s="1"/>
  <c r="L63" i="22"/>
  <c r="E63" i="22"/>
  <c r="F63" i="22" s="1"/>
  <c r="M63" i="22" s="1"/>
  <c r="E41" i="22"/>
  <c r="F41" i="22" s="1"/>
  <c r="E40" i="22"/>
  <c r="F40" i="22" s="1"/>
  <c r="E39" i="22"/>
  <c r="F39" i="22" s="1"/>
  <c r="E35" i="22"/>
  <c r="F35" i="22" s="1"/>
  <c r="L62" i="22" l="1"/>
  <c r="E62" i="22"/>
  <c r="F62" i="22" s="1"/>
  <c r="M62" i="22" s="1"/>
  <c r="E38" i="22"/>
  <c r="N133" i="21" l="1"/>
  <c r="P361" i="8" l="1"/>
  <c r="P362" i="8"/>
  <c r="P363" i="8"/>
  <c r="P364" i="8"/>
  <c r="P365" i="8"/>
  <c r="Q363" i="8"/>
  <c r="O93" i="21" l="1"/>
  <c r="O94" i="21"/>
  <c r="O95" i="21"/>
  <c r="O96" i="21"/>
  <c r="P383" i="8" l="1"/>
  <c r="P382" i="8"/>
  <c r="P381" i="8"/>
  <c r="P380" i="8"/>
  <c r="P379" i="8" s="1"/>
  <c r="Q380" i="8"/>
  <c r="J380" i="8"/>
  <c r="J381" i="8" l="1"/>
  <c r="M6" i="22"/>
  <c r="L6" i="22"/>
  <c r="Q381" i="8" l="1"/>
  <c r="J382" i="8"/>
  <c r="Q382" i="8" s="1"/>
  <c r="L61" i="22"/>
  <c r="F60" i="22"/>
  <c r="M60" i="22" s="1"/>
  <c r="L60" i="22"/>
  <c r="E61" i="22"/>
  <c r="F61" i="22" s="1"/>
  <c r="M61" i="22" s="1"/>
  <c r="E60" i="22"/>
  <c r="J383" i="8" l="1"/>
  <c r="E73" i="22"/>
  <c r="F73" i="22" s="1"/>
  <c r="E58" i="22" l="1"/>
  <c r="F58" i="22" s="1"/>
  <c r="F49" i="22"/>
  <c r="E48" i="22"/>
  <c r="F48" i="22" s="1"/>
  <c r="P50" i="22"/>
  <c r="M73" i="22"/>
  <c r="L73" i="22"/>
  <c r="M37" i="22" l="1"/>
  <c r="L37" i="22"/>
  <c r="P312" i="8" l="1"/>
  <c r="P311" i="8"/>
  <c r="P310" i="8"/>
  <c r="K50" i="22" l="1"/>
  <c r="K31" i="22"/>
  <c r="K30" i="22"/>
  <c r="K27" i="22"/>
  <c r="K26" i="22"/>
  <c r="K23" i="22"/>
  <c r="K22" i="22"/>
  <c r="K21" i="22"/>
  <c r="K20" i="22"/>
  <c r="K19" i="22"/>
  <c r="K18" i="22"/>
  <c r="K17" i="22"/>
  <c r="K15" i="22"/>
  <c r="K14" i="22"/>
  <c r="K13" i="22"/>
  <c r="K12" i="22"/>
  <c r="K10" i="22"/>
  <c r="K9" i="22"/>
  <c r="E59" i="22"/>
  <c r="F59" i="22" s="1"/>
  <c r="F84" i="22" s="1"/>
  <c r="E57" i="22"/>
  <c r="E56" i="22"/>
  <c r="E55" i="22"/>
  <c r="E54" i="22"/>
  <c r="E53" i="22"/>
  <c r="E52" i="22"/>
  <c r="E51" i="22"/>
  <c r="E50" i="22"/>
  <c r="E19" i="22"/>
  <c r="E84" i="22" s="1"/>
  <c r="E20" i="22"/>
  <c r="E21" i="22"/>
  <c r="E22" i="22"/>
  <c r="E23" i="22"/>
  <c r="E27" i="22"/>
  <c r="E29" i="22"/>
  <c r="E32" i="22"/>
  <c r="E34" i="22"/>
  <c r="E36" i="22"/>
  <c r="F117" i="22" l="1"/>
  <c r="F126" i="22"/>
  <c r="F124" i="22"/>
  <c r="F122" i="22"/>
  <c r="F120" i="22"/>
  <c r="F118" i="22"/>
  <c r="F116" i="22"/>
  <c r="F127" i="22"/>
  <c r="F125" i="22"/>
  <c r="F123" i="22"/>
  <c r="F121" i="22"/>
  <c r="F119" i="22"/>
  <c r="M7" i="22"/>
  <c r="M8" i="22"/>
  <c r="M9" i="22"/>
  <c r="M10" i="22"/>
  <c r="M11" i="22"/>
  <c r="M12" i="22"/>
  <c r="M13" i="22"/>
  <c r="M14" i="22"/>
  <c r="M15" i="22"/>
  <c r="M16" i="22"/>
  <c r="M17" i="22"/>
  <c r="M18" i="22"/>
  <c r="M19" i="22"/>
  <c r="M20" i="22"/>
  <c r="M21" i="22"/>
  <c r="M22" i="22"/>
  <c r="M23" i="22"/>
  <c r="M24" i="22"/>
  <c r="M25" i="22"/>
  <c r="M26" i="22"/>
  <c r="M27" i="22"/>
  <c r="L10" i="22"/>
  <c r="L9" i="22"/>
  <c r="L8" i="22"/>
  <c r="L7" i="22"/>
  <c r="N13" i="28"/>
  <c r="N28" i="13"/>
  <c r="N29" i="13"/>
  <c r="N24" i="13"/>
  <c r="N25" i="13"/>
  <c r="G30" i="13"/>
  <c r="P45" i="27"/>
  <c r="P41" i="27"/>
  <c r="P37" i="27"/>
  <c r="P28" i="27"/>
  <c r="P32" i="27"/>
  <c r="P30" i="27" s="1"/>
  <c r="P33" i="27"/>
  <c r="P31" i="27"/>
  <c r="P29" i="27"/>
  <c r="P20" i="27"/>
  <c r="P21" i="27"/>
  <c r="P16" i="27"/>
  <c r="P17" i="27"/>
  <c r="P12" i="27"/>
  <c r="P13" i="27"/>
  <c r="P8" i="27"/>
  <c r="P9" i="27"/>
  <c r="P44" i="27"/>
  <c r="P43" i="27"/>
  <c r="J43" i="27"/>
  <c r="J44" i="27" s="1"/>
  <c r="M42" i="27"/>
  <c r="G42" i="27"/>
  <c r="D42" i="27"/>
  <c r="P40" i="27"/>
  <c r="P39" i="27"/>
  <c r="J39" i="27"/>
  <c r="J40" i="27" s="1"/>
  <c r="Q40" i="27" s="1"/>
  <c r="M38" i="27"/>
  <c r="G38" i="27"/>
  <c r="D38" i="27"/>
  <c r="G34" i="27"/>
  <c r="P36" i="27"/>
  <c r="P35" i="27"/>
  <c r="J35" i="27"/>
  <c r="J36" i="27" s="1"/>
  <c r="M34" i="27"/>
  <c r="D34" i="27"/>
  <c r="H425" i="8"/>
  <c r="Q35" i="27" l="1"/>
  <c r="P34" i="27"/>
  <c r="P42" i="27"/>
  <c r="Q43" i="27"/>
  <c r="J45" i="27"/>
  <c r="Q45" i="27" s="1"/>
  <c r="Q44" i="27"/>
  <c r="P38" i="27"/>
  <c r="Q39" i="27"/>
  <c r="J41" i="27"/>
  <c r="Q41" i="27" s="1"/>
  <c r="Q36" i="27"/>
  <c r="J37" i="27"/>
  <c r="Q37" i="27" s="1"/>
  <c r="H445" i="8"/>
  <c r="H516" i="8"/>
  <c r="H428" i="8"/>
  <c r="H429" i="8"/>
  <c r="H432" i="8"/>
  <c r="H434" i="8"/>
  <c r="H435" i="8"/>
  <c r="H437" i="8"/>
  <c r="H439" i="8"/>
  <c r="H440" i="8"/>
  <c r="H444" i="8"/>
  <c r="H447" i="8"/>
  <c r="H448" i="8"/>
  <c r="H449" i="8"/>
  <c r="H450" i="8"/>
  <c r="H451" i="8"/>
  <c r="H452" i="8"/>
  <c r="H455" i="8"/>
  <c r="H457" i="8"/>
  <c r="H458" i="8"/>
  <c r="H459" i="8"/>
  <c r="H460" i="8"/>
  <c r="H461" i="8"/>
  <c r="H462" i="8"/>
  <c r="H463" i="8"/>
  <c r="H464" i="8"/>
  <c r="H465" i="8"/>
  <c r="H467" i="8"/>
  <c r="H468" i="8"/>
  <c r="H469" i="8"/>
  <c r="H470" i="8"/>
  <c r="H471" i="8"/>
  <c r="H472" i="8"/>
  <c r="H473" i="8"/>
  <c r="H474" i="8"/>
  <c r="H475" i="8"/>
  <c r="H476" i="8"/>
  <c r="H477" i="8"/>
  <c r="H482" i="8"/>
  <c r="H485" i="8"/>
  <c r="H486" i="8"/>
  <c r="H487" i="8"/>
  <c r="H488" i="8"/>
  <c r="H511" i="8"/>
  <c r="H489" i="8"/>
  <c r="H490" i="8"/>
  <c r="H491" i="8"/>
  <c r="H492" i="8"/>
  <c r="H493" i="8"/>
  <c r="H494" i="8"/>
  <c r="H495" i="8"/>
  <c r="H496" i="8"/>
  <c r="H497" i="8"/>
  <c r="H498" i="8"/>
  <c r="H499" i="8"/>
  <c r="H501" i="8"/>
  <c r="H503" i="8"/>
  <c r="H504" i="8"/>
  <c r="H505" i="8"/>
  <c r="H506" i="8"/>
  <c r="H507" i="8"/>
  <c r="H508" i="8"/>
  <c r="H509" i="8"/>
  <c r="H510" i="8"/>
  <c r="H512" i="8"/>
  <c r="H513" i="8"/>
  <c r="H514" i="8"/>
  <c r="H517" i="8"/>
  <c r="H518" i="8"/>
  <c r="H519" i="8"/>
  <c r="H520" i="8"/>
  <c r="H521" i="8"/>
  <c r="H522" i="8"/>
  <c r="H523" i="8"/>
  <c r="H524" i="8"/>
  <c r="H525" i="8"/>
  <c r="M245" i="8"/>
  <c r="M253" i="8"/>
  <c r="M260" i="8"/>
  <c r="M268" i="8"/>
  <c r="M217" i="8"/>
  <c r="M276" i="8"/>
  <c r="M284" i="8"/>
  <c r="M291" i="8"/>
  <c r="M299" i="8"/>
  <c r="M307" i="8"/>
  <c r="M313" i="8"/>
  <c r="M320" i="8"/>
  <c r="H483" i="8"/>
  <c r="H478" i="8"/>
  <c r="H466" i="8"/>
  <c r="H456" i="8"/>
  <c r="H454" i="8"/>
  <c r="H453" i="8"/>
  <c r="H446" i="8"/>
  <c r="H443" i="8"/>
  <c r="H442" i="8"/>
  <c r="H441" i="8"/>
  <c r="H438" i="8"/>
  <c r="H436" i="8"/>
  <c r="H433" i="8"/>
  <c r="H431" i="8"/>
  <c r="H430" i="8"/>
  <c r="H427" i="8"/>
  <c r="H426" i="8"/>
  <c r="H424" i="8"/>
  <c r="H423" i="8"/>
  <c r="H422" i="8"/>
  <c r="H421" i="8"/>
  <c r="Q42" i="27" l="1"/>
  <c r="S42" i="27"/>
  <c r="Q38" i="27"/>
  <c r="S38" i="27" s="1"/>
  <c r="Q34" i="27"/>
  <c r="S34" i="27" s="1"/>
  <c r="H538" i="8"/>
  <c r="I30" i="27" l="1"/>
  <c r="J31" i="27" l="1"/>
  <c r="I49" i="27"/>
  <c r="J32" i="27"/>
  <c r="Q32" i="27" s="1"/>
  <c r="M26" i="27"/>
  <c r="J33" i="27" l="1"/>
  <c r="Q33" i="27" s="1"/>
  <c r="O130" i="21"/>
  <c r="O131" i="21"/>
  <c r="O132" i="21"/>
  <c r="P132" i="21"/>
  <c r="P133" i="21"/>
  <c r="J354" i="8" l="1"/>
  <c r="J355" i="8" l="1"/>
  <c r="J357" i="8" s="1"/>
  <c r="J358" i="8" s="1"/>
  <c r="K11" i="25"/>
  <c r="H11" i="25"/>
  <c r="D11" i="25"/>
  <c r="L10" i="25"/>
  <c r="K10" i="25"/>
  <c r="L6" i="25"/>
  <c r="L11" i="25" s="1"/>
  <c r="J6" i="25"/>
  <c r="L1" i="25"/>
  <c r="D26" i="18"/>
  <c r="J16" i="18"/>
  <c r="J14" i="18" s="1"/>
  <c r="K16" i="18"/>
  <c r="K15" i="18"/>
  <c r="J15" i="18"/>
  <c r="D15" i="18"/>
  <c r="G14" i="18"/>
  <c r="K13" i="18"/>
  <c r="J13" i="18"/>
  <c r="I13" i="18"/>
  <c r="J12" i="18"/>
  <c r="I12" i="18"/>
  <c r="K11" i="18"/>
  <c r="K10" i="18" s="1"/>
  <c r="J11" i="18"/>
  <c r="I11" i="18"/>
  <c r="G10" i="18"/>
  <c r="C10" i="18"/>
  <c r="C17" i="18" s="1"/>
  <c r="B15" i="19" s="1"/>
  <c r="K9" i="18"/>
  <c r="J9" i="18"/>
  <c r="I9" i="18"/>
  <c r="K8" i="18"/>
  <c r="J8" i="18"/>
  <c r="I8" i="18"/>
  <c r="K7" i="18"/>
  <c r="J7" i="18"/>
  <c r="I7" i="18"/>
  <c r="C7" i="18"/>
  <c r="C8" i="18" s="1"/>
  <c r="C9" i="18" s="1"/>
  <c r="G6" i="18"/>
  <c r="K2" i="18"/>
  <c r="H15" i="12"/>
  <c r="E15" i="12"/>
  <c r="D15" i="12"/>
  <c r="L14" i="12"/>
  <c r="K14" i="12"/>
  <c r="L13" i="12"/>
  <c r="K13" i="12"/>
  <c r="L12" i="12"/>
  <c r="K12" i="12"/>
  <c r="L11" i="12"/>
  <c r="K11" i="12"/>
  <c r="L10" i="12"/>
  <c r="K10" i="12"/>
  <c r="L9" i="12"/>
  <c r="K9" i="12"/>
  <c r="L8" i="12"/>
  <c r="K8" i="12"/>
  <c r="L7" i="12"/>
  <c r="K7" i="12"/>
  <c r="H12" i="24"/>
  <c r="E12" i="24"/>
  <c r="R30" i="19" s="1"/>
  <c r="D12" i="24"/>
  <c r="K10" i="24"/>
  <c r="K8" i="24"/>
  <c r="L7" i="24"/>
  <c r="K7" i="24"/>
  <c r="L6" i="24"/>
  <c r="K6" i="24"/>
  <c r="J6" i="24"/>
  <c r="L1" i="24"/>
  <c r="M12" i="15"/>
  <c r="M31" i="15" s="1"/>
  <c r="M11" i="15"/>
  <c r="I10" i="15"/>
  <c r="M9" i="15"/>
  <c r="L9" i="15"/>
  <c r="M8" i="15"/>
  <c r="L8" i="15"/>
  <c r="K8" i="15"/>
  <c r="M7" i="15"/>
  <c r="L7" i="15"/>
  <c r="F10" i="15" s="1"/>
  <c r="K7" i="15"/>
  <c r="M2" i="15"/>
  <c r="E22" i="23"/>
  <c r="E21" i="23"/>
  <c r="E20" i="23"/>
  <c r="E19" i="23"/>
  <c r="E15" i="23"/>
  <c r="D15" i="23"/>
  <c r="L14" i="23"/>
  <c r="K14" i="23"/>
  <c r="L13" i="23"/>
  <c r="K13" i="23"/>
  <c r="L12" i="23"/>
  <c r="K12" i="23"/>
  <c r="J12" i="23"/>
  <c r="L11" i="23"/>
  <c r="J11" i="23"/>
  <c r="H11" i="23"/>
  <c r="K11" i="23" s="1"/>
  <c r="L10" i="23"/>
  <c r="K10" i="23"/>
  <c r="L9" i="23"/>
  <c r="K9" i="23"/>
  <c r="L8" i="23"/>
  <c r="K8" i="23"/>
  <c r="J8" i="23"/>
  <c r="L7" i="23"/>
  <c r="J7" i="23"/>
  <c r="H7" i="23"/>
  <c r="H47" i="26"/>
  <c r="H46" i="26"/>
  <c r="H45" i="26"/>
  <c r="H44" i="26"/>
  <c r="H43" i="26"/>
  <c r="H42" i="26"/>
  <c r="H41" i="26"/>
  <c r="H40" i="26"/>
  <c r="H39" i="26"/>
  <c r="H38" i="26"/>
  <c r="H37" i="26"/>
  <c r="H36" i="26"/>
  <c r="H35" i="26"/>
  <c r="H34" i="26"/>
  <c r="H33" i="26"/>
  <c r="H32" i="26"/>
  <c r="H31" i="26"/>
  <c r="H30" i="26"/>
  <c r="H29" i="26"/>
  <c r="H28" i="26"/>
  <c r="H27" i="26"/>
  <c r="H26" i="26"/>
  <c r="H25" i="26"/>
  <c r="H24" i="26"/>
  <c r="H23" i="26"/>
  <c r="H22" i="26"/>
  <c r="H17" i="26"/>
  <c r="D17" i="26"/>
  <c r="B11" i="19" s="1"/>
  <c r="K15" i="26"/>
  <c r="E15" i="26"/>
  <c r="L15" i="26" s="1"/>
  <c r="L14" i="26"/>
  <c r="K14" i="26"/>
  <c r="E14" i="26"/>
  <c r="L13" i="26"/>
  <c r="L12" i="26"/>
  <c r="L11" i="26"/>
  <c r="K11" i="26"/>
  <c r="L10" i="26"/>
  <c r="K10" i="26"/>
  <c r="J10" i="26"/>
  <c r="L7" i="26"/>
  <c r="K7" i="26"/>
  <c r="L6" i="26"/>
  <c r="K6" i="26"/>
  <c r="J6" i="26"/>
  <c r="L1" i="26"/>
  <c r="L59" i="22"/>
  <c r="M58" i="22"/>
  <c r="L58" i="22"/>
  <c r="L57" i="22"/>
  <c r="L56" i="22"/>
  <c r="L55" i="22"/>
  <c r="L54" i="22"/>
  <c r="L53" i="22"/>
  <c r="L52" i="22"/>
  <c r="L51" i="22"/>
  <c r="M50" i="22"/>
  <c r="L50" i="22"/>
  <c r="L49" i="22"/>
  <c r="L48" i="22"/>
  <c r="M47" i="22"/>
  <c r="L47" i="22"/>
  <c r="M46" i="22"/>
  <c r="L46" i="22"/>
  <c r="M45" i="22"/>
  <c r="L45" i="22"/>
  <c r="M42" i="22"/>
  <c r="I42" i="22"/>
  <c r="I84" i="22" s="1"/>
  <c r="M36" i="22"/>
  <c r="M35" i="22"/>
  <c r="L35" i="22"/>
  <c r="M34" i="22"/>
  <c r="M33" i="22"/>
  <c r="L33" i="22"/>
  <c r="M32" i="22"/>
  <c r="L32" i="22"/>
  <c r="M31" i="22"/>
  <c r="L31" i="22"/>
  <c r="M30" i="22"/>
  <c r="L30" i="22"/>
  <c r="L29" i="22"/>
  <c r="L27" i="22"/>
  <c r="L26" i="22"/>
  <c r="L25" i="22"/>
  <c r="L24" i="22"/>
  <c r="L23" i="22"/>
  <c r="L22" i="22"/>
  <c r="L21" i="22"/>
  <c r="L20" i="22"/>
  <c r="L19" i="22"/>
  <c r="L18" i="22"/>
  <c r="L17" i="22"/>
  <c r="L16" i="22"/>
  <c r="L15" i="22"/>
  <c r="L14" i="22"/>
  <c r="L13" i="22"/>
  <c r="L12" i="22"/>
  <c r="L11" i="22"/>
  <c r="M2" i="22"/>
  <c r="K37" i="22" s="1"/>
  <c r="F30" i="14"/>
  <c r="F29" i="14"/>
  <c r="F28" i="14"/>
  <c r="F27" i="14"/>
  <c r="F26" i="14"/>
  <c r="F25" i="14"/>
  <c r="F24" i="14"/>
  <c r="F23" i="14"/>
  <c r="F22" i="14"/>
  <c r="F21" i="14"/>
  <c r="F16" i="14"/>
  <c r="M15" i="14"/>
  <c r="L15" i="14"/>
  <c r="L13" i="14" s="1"/>
  <c r="M14" i="14"/>
  <c r="M13" i="14" s="1"/>
  <c r="L14" i="14"/>
  <c r="E14" i="14"/>
  <c r="E15" i="14" s="1"/>
  <c r="I13" i="14"/>
  <c r="C13" i="14"/>
  <c r="D13" i="14" s="1"/>
  <c r="M12" i="14"/>
  <c r="M11" i="14" s="1"/>
  <c r="L12" i="14"/>
  <c r="L11" i="14" s="1"/>
  <c r="E12" i="14"/>
  <c r="I11" i="14"/>
  <c r="M10" i="14"/>
  <c r="L10" i="14"/>
  <c r="M9" i="14"/>
  <c r="L9" i="14"/>
  <c r="M8" i="14"/>
  <c r="L8" i="14"/>
  <c r="E8" i="14"/>
  <c r="M7" i="14"/>
  <c r="L7" i="14"/>
  <c r="E7" i="14"/>
  <c r="I6" i="14"/>
  <c r="M2" i="14"/>
  <c r="K12" i="14" s="1"/>
  <c r="H23" i="10"/>
  <c r="H22" i="10"/>
  <c r="H21" i="10"/>
  <c r="H20" i="10"/>
  <c r="H19" i="10"/>
  <c r="H18" i="10"/>
  <c r="H14" i="10"/>
  <c r="G14" i="10"/>
  <c r="O13" i="10"/>
  <c r="Q13" i="10" s="1"/>
  <c r="O12" i="10"/>
  <c r="N12" i="10"/>
  <c r="O11" i="10"/>
  <c r="N11" i="10"/>
  <c r="G11" i="10"/>
  <c r="G12" i="10" s="1"/>
  <c r="K10" i="10"/>
  <c r="K23" i="10" s="1"/>
  <c r="O9" i="10"/>
  <c r="N9" i="10"/>
  <c r="O8" i="10"/>
  <c r="N8" i="10"/>
  <c r="O7" i="10"/>
  <c r="N7" i="10"/>
  <c r="M7" i="10"/>
  <c r="G7" i="10"/>
  <c r="G8" i="10" s="1"/>
  <c r="K6" i="10"/>
  <c r="O2" i="10"/>
  <c r="M11" i="10" s="1"/>
  <c r="K11" i="11"/>
  <c r="H11" i="11"/>
  <c r="E11" i="11"/>
  <c r="D11" i="11"/>
  <c r="L10" i="11"/>
  <c r="K10" i="11"/>
  <c r="L9" i="11"/>
  <c r="K9" i="11"/>
  <c r="L2" i="11"/>
  <c r="J10" i="11" s="1"/>
  <c r="G14" i="28"/>
  <c r="H13" i="28"/>
  <c r="O13" i="28" s="1"/>
  <c r="N12" i="28"/>
  <c r="H12" i="28"/>
  <c r="O12" i="28" s="1"/>
  <c r="N11" i="28"/>
  <c r="H11" i="28"/>
  <c r="K10" i="28"/>
  <c r="N9" i="28"/>
  <c r="H9" i="28"/>
  <c r="O9" i="28" s="1"/>
  <c r="N8" i="28"/>
  <c r="H8" i="28"/>
  <c r="O8" i="28" s="1"/>
  <c r="N7" i="28"/>
  <c r="H7" i="28"/>
  <c r="K6" i="28"/>
  <c r="O2" i="28"/>
  <c r="H29" i="13"/>
  <c r="O29" i="13" s="1"/>
  <c r="H28" i="13"/>
  <c r="O28" i="13" s="1"/>
  <c r="O27" i="13"/>
  <c r="N27" i="13"/>
  <c r="H27" i="13"/>
  <c r="K26" i="13"/>
  <c r="H25" i="13"/>
  <c r="O25" i="13" s="1"/>
  <c r="H24" i="13"/>
  <c r="O24" i="13" s="1"/>
  <c r="O23" i="13"/>
  <c r="N23" i="13"/>
  <c r="N22" i="13" s="1"/>
  <c r="H23" i="13"/>
  <c r="K22" i="13"/>
  <c r="O21" i="13"/>
  <c r="N21" i="13"/>
  <c r="O20" i="13"/>
  <c r="N20" i="13"/>
  <c r="O19" i="13"/>
  <c r="N19" i="13"/>
  <c r="O18" i="13"/>
  <c r="N18" i="13"/>
  <c r="M18" i="13"/>
  <c r="G18" i="13"/>
  <c r="G19" i="13" s="1"/>
  <c r="G20" i="13" s="1"/>
  <c r="K17" i="13"/>
  <c r="O16" i="13"/>
  <c r="N16" i="13"/>
  <c r="O15" i="13"/>
  <c r="N15" i="13"/>
  <c r="M15" i="13"/>
  <c r="G15" i="13"/>
  <c r="G16" i="13" s="1"/>
  <c r="K14" i="13"/>
  <c r="E14" i="13"/>
  <c r="O13" i="13"/>
  <c r="N13" i="13"/>
  <c r="O12" i="13"/>
  <c r="N12" i="13"/>
  <c r="M12" i="13"/>
  <c r="G12" i="13"/>
  <c r="G13" i="13" s="1"/>
  <c r="K11" i="13"/>
  <c r="E11" i="13"/>
  <c r="O10" i="13"/>
  <c r="O9" i="13" s="1"/>
  <c r="N10" i="13"/>
  <c r="N9" i="13" s="1"/>
  <c r="M10" i="13"/>
  <c r="K9" i="13"/>
  <c r="N7" i="13"/>
  <c r="N6" i="13" s="1"/>
  <c r="O6" i="13"/>
  <c r="K6" i="13"/>
  <c r="O2" i="13"/>
  <c r="M19" i="13" s="1"/>
  <c r="E42" i="9"/>
  <c r="F41" i="9"/>
  <c r="M41" i="9" s="1"/>
  <c r="M40" i="9"/>
  <c r="F39" i="9"/>
  <c r="M39" i="9" s="1"/>
  <c r="L38" i="9"/>
  <c r="I38" i="9"/>
  <c r="M37" i="9"/>
  <c r="L37" i="9"/>
  <c r="M36" i="9"/>
  <c r="L36" i="9"/>
  <c r="M35" i="9"/>
  <c r="L35" i="9"/>
  <c r="E35" i="9"/>
  <c r="I34" i="9"/>
  <c r="M33" i="9"/>
  <c r="L33" i="9"/>
  <c r="F33" i="9"/>
  <c r="M32" i="9"/>
  <c r="L32" i="9"/>
  <c r="F32" i="9"/>
  <c r="M31" i="9"/>
  <c r="L31" i="9"/>
  <c r="K31" i="9"/>
  <c r="E31" i="9"/>
  <c r="I30" i="9"/>
  <c r="M29" i="9"/>
  <c r="L29" i="9"/>
  <c r="M28" i="9"/>
  <c r="L28" i="9"/>
  <c r="M27" i="9"/>
  <c r="L27" i="9"/>
  <c r="E27" i="9"/>
  <c r="I26" i="9"/>
  <c r="M25" i="9"/>
  <c r="I25" i="9"/>
  <c r="M24" i="9"/>
  <c r="K24" i="9"/>
  <c r="I24" i="9"/>
  <c r="M23" i="9"/>
  <c r="L23" i="9"/>
  <c r="E23" i="9"/>
  <c r="M21" i="9"/>
  <c r="L21" i="9"/>
  <c r="M20" i="9"/>
  <c r="L20" i="9"/>
  <c r="F20" i="9"/>
  <c r="F72" i="9" s="1"/>
  <c r="M19" i="9"/>
  <c r="L19" i="9"/>
  <c r="K19" i="9"/>
  <c r="E19" i="9"/>
  <c r="I18" i="9"/>
  <c r="C18" i="9"/>
  <c r="M17" i="9"/>
  <c r="L17" i="9"/>
  <c r="M16" i="9"/>
  <c r="L16" i="9"/>
  <c r="M15" i="9"/>
  <c r="L15" i="9"/>
  <c r="E15" i="9"/>
  <c r="I14" i="9"/>
  <c r="M13" i="9"/>
  <c r="L13" i="9"/>
  <c r="M12" i="9"/>
  <c r="L12" i="9"/>
  <c r="M11" i="9"/>
  <c r="L11" i="9"/>
  <c r="E11" i="9"/>
  <c r="I10" i="9"/>
  <c r="M9" i="9"/>
  <c r="I9" i="9"/>
  <c r="L9" i="9" s="1"/>
  <c r="M8" i="9"/>
  <c r="L8" i="9"/>
  <c r="M7" i="9"/>
  <c r="L7" i="9"/>
  <c r="K7" i="9"/>
  <c r="E7" i="9"/>
  <c r="C6" i="9"/>
  <c r="M2" i="9"/>
  <c r="K12" i="9" s="1"/>
  <c r="H46" i="5"/>
  <c r="L45" i="5"/>
  <c r="E45" i="5"/>
  <c r="K45" i="5" s="1"/>
  <c r="L44" i="5"/>
  <c r="K44" i="5"/>
  <c r="L43" i="5"/>
  <c r="J43" i="5"/>
  <c r="K42" i="5"/>
  <c r="O42" i="5" s="1"/>
  <c r="Q42" i="5" s="1"/>
  <c r="Q46" i="5" s="1"/>
  <c r="J42" i="5"/>
  <c r="K41" i="5"/>
  <c r="J41" i="5"/>
  <c r="O40" i="5"/>
  <c r="J40" i="5"/>
  <c r="E38" i="5"/>
  <c r="E78" i="5" s="1"/>
  <c r="L37" i="5"/>
  <c r="K37" i="5"/>
  <c r="K32" i="5" s="1"/>
  <c r="J37" i="5"/>
  <c r="O36" i="5"/>
  <c r="L36" i="5"/>
  <c r="J36" i="5"/>
  <c r="O35" i="5"/>
  <c r="L35" i="5"/>
  <c r="J35" i="5"/>
  <c r="O34" i="5"/>
  <c r="L34" i="5"/>
  <c r="J34" i="5"/>
  <c r="O33" i="5"/>
  <c r="P33" i="5" s="1"/>
  <c r="L33" i="5"/>
  <c r="J33" i="5"/>
  <c r="H32" i="5"/>
  <c r="D32" i="5"/>
  <c r="L31" i="5"/>
  <c r="K31" i="5"/>
  <c r="O31" i="5" s="1"/>
  <c r="P31" i="5" s="1"/>
  <c r="J31" i="5"/>
  <c r="L30" i="5"/>
  <c r="K30" i="5"/>
  <c r="O30" i="5" s="1"/>
  <c r="J30" i="5"/>
  <c r="L29" i="5"/>
  <c r="K29" i="5"/>
  <c r="O29" i="5" s="1"/>
  <c r="J29" i="5"/>
  <c r="L28" i="5"/>
  <c r="K28" i="5"/>
  <c r="O28" i="5" s="1"/>
  <c r="J28" i="5"/>
  <c r="L27" i="5"/>
  <c r="K27" i="5"/>
  <c r="O27" i="5" s="1"/>
  <c r="J27" i="5"/>
  <c r="H26" i="5"/>
  <c r="D26" i="5"/>
  <c r="L25" i="5"/>
  <c r="L24" i="5" s="1"/>
  <c r="J25" i="5"/>
  <c r="H24" i="5"/>
  <c r="L23" i="5"/>
  <c r="K23" i="5"/>
  <c r="O23" i="5" s="1"/>
  <c r="P23" i="5" s="1"/>
  <c r="J23" i="5"/>
  <c r="L22" i="5"/>
  <c r="K22" i="5"/>
  <c r="O22" i="5" s="1"/>
  <c r="J22" i="5"/>
  <c r="L21" i="5"/>
  <c r="K21" i="5"/>
  <c r="O21" i="5" s="1"/>
  <c r="J21" i="5"/>
  <c r="L20" i="5"/>
  <c r="K20" i="5"/>
  <c r="J20" i="5"/>
  <c r="L19" i="5"/>
  <c r="K19" i="5"/>
  <c r="O19" i="5" s="1"/>
  <c r="P19" i="5" s="1"/>
  <c r="J19" i="5"/>
  <c r="H18" i="5"/>
  <c r="D18" i="5"/>
  <c r="L17" i="5"/>
  <c r="K17" i="5"/>
  <c r="O16" i="5"/>
  <c r="L16" i="5"/>
  <c r="K16" i="5"/>
  <c r="J16" i="5"/>
  <c r="O15" i="5"/>
  <c r="L15" i="5"/>
  <c r="K15" i="5"/>
  <c r="J15" i="5"/>
  <c r="O14" i="5"/>
  <c r="L14" i="5"/>
  <c r="K14" i="5"/>
  <c r="J14" i="5"/>
  <c r="O13" i="5"/>
  <c r="L13" i="5"/>
  <c r="K13" i="5"/>
  <c r="K12" i="5" s="1"/>
  <c r="O12" i="5" s="1"/>
  <c r="J13" i="5"/>
  <c r="H12" i="5"/>
  <c r="D12" i="5"/>
  <c r="L11" i="5"/>
  <c r="K11" i="5"/>
  <c r="O11" i="5" s="1"/>
  <c r="J11" i="5"/>
  <c r="L10" i="5"/>
  <c r="K10" i="5"/>
  <c r="O10" i="5" s="1"/>
  <c r="P10" i="5" s="1"/>
  <c r="J10" i="5"/>
  <c r="L9" i="5"/>
  <c r="K9" i="5"/>
  <c r="O9" i="5" s="1"/>
  <c r="J9" i="5"/>
  <c r="L8" i="5"/>
  <c r="K8" i="5"/>
  <c r="O8" i="5" s="1"/>
  <c r="J8" i="5"/>
  <c r="L7" i="5"/>
  <c r="K7" i="5"/>
  <c r="O7" i="5" s="1"/>
  <c r="J7" i="5"/>
  <c r="H6" i="5"/>
  <c r="D6" i="5"/>
  <c r="Q31" i="27"/>
  <c r="Q30" i="27" s="1"/>
  <c r="M30" i="27"/>
  <c r="G30" i="27"/>
  <c r="D30" i="27"/>
  <c r="Q27" i="27"/>
  <c r="P27" i="27"/>
  <c r="J27" i="27"/>
  <c r="G26" i="27"/>
  <c r="D26" i="27"/>
  <c r="P25" i="27"/>
  <c r="P24" i="27"/>
  <c r="P23" i="27"/>
  <c r="J23" i="27"/>
  <c r="J24" i="27" s="1"/>
  <c r="J25" i="27" s="1"/>
  <c r="Q25" i="27" s="1"/>
  <c r="M22" i="27"/>
  <c r="G22" i="27"/>
  <c r="D22" i="27"/>
  <c r="P19" i="27"/>
  <c r="J19" i="27"/>
  <c r="J20" i="27" s="1"/>
  <c r="Q20" i="27" s="1"/>
  <c r="M18" i="27"/>
  <c r="G18" i="27"/>
  <c r="D18" i="27"/>
  <c r="P15" i="27"/>
  <c r="J15" i="27"/>
  <c r="J16" i="27" s="1"/>
  <c r="M14" i="27"/>
  <c r="G14" i="27"/>
  <c r="D14" i="27"/>
  <c r="P11" i="27"/>
  <c r="P10" i="27" s="1"/>
  <c r="J11" i="27"/>
  <c r="M10" i="27"/>
  <c r="G10" i="27"/>
  <c r="D10" i="27"/>
  <c r="Q7" i="27"/>
  <c r="P7" i="27"/>
  <c r="P6" i="27" s="1"/>
  <c r="J7" i="27"/>
  <c r="M6" i="27"/>
  <c r="G6" i="27"/>
  <c r="D6" i="27"/>
  <c r="Q2" i="27"/>
  <c r="I398" i="8"/>
  <c r="B3" i="19" s="1"/>
  <c r="Q395" i="8"/>
  <c r="Q394" i="8" s="1"/>
  <c r="P395" i="8"/>
  <c r="P394" i="8" s="1"/>
  <c r="M394" i="8"/>
  <c r="G394" i="8"/>
  <c r="D394" i="8"/>
  <c r="Q393" i="8"/>
  <c r="Q392" i="8" s="1"/>
  <c r="P393" i="8"/>
  <c r="P392" i="8" s="1"/>
  <c r="M392" i="8"/>
  <c r="G392" i="8"/>
  <c r="D392" i="8"/>
  <c r="Q391" i="8"/>
  <c r="Q390" i="8" s="1"/>
  <c r="P391" i="8"/>
  <c r="P390" i="8" s="1"/>
  <c r="M390" i="8"/>
  <c r="G390" i="8"/>
  <c r="D390" i="8"/>
  <c r="Q389" i="8"/>
  <c r="Q388" i="8" s="1"/>
  <c r="P389" i="8"/>
  <c r="P388" i="8" s="1"/>
  <c r="M388" i="8"/>
  <c r="G388" i="8"/>
  <c r="D388" i="8"/>
  <c r="Q387" i="8"/>
  <c r="Q386" i="8" s="1"/>
  <c r="P387" i="8"/>
  <c r="P386" i="8" s="1"/>
  <c r="M386" i="8"/>
  <c r="G386" i="8"/>
  <c r="D386" i="8"/>
  <c r="Q385" i="8"/>
  <c r="Q384" i="8" s="1"/>
  <c r="P385" i="8"/>
  <c r="P384" i="8" s="1"/>
  <c r="M384" i="8"/>
  <c r="G384" i="8"/>
  <c r="D384" i="8"/>
  <c r="Q383" i="8"/>
  <c r="Q379" i="8" s="1"/>
  <c r="M379" i="8"/>
  <c r="G379" i="8"/>
  <c r="D379" i="8"/>
  <c r="Q378" i="8"/>
  <c r="Q377" i="8" s="1"/>
  <c r="P378" i="8"/>
  <c r="P377" i="8" s="1"/>
  <c r="M377" i="8"/>
  <c r="G377" i="8"/>
  <c r="D377" i="8"/>
  <c r="Q376" i="8"/>
  <c r="Q375" i="8" s="1"/>
  <c r="P376" i="8"/>
  <c r="P375" i="8" s="1"/>
  <c r="M375" i="8"/>
  <c r="G375" i="8"/>
  <c r="D375" i="8"/>
  <c r="Q374" i="8"/>
  <c r="Q373" i="8" s="1"/>
  <c r="P374" i="8"/>
  <c r="P373" i="8" s="1"/>
  <c r="M373" i="8"/>
  <c r="G373" i="8"/>
  <c r="D373" i="8"/>
  <c r="Q372" i="8"/>
  <c r="Q371" i="8" s="1"/>
  <c r="P372" i="8"/>
  <c r="P371" i="8" s="1"/>
  <c r="M371" i="8"/>
  <c r="G371" i="8"/>
  <c r="D371" i="8"/>
  <c r="M366" i="8"/>
  <c r="G366" i="8"/>
  <c r="D366" i="8"/>
  <c r="P360" i="8"/>
  <c r="J360" i="8"/>
  <c r="M359" i="8"/>
  <c r="G359" i="8"/>
  <c r="D359" i="8"/>
  <c r="P358" i="8"/>
  <c r="P357" i="8"/>
  <c r="Q357" i="8"/>
  <c r="Q355" i="8"/>
  <c r="P355" i="8"/>
  <c r="Q353" i="8"/>
  <c r="P353" i="8"/>
  <c r="M352" i="8"/>
  <c r="G352" i="8"/>
  <c r="D352" i="8"/>
  <c r="Q351" i="8"/>
  <c r="Q350" i="8" s="1"/>
  <c r="P351" i="8"/>
  <c r="P350" i="8" s="1"/>
  <c r="M350" i="8"/>
  <c r="D350" i="8"/>
  <c r="Q349" i="8"/>
  <c r="Q348" i="8" s="1"/>
  <c r="P349" i="8"/>
  <c r="P348" i="8" s="1"/>
  <c r="M348" i="8"/>
  <c r="D348" i="8"/>
  <c r="Q347" i="8"/>
  <c r="Q346" i="8" s="1"/>
  <c r="P347" i="8"/>
  <c r="P346" i="8" s="1"/>
  <c r="M346" i="8"/>
  <c r="D346" i="8"/>
  <c r="Q345" i="8"/>
  <c r="Q344" i="8" s="1"/>
  <c r="P345" i="8"/>
  <c r="P344" i="8" s="1"/>
  <c r="M344" i="8"/>
  <c r="D344" i="8"/>
  <c r="Q339" i="8"/>
  <c r="P339" i="8"/>
  <c r="J339" i="8"/>
  <c r="M338" i="8"/>
  <c r="G338" i="8"/>
  <c r="D338" i="8"/>
  <c r="Q228" i="8"/>
  <c r="P228" i="8"/>
  <c r="Q227" i="8"/>
  <c r="P227" i="8"/>
  <c r="P226" i="8"/>
  <c r="Q225" i="8"/>
  <c r="P225" i="8"/>
  <c r="J225" i="8"/>
  <c r="J226" i="8" s="1"/>
  <c r="Q224" i="8"/>
  <c r="P224" i="8"/>
  <c r="M223" i="8"/>
  <c r="G223" i="8"/>
  <c r="D223" i="8"/>
  <c r="Q334" i="8"/>
  <c r="P334" i="8"/>
  <c r="J334" i="8"/>
  <c r="M333" i="8"/>
  <c r="D333" i="8"/>
  <c r="Q329" i="8"/>
  <c r="P329" i="8"/>
  <c r="J329" i="8"/>
  <c r="M328" i="8"/>
  <c r="D328" i="8"/>
  <c r="P327" i="8"/>
  <c r="Q326" i="8"/>
  <c r="P326" i="8"/>
  <c r="Q325" i="8"/>
  <c r="P325" i="8"/>
  <c r="Q324" i="8"/>
  <c r="P324" i="8"/>
  <c r="Q323" i="8"/>
  <c r="P323" i="8"/>
  <c r="Q322" i="8"/>
  <c r="P322" i="8"/>
  <c r="Q321" i="8"/>
  <c r="P321" i="8"/>
  <c r="J321" i="8"/>
  <c r="J322" i="8" s="1"/>
  <c r="G320" i="8"/>
  <c r="D320" i="8"/>
  <c r="P319" i="8"/>
  <c r="P318" i="8"/>
  <c r="Q317" i="8"/>
  <c r="P317" i="8"/>
  <c r="Q316" i="8"/>
  <c r="P316" i="8"/>
  <c r="Q314" i="8"/>
  <c r="P314" i="8"/>
  <c r="J314" i="8"/>
  <c r="G313" i="8"/>
  <c r="D313" i="8"/>
  <c r="Q309" i="8"/>
  <c r="P309" i="8"/>
  <c r="Q308" i="8"/>
  <c r="P308" i="8"/>
  <c r="J308" i="8"/>
  <c r="J309" i="8" s="1"/>
  <c r="D307" i="8"/>
  <c r="P306" i="8"/>
  <c r="P305" i="8"/>
  <c r="Q304" i="8"/>
  <c r="P304" i="8"/>
  <c r="Q303" i="8"/>
  <c r="P303" i="8"/>
  <c r="Q302" i="8"/>
  <c r="P302" i="8"/>
  <c r="Q301" i="8"/>
  <c r="P301" i="8"/>
  <c r="Q300" i="8"/>
  <c r="P300" i="8"/>
  <c r="J300" i="8"/>
  <c r="J302" i="8" s="1"/>
  <c r="G299" i="8"/>
  <c r="D299" i="8"/>
  <c r="P298" i="8"/>
  <c r="P297" i="8"/>
  <c r="Q296" i="8"/>
  <c r="P296" i="8"/>
  <c r="Q295" i="8"/>
  <c r="P295" i="8"/>
  <c r="Q294" i="8"/>
  <c r="P294" i="8"/>
  <c r="Q293" i="8"/>
  <c r="P293" i="8"/>
  <c r="Q292" i="8"/>
  <c r="P292" i="8"/>
  <c r="J292" i="8"/>
  <c r="J296" i="8" s="1"/>
  <c r="G291" i="8"/>
  <c r="D291" i="8"/>
  <c r="P290" i="8"/>
  <c r="P289" i="8"/>
  <c r="P288" i="8"/>
  <c r="P287" i="8"/>
  <c r="Q286" i="8"/>
  <c r="P286" i="8"/>
  <c r="P285" i="8"/>
  <c r="J285" i="8"/>
  <c r="J286" i="8" s="1"/>
  <c r="J288" i="8" s="1"/>
  <c r="G284" i="8"/>
  <c r="D284" i="8"/>
  <c r="P283" i="8"/>
  <c r="P282" i="8"/>
  <c r="P281" i="8"/>
  <c r="J281" i="8"/>
  <c r="P280" i="8"/>
  <c r="J280" i="8"/>
  <c r="Q279" i="8"/>
  <c r="P279" i="8"/>
  <c r="Q278" i="8"/>
  <c r="P278" i="8"/>
  <c r="Q277" i="8"/>
  <c r="P277" i="8"/>
  <c r="J277" i="8"/>
  <c r="G276" i="8"/>
  <c r="D276" i="8"/>
  <c r="Q222" i="8"/>
  <c r="P222" i="8"/>
  <c r="O222" i="8"/>
  <c r="Q221" i="8"/>
  <c r="P221" i="8"/>
  <c r="O221" i="8"/>
  <c r="Q220" i="8"/>
  <c r="P220" i="8"/>
  <c r="O220" i="8"/>
  <c r="Q219" i="8"/>
  <c r="P219" i="8"/>
  <c r="O219" i="8"/>
  <c r="Q218" i="8"/>
  <c r="P218" i="8"/>
  <c r="O218" i="8"/>
  <c r="J218" i="8"/>
  <c r="I218" i="8" s="1"/>
  <c r="G217" i="8"/>
  <c r="D217" i="8"/>
  <c r="Q275" i="8"/>
  <c r="Q274" i="8" s="1"/>
  <c r="P275" i="8"/>
  <c r="P274" i="8" s="1"/>
  <c r="M274" i="8"/>
  <c r="G274" i="8"/>
  <c r="D274" i="8"/>
  <c r="P273" i="8"/>
  <c r="Q272" i="8"/>
  <c r="P272" i="8"/>
  <c r="Q271" i="8"/>
  <c r="P271" i="8"/>
  <c r="Q270" i="8"/>
  <c r="P270" i="8"/>
  <c r="Q269" i="8"/>
  <c r="P269" i="8"/>
  <c r="O269" i="8"/>
  <c r="J269" i="8"/>
  <c r="J270" i="8" s="1"/>
  <c r="G268" i="8"/>
  <c r="D268" i="8"/>
  <c r="P267" i="8"/>
  <c r="Q266" i="8"/>
  <c r="P265" i="8"/>
  <c r="P264" i="8"/>
  <c r="Q263" i="8"/>
  <c r="P263" i="8"/>
  <c r="Q262" i="8"/>
  <c r="P262" i="8"/>
  <c r="Q261" i="8"/>
  <c r="P261" i="8"/>
  <c r="J261" i="8"/>
  <c r="G260" i="8"/>
  <c r="D260" i="8"/>
  <c r="P259" i="8"/>
  <c r="Q258" i="8"/>
  <c r="P258" i="8"/>
  <c r="P257" i="8"/>
  <c r="Q256" i="8"/>
  <c r="P256" i="8"/>
  <c r="Q255" i="8"/>
  <c r="P255" i="8"/>
  <c r="Q254" i="8"/>
  <c r="P254" i="8"/>
  <c r="J254" i="8"/>
  <c r="J255" i="8" s="1"/>
  <c r="G253" i="8"/>
  <c r="D253" i="8"/>
  <c r="Q216" i="8"/>
  <c r="P216" i="8"/>
  <c r="Q215" i="8"/>
  <c r="P215" i="8"/>
  <c r="P214" i="8"/>
  <c r="P213" i="8"/>
  <c r="Q212" i="8"/>
  <c r="P212" i="8"/>
  <c r="O212" i="8"/>
  <c r="J212" i="8"/>
  <c r="J214" i="8" s="1"/>
  <c r="J215" i="8" s="1"/>
  <c r="J216" i="8" s="1"/>
  <c r="M211" i="8"/>
  <c r="G211" i="8"/>
  <c r="D211" i="8"/>
  <c r="Q252" i="8"/>
  <c r="Q251" i="8" s="1"/>
  <c r="P252" i="8"/>
  <c r="P251" i="8" s="1"/>
  <c r="M251" i="8"/>
  <c r="G251" i="8"/>
  <c r="D251" i="8"/>
  <c r="P250" i="8"/>
  <c r="Q249" i="8"/>
  <c r="P249" i="8"/>
  <c r="Q248" i="8"/>
  <c r="P248" i="8"/>
  <c r="P247" i="8"/>
  <c r="Q246" i="8"/>
  <c r="P246" i="8"/>
  <c r="J246" i="8"/>
  <c r="D245" i="8"/>
  <c r="Q210" i="8"/>
  <c r="P210" i="8"/>
  <c r="O210" i="8"/>
  <c r="Q209" i="8"/>
  <c r="P209" i="8"/>
  <c r="O209" i="8"/>
  <c r="J209" i="8"/>
  <c r="J210" i="8" s="1"/>
  <c r="Q208" i="8"/>
  <c r="P208" i="8"/>
  <c r="O208" i="8"/>
  <c r="Q207" i="8"/>
  <c r="P207" i="8"/>
  <c r="O207" i="8"/>
  <c r="Q206" i="8"/>
  <c r="P206" i="8"/>
  <c r="O206" i="8"/>
  <c r="Q205" i="8"/>
  <c r="P205" i="8"/>
  <c r="O205" i="8"/>
  <c r="I205" i="8"/>
  <c r="I206" i="8" s="1"/>
  <c r="M204" i="8"/>
  <c r="G204" i="8"/>
  <c r="D204" i="8"/>
  <c r="Q203" i="8"/>
  <c r="P203" i="8"/>
  <c r="O203" i="8"/>
  <c r="J203" i="8"/>
  <c r="Q202" i="8"/>
  <c r="O202" i="8"/>
  <c r="Q201" i="8"/>
  <c r="O201" i="8"/>
  <c r="Q200" i="8"/>
  <c r="P200" i="8"/>
  <c r="O200" i="8"/>
  <c r="Q199" i="8"/>
  <c r="P199" i="8"/>
  <c r="O199" i="8"/>
  <c r="Q198" i="8"/>
  <c r="P198" i="8"/>
  <c r="O198" i="8"/>
  <c r="I198" i="8"/>
  <c r="I199" i="8" s="1"/>
  <c r="M197" i="8"/>
  <c r="D197" i="8"/>
  <c r="Q196" i="8"/>
  <c r="Q195" i="8" s="1"/>
  <c r="P196" i="8"/>
  <c r="P195" i="8" s="1"/>
  <c r="M195" i="8"/>
  <c r="D195" i="8"/>
  <c r="Q244" i="8"/>
  <c r="Q243" i="8" s="1"/>
  <c r="P244" i="8"/>
  <c r="P243" i="8" s="1"/>
  <c r="M243" i="8"/>
  <c r="D243" i="8"/>
  <c r="P242" i="8"/>
  <c r="Q241" i="8"/>
  <c r="P241" i="8"/>
  <c r="O241" i="8"/>
  <c r="Q240" i="8"/>
  <c r="P240" i="8"/>
  <c r="O240" i="8"/>
  <c r="Q239" i="8"/>
  <c r="P239" i="8"/>
  <c r="O239" i="8"/>
  <c r="Q238" i="8"/>
  <c r="P238" i="8"/>
  <c r="O238" i="8"/>
  <c r="Q237" i="8"/>
  <c r="P237" i="8"/>
  <c r="O237" i="8"/>
  <c r="Q236" i="8"/>
  <c r="P236" i="8"/>
  <c r="O236" i="8"/>
  <c r="Q235" i="8"/>
  <c r="P235" i="8"/>
  <c r="O235" i="8"/>
  <c r="Q234" i="8"/>
  <c r="P234" i="8"/>
  <c r="O234" i="8"/>
  <c r="J234" i="8"/>
  <c r="J236" i="8" s="1"/>
  <c r="M233" i="8"/>
  <c r="D233" i="8"/>
  <c r="Q232" i="8"/>
  <c r="Q231" i="8" s="1"/>
  <c r="P232" i="8"/>
  <c r="P231" i="8" s="1"/>
  <c r="M231" i="8"/>
  <c r="G231" i="8"/>
  <c r="D231" i="8"/>
  <c r="Q194" i="8"/>
  <c r="P194" i="8"/>
  <c r="O194" i="8"/>
  <c r="Q193" i="8"/>
  <c r="P193" i="8"/>
  <c r="O193" i="8"/>
  <c r="Q192" i="8"/>
  <c r="P192" i="8"/>
  <c r="O192" i="8"/>
  <c r="Q191" i="8"/>
  <c r="P191" i="8"/>
  <c r="O191" i="8"/>
  <c r="M190" i="8"/>
  <c r="Q189" i="8"/>
  <c r="P189" i="8"/>
  <c r="Q188" i="8"/>
  <c r="P188" i="8"/>
  <c r="Q187" i="8"/>
  <c r="P187" i="8"/>
  <c r="O187" i="8"/>
  <c r="Q186" i="8"/>
  <c r="P186" i="8"/>
  <c r="O186" i="8"/>
  <c r="Q185" i="8"/>
  <c r="P185" i="8"/>
  <c r="O185" i="8"/>
  <c r="J185" i="8"/>
  <c r="J186" i="8" s="1"/>
  <c r="M184" i="8"/>
  <c r="G184" i="8"/>
  <c r="D184" i="8"/>
  <c r="Q183" i="8"/>
  <c r="P183" i="8"/>
  <c r="O183" i="8"/>
  <c r="P182" i="8"/>
  <c r="O182" i="8"/>
  <c r="J182" i="8"/>
  <c r="J183" i="8" s="1"/>
  <c r="Q181" i="8"/>
  <c r="P181" i="8"/>
  <c r="O181" i="8"/>
  <c r="Q180" i="8"/>
  <c r="P180" i="8"/>
  <c r="O180" i="8"/>
  <c r="Q179" i="8"/>
  <c r="P179" i="8"/>
  <c r="O179" i="8"/>
  <c r="Q178" i="8"/>
  <c r="P178" i="8"/>
  <c r="O178" i="8"/>
  <c r="I178" i="8"/>
  <c r="I179" i="8" s="1"/>
  <c r="M177" i="8"/>
  <c r="D177" i="8"/>
  <c r="Q176" i="8"/>
  <c r="Q175" i="8" s="1"/>
  <c r="P176" i="8"/>
  <c r="P175" i="8" s="1"/>
  <c r="M175" i="8"/>
  <c r="G175" i="8"/>
  <c r="D175" i="8"/>
  <c r="Q174" i="8"/>
  <c r="P174" i="8"/>
  <c r="O174" i="8"/>
  <c r="J174" i="8"/>
  <c r="Q173" i="8"/>
  <c r="P173" i="8"/>
  <c r="O173" i="8"/>
  <c r="Q172" i="8"/>
  <c r="P172" i="8"/>
  <c r="O172" i="8"/>
  <c r="Q171" i="8"/>
  <c r="P171" i="8"/>
  <c r="O171" i="8"/>
  <c r="Q170" i="8"/>
  <c r="P170" i="8"/>
  <c r="O170" i="8"/>
  <c r="Q169" i="8"/>
  <c r="P169" i="8"/>
  <c r="O169" i="8"/>
  <c r="I169" i="8"/>
  <c r="I170" i="8" s="1"/>
  <c r="M168" i="8"/>
  <c r="G168" i="8"/>
  <c r="D168" i="8"/>
  <c r="Q167" i="8"/>
  <c r="P167" i="8"/>
  <c r="J167" i="8"/>
  <c r="I167" i="8" s="1"/>
  <c r="Q166" i="8"/>
  <c r="P166" i="8"/>
  <c r="O166" i="8"/>
  <c r="Q165" i="8"/>
  <c r="P165" i="8"/>
  <c r="O165" i="8"/>
  <c r="Q164" i="8"/>
  <c r="P164" i="8"/>
  <c r="O164" i="8"/>
  <c r="I164" i="8"/>
  <c r="I165" i="8" s="1"/>
  <c r="M163" i="8"/>
  <c r="G163" i="8"/>
  <c r="D163" i="8"/>
  <c r="Q162" i="8"/>
  <c r="P162" i="8"/>
  <c r="J162" i="8"/>
  <c r="Q161" i="8"/>
  <c r="P161" i="8"/>
  <c r="O161" i="8"/>
  <c r="Q160" i="8"/>
  <c r="P160" i="8"/>
  <c r="O160" i="8"/>
  <c r="Q159" i="8"/>
  <c r="P159" i="8"/>
  <c r="O159" i="8"/>
  <c r="I159" i="8"/>
  <c r="I160" i="8" s="1"/>
  <c r="M158" i="8"/>
  <c r="G158" i="8"/>
  <c r="D158" i="8"/>
  <c r="Q157" i="8"/>
  <c r="P157" i="8"/>
  <c r="Q156" i="8"/>
  <c r="P156" i="8"/>
  <c r="O156" i="8"/>
  <c r="Q155" i="8"/>
  <c r="P155" i="8"/>
  <c r="O155" i="8"/>
  <c r="Q154" i="8"/>
  <c r="P154" i="8"/>
  <c r="O154" i="8"/>
  <c r="I154" i="8"/>
  <c r="I155" i="8" s="1"/>
  <c r="I156" i="8" s="1"/>
  <c r="I157" i="8" s="1"/>
  <c r="M153" i="8"/>
  <c r="G153" i="8"/>
  <c r="D153" i="8"/>
  <c r="Q152" i="8"/>
  <c r="P152" i="8"/>
  <c r="J152" i="8"/>
  <c r="Q151" i="8"/>
  <c r="P151" i="8"/>
  <c r="O151" i="8"/>
  <c r="Q150" i="8"/>
  <c r="P150" i="8"/>
  <c r="O150" i="8"/>
  <c r="Q149" i="8"/>
  <c r="P149" i="8"/>
  <c r="O149" i="8"/>
  <c r="I149" i="8"/>
  <c r="I150" i="8" s="1"/>
  <c r="M148" i="8"/>
  <c r="D148" i="8"/>
  <c r="Q147" i="8"/>
  <c r="P147" i="8"/>
  <c r="Q146" i="8"/>
  <c r="P146" i="8"/>
  <c r="O146" i="8"/>
  <c r="Q145" i="8"/>
  <c r="P145" i="8"/>
  <c r="O145" i="8"/>
  <c r="Q144" i="8"/>
  <c r="P144" i="8"/>
  <c r="O144" i="8"/>
  <c r="I144" i="8"/>
  <c r="I145" i="8" s="1"/>
  <c r="I146" i="8" s="1"/>
  <c r="I147" i="8" s="1"/>
  <c r="M143" i="8"/>
  <c r="G143" i="8"/>
  <c r="D143" i="8"/>
  <c r="Q230" i="8"/>
  <c r="Q229" i="8" s="1"/>
  <c r="P230" i="8"/>
  <c r="P229" i="8" s="1"/>
  <c r="M229" i="8"/>
  <c r="G229" i="8"/>
  <c r="D229" i="8"/>
  <c r="Q142" i="8"/>
  <c r="P142" i="8"/>
  <c r="O142" i="8"/>
  <c r="J142" i="8"/>
  <c r="Q141" i="8"/>
  <c r="P141" i="8"/>
  <c r="O141" i="8"/>
  <c r="Q140" i="8"/>
  <c r="P140" i="8"/>
  <c r="O140" i="8"/>
  <c r="Q139" i="8"/>
  <c r="P139" i="8"/>
  <c r="O139" i="8"/>
  <c r="Q138" i="8"/>
  <c r="P138" i="8"/>
  <c r="O138" i="8"/>
  <c r="I138" i="8"/>
  <c r="I139" i="8" s="1"/>
  <c r="I140" i="8" s="1"/>
  <c r="M137" i="8"/>
  <c r="D137" i="8"/>
  <c r="Q136" i="8"/>
  <c r="P136" i="8"/>
  <c r="O136" i="8"/>
  <c r="Q135" i="8"/>
  <c r="P135" i="8"/>
  <c r="O135" i="8"/>
  <c r="Q134" i="8"/>
  <c r="P134" i="8"/>
  <c r="O134" i="8"/>
  <c r="Q133" i="8"/>
  <c r="P133" i="8"/>
  <c r="O133" i="8"/>
  <c r="Q132" i="8"/>
  <c r="P132" i="8"/>
  <c r="O132" i="8"/>
  <c r="I132" i="8"/>
  <c r="I133" i="8" s="1"/>
  <c r="I134" i="8" s="1"/>
  <c r="I135" i="8" s="1"/>
  <c r="I136" i="8" s="1"/>
  <c r="M131" i="8"/>
  <c r="G131" i="8"/>
  <c r="D131" i="8"/>
  <c r="Q130" i="8"/>
  <c r="P130" i="8"/>
  <c r="O130" i="8"/>
  <c r="Q129" i="8"/>
  <c r="P129" i="8"/>
  <c r="O129" i="8"/>
  <c r="Q128" i="8"/>
  <c r="P128" i="8"/>
  <c r="O128" i="8"/>
  <c r="Q127" i="8"/>
  <c r="P127" i="8"/>
  <c r="O127" i="8"/>
  <c r="Q126" i="8"/>
  <c r="P126" i="8"/>
  <c r="O126" i="8"/>
  <c r="Q125" i="8"/>
  <c r="P125" i="8"/>
  <c r="O125" i="8"/>
  <c r="Q124" i="8"/>
  <c r="P124" i="8"/>
  <c r="O124" i="8"/>
  <c r="I124" i="8"/>
  <c r="I125" i="8" s="1"/>
  <c r="I126" i="8" s="1"/>
  <c r="I127" i="8" s="1"/>
  <c r="I128" i="8" s="1"/>
  <c r="I129" i="8" s="1"/>
  <c r="I130" i="8" s="1"/>
  <c r="M123" i="8"/>
  <c r="G123" i="8"/>
  <c r="D123" i="8"/>
  <c r="Q122" i="8"/>
  <c r="P122" i="8"/>
  <c r="O122" i="8"/>
  <c r="Q121" i="8"/>
  <c r="P121" i="8"/>
  <c r="O121" i="8"/>
  <c r="Q120" i="8"/>
  <c r="P120" i="8"/>
  <c r="O120" i="8"/>
  <c r="Q119" i="8"/>
  <c r="P119" i="8"/>
  <c r="O119" i="8"/>
  <c r="Q118" i="8"/>
  <c r="P118" i="8"/>
  <c r="O118" i="8"/>
  <c r="Q117" i="8"/>
  <c r="P117" i="8"/>
  <c r="O117" i="8"/>
  <c r="Q116" i="8"/>
  <c r="P116" i="8"/>
  <c r="O116" i="8"/>
  <c r="I116" i="8"/>
  <c r="I117" i="8" s="1"/>
  <c r="I118" i="8" s="1"/>
  <c r="I119" i="8" s="1"/>
  <c r="I120" i="8" s="1"/>
  <c r="I121" i="8" s="1"/>
  <c r="I122" i="8" s="1"/>
  <c r="M115" i="8"/>
  <c r="G115" i="8"/>
  <c r="D115" i="8"/>
  <c r="J114" i="8"/>
  <c r="J113" i="8"/>
  <c r="Q112" i="8"/>
  <c r="P112" i="8"/>
  <c r="Q111" i="8"/>
  <c r="P111" i="8"/>
  <c r="O111" i="8"/>
  <c r="Q110" i="8"/>
  <c r="P110" i="8"/>
  <c r="O110" i="8"/>
  <c r="Q109" i="8"/>
  <c r="P109" i="8"/>
  <c r="O109" i="8"/>
  <c r="I109" i="8"/>
  <c r="I110" i="8" s="1"/>
  <c r="I111" i="8" s="1"/>
  <c r="I112" i="8" s="1"/>
  <c r="M108" i="8"/>
  <c r="D108" i="8"/>
  <c r="Q107" i="8"/>
  <c r="P107" i="8"/>
  <c r="O107" i="8"/>
  <c r="Q106" i="8"/>
  <c r="P106" i="8"/>
  <c r="O106" i="8"/>
  <c r="Q105" i="8"/>
  <c r="P105" i="8"/>
  <c r="O105" i="8"/>
  <c r="Q104" i="8"/>
  <c r="P104" i="8"/>
  <c r="O104" i="8"/>
  <c r="Q103" i="8"/>
  <c r="P103" i="8"/>
  <c r="O103" i="8"/>
  <c r="Q102" i="8"/>
  <c r="P102" i="8"/>
  <c r="O102" i="8"/>
  <c r="Q101" i="8"/>
  <c r="P101" i="8"/>
  <c r="O101" i="8"/>
  <c r="I101" i="8"/>
  <c r="I102" i="8" s="1"/>
  <c r="I103" i="8" s="1"/>
  <c r="I104" i="8" s="1"/>
  <c r="I105" i="8" s="1"/>
  <c r="I106" i="8" s="1"/>
  <c r="I107" i="8" s="1"/>
  <c r="M100" i="8"/>
  <c r="G100" i="8"/>
  <c r="D100" i="8"/>
  <c r="Q99" i="8"/>
  <c r="Q98" i="8" s="1"/>
  <c r="P99" i="8"/>
  <c r="P98" i="8" s="1"/>
  <c r="M98" i="8"/>
  <c r="G98" i="8"/>
  <c r="D98" i="8"/>
  <c r="Q97" i="8"/>
  <c r="P97" i="8"/>
  <c r="Q96" i="8"/>
  <c r="P96" i="8"/>
  <c r="O96" i="8"/>
  <c r="J96" i="8"/>
  <c r="J97" i="8" s="1"/>
  <c r="Q95" i="8"/>
  <c r="P95" i="8"/>
  <c r="O95" i="8"/>
  <c r="I95" i="8"/>
  <c r="M94" i="8"/>
  <c r="G94" i="8"/>
  <c r="D94" i="8"/>
  <c r="Q93" i="8"/>
  <c r="P93" i="8"/>
  <c r="O93" i="8"/>
  <c r="Q92" i="8"/>
  <c r="P92" i="8"/>
  <c r="O92" i="8"/>
  <c r="Q91" i="8"/>
  <c r="P91" i="8"/>
  <c r="O91" i="8"/>
  <c r="Q90" i="8"/>
  <c r="P90" i="8"/>
  <c r="O90" i="8"/>
  <c r="I90" i="8"/>
  <c r="I91" i="8" s="1"/>
  <c r="I92" i="8" s="1"/>
  <c r="I93" i="8" s="1"/>
  <c r="M89" i="8"/>
  <c r="G89" i="8"/>
  <c r="D89" i="8"/>
  <c r="Q88" i="8"/>
  <c r="P88" i="8"/>
  <c r="O88" i="8"/>
  <c r="Q87" i="8"/>
  <c r="P87" i="8"/>
  <c r="O87" i="8"/>
  <c r="Q86" i="8"/>
  <c r="P86" i="8"/>
  <c r="O86" i="8"/>
  <c r="Q85" i="8"/>
  <c r="P85" i="8"/>
  <c r="O85" i="8"/>
  <c r="I85" i="8"/>
  <c r="I86" i="8" s="1"/>
  <c r="I87" i="8" s="1"/>
  <c r="I88" i="8" s="1"/>
  <c r="M84" i="8"/>
  <c r="G84" i="8"/>
  <c r="D84" i="8"/>
  <c r="Q83" i="8"/>
  <c r="P83" i="8"/>
  <c r="O83" i="8"/>
  <c r="Q82" i="8"/>
  <c r="P82" i="8"/>
  <c r="O82" i="8"/>
  <c r="Q81" i="8"/>
  <c r="P81" i="8"/>
  <c r="O81" i="8"/>
  <c r="Q80" i="8"/>
  <c r="P80" i="8"/>
  <c r="O80" i="8"/>
  <c r="Q79" i="8"/>
  <c r="P79" i="8"/>
  <c r="O79" i="8"/>
  <c r="I79" i="8"/>
  <c r="I80" i="8" s="1"/>
  <c r="I81" i="8" s="1"/>
  <c r="I82" i="8" s="1"/>
  <c r="I83" i="8" s="1"/>
  <c r="M78" i="8"/>
  <c r="G78" i="8"/>
  <c r="D78" i="8"/>
  <c r="Q77" i="8"/>
  <c r="P77" i="8"/>
  <c r="O77" i="8"/>
  <c r="Q76" i="8"/>
  <c r="P76" i="8"/>
  <c r="O76" i="8"/>
  <c r="Q75" i="8"/>
  <c r="P75" i="8"/>
  <c r="O75" i="8"/>
  <c r="Q74" i="8"/>
  <c r="P74" i="8"/>
  <c r="O74" i="8"/>
  <c r="Q73" i="8"/>
  <c r="P73" i="8"/>
  <c r="O73" i="8"/>
  <c r="Q72" i="8"/>
  <c r="P72" i="8"/>
  <c r="O72" i="8"/>
  <c r="Q71" i="8"/>
  <c r="P71" i="8"/>
  <c r="O71" i="8"/>
  <c r="I71" i="8"/>
  <c r="I72" i="8" s="1"/>
  <c r="I73" i="8" s="1"/>
  <c r="I74" i="8" s="1"/>
  <c r="I75" i="8" s="1"/>
  <c r="I76" i="8" s="1"/>
  <c r="I77" i="8" s="1"/>
  <c r="M70" i="8"/>
  <c r="G70" i="8"/>
  <c r="D70" i="8"/>
  <c r="Q69" i="8"/>
  <c r="P69" i="8"/>
  <c r="O69" i="8"/>
  <c r="Q68" i="8"/>
  <c r="P68" i="8"/>
  <c r="O68" i="8"/>
  <c r="Q67" i="8"/>
  <c r="P67" i="8"/>
  <c r="O67" i="8"/>
  <c r="Q66" i="8"/>
  <c r="P66" i="8"/>
  <c r="O66" i="8"/>
  <c r="Q65" i="8"/>
  <c r="P65" i="8"/>
  <c r="O65" i="8"/>
  <c r="Q64" i="8"/>
  <c r="P64" i="8"/>
  <c r="O64" i="8"/>
  <c r="Q63" i="8"/>
  <c r="P63" i="8"/>
  <c r="O63" i="8"/>
  <c r="I63" i="8"/>
  <c r="I64" i="8" s="1"/>
  <c r="I65" i="8" s="1"/>
  <c r="I66" i="8" s="1"/>
  <c r="I67" i="8" s="1"/>
  <c r="I68" i="8" s="1"/>
  <c r="I69" i="8" s="1"/>
  <c r="M62" i="8"/>
  <c r="G62" i="8"/>
  <c r="D62" i="8"/>
  <c r="Q61" i="8"/>
  <c r="P61" i="8"/>
  <c r="O61" i="8"/>
  <c r="J61" i="8"/>
  <c r="Q60" i="8"/>
  <c r="P60" i="8"/>
  <c r="O60" i="8"/>
  <c r="Q59" i="8"/>
  <c r="P59" i="8"/>
  <c r="O59" i="8"/>
  <c r="Q58" i="8"/>
  <c r="P58" i="8"/>
  <c r="O58" i="8"/>
  <c r="Q57" i="8"/>
  <c r="P57" i="8"/>
  <c r="O57" i="8"/>
  <c r="Q56" i="8"/>
  <c r="P56" i="8"/>
  <c r="O56" i="8"/>
  <c r="Q55" i="8"/>
  <c r="P55" i="8"/>
  <c r="O55" i="8"/>
  <c r="I55" i="8"/>
  <c r="I56" i="8" s="1"/>
  <c r="I57" i="8" s="1"/>
  <c r="I58" i="8" s="1"/>
  <c r="I59" i="8" s="1"/>
  <c r="I60" i="8" s="1"/>
  <c r="M54" i="8"/>
  <c r="G54" i="8"/>
  <c r="D54" i="8"/>
  <c r="Q53" i="8"/>
  <c r="P53" i="8"/>
  <c r="O53" i="8"/>
  <c r="Q52" i="8"/>
  <c r="P52" i="8"/>
  <c r="O52" i="8"/>
  <c r="Q51" i="8"/>
  <c r="P51" i="8"/>
  <c r="O51" i="8"/>
  <c r="Q50" i="8"/>
  <c r="P50" i="8"/>
  <c r="O50" i="8"/>
  <c r="Q49" i="8"/>
  <c r="P49" i="8"/>
  <c r="O49" i="8"/>
  <c r="Q48" i="8"/>
  <c r="P48" i="8"/>
  <c r="O48" i="8"/>
  <c r="Q47" i="8"/>
  <c r="P47" i="8"/>
  <c r="O47" i="8"/>
  <c r="Q46" i="8"/>
  <c r="P46" i="8"/>
  <c r="O46" i="8"/>
  <c r="Q45" i="8"/>
  <c r="P45" i="8"/>
  <c r="O45" i="8"/>
  <c r="I45" i="8"/>
  <c r="I46" i="8" s="1"/>
  <c r="I47" i="8" s="1"/>
  <c r="I48" i="8" s="1"/>
  <c r="I49" i="8" s="1"/>
  <c r="I50" i="8" s="1"/>
  <c r="I51" i="8" s="1"/>
  <c r="I52" i="8" s="1"/>
  <c r="I53" i="8" s="1"/>
  <c r="M44" i="8"/>
  <c r="G44" i="8"/>
  <c r="D44" i="8"/>
  <c r="Q43" i="8"/>
  <c r="P43" i="8"/>
  <c r="O43" i="8"/>
  <c r="Q42" i="8"/>
  <c r="P42" i="8"/>
  <c r="O42" i="8"/>
  <c r="Q41" i="8"/>
  <c r="P41" i="8"/>
  <c r="O41" i="8"/>
  <c r="Q40" i="8"/>
  <c r="P40" i="8"/>
  <c r="O40" i="8"/>
  <c r="Q39" i="8"/>
  <c r="P39" i="8"/>
  <c r="O39" i="8"/>
  <c r="Q38" i="8"/>
  <c r="P38" i="8"/>
  <c r="O38" i="8"/>
  <c r="Q37" i="8"/>
  <c r="P37" i="8"/>
  <c r="O37" i="8"/>
  <c r="Q36" i="8"/>
  <c r="P36" i="8"/>
  <c r="O36" i="8"/>
  <c r="Q35" i="8"/>
  <c r="P35" i="8"/>
  <c r="O35" i="8"/>
  <c r="I35" i="8"/>
  <c r="I36" i="8" s="1"/>
  <c r="I37" i="8" s="1"/>
  <c r="I38" i="8" s="1"/>
  <c r="I39" i="8" s="1"/>
  <c r="I40" i="8" s="1"/>
  <c r="I41" i="8" s="1"/>
  <c r="I42" i="8" s="1"/>
  <c r="I43" i="8" s="1"/>
  <c r="M34" i="8"/>
  <c r="G34" i="8"/>
  <c r="D34" i="8"/>
  <c r="Q33" i="8"/>
  <c r="P33" i="8"/>
  <c r="O33" i="8"/>
  <c r="Q32" i="8"/>
  <c r="P32" i="8"/>
  <c r="O32" i="8"/>
  <c r="Q31" i="8"/>
  <c r="P31" i="8"/>
  <c r="O31" i="8"/>
  <c r="Q30" i="8"/>
  <c r="P30" i="8"/>
  <c r="Q29" i="8"/>
  <c r="P29" i="8"/>
  <c r="Q28" i="8"/>
  <c r="P28" i="8"/>
  <c r="Q27" i="8"/>
  <c r="P27" i="8"/>
  <c r="Q26" i="8"/>
  <c r="P26" i="8"/>
  <c r="Q25" i="8"/>
  <c r="P25" i="8"/>
  <c r="Q24" i="8"/>
  <c r="P24" i="8"/>
  <c r="I24" i="8"/>
  <c r="I25" i="8" s="1"/>
  <c r="I26" i="8" s="1"/>
  <c r="I27" i="8" s="1"/>
  <c r="I28" i="8" s="1"/>
  <c r="I29" i="8" s="1"/>
  <c r="I30" i="8" s="1"/>
  <c r="I31" i="8" s="1"/>
  <c r="I32" i="8" s="1"/>
  <c r="I33" i="8" s="1"/>
  <c r="M23" i="8"/>
  <c r="G23" i="8"/>
  <c r="D23" i="8"/>
  <c r="Q22" i="8"/>
  <c r="P22" i="8"/>
  <c r="O22" i="8"/>
  <c r="Q21" i="8"/>
  <c r="P21" i="8"/>
  <c r="O21" i="8"/>
  <c r="Q20" i="8"/>
  <c r="P20" i="8"/>
  <c r="O20" i="8"/>
  <c r="Q19" i="8"/>
  <c r="P19" i="8"/>
  <c r="O19" i="8"/>
  <c r="Q18" i="8"/>
  <c r="P18" i="8"/>
  <c r="O18" i="8"/>
  <c r="Q17" i="8"/>
  <c r="P17" i="8"/>
  <c r="O17" i="8"/>
  <c r="Q16" i="8"/>
  <c r="P16" i="8"/>
  <c r="O16" i="8"/>
  <c r="Q15" i="8"/>
  <c r="P15" i="8"/>
  <c r="O15" i="8"/>
  <c r="Q14" i="8"/>
  <c r="P14" i="8"/>
  <c r="O14" i="8"/>
  <c r="P13" i="8"/>
  <c r="M13" i="8"/>
  <c r="Q12" i="8"/>
  <c r="P12" i="8"/>
  <c r="O12" i="8"/>
  <c r="Q11" i="8"/>
  <c r="P11" i="8"/>
  <c r="O11" i="8"/>
  <c r="Q10" i="8"/>
  <c r="P10" i="8"/>
  <c r="O10" i="8"/>
  <c r="Q9" i="8"/>
  <c r="P9" i="8"/>
  <c r="O9" i="8"/>
  <c r="Q8" i="8"/>
  <c r="P8" i="8"/>
  <c r="O8" i="8"/>
  <c r="Q7" i="8"/>
  <c r="P7" i="8"/>
  <c r="O7" i="8"/>
  <c r="I7" i="8"/>
  <c r="I8" i="8" s="1"/>
  <c r="I9" i="8" s="1"/>
  <c r="I10" i="8" s="1"/>
  <c r="I11" i="8" s="1"/>
  <c r="I12" i="8" s="1"/>
  <c r="M6" i="8"/>
  <c r="G6" i="8"/>
  <c r="D6" i="8"/>
  <c r="Q2" i="8"/>
  <c r="H153" i="21"/>
  <c r="B2" i="19" s="1"/>
  <c r="I150" i="21"/>
  <c r="P150" i="21" s="1"/>
  <c r="P149" i="21"/>
  <c r="O149" i="21"/>
  <c r="O148" i="21" s="1"/>
  <c r="L148" i="21"/>
  <c r="F148" i="21"/>
  <c r="D148" i="21"/>
  <c r="O147" i="21"/>
  <c r="O146" i="21"/>
  <c r="I146" i="21"/>
  <c r="I147" i="21" s="1"/>
  <c r="P147" i="21" s="1"/>
  <c r="O145" i="21"/>
  <c r="P144" i="21"/>
  <c r="O144" i="21"/>
  <c r="P143" i="21"/>
  <c r="O143" i="21"/>
  <c r="L142" i="21"/>
  <c r="D142" i="21"/>
  <c r="O141" i="21"/>
  <c r="I141" i="21"/>
  <c r="P141" i="21" s="1"/>
  <c r="P140" i="21"/>
  <c r="O140" i="21"/>
  <c r="P139" i="21"/>
  <c r="O139" i="21"/>
  <c r="P138" i="21"/>
  <c r="O138" i="21"/>
  <c r="P137" i="21"/>
  <c r="O137" i="21"/>
  <c r="N137" i="21"/>
  <c r="P136" i="21"/>
  <c r="O136" i="21"/>
  <c r="N136" i="21"/>
  <c r="L135" i="21"/>
  <c r="D135" i="21"/>
  <c r="O134" i="21"/>
  <c r="N132" i="21"/>
  <c r="I132" i="21"/>
  <c r="P131" i="21"/>
  <c r="N131" i="21"/>
  <c r="P130" i="21"/>
  <c r="N130" i="21"/>
  <c r="P129" i="21"/>
  <c r="O129" i="21"/>
  <c r="N129" i="21"/>
  <c r="P128" i="21"/>
  <c r="O128" i="21"/>
  <c r="N128" i="21"/>
  <c r="P127" i="21"/>
  <c r="O127" i="21"/>
  <c r="N127" i="21"/>
  <c r="P126" i="21"/>
  <c r="O126" i="21"/>
  <c r="N126" i="21"/>
  <c r="P125" i="21"/>
  <c r="O125" i="21"/>
  <c r="N125" i="21"/>
  <c r="P124" i="21"/>
  <c r="O124" i="21"/>
  <c r="N124" i="21"/>
  <c r="P123" i="21"/>
  <c r="O123" i="21"/>
  <c r="N123" i="21"/>
  <c r="P122" i="21"/>
  <c r="O122" i="21"/>
  <c r="N122" i="21"/>
  <c r="P121" i="21"/>
  <c r="O121" i="21"/>
  <c r="N121" i="21"/>
  <c r="P120" i="21"/>
  <c r="O120" i="21"/>
  <c r="N120" i="21"/>
  <c r="L119" i="21"/>
  <c r="D119" i="21"/>
  <c r="P118" i="21"/>
  <c r="O118" i="21"/>
  <c r="P117" i="21"/>
  <c r="O117" i="21"/>
  <c r="L116" i="21"/>
  <c r="O115" i="21"/>
  <c r="P114" i="21"/>
  <c r="O114" i="21"/>
  <c r="I114" i="21"/>
  <c r="I115" i="21" s="1"/>
  <c r="P115" i="21" s="1"/>
  <c r="P113" i="21"/>
  <c r="O113" i="21"/>
  <c r="L112" i="21"/>
  <c r="F112" i="21"/>
  <c r="D112" i="21"/>
  <c r="O111" i="21"/>
  <c r="O110" i="21"/>
  <c r="I110" i="21"/>
  <c r="I111" i="21" s="1"/>
  <c r="P111" i="21" s="1"/>
  <c r="P109" i="21"/>
  <c r="O109" i="21"/>
  <c r="L108" i="21"/>
  <c r="F108" i="21"/>
  <c r="D108" i="21"/>
  <c r="P85" i="21"/>
  <c r="O85" i="21"/>
  <c r="O83" i="21" s="1"/>
  <c r="P84" i="21"/>
  <c r="O84" i="21"/>
  <c r="L83" i="21"/>
  <c r="D83" i="21"/>
  <c r="P107" i="21"/>
  <c r="O107" i="21"/>
  <c r="O104" i="21" s="1"/>
  <c r="O106" i="21"/>
  <c r="I106" i="21"/>
  <c r="O105" i="21"/>
  <c r="I105" i="21"/>
  <c r="H105" i="21" s="1"/>
  <c r="L104" i="21"/>
  <c r="F104" i="21"/>
  <c r="D104" i="21"/>
  <c r="O103" i="21"/>
  <c r="P102" i="21"/>
  <c r="O102" i="21"/>
  <c r="I102" i="21"/>
  <c r="I103" i="21" s="1"/>
  <c r="P103" i="21" s="1"/>
  <c r="P101" i="21"/>
  <c r="O101" i="21"/>
  <c r="P100" i="21"/>
  <c r="O100" i="21"/>
  <c r="H100" i="21"/>
  <c r="L99" i="21"/>
  <c r="D99" i="21"/>
  <c r="I97" i="21"/>
  <c r="P96" i="21"/>
  <c r="P95" i="21"/>
  <c r="P94" i="21"/>
  <c r="P93" i="21"/>
  <c r="P92" i="21"/>
  <c r="O92" i="21"/>
  <c r="P91" i="21"/>
  <c r="O91" i="21"/>
  <c r="L90" i="21"/>
  <c r="F90" i="21"/>
  <c r="D90" i="21"/>
  <c r="P82" i="21"/>
  <c r="O82" i="21"/>
  <c r="P81" i="21"/>
  <c r="O81" i="21"/>
  <c r="P80" i="21"/>
  <c r="O80" i="21"/>
  <c r="P79" i="21"/>
  <c r="O79" i="21"/>
  <c r="I79" i="21"/>
  <c r="I81" i="21" s="1"/>
  <c r="P78" i="21"/>
  <c r="O78" i="21"/>
  <c r="L77" i="21"/>
  <c r="F77" i="21"/>
  <c r="D77" i="21"/>
  <c r="P89" i="21"/>
  <c r="I89" i="21"/>
  <c r="O89" i="21" s="1"/>
  <c r="P88" i="21"/>
  <c r="O88" i="21"/>
  <c r="P87" i="21"/>
  <c r="O87" i="21"/>
  <c r="N87" i="21"/>
  <c r="L86" i="21"/>
  <c r="F86" i="21"/>
  <c r="D86" i="21"/>
  <c r="P76" i="21"/>
  <c r="O76" i="21"/>
  <c r="P75" i="21"/>
  <c r="O75" i="21"/>
  <c r="I75" i="21"/>
  <c r="I76" i="21" s="1"/>
  <c r="P74" i="21"/>
  <c r="O74" i="21"/>
  <c r="P73" i="21"/>
  <c r="O73" i="21"/>
  <c r="P72" i="21"/>
  <c r="O72" i="21"/>
  <c r="P71" i="21"/>
  <c r="O71" i="21"/>
  <c r="H71" i="21"/>
  <c r="L70" i="21"/>
  <c r="F70" i="21"/>
  <c r="D70" i="21"/>
  <c r="P69" i="21"/>
  <c r="P68" i="21"/>
  <c r="I68" i="21"/>
  <c r="I69" i="21" s="1"/>
  <c r="H69" i="21" s="1"/>
  <c r="P67" i="21"/>
  <c r="O67" i="21"/>
  <c r="P66" i="21"/>
  <c r="O66" i="21"/>
  <c r="O65" i="21" s="1"/>
  <c r="L65" i="21"/>
  <c r="F65" i="21"/>
  <c r="D65" i="21"/>
  <c r="P64" i="21"/>
  <c r="O64" i="21"/>
  <c r="I64" i="21"/>
  <c r="P63" i="21"/>
  <c r="O63" i="21"/>
  <c r="P62" i="21"/>
  <c r="O62" i="21"/>
  <c r="N62" i="21"/>
  <c r="H62" i="21"/>
  <c r="H63" i="21" s="1"/>
  <c r="L61" i="21"/>
  <c r="F61" i="21"/>
  <c r="D61" i="21"/>
  <c r="P60" i="21"/>
  <c r="O60" i="21"/>
  <c r="P59" i="21"/>
  <c r="O59" i="21"/>
  <c r="N59" i="21"/>
  <c r="H59" i="21"/>
  <c r="H60" i="21" s="1"/>
  <c r="L58" i="21"/>
  <c r="F58" i="21"/>
  <c r="D58" i="21"/>
  <c r="P57" i="21"/>
  <c r="O57" i="21"/>
  <c r="I57" i="21"/>
  <c r="P56" i="21"/>
  <c r="O56" i="21"/>
  <c r="N56" i="21"/>
  <c r="P55" i="21"/>
  <c r="O55" i="21"/>
  <c r="N55" i="21"/>
  <c r="P54" i="21"/>
  <c r="O54" i="21"/>
  <c r="N54" i="21"/>
  <c r="H54" i="21"/>
  <c r="H55" i="21" s="1"/>
  <c r="L53" i="21"/>
  <c r="F53" i="21"/>
  <c r="D53" i="21"/>
  <c r="P52" i="21"/>
  <c r="O52" i="21"/>
  <c r="P51" i="21"/>
  <c r="O51" i="21"/>
  <c r="P50" i="21"/>
  <c r="O50" i="21"/>
  <c r="N50" i="21"/>
  <c r="H50" i="21"/>
  <c r="L49" i="21"/>
  <c r="F49" i="21"/>
  <c r="D49" i="21"/>
  <c r="P48" i="21"/>
  <c r="O48" i="21"/>
  <c r="I48" i="21"/>
  <c r="P47" i="21"/>
  <c r="O47" i="21"/>
  <c r="N47" i="21"/>
  <c r="P46" i="21"/>
  <c r="O46" i="21"/>
  <c r="N46" i="21"/>
  <c r="H46" i="21"/>
  <c r="H47" i="21" s="1"/>
  <c r="L45" i="21"/>
  <c r="F45" i="21"/>
  <c r="D45" i="21"/>
  <c r="P44" i="21"/>
  <c r="O44" i="21"/>
  <c r="N44" i="21"/>
  <c r="P43" i="21"/>
  <c r="O43" i="21"/>
  <c r="N43" i="21"/>
  <c r="P42" i="21"/>
  <c r="O42" i="21"/>
  <c r="N42" i="21"/>
  <c r="P41" i="21"/>
  <c r="O41" i="21"/>
  <c r="N41" i="21"/>
  <c r="P40" i="21"/>
  <c r="O40" i="21"/>
  <c r="N40" i="21"/>
  <c r="P39" i="21"/>
  <c r="O39" i="21"/>
  <c r="N39" i="21"/>
  <c r="H39" i="21"/>
  <c r="H40" i="21" s="1"/>
  <c r="H41" i="21" s="1"/>
  <c r="H42" i="21" s="1"/>
  <c r="H43" i="21" s="1"/>
  <c r="H44" i="21" s="1"/>
  <c r="L38" i="21"/>
  <c r="D38" i="21"/>
  <c r="P37" i="21"/>
  <c r="O37" i="21"/>
  <c r="P36" i="21"/>
  <c r="O36" i="21"/>
  <c r="P35" i="21"/>
  <c r="O35" i="21"/>
  <c r="N35" i="21"/>
  <c r="P34" i="21"/>
  <c r="O34" i="21"/>
  <c r="N34" i="21"/>
  <c r="H34" i="21"/>
  <c r="H35" i="21" s="1"/>
  <c r="L33" i="21"/>
  <c r="F33" i="21"/>
  <c r="D33" i="21"/>
  <c r="P32" i="21"/>
  <c r="O32" i="21"/>
  <c r="N32" i="21"/>
  <c r="P31" i="21"/>
  <c r="O31" i="21"/>
  <c r="N31" i="21"/>
  <c r="P30" i="21"/>
  <c r="O30" i="21"/>
  <c r="N30" i="21"/>
  <c r="P29" i="21"/>
  <c r="O29" i="21"/>
  <c r="N29" i="21"/>
  <c r="L28" i="21"/>
  <c r="P27" i="21"/>
  <c r="O27" i="21"/>
  <c r="N27" i="21"/>
  <c r="P26" i="21"/>
  <c r="O26" i="21"/>
  <c r="N26" i="21"/>
  <c r="P25" i="21"/>
  <c r="O25" i="21"/>
  <c r="N25" i="21"/>
  <c r="P24" i="21"/>
  <c r="O24" i="21"/>
  <c r="N24" i="21"/>
  <c r="P23" i="21"/>
  <c r="O23" i="21"/>
  <c r="N23" i="21"/>
  <c r="P22" i="21"/>
  <c r="O22" i="21"/>
  <c r="N22" i="21"/>
  <c r="P21" i="21"/>
  <c r="O21" i="21"/>
  <c r="N21" i="21"/>
  <c r="H21" i="21"/>
  <c r="H22" i="21" s="1"/>
  <c r="H23" i="21" s="1"/>
  <c r="H24" i="21" s="1"/>
  <c r="H25" i="21" s="1"/>
  <c r="H26" i="21" s="1"/>
  <c r="H27" i="21" s="1"/>
  <c r="L20" i="21"/>
  <c r="F20" i="21"/>
  <c r="D20" i="21"/>
  <c r="P19" i="21"/>
  <c r="O19" i="21"/>
  <c r="N19" i="21"/>
  <c r="P18" i="21"/>
  <c r="O18" i="21"/>
  <c r="N18" i="21"/>
  <c r="P17" i="21"/>
  <c r="O17" i="21"/>
  <c r="N17" i="21"/>
  <c r="P16" i="21"/>
  <c r="O16" i="21"/>
  <c r="N16" i="21"/>
  <c r="P15" i="21"/>
  <c r="O15" i="21"/>
  <c r="N15" i="21"/>
  <c r="P14" i="21"/>
  <c r="O14" i="21"/>
  <c r="N14" i="21"/>
  <c r="H14" i="21"/>
  <c r="H15" i="21" s="1"/>
  <c r="H16" i="21" s="1"/>
  <c r="H17" i="21" s="1"/>
  <c r="H18" i="21" s="1"/>
  <c r="H19" i="21" s="1"/>
  <c r="L13" i="21"/>
  <c r="F13" i="21"/>
  <c r="D13" i="21"/>
  <c r="P12" i="21"/>
  <c r="O12" i="21"/>
  <c r="N12" i="21"/>
  <c r="P11" i="21"/>
  <c r="O11" i="21"/>
  <c r="N11" i="21"/>
  <c r="P10" i="21"/>
  <c r="O10" i="21"/>
  <c r="N10" i="21"/>
  <c r="P9" i="21"/>
  <c r="O9" i="21"/>
  <c r="N9" i="21"/>
  <c r="P8" i="21"/>
  <c r="O8" i="21"/>
  <c r="N8" i="21"/>
  <c r="P7" i="21"/>
  <c r="O7" i="21"/>
  <c r="N7" i="21"/>
  <c r="L6" i="21"/>
  <c r="F6" i="21"/>
  <c r="D6" i="21"/>
  <c r="P2" i="21"/>
  <c r="K30" i="19"/>
  <c r="K35" i="19" s="1"/>
  <c r="C14" i="19"/>
  <c r="B14" i="19"/>
  <c r="B13" i="19"/>
  <c r="B12" i="19"/>
  <c r="C11" i="19"/>
  <c r="B8" i="19"/>
  <c r="D7" i="19"/>
  <c r="C7" i="19"/>
  <c r="B7" i="19"/>
  <c r="B6" i="19"/>
  <c r="B5" i="19"/>
  <c r="L23" i="26" l="1"/>
  <c r="L24" i="26"/>
  <c r="H51" i="21"/>
  <c r="H52" i="21" s="1"/>
  <c r="E42" i="26"/>
  <c r="E50" i="26"/>
  <c r="E54" i="26"/>
  <c r="E51" i="26"/>
  <c r="E55" i="26"/>
  <c r="E49" i="26"/>
  <c r="E53" i="26"/>
  <c r="E48" i="26"/>
  <c r="E52" i="26"/>
  <c r="H56" i="26"/>
  <c r="H57" i="26" s="1"/>
  <c r="D17" i="18"/>
  <c r="D41" i="18"/>
  <c r="D45" i="18"/>
  <c r="D49" i="18"/>
  <c r="D44" i="18"/>
  <c r="D22" i="18"/>
  <c r="D42" i="18"/>
  <c r="D46" i="18"/>
  <c r="D50" i="18"/>
  <c r="D48" i="18"/>
  <c r="D43" i="18"/>
  <c r="D47" i="18"/>
  <c r="D51" i="18"/>
  <c r="D52" i="18"/>
  <c r="D38" i="18"/>
  <c r="D23" i="18"/>
  <c r="D53" i="18" s="1"/>
  <c r="D54" i="18" s="1"/>
  <c r="D31" i="18"/>
  <c r="D35" i="18"/>
  <c r="D39" i="18"/>
  <c r="D30" i="18"/>
  <c r="D27" i="18"/>
  <c r="D24" i="18"/>
  <c r="D28" i="18"/>
  <c r="D32" i="18"/>
  <c r="D36" i="18"/>
  <c r="D40" i="18"/>
  <c r="D34" i="18"/>
  <c r="G39" i="18"/>
  <c r="G41" i="18"/>
  <c r="G45" i="18"/>
  <c r="G49" i="18"/>
  <c r="G44" i="18"/>
  <c r="G42" i="18"/>
  <c r="G46" i="18"/>
  <c r="G50" i="18"/>
  <c r="G48" i="18"/>
  <c r="G43" i="18"/>
  <c r="G47" i="18"/>
  <c r="G51" i="18"/>
  <c r="G40" i="18"/>
  <c r="G52" i="18"/>
  <c r="D25" i="18"/>
  <c r="D29" i="18"/>
  <c r="D33" i="18"/>
  <c r="D37" i="18"/>
  <c r="R35" i="19"/>
  <c r="R36" i="19" s="1"/>
  <c r="C13" i="19"/>
  <c r="I43" i="15"/>
  <c r="P28" i="5"/>
  <c r="O6" i="10"/>
  <c r="N19" i="10"/>
  <c r="L27" i="19" s="1"/>
  <c r="O11" i="13"/>
  <c r="L12" i="24"/>
  <c r="E14" i="19" s="1"/>
  <c r="G17" i="18"/>
  <c r="C15" i="19" s="1"/>
  <c r="K6" i="18"/>
  <c r="K17" i="18" s="1"/>
  <c r="E15" i="19" s="1"/>
  <c r="J356" i="8"/>
  <c r="M49" i="27"/>
  <c r="P9" i="5"/>
  <c r="L12" i="5"/>
  <c r="O45" i="21"/>
  <c r="J341" i="8"/>
  <c r="J342" i="8" s="1"/>
  <c r="P40" i="5"/>
  <c r="P46" i="5" s="1"/>
  <c r="L26" i="9"/>
  <c r="J335" i="8"/>
  <c r="J337" i="8" s="1"/>
  <c r="Q337" i="8" s="1"/>
  <c r="Q333" i="8" s="1"/>
  <c r="M26" i="9"/>
  <c r="Q335" i="8"/>
  <c r="J330" i="8"/>
  <c r="Q330" i="8" s="1"/>
  <c r="M18" i="9"/>
  <c r="L30" i="9"/>
  <c r="H72" i="13"/>
  <c r="O10" i="10"/>
  <c r="H24" i="10"/>
  <c r="N23" i="10"/>
  <c r="L32" i="19" s="1"/>
  <c r="L6" i="14"/>
  <c r="M6" i="14"/>
  <c r="M16" i="14" s="1"/>
  <c r="E9" i="19" s="1"/>
  <c r="P13" i="5"/>
  <c r="P16" i="5"/>
  <c r="P30" i="5"/>
  <c r="I6" i="9"/>
  <c r="I85" i="9" s="1"/>
  <c r="M10" i="9"/>
  <c r="M14" i="9"/>
  <c r="K14" i="10"/>
  <c r="C8" i="19" s="1"/>
  <c r="N6" i="10"/>
  <c r="N14" i="10" s="1"/>
  <c r="N10" i="10"/>
  <c r="N21" i="10"/>
  <c r="L30" i="19" s="1"/>
  <c r="I98" i="21"/>
  <c r="O98" i="21" s="1"/>
  <c r="O97" i="21"/>
  <c r="L32" i="5"/>
  <c r="P34" i="5"/>
  <c r="L10" i="9"/>
  <c r="L15" i="12"/>
  <c r="K14" i="18"/>
  <c r="L278" i="21"/>
  <c r="L282" i="21"/>
  <c r="L286" i="21"/>
  <c r="L276" i="21"/>
  <c r="L284" i="21"/>
  <c r="L281" i="21"/>
  <c r="L275" i="21"/>
  <c r="L279" i="21"/>
  <c r="L283" i="21"/>
  <c r="L280" i="21"/>
  <c r="L277" i="21"/>
  <c r="L285" i="21"/>
  <c r="P359" i="8"/>
  <c r="I118" i="22"/>
  <c r="I122" i="22"/>
  <c r="C10" i="19"/>
  <c r="I117" i="22"/>
  <c r="I119" i="22"/>
  <c r="I121" i="22"/>
  <c r="I123" i="22"/>
  <c r="I125" i="22"/>
  <c r="I127" i="22"/>
  <c r="I120" i="22"/>
  <c r="I126" i="22"/>
  <c r="I116" i="22"/>
  <c r="I124" i="22"/>
  <c r="K59" i="22"/>
  <c r="K55" i="22"/>
  <c r="K51" i="22"/>
  <c r="K47" i="22"/>
  <c r="K43" i="22"/>
  <c r="K34" i="22"/>
  <c r="K48" i="22"/>
  <c r="K11" i="22"/>
  <c r="K58" i="22"/>
  <c r="K54" i="22"/>
  <c r="K46" i="22"/>
  <c r="K42" i="22"/>
  <c r="K33" i="22"/>
  <c r="K29" i="22"/>
  <c r="K25" i="22"/>
  <c r="K44" i="22"/>
  <c r="K57" i="22"/>
  <c r="K53" i="22"/>
  <c r="K49" i="22"/>
  <c r="K45" i="22"/>
  <c r="K36" i="22"/>
  <c r="K32" i="22"/>
  <c r="K28" i="22"/>
  <c r="K24" i="22"/>
  <c r="K16" i="22"/>
  <c r="K8" i="22"/>
  <c r="K56" i="22"/>
  <c r="K52" i="22"/>
  <c r="K35" i="22"/>
  <c r="M51" i="22"/>
  <c r="M49" i="22"/>
  <c r="M54" i="22"/>
  <c r="M59" i="22"/>
  <c r="M29" i="22"/>
  <c r="M55" i="22"/>
  <c r="M48" i="22"/>
  <c r="M53" i="22"/>
  <c r="M57" i="22"/>
  <c r="L36" i="22"/>
  <c r="M52" i="22"/>
  <c r="M56" i="22"/>
  <c r="K7" i="22"/>
  <c r="B10" i="19"/>
  <c r="O10" i="28"/>
  <c r="K14" i="28"/>
  <c r="M22" i="9"/>
  <c r="M38" i="9"/>
  <c r="L34" i="9"/>
  <c r="O14" i="13"/>
  <c r="N14" i="13"/>
  <c r="O17" i="13"/>
  <c r="K30" i="13"/>
  <c r="C6" i="19" s="1"/>
  <c r="K94" i="13"/>
  <c r="K79" i="13"/>
  <c r="K83" i="13"/>
  <c r="K89" i="13"/>
  <c r="K95" i="13"/>
  <c r="K74" i="13"/>
  <c r="K76" i="13"/>
  <c r="K78" i="13"/>
  <c r="K80" i="13"/>
  <c r="K82" i="13"/>
  <c r="K84" i="13"/>
  <c r="K86" i="13"/>
  <c r="K88" i="13"/>
  <c r="K90" i="13"/>
  <c r="K92" i="13"/>
  <c r="K96" i="13"/>
  <c r="K77" i="13"/>
  <c r="K85" i="13"/>
  <c r="K91" i="13"/>
  <c r="K97" i="13"/>
  <c r="K75" i="13"/>
  <c r="K81" i="13"/>
  <c r="K87" i="13"/>
  <c r="K93" i="13"/>
  <c r="H54" i="13"/>
  <c r="H71" i="13"/>
  <c r="H51" i="13"/>
  <c r="H55" i="13"/>
  <c r="H59" i="13"/>
  <c r="H63" i="13"/>
  <c r="H68" i="13"/>
  <c r="H50" i="13"/>
  <c r="H62" i="13"/>
  <c r="N17" i="13"/>
  <c r="Q17" i="13" s="1"/>
  <c r="H74" i="13"/>
  <c r="H76" i="13"/>
  <c r="H78" i="13"/>
  <c r="H80" i="13"/>
  <c r="H82" i="13"/>
  <c r="H84" i="13"/>
  <c r="H86" i="13"/>
  <c r="H88" i="13"/>
  <c r="H90" i="13"/>
  <c r="H92" i="13"/>
  <c r="H94" i="13"/>
  <c r="H96" i="13"/>
  <c r="H30" i="13"/>
  <c r="H75" i="13"/>
  <c r="H77" i="13"/>
  <c r="H79" i="13"/>
  <c r="H81" i="13"/>
  <c r="H83" i="13"/>
  <c r="H85" i="13"/>
  <c r="H87" i="13"/>
  <c r="H89" i="13"/>
  <c r="H91" i="13"/>
  <c r="H93" i="13"/>
  <c r="H95" i="13"/>
  <c r="H97" i="13"/>
  <c r="H67" i="13"/>
  <c r="H52" i="13"/>
  <c r="H56" i="13"/>
  <c r="H60" i="13"/>
  <c r="H64" i="13"/>
  <c r="H69" i="13"/>
  <c r="H73" i="13"/>
  <c r="O26" i="13"/>
  <c r="H58" i="13"/>
  <c r="H66" i="13"/>
  <c r="H49" i="13"/>
  <c r="H53" i="13"/>
  <c r="H57" i="13"/>
  <c r="H61" i="13"/>
  <c r="H65" i="13"/>
  <c r="H70" i="13"/>
  <c r="J8" i="27"/>
  <c r="Q8" i="27" s="1"/>
  <c r="M60" i="27"/>
  <c r="M64" i="27"/>
  <c r="M68" i="27"/>
  <c r="M72" i="27"/>
  <c r="M76" i="27"/>
  <c r="M66" i="27"/>
  <c r="M70" i="27"/>
  <c r="M63" i="27"/>
  <c r="M67" i="27"/>
  <c r="M75" i="27"/>
  <c r="M61" i="27"/>
  <c r="M65" i="27"/>
  <c r="M69" i="27"/>
  <c r="M73" i="27"/>
  <c r="M62" i="27"/>
  <c r="M74" i="27"/>
  <c r="M71" i="27"/>
  <c r="P26" i="27"/>
  <c r="J28" i="27"/>
  <c r="Q28" i="27" s="1"/>
  <c r="J9" i="27"/>
  <c r="Q9" i="27" s="1"/>
  <c r="P18" i="27"/>
  <c r="P22" i="27"/>
  <c r="P61" i="21"/>
  <c r="P70" i="21"/>
  <c r="O38" i="21"/>
  <c r="P45" i="21"/>
  <c r="R45" i="21" s="1"/>
  <c r="O49" i="21"/>
  <c r="O86" i="21"/>
  <c r="P110" i="21"/>
  <c r="P108" i="21" s="1"/>
  <c r="R108" i="21" s="1"/>
  <c r="O58" i="21"/>
  <c r="P99" i="21"/>
  <c r="O116" i="21"/>
  <c r="O142" i="21"/>
  <c r="O20" i="21"/>
  <c r="O108" i="21"/>
  <c r="O53" i="21"/>
  <c r="P116" i="21"/>
  <c r="M526" i="8"/>
  <c r="M530" i="8"/>
  <c r="M534" i="8"/>
  <c r="M527" i="8"/>
  <c r="M531" i="8"/>
  <c r="M535" i="8"/>
  <c r="M537" i="8"/>
  <c r="M528" i="8"/>
  <c r="M532" i="8"/>
  <c r="M536" i="8"/>
  <c r="M529" i="8"/>
  <c r="M533" i="8"/>
  <c r="P276" i="8"/>
  <c r="P131" i="8"/>
  <c r="Q131" i="8"/>
  <c r="P177" i="8"/>
  <c r="Q177" i="8"/>
  <c r="Q6" i="8"/>
  <c r="Q13" i="8"/>
  <c r="P268" i="8"/>
  <c r="P328" i="8"/>
  <c r="P89" i="8"/>
  <c r="Q108" i="8"/>
  <c r="P153" i="8"/>
  <c r="P158" i="8"/>
  <c r="P163" i="8"/>
  <c r="P168" i="8"/>
  <c r="S231" i="8"/>
  <c r="P217" i="8"/>
  <c r="P70" i="8"/>
  <c r="P78" i="8"/>
  <c r="P84" i="8"/>
  <c r="P148" i="8"/>
  <c r="P211" i="8"/>
  <c r="J227" i="8"/>
  <c r="J228" i="8" s="1"/>
  <c r="I61" i="8"/>
  <c r="P23" i="8"/>
  <c r="P143" i="8"/>
  <c r="P190" i="8"/>
  <c r="P197" i="8"/>
  <c r="J304" i="8"/>
  <c r="J305" i="8" s="1"/>
  <c r="Q305" i="8" s="1"/>
  <c r="P338" i="8"/>
  <c r="O28" i="21"/>
  <c r="P38" i="21"/>
  <c r="O13" i="21"/>
  <c r="O33" i="21"/>
  <c r="P49" i="21"/>
  <c r="P53" i="21"/>
  <c r="O90" i="21"/>
  <c r="P13" i="21"/>
  <c r="P28" i="21"/>
  <c r="P58" i="21"/>
  <c r="P86" i="21"/>
  <c r="O61" i="21"/>
  <c r="R61" i="21" s="1"/>
  <c r="H64" i="21"/>
  <c r="P65" i="21"/>
  <c r="R65" i="21" s="1"/>
  <c r="O70" i="21"/>
  <c r="O99" i="21"/>
  <c r="P83" i="21"/>
  <c r="R83" i="21" s="1"/>
  <c r="P112" i="21"/>
  <c r="I151" i="21"/>
  <c r="P151" i="21" s="1"/>
  <c r="P148" i="21" s="1"/>
  <c r="R148" i="21" s="1"/>
  <c r="P6" i="8"/>
  <c r="Q44" i="8"/>
  <c r="Q78" i="8"/>
  <c r="Q89" i="8"/>
  <c r="Q94" i="8"/>
  <c r="P137" i="8"/>
  <c r="Q143" i="8"/>
  <c r="S143" i="8" s="1"/>
  <c r="Q153" i="8"/>
  <c r="P184" i="8"/>
  <c r="I234" i="8"/>
  <c r="Q204" i="8"/>
  <c r="P333" i="8"/>
  <c r="P352" i="8"/>
  <c r="S366" i="8"/>
  <c r="S377" i="8"/>
  <c r="S388" i="8"/>
  <c r="K6" i="5"/>
  <c r="P8" i="5"/>
  <c r="P11" i="5"/>
  <c r="P14" i="5"/>
  <c r="P15" i="5"/>
  <c r="P21" i="5"/>
  <c r="L26" i="5"/>
  <c r="P29" i="5"/>
  <c r="N32" i="5"/>
  <c r="P35" i="5"/>
  <c r="L46" i="5"/>
  <c r="K53" i="5" s="1"/>
  <c r="M6" i="9"/>
  <c r="L18" i="9"/>
  <c r="O18" i="9" s="1"/>
  <c r="Q14" i="13"/>
  <c r="N6" i="28"/>
  <c r="L11" i="11"/>
  <c r="E7" i="19" s="1"/>
  <c r="F7" i="19" s="1"/>
  <c r="M10" i="15"/>
  <c r="E13" i="19" s="1"/>
  <c r="L10" i="15"/>
  <c r="D13" i="19" s="1"/>
  <c r="K12" i="24"/>
  <c r="C11" i="18"/>
  <c r="C12" i="18" s="1"/>
  <c r="C13" i="18" s="1"/>
  <c r="J24" i="18"/>
  <c r="O30" i="19" s="1"/>
  <c r="G30" i="18"/>
  <c r="G38" i="18"/>
  <c r="M422" i="8"/>
  <c r="M525" i="8"/>
  <c r="M398" i="8"/>
  <c r="C3" i="19" s="1"/>
  <c r="M514" i="8"/>
  <c r="P108" i="8"/>
  <c r="Q123" i="8"/>
  <c r="P253" i="8"/>
  <c r="J297" i="8"/>
  <c r="Q297" i="8" s="1"/>
  <c r="S346" i="8"/>
  <c r="S350" i="8"/>
  <c r="P14" i="27"/>
  <c r="K18" i="5"/>
  <c r="N18" i="5" s="1"/>
  <c r="O11" i="14"/>
  <c r="L21" i="26"/>
  <c r="L25" i="26" s="1"/>
  <c r="K15" i="12"/>
  <c r="K16" i="12" s="1"/>
  <c r="J10" i="18"/>
  <c r="L10" i="18" s="1"/>
  <c r="G36" i="18"/>
  <c r="O112" i="21"/>
  <c r="N6" i="5"/>
  <c r="L6" i="5"/>
  <c r="D38" i="5"/>
  <c r="B4" i="19" s="1"/>
  <c r="L18" i="5"/>
  <c r="O10" i="9"/>
  <c r="M30" i="9"/>
  <c r="O30" i="9" s="1"/>
  <c r="F42" i="9"/>
  <c r="N26" i="13"/>
  <c r="G34" i="18"/>
  <c r="L248" i="21"/>
  <c r="P77" i="21"/>
  <c r="H106" i="21"/>
  <c r="H107" i="21" s="1"/>
  <c r="O135" i="21"/>
  <c r="Q84" i="8"/>
  <c r="P94" i="8"/>
  <c r="Q148" i="8"/>
  <c r="Q158" i="8"/>
  <c r="Q163" i="8"/>
  <c r="Q168" i="8"/>
  <c r="Q184" i="8"/>
  <c r="Q190" i="8"/>
  <c r="P233" i="8"/>
  <c r="Q197" i="8"/>
  <c r="P204" i="8"/>
  <c r="Q217" i="8"/>
  <c r="P313" i="8"/>
  <c r="P320" i="8"/>
  <c r="S344" i="8"/>
  <c r="S348" i="8"/>
  <c r="Q6" i="27"/>
  <c r="S6" i="27" s="1"/>
  <c r="J21" i="27"/>
  <c r="Q21" i="27" s="1"/>
  <c r="P22" i="5"/>
  <c r="P27" i="5"/>
  <c r="P36" i="5"/>
  <c r="L14" i="9"/>
  <c r="O14" i="9" s="1"/>
  <c r="I22" i="9"/>
  <c r="I78" i="9" s="1"/>
  <c r="M34" i="9"/>
  <c r="N11" i="13"/>
  <c r="Q11" i="13" s="1"/>
  <c r="O22" i="13"/>
  <c r="N18" i="10"/>
  <c r="L26" i="19" s="1"/>
  <c r="N20" i="10"/>
  <c r="L29" i="19" s="1"/>
  <c r="N22" i="10"/>
  <c r="L31" i="19" s="1"/>
  <c r="L24" i="14"/>
  <c r="M29" i="19" s="1"/>
  <c r="E26" i="26"/>
  <c r="E22" i="26"/>
  <c r="G32" i="18"/>
  <c r="H76" i="21"/>
  <c r="P135" i="21"/>
  <c r="Q16" i="27"/>
  <c r="J17" i="27"/>
  <c r="Q17" i="27" s="1"/>
  <c r="P6" i="21"/>
  <c r="P20" i="21"/>
  <c r="P97" i="21"/>
  <c r="P90" i="21" s="1"/>
  <c r="S229" i="8"/>
  <c r="S243" i="8"/>
  <c r="S274" i="8"/>
  <c r="J289" i="8"/>
  <c r="Q341" i="8"/>
  <c r="S371" i="8"/>
  <c r="S379" i="8"/>
  <c r="S390" i="8"/>
  <c r="Q18" i="27"/>
  <c r="P105" i="21"/>
  <c r="P106" i="21"/>
  <c r="O133" i="21"/>
  <c r="O119" i="21" s="1"/>
  <c r="P146" i="21"/>
  <c r="P142" i="21" s="1"/>
  <c r="S373" i="8"/>
  <c r="S384" i="8"/>
  <c r="S392" i="8"/>
  <c r="P7" i="5"/>
  <c r="L38" i="5"/>
  <c r="O6" i="21"/>
  <c r="P33" i="21"/>
  <c r="R33" i="21" s="1"/>
  <c r="H48" i="21"/>
  <c r="I113" i="8"/>
  <c r="I114" i="8" s="1"/>
  <c r="S175" i="8"/>
  <c r="S375" i="8"/>
  <c r="S386" i="8"/>
  <c r="S394" i="8"/>
  <c r="J237" i="8"/>
  <c r="P284" i="8"/>
  <c r="P299" i="8"/>
  <c r="Q223" i="8"/>
  <c r="N12" i="5"/>
  <c r="E61" i="5"/>
  <c r="E65" i="5"/>
  <c r="E68" i="5"/>
  <c r="E71" i="5"/>
  <c r="E76" i="5"/>
  <c r="F58" i="9"/>
  <c r="F62" i="9"/>
  <c r="F70" i="9"/>
  <c r="Q34" i="8"/>
  <c r="P62" i="8"/>
  <c r="Q70" i="8"/>
  <c r="S98" i="8"/>
  <c r="I185" i="8"/>
  <c r="J188" i="8"/>
  <c r="J247" i="8"/>
  <c r="J248" i="8" s="1"/>
  <c r="Q211" i="8"/>
  <c r="I269" i="8"/>
  <c r="J271" i="8"/>
  <c r="P291" i="8"/>
  <c r="J12" i="27"/>
  <c r="Q12" i="27" s="1"/>
  <c r="O20" i="5"/>
  <c r="P20" i="5" s="1"/>
  <c r="K25" i="5"/>
  <c r="K26" i="5"/>
  <c r="E46" i="5"/>
  <c r="E47" i="5" s="1"/>
  <c r="O46" i="5"/>
  <c r="E60" i="5"/>
  <c r="E64" i="5"/>
  <c r="E69" i="5"/>
  <c r="E74" i="5"/>
  <c r="E77" i="5"/>
  <c r="I89" i="9"/>
  <c r="I75" i="9"/>
  <c r="I67" i="9"/>
  <c r="I59" i="9"/>
  <c r="I54" i="9"/>
  <c r="I50" i="9"/>
  <c r="I80" i="9"/>
  <c r="I86" i="9"/>
  <c r="I76" i="9"/>
  <c r="I72" i="9"/>
  <c r="I68" i="9"/>
  <c r="I64" i="9"/>
  <c r="I58" i="9"/>
  <c r="F64" i="9"/>
  <c r="I84" i="9"/>
  <c r="L34" i="22"/>
  <c r="L22" i="26"/>
  <c r="P54" i="8"/>
  <c r="Q54" i="8"/>
  <c r="Q100" i="8"/>
  <c r="J256" i="8"/>
  <c r="J262" i="8"/>
  <c r="J278" i="8"/>
  <c r="J310" i="8"/>
  <c r="Q310" i="8" s="1"/>
  <c r="J362" i="8"/>
  <c r="Q362" i="8" s="1"/>
  <c r="Q24" i="27"/>
  <c r="Q22" i="27" s="1"/>
  <c r="K46" i="5"/>
  <c r="E59" i="5"/>
  <c r="E63" i="5"/>
  <c r="E67" i="5"/>
  <c r="E72" i="5"/>
  <c r="E75" i="5"/>
  <c r="L6" i="9"/>
  <c r="F88" i="9"/>
  <c r="F86" i="9"/>
  <c r="F84" i="9"/>
  <c r="F82" i="9"/>
  <c r="F80" i="9"/>
  <c r="F89" i="9"/>
  <c r="F87" i="9"/>
  <c r="F85" i="9"/>
  <c r="F83" i="9"/>
  <c r="F81" i="9"/>
  <c r="F79" i="9"/>
  <c r="F77" i="9"/>
  <c r="F78" i="9"/>
  <c r="F75" i="9"/>
  <c r="F73" i="9"/>
  <c r="F71" i="9"/>
  <c r="F69" i="9"/>
  <c r="F67" i="9"/>
  <c r="F65" i="9"/>
  <c r="F63" i="9"/>
  <c r="F61" i="9"/>
  <c r="F59" i="9"/>
  <c r="F57" i="9"/>
  <c r="F56" i="9"/>
  <c r="F55" i="9"/>
  <c r="F54" i="9"/>
  <c r="F53" i="9"/>
  <c r="F52" i="9"/>
  <c r="F51" i="9"/>
  <c r="F50" i="9"/>
  <c r="F49" i="9"/>
  <c r="F48" i="9"/>
  <c r="F60" i="9"/>
  <c r="F66" i="9"/>
  <c r="F74" i="9"/>
  <c r="K60" i="13"/>
  <c r="O6" i="14"/>
  <c r="L16" i="14"/>
  <c r="Q115" i="8"/>
  <c r="P245" i="8"/>
  <c r="J315" i="8"/>
  <c r="J323" i="8"/>
  <c r="J324" i="8" s="1"/>
  <c r="P223" i="8"/>
  <c r="H38" i="5"/>
  <c r="H77" i="5" s="1"/>
  <c r="N26" i="5"/>
  <c r="E58" i="5"/>
  <c r="E62" i="5"/>
  <c r="E66" i="5"/>
  <c r="E70" i="5"/>
  <c r="E73" i="5"/>
  <c r="O6" i="9"/>
  <c r="L24" i="9"/>
  <c r="L22" i="9" s="1"/>
  <c r="O26" i="9"/>
  <c r="F68" i="9"/>
  <c r="F76" i="9"/>
  <c r="K68" i="13"/>
  <c r="O14" i="10"/>
  <c r="E8" i="19" s="1"/>
  <c r="Q6" i="13"/>
  <c r="K73" i="13"/>
  <c r="K71" i="13"/>
  <c r="K69" i="13"/>
  <c r="K67" i="13"/>
  <c r="K65" i="13"/>
  <c r="K63" i="13"/>
  <c r="K61" i="13"/>
  <c r="K59" i="13"/>
  <c r="K50" i="13"/>
  <c r="K52" i="13"/>
  <c r="K54" i="13"/>
  <c r="K56" i="13"/>
  <c r="K58" i="13"/>
  <c r="K66" i="13"/>
  <c r="O13" i="14"/>
  <c r="I27" i="14"/>
  <c r="I23" i="14"/>
  <c r="I22" i="14"/>
  <c r="I21" i="14"/>
  <c r="I24" i="14"/>
  <c r="I16" i="14"/>
  <c r="C9" i="19" s="1"/>
  <c r="I30" i="14"/>
  <c r="K64" i="13"/>
  <c r="K72" i="13"/>
  <c r="O6" i="28"/>
  <c r="H25" i="10"/>
  <c r="I28" i="14"/>
  <c r="I25" i="14"/>
  <c r="K49" i="13"/>
  <c r="K51" i="13"/>
  <c r="K53" i="13"/>
  <c r="K55" i="13"/>
  <c r="K57" i="13"/>
  <c r="K62" i="13"/>
  <c r="K70" i="13"/>
  <c r="H14" i="28"/>
  <c r="L23" i="14"/>
  <c r="M28" i="19" s="1"/>
  <c r="E47" i="26"/>
  <c r="E45" i="26"/>
  <c r="E43" i="26"/>
  <c r="E41" i="26"/>
  <c r="E39" i="26"/>
  <c r="E37" i="26"/>
  <c r="E35" i="26"/>
  <c r="E33" i="26"/>
  <c r="E31" i="26"/>
  <c r="E29" i="26"/>
  <c r="E27" i="26"/>
  <c r="E44" i="26"/>
  <c r="E36" i="26"/>
  <c r="E28" i="26"/>
  <c r="E23" i="26"/>
  <c r="E46" i="26"/>
  <c r="E38" i="26"/>
  <c r="E30" i="26"/>
  <c r="E24" i="26"/>
  <c r="E17" i="26"/>
  <c r="E40" i="26"/>
  <c r="E32" i="26"/>
  <c r="E25" i="26"/>
  <c r="E21" i="26"/>
  <c r="E34" i="26"/>
  <c r="J26" i="18"/>
  <c r="O33" i="19" s="1"/>
  <c r="N10" i="28"/>
  <c r="N14" i="28" s="1"/>
  <c r="Q6" i="10"/>
  <c r="E9" i="14"/>
  <c r="E10" i="14" s="1"/>
  <c r="L25" i="14"/>
  <c r="M30" i="19" s="1"/>
  <c r="F31" i="14"/>
  <c r="F32" i="14" s="1"/>
  <c r="K17" i="26"/>
  <c r="L15" i="23"/>
  <c r="E12" i="19" s="1"/>
  <c r="H15" i="23"/>
  <c r="C12" i="19" s="1"/>
  <c r="L17" i="26"/>
  <c r="E11" i="19" s="1"/>
  <c r="K18" i="10"/>
  <c r="K19" i="10"/>
  <c r="K20" i="10"/>
  <c r="K21" i="10"/>
  <c r="K22" i="10"/>
  <c r="I29" i="14"/>
  <c r="L21" i="14"/>
  <c r="L22" i="14"/>
  <c r="M27" i="19" s="1"/>
  <c r="I26" i="14"/>
  <c r="L28" i="22"/>
  <c r="L84" i="22" s="1"/>
  <c r="K7" i="23"/>
  <c r="K15" i="23" s="1"/>
  <c r="H22" i="23"/>
  <c r="H21" i="23"/>
  <c r="H20" i="23"/>
  <c r="H19" i="23"/>
  <c r="K20" i="23"/>
  <c r="Q30" i="19" s="1"/>
  <c r="K19" i="23"/>
  <c r="E23" i="23"/>
  <c r="E24" i="23" s="1"/>
  <c r="J6" i="18"/>
  <c r="K12" i="25"/>
  <c r="G22" i="18"/>
  <c r="G23" i="18"/>
  <c r="G24" i="18"/>
  <c r="G25" i="18"/>
  <c r="G26" i="18"/>
  <c r="G27" i="18"/>
  <c r="G28" i="18"/>
  <c r="G29" i="18"/>
  <c r="G31" i="18"/>
  <c r="G33" i="18"/>
  <c r="G35" i="18"/>
  <c r="G37" i="18"/>
  <c r="S195" i="8"/>
  <c r="M427" i="8"/>
  <c r="I101" i="22"/>
  <c r="L173" i="21"/>
  <c r="S30" i="27"/>
  <c r="S251" i="8"/>
  <c r="M522" i="8"/>
  <c r="O77" i="21"/>
  <c r="L274" i="21"/>
  <c r="I114" i="22"/>
  <c r="I88" i="22"/>
  <c r="I99" i="22"/>
  <c r="I112" i="22"/>
  <c r="I97" i="22"/>
  <c r="I89" i="22"/>
  <c r="I95" i="22"/>
  <c r="I103" i="22"/>
  <c r="I93" i="22"/>
  <c r="L174" i="21"/>
  <c r="L176" i="21"/>
  <c r="L178" i="21"/>
  <c r="L180" i="21"/>
  <c r="L182" i="21"/>
  <c r="L184" i="21"/>
  <c r="L186" i="21"/>
  <c r="L190" i="21"/>
  <c r="L194" i="21"/>
  <c r="L198" i="21"/>
  <c r="L202" i="21"/>
  <c r="L206" i="21"/>
  <c r="L210" i="21"/>
  <c r="L214" i="21"/>
  <c r="L218" i="21"/>
  <c r="L222" i="21"/>
  <c r="L226" i="21"/>
  <c r="L230" i="21"/>
  <c r="L234" i="21"/>
  <c r="L238" i="21"/>
  <c r="L242" i="21"/>
  <c r="L189" i="21"/>
  <c r="L193" i="21"/>
  <c r="L197" i="21"/>
  <c r="L201" i="21"/>
  <c r="L205" i="21"/>
  <c r="L209" i="21"/>
  <c r="L213" i="21"/>
  <c r="L217" i="21"/>
  <c r="L221" i="21"/>
  <c r="L225" i="21"/>
  <c r="L229" i="21"/>
  <c r="L233" i="21"/>
  <c r="L237" i="21"/>
  <c r="L241" i="21"/>
  <c r="L245" i="21"/>
  <c r="L175" i="21"/>
  <c r="L177" i="21"/>
  <c r="L179" i="21"/>
  <c r="L181" i="21"/>
  <c r="L183" i="21"/>
  <c r="L185" i="21"/>
  <c r="L188" i="21"/>
  <c r="L192" i="21"/>
  <c r="L196" i="21"/>
  <c r="L200" i="21"/>
  <c r="L204" i="21"/>
  <c r="L208" i="21"/>
  <c r="L212" i="21"/>
  <c r="L216" i="21"/>
  <c r="L220" i="21"/>
  <c r="L224" i="21"/>
  <c r="L228" i="21"/>
  <c r="L232" i="21"/>
  <c r="L236" i="21"/>
  <c r="L240" i="21"/>
  <c r="L244" i="21"/>
  <c r="L246" i="21"/>
  <c r="L153" i="21"/>
  <c r="L187" i="21"/>
  <c r="L191" i="21"/>
  <c r="L195" i="21"/>
  <c r="L199" i="21"/>
  <c r="L203" i="21"/>
  <c r="L207" i="21"/>
  <c r="L211" i="21"/>
  <c r="L215" i="21"/>
  <c r="L219" i="21"/>
  <c r="L223" i="21"/>
  <c r="L227" i="21"/>
  <c r="L231" i="21"/>
  <c r="L235" i="21"/>
  <c r="L239" i="21"/>
  <c r="L243" i="21"/>
  <c r="L247" i="21"/>
  <c r="L249" i="21"/>
  <c r="L251" i="21"/>
  <c r="L253" i="21"/>
  <c r="L255" i="21"/>
  <c r="L257" i="21"/>
  <c r="L259" i="21"/>
  <c r="L261" i="21"/>
  <c r="L263" i="21"/>
  <c r="L265" i="21"/>
  <c r="L267" i="21"/>
  <c r="L269" i="21"/>
  <c r="L271" i="21"/>
  <c r="L273" i="21"/>
  <c r="L250" i="21"/>
  <c r="L252" i="21"/>
  <c r="L254" i="21"/>
  <c r="L256" i="21"/>
  <c r="L258" i="21"/>
  <c r="L260" i="21"/>
  <c r="L262" i="21"/>
  <c r="L264" i="21"/>
  <c r="L266" i="21"/>
  <c r="L268" i="21"/>
  <c r="L270" i="21"/>
  <c r="L272" i="21"/>
  <c r="M437" i="8"/>
  <c r="M449" i="8"/>
  <c r="M468" i="8"/>
  <c r="M484" i="8"/>
  <c r="M496" i="8"/>
  <c r="M512" i="8"/>
  <c r="M434" i="8"/>
  <c r="M442" i="8"/>
  <c r="M450" i="8"/>
  <c r="M457" i="8"/>
  <c r="M465" i="8"/>
  <c r="M473" i="8"/>
  <c r="M481" i="8"/>
  <c r="M489" i="8"/>
  <c r="M497" i="8"/>
  <c r="M501" i="8"/>
  <c r="M509" i="8"/>
  <c r="M421" i="8"/>
  <c r="M425" i="8"/>
  <c r="M431" i="8"/>
  <c r="M436" i="8"/>
  <c r="M440" i="8"/>
  <c r="M444" i="8"/>
  <c r="M448" i="8"/>
  <c r="M452" i="8"/>
  <c r="M456" i="8"/>
  <c r="M459" i="8"/>
  <c r="M463" i="8"/>
  <c r="M467" i="8"/>
  <c r="M471" i="8"/>
  <c r="M475" i="8"/>
  <c r="M479" i="8"/>
  <c r="M483" i="8"/>
  <c r="M487" i="8"/>
  <c r="M491" i="8"/>
  <c r="M495" i="8"/>
  <c r="M499" i="8"/>
  <c r="M503" i="8"/>
  <c r="M507" i="8"/>
  <c r="M511" i="8"/>
  <c r="M515" i="8"/>
  <c r="M519" i="8"/>
  <c r="M523" i="8"/>
  <c r="M445" i="8"/>
  <c r="M460" i="8"/>
  <c r="M476" i="8"/>
  <c r="M492" i="8"/>
  <c r="M504" i="8"/>
  <c r="M516" i="8"/>
  <c r="M520" i="8"/>
  <c r="M524" i="8"/>
  <c r="M521" i="8"/>
  <c r="M433" i="8"/>
  <c r="M441" i="8"/>
  <c r="M453" i="8"/>
  <c r="M464" i="8"/>
  <c r="M472" i="8"/>
  <c r="M480" i="8"/>
  <c r="M488" i="8"/>
  <c r="M500" i="8"/>
  <c r="M508" i="8"/>
  <c r="M423" i="8"/>
  <c r="M429" i="8"/>
  <c r="M438" i="8"/>
  <c r="M446" i="8"/>
  <c r="M454" i="8"/>
  <c r="M461" i="8"/>
  <c r="M469" i="8"/>
  <c r="M477" i="8"/>
  <c r="M485" i="8"/>
  <c r="M493" i="8"/>
  <c r="M505" i="8"/>
  <c r="M513" i="8"/>
  <c r="M517" i="8"/>
  <c r="M432" i="8"/>
  <c r="M435" i="8"/>
  <c r="M439" i="8"/>
  <c r="M443" i="8"/>
  <c r="M447" i="8"/>
  <c r="M451" i="8"/>
  <c r="M455" i="8"/>
  <c r="M458" i="8"/>
  <c r="M462" i="8"/>
  <c r="M466" i="8"/>
  <c r="M470" i="8"/>
  <c r="M474" i="8"/>
  <c r="M478" i="8"/>
  <c r="M482" i="8"/>
  <c r="M486" i="8"/>
  <c r="M490" i="8"/>
  <c r="M494" i="8"/>
  <c r="M498" i="8"/>
  <c r="M502" i="8"/>
  <c r="M506" i="8"/>
  <c r="M510" i="8"/>
  <c r="M518" i="8"/>
  <c r="P307" i="8"/>
  <c r="Q23" i="8"/>
  <c r="P34" i="8"/>
  <c r="P115" i="8"/>
  <c r="P44" i="8"/>
  <c r="S44" i="8" s="1"/>
  <c r="S23" i="8"/>
  <c r="Q62" i="8"/>
  <c r="P100" i="8"/>
  <c r="P123" i="8"/>
  <c r="Q137" i="8"/>
  <c r="S137" i="8" s="1"/>
  <c r="I91" i="22"/>
  <c r="I94" i="22"/>
  <c r="I96" i="22"/>
  <c r="I98" i="22"/>
  <c r="I100" i="22"/>
  <c r="I102" i="22"/>
  <c r="I104" i="22"/>
  <c r="I106" i="22"/>
  <c r="I108" i="22"/>
  <c r="I110" i="22"/>
  <c r="I90" i="22"/>
  <c r="I105" i="22"/>
  <c r="I107" i="22"/>
  <c r="I109" i="22"/>
  <c r="I111" i="22"/>
  <c r="I113" i="22"/>
  <c r="I115" i="22"/>
  <c r="I92" i="22"/>
  <c r="M426" i="8"/>
  <c r="M430" i="8"/>
  <c r="M424" i="8"/>
  <c r="M428" i="8"/>
  <c r="Q358" i="8"/>
  <c r="Q352" i="8" s="1"/>
  <c r="E56" i="26" l="1"/>
  <c r="J22" i="18"/>
  <c r="O26" i="19" s="1"/>
  <c r="J23" i="18"/>
  <c r="J25" i="18"/>
  <c r="O31" i="19" s="1"/>
  <c r="L35" i="19"/>
  <c r="L36" i="19" s="1"/>
  <c r="F13" i="19"/>
  <c r="O14" i="28"/>
  <c r="O22" i="9"/>
  <c r="I42" i="9"/>
  <c r="C5" i="19" s="1"/>
  <c r="I62" i="9"/>
  <c r="I70" i="9"/>
  <c r="I79" i="9"/>
  <c r="I88" i="9"/>
  <c r="I51" i="9"/>
  <c r="I55" i="9"/>
  <c r="I61" i="9"/>
  <c r="I69" i="9"/>
  <c r="I81" i="9"/>
  <c r="S94" i="8"/>
  <c r="R70" i="21"/>
  <c r="I48" i="9"/>
  <c r="I52" i="9"/>
  <c r="I56" i="9"/>
  <c r="I63" i="9"/>
  <c r="I71" i="9"/>
  <c r="I83" i="9"/>
  <c r="I60" i="9"/>
  <c r="I66" i="9"/>
  <c r="I74" i="9"/>
  <c r="I77" i="9"/>
  <c r="I49" i="9"/>
  <c r="I53" i="9"/>
  <c r="I57" i="9"/>
  <c r="I65" i="9"/>
  <c r="M50" i="9" s="1"/>
  <c r="I73" i="9"/>
  <c r="O34" i="9"/>
  <c r="Q10" i="10"/>
  <c r="Q342" i="8"/>
  <c r="J343" i="8"/>
  <c r="I82" i="9"/>
  <c r="I87" i="9"/>
  <c r="J332" i="8"/>
  <c r="Q332" i="8" s="1"/>
  <c r="Q328" i="8" s="1"/>
  <c r="S328" i="8" s="1"/>
  <c r="S108" i="8"/>
  <c r="S34" i="8"/>
  <c r="M84" i="22"/>
  <c r="J249" i="8"/>
  <c r="J250" i="8" s="1"/>
  <c r="Q250" i="8" s="1"/>
  <c r="Q245" i="8" s="1"/>
  <c r="S245" i="8" s="1"/>
  <c r="J364" i="8"/>
  <c r="J365" i="8" s="1"/>
  <c r="K63" i="5"/>
  <c r="R99" i="21"/>
  <c r="S54" i="8"/>
  <c r="S100" i="8"/>
  <c r="R6" i="21"/>
  <c r="L85" i="22"/>
  <c r="M91" i="22"/>
  <c r="M90" i="22"/>
  <c r="E10" i="19"/>
  <c r="I128" i="22"/>
  <c r="I129" i="22" s="1"/>
  <c r="F103" i="22"/>
  <c r="D10" i="19"/>
  <c r="F113" i="22"/>
  <c r="F97" i="22"/>
  <c r="F109" i="22"/>
  <c r="F93" i="22"/>
  <c r="F106" i="22"/>
  <c r="F107" i="22"/>
  <c r="F105" i="22"/>
  <c r="F114" i="22"/>
  <c r="F115" i="22"/>
  <c r="F104" i="22"/>
  <c r="F101" i="22"/>
  <c r="F108" i="22"/>
  <c r="F89" i="22"/>
  <c r="F98" i="22"/>
  <c r="F100" i="22"/>
  <c r="F88" i="22"/>
  <c r="F91" i="22"/>
  <c r="F92" i="22"/>
  <c r="F95" i="22"/>
  <c r="F99" i="22"/>
  <c r="F102" i="22"/>
  <c r="F96" i="22"/>
  <c r="F111" i="22"/>
  <c r="F90" i="22"/>
  <c r="F94" i="22"/>
  <c r="F110" i="22"/>
  <c r="F112" i="22"/>
  <c r="N15" i="28"/>
  <c r="Q14" i="28"/>
  <c r="K35" i="13"/>
  <c r="K39" i="13"/>
  <c r="K34" i="13"/>
  <c r="K36" i="13"/>
  <c r="K40" i="13"/>
  <c r="K42" i="13"/>
  <c r="K37" i="13"/>
  <c r="K41" i="13"/>
  <c r="K38" i="13"/>
  <c r="H38" i="13"/>
  <c r="H42" i="13"/>
  <c r="H41" i="13"/>
  <c r="H35" i="13"/>
  <c r="H39" i="13"/>
  <c r="H34" i="13"/>
  <c r="H36" i="13"/>
  <c r="H40" i="13"/>
  <c r="H37" i="13"/>
  <c r="O30" i="13"/>
  <c r="E6" i="19" s="1"/>
  <c r="H98" i="13"/>
  <c r="H99" i="13" s="1"/>
  <c r="K98" i="13"/>
  <c r="K99" i="13" s="1"/>
  <c r="M55" i="27"/>
  <c r="M54" i="27"/>
  <c r="P49" i="27"/>
  <c r="M77" i="27"/>
  <c r="M78" i="27" s="1"/>
  <c r="S22" i="27"/>
  <c r="S18" i="27"/>
  <c r="J29" i="27"/>
  <c r="Q29" i="27" s="1"/>
  <c r="Q26" i="27" s="1"/>
  <c r="L168" i="21"/>
  <c r="L287" i="21"/>
  <c r="L288" i="21" s="1"/>
  <c r="S217" i="8"/>
  <c r="S158" i="8"/>
  <c r="S84" i="8"/>
  <c r="J306" i="8"/>
  <c r="Q306" i="8" s="1"/>
  <c r="Q299" i="8" s="1"/>
  <c r="S299" i="8" s="1"/>
  <c r="S148" i="8"/>
  <c r="S168" i="8"/>
  <c r="S177" i="8"/>
  <c r="R77" i="21"/>
  <c r="R142" i="21"/>
  <c r="R38" i="21"/>
  <c r="R135" i="21"/>
  <c r="R112" i="21"/>
  <c r="R58" i="21"/>
  <c r="R116" i="21"/>
  <c r="R86" i="21"/>
  <c r="R53" i="21"/>
  <c r="R13" i="21"/>
  <c r="R49" i="21"/>
  <c r="R28" i="21"/>
  <c r="I134" i="21"/>
  <c r="I235" i="21" s="1"/>
  <c r="R20" i="21"/>
  <c r="S6" i="8"/>
  <c r="S131" i="8"/>
  <c r="S153" i="8"/>
  <c r="S89" i="8"/>
  <c r="M538" i="8"/>
  <c r="M539" i="8" s="1"/>
  <c r="M412" i="8"/>
  <c r="S70" i="8"/>
  <c r="S163" i="8"/>
  <c r="S211" i="8"/>
  <c r="S78" i="8"/>
  <c r="S204" i="8"/>
  <c r="J298" i="8"/>
  <c r="Q298" i="8" s="1"/>
  <c r="Q291" i="8" s="1"/>
  <c r="S291" i="8" s="1"/>
  <c r="S115" i="8"/>
  <c r="S190" i="8"/>
  <c r="S123" i="8"/>
  <c r="S333" i="8"/>
  <c r="S197" i="8"/>
  <c r="S62" i="8"/>
  <c r="H76" i="5"/>
  <c r="H62" i="5"/>
  <c r="N30" i="13"/>
  <c r="Q30" i="13" s="1"/>
  <c r="K13" i="24"/>
  <c r="D14" i="19"/>
  <c r="F14" i="19" s="1"/>
  <c r="H67" i="5"/>
  <c r="H59" i="5"/>
  <c r="H68" i="5"/>
  <c r="H78" i="5"/>
  <c r="S223" i="8"/>
  <c r="N24" i="10"/>
  <c r="N25" i="10" s="1"/>
  <c r="M42" i="9"/>
  <c r="E5" i="19" s="1"/>
  <c r="S184" i="8"/>
  <c r="O153" i="21"/>
  <c r="D2" i="19" s="1"/>
  <c r="E16" i="14"/>
  <c r="H75" i="5"/>
  <c r="H70" i="5"/>
  <c r="H64" i="5"/>
  <c r="H65" i="5"/>
  <c r="H63" i="5"/>
  <c r="H72" i="5"/>
  <c r="J326" i="8"/>
  <c r="J327" i="8" s="1"/>
  <c r="Q327" i="8" s="1"/>
  <c r="Q320" i="8" s="1"/>
  <c r="S320" i="8" s="1"/>
  <c r="J311" i="8"/>
  <c r="Q311" i="8" s="1"/>
  <c r="L26" i="26"/>
  <c r="Q364" i="8"/>
  <c r="Q14" i="27"/>
  <c r="S14" i="27" s="1"/>
  <c r="K12" i="11"/>
  <c r="R90" i="21"/>
  <c r="J17" i="18"/>
  <c r="L6" i="18"/>
  <c r="H23" i="23"/>
  <c r="H24" i="23" s="1"/>
  <c r="L20" i="23"/>
  <c r="L19" i="23"/>
  <c r="K16" i="23"/>
  <c r="D12" i="19"/>
  <c r="F12" i="19" s="1"/>
  <c r="L26" i="14"/>
  <c r="L27" i="14" s="1"/>
  <c r="M25" i="19"/>
  <c r="M35" i="19" s="1"/>
  <c r="J316" i="8"/>
  <c r="J317" i="8" s="1"/>
  <c r="K52" i="5"/>
  <c r="E4" i="19"/>
  <c r="J13" i="27"/>
  <c r="J65" i="27" s="1"/>
  <c r="J189" i="8"/>
  <c r="P104" i="21"/>
  <c r="R104" i="21" s="1"/>
  <c r="I254" i="21"/>
  <c r="J282" i="8"/>
  <c r="Q282" i="8" s="1"/>
  <c r="J272" i="8"/>
  <c r="J273" i="8" s="1"/>
  <c r="Q273" i="8" s="1"/>
  <c r="Q268" i="8" s="1"/>
  <c r="S268" i="8" s="1"/>
  <c r="G53" i="18"/>
  <c r="G54" i="18" s="1"/>
  <c r="K25" i="18"/>
  <c r="K26" i="18"/>
  <c r="K22" i="18"/>
  <c r="K23" i="18"/>
  <c r="O27" i="19" s="1"/>
  <c r="O35" i="19" s="1"/>
  <c r="K24" i="18"/>
  <c r="H47" i="5"/>
  <c r="C4" i="19"/>
  <c r="H74" i="5"/>
  <c r="H69" i="5"/>
  <c r="H60" i="5"/>
  <c r="J258" i="8"/>
  <c r="J259" i="8" s="1"/>
  <c r="Q259" i="8" s="1"/>
  <c r="Q253" i="8" s="1"/>
  <c r="S253" i="8" s="1"/>
  <c r="H71" i="5"/>
  <c r="H61" i="5"/>
  <c r="J263" i="8"/>
  <c r="H66" i="5"/>
  <c r="H58" i="5"/>
  <c r="I268" i="21"/>
  <c r="I269" i="21"/>
  <c r="I274" i="21"/>
  <c r="Q343" i="8"/>
  <c r="I190" i="21"/>
  <c r="I197" i="21"/>
  <c r="K21" i="23"/>
  <c r="K22" i="23" s="1"/>
  <c r="Q25" i="19"/>
  <c r="Q35" i="19" s="1"/>
  <c r="K24" i="10"/>
  <c r="K25" i="10" s="1"/>
  <c r="O23" i="10"/>
  <c r="O22" i="10"/>
  <c r="O21" i="10"/>
  <c r="O20" i="10"/>
  <c r="O19" i="10"/>
  <c r="O18" i="10"/>
  <c r="K18" i="26"/>
  <c r="D11" i="19"/>
  <c r="F11" i="19" s="1"/>
  <c r="S33" i="19"/>
  <c r="K22" i="26"/>
  <c r="S32" i="19" s="1"/>
  <c r="K21" i="26"/>
  <c r="E57" i="26"/>
  <c r="N15" i="10"/>
  <c r="Q14" i="10"/>
  <c r="D8" i="19"/>
  <c r="F8" i="19" s="1"/>
  <c r="F90" i="9"/>
  <c r="F91" i="9" s="1"/>
  <c r="L54" i="9"/>
  <c r="H33" i="19" s="1"/>
  <c r="L52" i="9"/>
  <c r="H31" i="19" s="1"/>
  <c r="L50" i="9"/>
  <c r="H29" i="19" s="1"/>
  <c r="L48" i="9"/>
  <c r="L53" i="9"/>
  <c r="H32" i="19" s="1"/>
  <c r="L51" i="9"/>
  <c r="H30" i="19" s="1"/>
  <c r="L49" i="9"/>
  <c r="H28" i="19" s="1"/>
  <c r="L42" i="9"/>
  <c r="I90" i="9"/>
  <c r="I91" i="9" s="1"/>
  <c r="M54" i="9"/>
  <c r="M52" i="9"/>
  <c r="M48" i="9"/>
  <c r="M53" i="9"/>
  <c r="M51" i="9"/>
  <c r="M49" i="9"/>
  <c r="K24" i="5"/>
  <c r="O24" i="5"/>
  <c r="P24" i="5" s="1"/>
  <c r="P38" i="5" s="1"/>
  <c r="H73" i="5"/>
  <c r="J238" i="8"/>
  <c r="I272" i="21"/>
  <c r="I273" i="21"/>
  <c r="Q289" i="8"/>
  <c r="J290" i="8"/>
  <c r="Q290" i="8" s="1"/>
  <c r="I186" i="21"/>
  <c r="I189" i="21"/>
  <c r="O16" i="14"/>
  <c r="B9" i="19"/>
  <c r="I31" i="14"/>
  <c r="I32" i="14" s="1"/>
  <c r="M25" i="14"/>
  <c r="M24" i="14"/>
  <c r="M23" i="14"/>
  <c r="M22" i="14"/>
  <c r="M21" i="14"/>
  <c r="K64" i="5"/>
  <c r="G33" i="19" s="1"/>
  <c r="K60" i="5"/>
  <c r="G29" i="19" s="1"/>
  <c r="K61" i="5"/>
  <c r="G30" i="19" s="1"/>
  <c r="K62" i="5"/>
  <c r="G31" i="19" s="1"/>
  <c r="K58" i="5"/>
  <c r="E80" i="5"/>
  <c r="E81" i="5" s="1"/>
  <c r="G32" i="19"/>
  <c r="K59" i="5"/>
  <c r="G28" i="19" s="1"/>
  <c r="L17" i="14"/>
  <c r="D9" i="19"/>
  <c r="K50" i="5"/>
  <c r="K47" i="5"/>
  <c r="N46" i="5"/>
  <c r="I213" i="21"/>
  <c r="I218" i="21"/>
  <c r="I234" i="21"/>
  <c r="I251" i="21"/>
  <c r="I215" i="21"/>
  <c r="I185" i="21"/>
  <c r="I228" i="21"/>
  <c r="M88" i="22"/>
  <c r="L158" i="21"/>
  <c r="L159" i="21"/>
  <c r="L164" i="21"/>
  <c r="L160" i="21"/>
  <c r="C2" i="19"/>
  <c r="L166" i="21"/>
  <c r="L162" i="21"/>
  <c r="L165" i="21"/>
  <c r="L161" i="21"/>
  <c r="L157" i="21"/>
  <c r="L167" i="21"/>
  <c r="L163" i="21"/>
  <c r="M89" i="22"/>
  <c r="M411" i="8"/>
  <c r="M406" i="8"/>
  <c r="M407" i="8"/>
  <c r="M408" i="8"/>
  <c r="M410" i="8"/>
  <c r="M402" i="8"/>
  <c r="M403" i="8"/>
  <c r="M405" i="8"/>
  <c r="M409" i="8"/>
  <c r="M404" i="8"/>
  <c r="S352" i="8"/>
  <c r="C16" i="19" l="1"/>
  <c r="J29" i="18"/>
  <c r="I267" i="21"/>
  <c r="I266" i="21"/>
  <c r="I260" i="21"/>
  <c r="I209" i="21"/>
  <c r="I202" i="21"/>
  <c r="I262" i="21"/>
  <c r="I257" i="21"/>
  <c r="I256" i="21"/>
  <c r="I214" i="21"/>
  <c r="I206" i="21"/>
  <c r="I258" i="21"/>
  <c r="I253" i="21"/>
  <c r="I252" i="21"/>
  <c r="I210" i="21"/>
  <c r="I238" i="21"/>
  <c r="I182" i="21"/>
  <c r="I261" i="21"/>
  <c r="I205" i="21"/>
  <c r="I198" i="21"/>
  <c r="I250" i="21"/>
  <c r="I245" i="21"/>
  <c r="I236" i="21"/>
  <c r="I223" i="21"/>
  <c r="I246" i="21"/>
  <c r="I241" i="21"/>
  <c r="I181" i="21"/>
  <c r="I247" i="21"/>
  <c r="I231" i="21"/>
  <c r="I242" i="21"/>
  <c r="I237" i="21"/>
  <c r="I239" i="21"/>
  <c r="I217" i="21"/>
  <c r="I271" i="21"/>
  <c r="I229" i="21"/>
  <c r="I173" i="21"/>
  <c r="I193" i="21"/>
  <c r="I230" i="21"/>
  <c r="I225" i="21"/>
  <c r="O42" i="9"/>
  <c r="I174" i="21"/>
  <c r="Q338" i="8"/>
  <c r="S338" i="8" s="1"/>
  <c r="I226" i="21"/>
  <c r="I221" i="21"/>
  <c r="I263" i="21"/>
  <c r="I248" i="21"/>
  <c r="J75" i="27"/>
  <c r="J61" i="27"/>
  <c r="I192" i="21"/>
  <c r="I201" i="21"/>
  <c r="I178" i="21"/>
  <c r="I222" i="21"/>
  <c r="I220" i="21"/>
  <c r="I194" i="21"/>
  <c r="I270" i="21"/>
  <c r="I249" i="21"/>
  <c r="I175" i="21"/>
  <c r="J49" i="27"/>
  <c r="L63" i="5"/>
  <c r="I200" i="21"/>
  <c r="I278" i="21"/>
  <c r="I280" i="21"/>
  <c r="I284" i="21"/>
  <c r="I275" i="21"/>
  <c r="I279" i="21"/>
  <c r="I283" i="21"/>
  <c r="I276" i="21"/>
  <c r="I282" i="21"/>
  <c r="I286" i="21"/>
  <c r="I277" i="21"/>
  <c r="I281" i="21"/>
  <c r="I285" i="21"/>
  <c r="L91" i="22"/>
  <c r="L90" i="22"/>
  <c r="P33" i="19" s="1"/>
  <c r="M92" i="22"/>
  <c r="M93" i="22" s="1"/>
  <c r="F128" i="22"/>
  <c r="F129" i="22" s="1"/>
  <c r="F10" i="19"/>
  <c r="L89" i="22"/>
  <c r="P32" i="19" s="1"/>
  <c r="L88" i="22"/>
  <c r="E16" i="19"/>
  <c r="K43" i="13"/>
  <c r="H43" i="13"/>
  <c r="H44" i="13" s="1"/>
  <c r="S26" i="27"/>
  <c r="J64" i="27"/>
  <c r="M56" i="27"/>
  <c r="M57" i="27" s="1"/>
  <c r="J76" i="27"/>
  <c r="Q13" i="27"/>
  <c r="Q10" i="27" s="1"/>
  <c r="S10" i="27" s="1"/>
  <c r="J67" i="27"/>
  <c r="J73" i="27"/>
  <c r="J68" i="27"/>
  <c r="J69" i="27"/>
  <c r="J71" i="27"/>
  <c r="J70" i="27"/>
  <c r="J72" i="27"/>
  <c r="J62" i="27"/>
  <c r="J60" i="27"/>
  <c r="J66" i="27"/>
  <c r="J63" i="27"/>
  <c r="J74" i="27"/>
  <c r="I207" i="21"/>
  <c r="I195" i="21"/>
  <c r="I180" i="21"/>
  <c r="I184" i="21"/>
  <c r="I203" i="21"/>
  <c r="I212" i="21"/>
  <c r="L169" i="21"/>
  <c r="L170" i="21" s="1"/>
  <c r="I265" i="21"/>
  <c r="I264" i="21"/>
  <c r="I187" i="21"/>
  <c r="I176" i="21"/>
  <c r="I232" i="21"/>
  <c r="I243" i="21"/>
  <c r="I211" i="21"/>
  <c r="P134" i="21"/>
  <c r="P119" i="21" s="1"/>
  <c r="R119" i="21" s="1"/>
  <c r="I183" i="21"/>
  <c r="I199" i="21"/>
  <c r="I216" i="21"/>
  <c r="I255" i="21"/>
  <c r="I153" i="21"/>
  <c r="I188" i="21"/>
  <c r="I204" i="21"/>
  <c r="I227" i="21"/>
  <c r="I240" i="21"/>
  <c r="I219" i="21"/>
  <c r="I233" i="21"/>
  <c r="I244" i="21"/>
  <c r="I224" i="21"/>
  <c r="I208" i="21"/>
  <c r="I191" i="21"/>
  <c r="I196" i="21"/>
  <c r="I179" i="21"/>
  <c r="I177" i="21"/>
  <c r="I259" i="21"/>
  <c r="Q365" i="8"/>
  <c r="Q359" i="8" s="1"/>
  <c r="S359" i="8" s="1"/>
  <c r="D6" i="19"/>
  <c r="F6" i="19" s="1"/>
  <c r="N31" i="13"/>
  <c r="Q284" i="8"/>
  <c r="S284" i="8" s="1"/>
  <c r="Q36" i="19"/>
  <c r="J312" i="8"/>
  <c r="Q312" i="8" s="1"/>
  <c r="Q307" i="8" s="1"/>
  <c r="S307" i="8" s="1"/>
  <c r="M36" i="19"/>
  <c r="L21" i="23"/>
  <c r="L22" i="23" s="1"/>
  <c r="J18" i="18"/>
  <c r="L17" i="18"/>
  <c r="D15" i="19"/>
  <c r="F15" i="19" s="1"/>
  <c r="F9" i="19"/>
  <c r="B16" i="19"/>
  <c r="S31" i="19"/>
  <c r="S35" i="19" s="1"/>
  <c r="J239" i="8"/>
  <c r="K65" i="5"/>
  <c r="K66" i="5" s="1"/>
  <c r="G27" i="19"/>
  <c r="G35" i="19" s="1"/>
  <c r="K38" i="5"/>
  <c r="N24" i="5"/>
  <c r="M55" i="9"/>
  <c r="M56" i="9" s="1"/>
  <c r="K44" i="13"/>
  <c r="O24" i="10"/>
  <c r="O25" i="10" s="1"/>
  <c r="J266" i="8"/>
  <c r="P266" i="8" s="1"/>
  <c r="P260" i="8" s="1"/>
  <c r="J283" i="8"/>
  <c r="Q283" i="8" s="1"/>
  <c r="Q276" i="8" s="1"/>
  <c r="S276" i="8" s="1"/>
  <c r="M26" i="14"/>
  <c r="M27" i="14" s="1"/>
  <c r="L43" i="9"/>
  <c r="D5" i="19"/>
  <c r="F5" i="19" s="1"/>
  <c r="L55" i="9"/>
  <c r="L56" i="9" s="1"/>
  <c r="H27" i="19"/>
  <c r="H35" i="19" s="1"/>
  <c r="O38" i="5"/>
  <c r="L64" i="5"/>
  <c r="L62" i="5"/>
  <c r="L61" i="5"/>
  <c r="L60" i="5"/>
  <c r="L59" i="5"/>
  <c r="L58" i="5"/>
  <c r="H80" i="5"/>
  <c r="H81" i="5" s="1"/>
  <c r="O36" i="19"/>
  <c r="J318" i="8"/>
  <c r="Q318" i="8" s="1"/>
  <c r="M413" i="8"/>
  <c r="M414" i="8" s="1"/>
  <c r="I168" i="21" l="1"/>
  <c r="D34" i="19" s="1"/>
  <c r="Q49" i="27"/>
  <c r="P31" i="19"/>
  <c r="P35" i="19" s="1"/>
  <c r="L92" i="22"/>
  <c r="L93" i="22" s="1"/>
  <c r="H36" i="19"/>
  <c r="I36" i="19"/>
  <c r="J77" i="27"/>
  <c r="J78" i="27" s="1"/>
  <c r="J55" i="27"/>
  <c r="J54" i="27"/>
  <c r="S49" i="27"/>
  <c r="I287" i="21"/>
  <c r="I288" i="21" s="1"/>
  <c r="I159" i="21"/>
  <c r="D25" i="19" s="1"/>
  <c r="I158" i="21"/>
  <c r="D24" i="19" s="1"/>
  <c r="I160" i="21"/>
  <c r="D26" i="19" s="1"/>
  <c r="P153" i="21"/>
  <c r="E2" i="19" s="1"/>
  <c r="F2" i="19" s="1"/>
  <c r="I165" i="21"/>
  <c r="D31" i="19" s="1"/>
  <c r="I162" i="21"/>
  <c r="D28" i="19" s="1"/>
  <c r="I166" i="21"/>
  <c r="D32" i="19" s="1"/>
  <c r="I164" i="21"/>
  <c r="D30" i="19" s="1"/>
  <c r="I167" i="21"/>
  <c r="D33" i="19" s="1"/>
  <c r="I157" i="21"/>
  <c r="D23" i="19" s="1"/>
  <c r="I161" i="21"/>
  <c r="D27" i="19" s="1"/>
  <c r="I163" i="21"/>
  <c r="D29" i="19" s="1"/>
  <c r="S36" i="19"/>
  <c r="K49" i="5"/>
  <c r="K51" i="5" s="1"/>
  <c r="K54" i="5" s="1"/>
  <c r="K39" i="5"/>
  <c r="K48" i="5" s="1"/>
  <c r="N48" i="5" s="1"/>
  <c r="D4" i="19"/>
  <c r="J241" i="8"/>
  <c r="G36" i="19"/>
  <c r="L65" i="5"/>
  <c r="L66" i="5" s="1"/>
  <c r="P398" i="8"/>
  <c r="J319" i="8"/>
  <c r="P50" i="27"/>
  <c r="J267" i="8"/>
  <c r="Q267" i="8" s="1"/>
  <c r="Q260" i="8" s="1"/>
  <c r="S260" i="8" s="1"/>
  <c r="D35" i="19" l="1"/>
  <c r="O154" i="21"/>
  <c r="R153" i="21"/>
  <c r="P36" i="19"/>
  <c r="J56" i="27"/>
  <c r="J57" i="27" s="1"/>
  <c r="I169" i="21"/>
  <c r="I170" i="21" s="1"/>
  <c r="Q319" i="8"/>
  <c r="Q313" i="8" s="1"/>
  <c r="S313" i="8" s="1"/>
  <c r="J536" i="8"/>
  <c r="J442" i="8"/>
  <c r="D3" i="19"/>
  <c r="C23" i="19"/>
  <c r="D16" i="19"/>
  <c r="F16" i="19" s="1"/>
  <c r="F4" i="19"/>
  <c r="J242" i="8"/>
  <c r="J537" i="8" s="1"/>
  <c r="D36" i="19" l="1"/>
  <c r="J532" i="8"/>
  <c r="J527" i="8"/>
  <c r="J508" i="8"/>
  <c r="J533" i="8"/>
  <c r="J535" i="8"/>
  <c r="J528" i="8"/>
  <c r="J534" i="8"/>
  <c r="J526" i="8"/>
  <c r="J529" i="8"/>
  <c r="J530" i="8"/>
  <c r="J531" i="8"/>
  <c r="J493" i="8"/>
  <c r="J445" i="8"/>
  <c r="J441" i="8"/>
  <c r="J486" i="8"/>
  <c r="J429" i="8"/>
  <c r="J425" i="8"/>
  <c r="J485" i="8"/>
  <c r="J426" i="8"/>
  <c r="J520" i="8"/>
  <c r="J521" i="8"/>
  <c r="J478" i="8"/>
  <c r="J524" i="8"/>
  <c r="J506" i="8"/>
  <c r="J522" i="8"/>
  <c r="J523" i="8"/>
  <c r="J480" i="8"/>
  <c r="J481" i="8"/>
  <c r="J436" i="8"/>
  <c r="J484" i="8"/>
  <c r="J449" i="8"/>
  <c r="J482" i="8"/>
  <c r="J483" i="8"/>
  <c r="J440" i="8"/>
  <c r="J437" i="8"/>
  <c r="J495" i="8"/>
  <c r="J455" i="8"/>
  <c r="J496" i="8"/>
  <c r="J497" i="8"/>
  <c r="J454" i="8"/>
  <c r="J500" i="8"/>
  <c r="J461" i="8"/>
  <c r="J424" i="8"/>
  <c r="J447" i="8"/>
  <c r="J488" i="8"/>
  <c r="J489" i="8"/>
  <c r="J446" i="8"/>
  <c r="J492" i="8"/>
  <c r="J487" i="8"/>
  <c r="J490" i="8"/>
  <c r="J491" i="8"/>
  <c r="J448" i="8"/>
  <c r="J438" i="8"/>
  <c r="J511" i="8"/>
  <c r="J519" i="8"/>
  <c r="J501" i="8"/>
  <c r="J450" i="8"/>
  <c r="J422" i="8"/>
  <c r="J453" i="8"/>
  <c r="J494" i="8"/>
  <c r="J427" i="8"/>
  <c r="J398" i="8"/>
  <c r="J507" i="8"/>
  <c r="J464" i="8"/>
  <c r="J465" i="8"/>
  <c r="J430" i="8"/>
  <c r="J468" i="8"/>
  <c r="J503" i="8"/>
  <c r="J498" i="8"/>
  <c r="J499" i="8"/>
  <c r="J456" i="8"/>
  <c r="J432" i="8"/>
  <c r="J435" i="8"/>
  <c r="J460" i="8"/>
  <c r="J509" i="8"/>
  <c r="J458" i="8"/>
  <c r="J459" i="8"/>
  <c r="J423" i="8"/>
  <c r="J502" i="8"/>
  <c r="J463" i="8"/>
  <c r="J474" i="8"/>
  <c r="J469" i="8"/>
  <c r="J428" i="8"/>
  <c r="J504" i="8"/>
  <c r="J505" i="8"/>
  <c r="J462" i="8"/>
  <c r="I242" i="8"/>
  <c r="Q242" i="8"/>
  <c r="Q233" i="8" s="1"/>
  <c r="J452" i="8"/>
  <c r="J457" i="8"/>
  <c r="J433" i="8"/>
  <c r="J444" i="8"/>
  <c r="J475" i="8"/>
  <c r="J443" i="8"/>
  <c r="J518" i="8"/>
  <c r="J479" i="8"/>
  <c r="J434" i="8"/>
  <c r="J517" i="8"/>
  <c r="J466" i="8"/>
  <c r="J467" i="8"/>
  <c r="J431" i="8"/>
  <c r="J510" i="8"/>
  <c r="J471" i="8"/>
  <c r="J525" i="8"/>
  <c r="J477" i="8"/>
  <c r="J421" i="8"/>
  <c r="J512" i="8"/>
  <c r="J513" i="8"/>
  <c r="J470" i="8"/>
  <c r="J516" i="8"/>
  <c r="J451" i="8"/>
  <c r="J514" i="8"/>
  <c r="J515" i="8"/>
  <c r="J472" i="8"/>
  <c r="J473" i="8"/>
  <c r="J439" i="8"/>
  <c r="J476" i="8"/>
  <c r="J412" i="8" l="1"/>
  <c r="E34" i="19" s="1"/>
  <c r="C34" i="19" s="1"/>
  <c r="J538" i="8"/>
  <c r="J402" i="8"/>
  <c r="J409" i="8"/>
  <c r="E31" i="19" s="1"/>
  <c r="C31" i="19" s="1"/>
  <c r="J404" i="8"/>
  <c r="E26" i="19" s="1"/>
  <c r="C26" i="19" s="1"/>
  <c r="J403" i="8"/>
  <c r="E25" i="19" s="1"/>
  <c r="C25" i="19" s="1"/>
  <c r="J405" i="8"/>
  <c r="E27" i="19" s="1"/>
  <c r="C27" i="19" s="1"/>
  <c r="J407" i="8"/>
  <c r="E29" i="19" s="1"/>
  <c r="C29" i="19" s="1"/>
  <c r="J406" i="8"/>
  <c r="E28" i="19" s="1"/>
  <c r="C28" i="19" s="1"/>
  <c r="J411" i="8"/>
  <c r="E33" i="19" s="1"/>
  <c r="C33" i="19" s="1"/>
  <c r="J410" i="8"/>
  <c r="E32" i="19" s="1"/>
  <c r="C32" i="19" s="1"/>
  <c r="J408" i="8"/>
  <c r="E30" i="19" s="1"/>
  <c r="C30" i="19" s="1"/>
  <c r="S233" i="8"/>
  <c r="Q398" i="8"/>
  <c r="A32" i="19" l="1"/>
  <c r="J1" i="8"/>
  <c r="J539" i="8"/>
  <c r="E3" i="19"/>
  <c r="F3" i="19" s="1"/>
  <c r="S398" i="8"/>
  <c r="P399" i="8"/>
  <c r="E24" i="19"/>
  <c r="E35" i="19" s="1"/>
  <c r="J413" i="8"/>
  <c r="J414" i="8" s="1"/>
  <c r="E36" i="19" l="1"/>
  <c r="C24" i="19"/>
  <c r="C35" i="19" s="1"/>
  <c r="H542" i="8"/>
</calcChain>
</file>

<file path=xl/comments1.xml><?xml version="1.0" encoding="utf-8"?>
<comments xmlns="http://schemas.openxmlformats.org/spreadsheetml/2006/main">
  <authors>
    <author>Nathalie BLANDINO</author>
  </authors>
  <commentList>
    <comment ref="A135" authorId="0" shapeId="0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sec</t>
        </r>
      </text>
    </comment>
    <comment ref="A142" authorId="0" shapeId="0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sec</t>
        </r>
      </text>
    </comment>
    <comment ref="A148" authorId="0" shapeId="0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sec</t>
        </r>
      </text>
    </comment>
  </commentList>
</comments>
</file>

<file path=xl/comments2.xml><?xml version="1.0" encoding="utf-8"?>
<comments xmlns="http://schemas.openxmlformats.org/spreadsheetml/2006/main">
  <authors>
    <author>Nathalie BLANDINO</author>
  </authors>
  <commentList>
    <comment ref="F4" authorId="0" shapeId="0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mettre date DROC</t>
        </r>
      </text>
    </comment>
  </commentList>
</comments>
</file>

<file path=xl/comments3.xml><?xml version="1.0" encoding="utf-8"?>
<comments xmlns="http://schemas.openxmlformats.org/spreadsheetml/2006/main">
  <authors>
    <author>Nathalie BLANDINO</author>
  </authors>
  <commentList>
    <comment ref="F4" authorId="0" shapeId="0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mettre date DROC</t>
        </r>
      </text>
    </comment>
  </commentList>
</comments>
</file>

<file path=xl/comments4.xml><?xml version="1.0" encoding="utf-8"?>
<comments xmlns="http://schemas.openxmlformats.org/spreadsheetml/2006/main">
  <authors>
    <author>Sophie RIVIERE</author>
  </authors>
  <commentList>
    <comment ref="K7" authorId="0" shapeId="0">
      <text>
        <r>
          <rPr>
            <b/>
            <sz val="9"/>
            <color indexed="81"/>
            <rFont val="Tahoma"/>
            <family val="2"/>
          </rPr>
          <t>Sophie RIVIERE:</t>
        </r>
        <r>
          <rPr>
            <sz val="9"/>
            <color indexed="81"/>
            <rFont val="Tahoma"/>
            <family val="2"/>
          </rPr>
          <t xml:space="preserve">
Différence de 29,08</t>
        </r>
      </text>
    </comment>
  </commentList>
</comments>
</file>

<file path=xl/sharedStrings.xml><?xml version="1.0" encoding="utf-8"?>
<sst xmlns="http://schemas.openxmlformats.org/spreadsheetml/2006/main" count="1464" uniqueCount="427">
  <si>
    <t>Libellé</t>
  </si>
  <si>
    <t>Montant</t>
  </si>
  <si>
    <t>Opération</t>
  </si>
  <si>
    <t xml:space="preserve">N° </t>
  </si>
  <si>
    <t xml:space="preserve">APPELS DE FONDS </t>
  </si>
  <si>
    <t>ETAT DES CREANCES : MAIRIE DE SAINT LEU</t>
  </si>
  <si>
    <t>PARTICIPATION CH 624 &amp; 93</t>
  </si>
  <si>
    <t>PTIT CANAL</t>
  </si>
  <si>
    <t>LAURENCY</t>
  </si>
  <si>
    <t>LE CAP</t>
  </si>
  <si>
    <t>CHALOUPE</t>
  </si>
  <si>
    <t>LAVOIR</t>
  </si>
  <si>
    <t>BUDGET</t>
  </si>
  <si>
    <t>RESTE A PERCEVOIR</t>
  </si>
  <si>
    <t>Payé</t>
  </si>
  <si>
    <t>Date</t>
  </si>
  <si>
    <t>FRAFU SECONDAIRE</t>
  </si>
  <si>
    <t>FRAFU SOCIAL</t>
  </si>
  <si>
    <t>Nbre js d'impayés</t>
  </si>
  <si>
    <t>Non appelé</t>
  </si>
  <si>
    <t>A payer</t>
  </si>
  <si>
    <t>Signature</t>
  </si>
  <si>
    <t>SOBEPRE</t>
  </si>
  <si>
    <t>Mandats</t>
  </si>
  <si>
    <t>Tx d'intérêts</t>
  </si>
  <si>
    <t>Base</t>
  </si>
  <si>
    <t>Etat des dépenses au 24/11/2014</t>
  </si>
  <si>
    <t>prévision 4tr restants à dépenser</t>
  </si>
  <si>
    <t>non encore appelé</t>
  </si>
  <si>
    <t xml:space="preserve">somme à appeler </t>
  </si>
  <si>
    <t>Sobepre</t>
  </si>
  <si>
    <t>ETAT DES CREANCES : CAF</t>
  </si>
  <si>
    <t xml:space="preserve">LA FONTAINE - LE LAVOIR       </t>
  </si>
  <si>
    <t xml:space="preserve">RAYMOND BARRE                 </t>
  </si>
  <si>
    <t xml:space="preserve">GRANDE RAVINE LES HAUTS       </t>
  </si>
  <si>
    <t xml:space="preserve">TAMARINIERS                    </t>
  </si>
  <si>
    <t>BARRAGE</t>
  </si>
  <si>
    <t>MANAPANY LES BAINS</t>
  </si>
  <si>
    <t>ILOT 5.1</t>
  </si>
  <si>
    <t>COMBAVAS</t>
  </si>
  <si>
    <t>RESERVOIRS DE STELLA</t>
  </si>
  <si>
    <t>CAMPHRIER</t>
  </si>
  <si>
    <t>POKER D'AS</t>
  </si>
  <si>
    <t>TAKAMAKA</t>
  </si>
  <si>
    <t>P'TIT CANAL</t>
  </si>
  <si>
    <t>JULES VIENNE</t>
  </si>
  <si>
    <t>DESIRE</t>
  </si>
  <si>
    <t>LE LAVOIR</t>
  </si>
  <si>
    <t>AUBEPINES</t>
  </si>
  <si>
    <t>LES PECHERS</t>
  </si>
  <si>
    <t>ALAMANDAS</t>
  </si>
  <si>
    <t>AMARYLLIS</t>
  </si>
  <si>
    <t>TAMARINIERS</t>
  </si>
  <si>
    <t>MIMOSAS</t>
  </si>
  <si>
    <t>AVENUE RAYMOND BARRE</t>
  </si>
  <si>
    <t>BOUTON D'OR</t>
  </si>
  <si>
    <t>PARC A MOUTON</t>
  </si>
  <si>
    <t>JOSEPHA FONTAINE</t>
  </si>
  <si>
    <t>DESIRE 2</t>
  </si>
  <si>
    <t>POKER D'AS 2</t>
  </si>
  <si>
    <t>PIVET VELIN</t>
  </si>
  <si>
    <t>RUE DE L'EGLISE</t>
  </si>
  <si>
    <t>FANFAN</t>
  </si>
  <si>
    <t>OISEAUX DE PARADIS</t>
  </si>
  <si>
    <t>RHI BUTTE CITRONNELLE</t>
  </si>
  <si>
    <t>PEPINIERE D'ENTREPRISE</t>
  </si>
  <si>
    <t>ETAT DES CREANCES : FEDER</t>
  </si>
  <si>
    <t>ETAT DES CREANCES : ADEME</t>
  </si>
  <si>
    <t>CRESSONIERE</t>
  </si>
  <si>
    <t>ETAT DES CREANCES : DIECCTE</t>
  </si>
  <si>
    <t>PEPINIERE</t>
  </si>
  <si>
    <t>ETAT DES CREANCES : REGION</t>
  </si>
  <si>
    <t>ETAT DES CREANCES : TCO</t>
  </si>
  <si>
    <t>FRAFU P'TIT CANAL</t>
  </si>
  <si>
    <t>ETAT DES CREANCES : CILGERE</t>
  </si>
  <si>
    <t>CONCESSION AMGT RHI CBLQ</t>
  </si>
  <si>
    <t>SCEAU DE SALOMON</t>
  </si>
  <si>
    <t>Solde fin GPA 09/2015</t>
  </si>
  <si>
    <t>FRAFU JULES VIENNE</t>
  </si>
  <si>
    <t>FRAFU DESIRE</t>
  </si>
  <si>
    <t>FRAFU LAVOIR</t>
  </si>
  <si>
    <t>FRAFU AUBEPINES</t>
  </si>
  <si>
    <t>FRAFU BOUTON D'OR</t>
  </si>
  <si>
    <t>FRAFU MIMOSAS</t>
  </si>
  <si>
    <t>FRAFU LAURENCY</t>
  </si>
  <si>
    <t>FRAFU LE CAP</t>
  </si>
  <si>
    <t>FRAFU DESIRE 2</t>
  </si>
  <si>
    <t>FRAFU TAKAMAKA</t>
  </si>
  <si>
    <t>FRAFU AMARYLLIS</t>
  </si>
  <si>
    <t>FRAFU TAMARINIERS</t>
  </si>
  <si>
    <t>FRAFU JOSEPHA FONTAINE</t>
  </si>
  <si>
    <t>Soldé - ok</t>
  </si>
  <si>
    <t>ETAT DES CREANCES : PETITE ILE</t>
  </si>
  <si>
    <t xml:space="preserve">SAINT-LEU </t>
  </si>
  <si>
    <t xml:space="preserve">PETITE-ILE </t>
  </si>
  <si>
    <t>CAF</t>
  </si>
  <si>
    <t>FEDER</t>
  </si>
  <si>
    <t>DIECCTE</t>
  </si>
  <si>
    <t>REGION</t>
  </si>
  <si>
    <t>TCO</t>
  </si>
  <si>
    <t>Budget</t>
  </si>
  <si>
    <t>Versé</t>
  </si>
  <si>
    <t>Total</t>
  </si>
  <si>
    <t>AF à lancer</t>
  </si>
  <si>
    <t>en attente</t>
  </si>
  <si>
    <t>VEFA SAFRANIERE</t>
  </si>
  <si>
    <t>ANNULE</t>
  </si>
  <si>
    <t>Observations</t>
  </si>
  <si>
    <t>ETAT DES CREANCES : FRAFU DEAL</t>
  </si>
  <si>
    <t>ETAT DES CREANCES : LBU DEAL</t>
  </si>
  <si>
    <t xml:space="preserve">Date OS </t>
  </si>
  <si>
    <t>Date DAT</t>
  </si>
  <si>
    <t>LA CHALOUPE (Paille en Queue)</t>
  </si>
  <si>
    <t>VEFA PETUNIAS</t>
  </si>
  <si>
    <t>VEFA CAP OUEST</t>
  </si>
  <si>
    <t>Date limite DAT (4 ans)</t>
  </si>
  <si>
    <t>LBU DEAL</t>
  </si>
  <si>
    <t>FRAFU DEAL</t>
  </si>
  <si>
    <t>FRAFU</t>
  </si>
  <si>
    <t>Appelé (Non payé)</t>
  </si>
  <si>
    <t>Fin convention</t>
  </si>
  <si>
    <t>Date limite démarrage</t>
  </si>
  <si>
    <t>FRAFU MANAPANY</t>
  </si>
  <si>
    <t>observations</t>
  </si>
  <si>
    <t>DAT</t>
  </si>
  <si>
    <t>DADT / 2012 0706 FRAFU</t>
  </si>
  <si>
    <t>Eligibilité dépenses</t>
  </si>
  <si>
    <t>DADT / 2012 1065 FRAFU</t>
  </si>
  <si>
    <t>solde à demander avant</t>
  </si>
  <si>
    <t>SGAR / 2012 31966</t>
  </si>
  <si>
    <t>DAE1/2011-1446</t>
  </si>
  <si>
    <t>Clôture TCO</t>
  </si>
  <si>
    <t>ETAT DES CREANCES : EDF</t>
  </si>
  <si>
    <t>Modalités</t>
  </si>
  <si>
    <t>Date limite DROC (18 mois)</t>
  </si>
  <si>
    <t>Date limite demande de solde</t>
  </si>
  <si>
    <t>vérifier si prorog faite</t>
  </si>
  <si>
    <t>OBSERVATIONS</t>
  </si>
  <si>
    <t>dépenses acquittées entre 01/01/07 et 31/12/14 éligibles</t>
  </si>
  <si>
    <t>au 31/05/15</t>
  </si>
  <si>
    <t>PRZA LAURENCY</t>
  </si>
  <si>
    <t>ancien montant 127837,8</t>
  </si>
  <si>
    <t>LACAUSSADE 3</t>
  </si>
  <si>
    <t>RPA ST PHILIPPE</t>
  </si>
  <si>
    <t>VEFA ROSIERS 51 LLS</t>
  </si>
  <si>
    <t>VEFA ROSIERS 6 LLTS</t>
  </si>
  <si>
    <t>ETAT DES CREANCES : OFFICE DE L'EAU</t>
  </si>
  <si>
    <t>Eaux Usées</t>
  </si>
  <si>
    <t>AEP</t>
  </si>
  <si>
    <t xml:space="preserve">N° 15-0452 </t>
  </si>
  <si>
    <t xml:space="preserve">N° 15-0474 </t>
  </si>
  <si>
    <t xml:space="preserve">N° 15-0706 </t>
  </si>
  <si>
    <t>Dossier présage 30279 / Réseau AEU</t>
  </si>
  <si>
    <t>Demande de 26 394,54 € (Acpte 2)annulée le 30/07/13</t>
  </si>
  <si>
    <t>Solde à réalisation de fin travx à 83,46 %</t>
  </si>
  <si>
    <t>PLAINE ST PAUL (18 LLTS)</t>
  </si>
  <si>
    <t>N° 15-0735</t>
  </si>
  <si>
    <t>N° 15-0734</t>
  </si>
  <si>
    <t>N° 15-0707</t>
  </si>
  <si>
    <t>ILOT 6.2 (18 LLTS)</t>
  </si>
  <si>
    <t>N° 15-068</t>
  </si>
  <si>
    <t>ETAT DES CREANCES : MAIRIE ETANG-SALE</t>
  </si>
  <si>
    <t>Avenue R. BARRE</t>
  </si>
  <si>
    <t xml:space="preserve">Chaloupe/Paille en Queue </t>
  </si>
  <si>
    <t>?</t>
  </si>
  <si>
    <t>ETAT DES CREANCES : MAIRIE ST JOSEPH</t>
  </si>
  <si>
    <t>Montant corrigé : anciennt 212 081,00</t>
  </si>
  <si>
    <t>N° 13-0335</t>
  </si>
  <si>
    <t>N° 14-0678</t>
  </si>
  <si>
    <t>N° 14-0795</t>
  </si>
  <si>
    <t>N° 14-0316</t>
  </si>
  <si>
    <t>N° 14-0566</t>
  </si>
  <si>
    <t>N° 14-0686</t>
  </si>
  <si>
    <t>N° 14-0355</t>
  </si>
  <si>
    <t>N° 14-0429</t>
  </si>
  <si>
    <t>N° 13-0446</t>
  </si>
  <si>
    <t>N° 13-0333</t>
  </si>
  <si>
    <t>N° 13-0307</t>
  </si>
  <si>
    <t>N° 13-0326</t>
  </si>
  <si>
    <t>N° 13-0523</t>
  </si>
  <si>
    <t>N° 13-0311</t>
  </si>
  <si>
    <t>N° 13-0668</t>
  </si>
  <si>
    <t>N° 13-0310</t>
  </si>
  <si>
    <t>N° 13-0325</t>
  </si>
  <si>
    <t>N° 13-0334</t>
  </si>
  <si>
    <t>N° 13-0341</t>
  </si>
  <si>
    <t>N° 12-0612</t>
  </si>
  <si>
    <t>N° 12-0518</t>
  </si>
  <si>
    <t>N° 12-0459</t>
  </si>
  <si>
    <t>N° 12-0611</t>
  </si>
  <si>
    <t>N° 12-0458</t>
  </si>
  <si>
    <t>N° 12-0449</t>
  </si>
  <si>
    <t>N° 12-0416</t>
  </si>
  <si>
    <t>N° 12-0419</t>
  </si>
  <si>
    <t>N° 12-0461</t>
  </si>
  <si>
    <t>N° 12-0422</t>
  </si>
  <si>
    <t>N° 12-0463</t>
  </si>
  <si>
    <t>N° SHLS-FRAFU-11-0011</t>
  </si>
  <si>
    <t>N° SHLS-FRAFU-13-0004</t>
  </si>
  <si>
    <t>N° SHLS-FRAFU-13-0003</t>
  </si>
  <si>
    <t>N° SHLS-FRAFU-13-0005</t>
  </si>
  <si>
    <t>N° SHLS-FRAFU-13-0001</t>
  </si>
  <si>
    <t>N° SHLS-FRAFU-13-0006</t>
  </si>
  <si>
    <t>N° SHLS-FRAFU-13-0007</t>
  </si>
  <si>
    <t>N° SHLS-FRAFU-13-0002</t>
  </si>
  <si>
    <t>N° SHLS-FRAFU-13-0009</t>
  </si>
  <si>
    <t>N° SHLS-FRAFU-12-0002</t>
  </si>
  <si>
    <t>N° SHLS-FRAFU- 12-0007</t>
  </si>
  <si>
    <t>N° SHLS-FRAFU-12-0006</t>
  </si>
  <si>
    <t>N° SHLS-FRAFU-11-0023</t>
  </si>
  <si>
    <t>N° SHLS-FRAFU-11-0024</t>
  </si>
  <si>
    <t>N° SHLS-FRAFU-11-0016</t>
  </si>
  <si>
    <t>N° SHLS-FRAFU-11-0010</t>
  </si>
  <si>
    <t>N° 05-02069 DDE/SG-CCP</t>
  </si>
  <si>
    <t xml:space="preserve">Règlement de 1 290 562,67 € au lieu de 1 308 955,97                                                  </t>
  </si>
  <si>
    <t>Différence de 18 393,30 €</t>
  </si>
  <si>
    <t>Règlement de 555 158,77 au lieu de 573 552,97</t>
  </si>
  <si>
    <t>Différence de : 18 394,20</t>
  </si>
  <si>
    <t>SAINT-JOSEPH</t>
  </si>
  <si>
    <t>APPELE</t>
  </si>
  <si>
    <t>AF REALISES</t>
  </si>
  <si>
    <t>PAYE</t>
  </si>
  <si>
    <t>recalcul FRAFU ?</t>
  </si>
  <si>
    <t>N° SHLS-FRAFU-14-0003</t>
  </si>
  <si>
    <t>ok</t>
  </si>
  <si>
    <t>corrigé</t>
  </si>
  <si>
    <t xml:space="preserve">Prorogat° faite </t>
  </si>
  <si>
    <t>nouvelle dde à faire</t>
  </si>
  <si>
    <t>Date DCEO</t>
  </si>
  <si>
    <t>Diminution du montant des dépenses --&gt; TCO n' pas voulu payer</t>
  </si>
  <si>
    <t>N° SHLS-FRAFU-14-0012</t>
  </si>
  <si>
    <t>LES AUBEPINES</t>
  </si>
  <si>
    <t xml:space="preserve">LES AUBEPINES             </t>
  </si>
  <si>
    <t>Demande du 2ème acompte du 02/9/14 annulée pour un montant de 21000 € donc demande de solde d'un montant de 42000</t>
  </si>
  <si>
    <t xml:space="preserve">N° 10-0731 </t>
  </si>
  <si>
    <t>N° 11-0608</t>
  </si>
  <si>
    <t>N° 11-0390</t>
  </si>
  <si>
    <t>N° 11-0391</t>
  </si>
  <si>
    <t>N° 12-0655</t>
  </si>
  <si>
    <t>Date de la DROC</t>
  </si>
  <si>
    <t>Pas de suite à dde acpte 2 donc demande de solde de 66000 €</t>
  </si>
  <si>
    <t xml:space="preserve">Montant dépenses éligibles faux --&gt; avenant 1 </t>
  </si>
  <si>
    <t>N° 16-0310</t>
  </si>
  <si>
    <t>N° 15-0725</t>
  </si>
  <si>
    <t>Solde à réalisation de fin de trvx à 88,43 %</t>
  </si>
  <si>
    <t>écart 1000 € dû erreur DEAL</t>
  </si>
  <si>
    <t>arrêté de minoration</t>
  </si>
  <si>
    <t>CRESSONNIERE</t>
  </si>
  <si>
    <t>Arrêté de minoration</t>
  </si>
  <si>
    <t>RPA CHALOUPE</t>
  </si>
  <si>
    <t>VERVEINES DES INDES (ILOT 5.1)</t>
  </si>
  <si>
    <t>&lt; à 30 000 € : on a 2 ans pour demander l'ensemble des appels de fonds</t>
  </si>
  <si>
    <t>&gt; 30 000 € : au démarrage chantier (2ans) puis le solde, 4 ans à la date du 1er paiement AF.</t>
  </si>
  <si>
    <t>Suite à prorogat°</t>
  </si>
  <si>
    <t>VEFA PAULE &amp; GASTON (23 LLTS)</t>
  </si>
  <si>
    <t>N° 16-0379</t>
  </si>
  <si>
    <t>apparemment réglé - Voir Cathriana</t>
  </si>
  <si>
    <t>Suite à prorogation</t>
  </si>
  <si>
    <t xml:space="preserve">Suite à prorogation </t>
  </si>
  <si>
    <t>1er AF envoyé le 02/12/14.2ème envoi à la dde de la Mairie</t>
  </si>
  <si>
    <t>N° 16-0634</t>
  </si>
  <si>
    <t>EDD corrigé à 79,25%</t>
  </si>
  <si>
    <t>N° 16-0672</t>
  </si>
  <si>
    <t>HORTENSIAS (22 LLTS)</t>
  </si>
  <si>
    <t>BRAS DE LA PLAINE</t>
  </si>
  <si>
    <t>BRAS DE LA PLAINE (18 LLTS)</t>
  </si>
  <si>
    <t>N° 16-0720</t>
  </si>
  <si>
    <t xml:space="preserve">VEFA PAULE &amp; GASTON  </t>
  </si>
  <si>
    <t>PALISSANDRE (30 LLS)</t>
  </si>
  <si>
    <t>N° 16-0719</t>
  </si>
  <si>
    <t>RPA DU PARC (40 LLTS)</t>
  </si>
  <si>
    <t>N° 16-0727</t>
  </si>
  <si>
    <t>AMATA</t>
  </si>
  <si>
    <t>CD61 &amp; 515</t>
  </si>
  <si>
    <t>LES PLATANES (28 LLTS)</t>
  </si>
  <si>
    <t>N° 16-0610</t>
  </si>
  <si>
    <t>TYPE SUBVENTION</t>
  </si>
  <si>
    <t>MOD</t>
  </si>
  <si>
    <t>Maîtrise de l'énergie</t>
  </si>
  <si>
    <t>POKER D'AS 1</t>
  </si>
  <si>
    <t>BOUTONS D'OR</t>
  </si>
  <si>
    <t>SALINE BARRAGE</t>
  </si>
  <si>
    <t>BUDGET TTC</t>
  </si>
  <si>
    <t>rattrapage des 1000 €</t>
  </si>
  <si>
    <t>N° 16-0764</t>
  </si>
  <si>
    <t>ILOT 5.6 (FAHAM)</t>
  </si>
  <si>
    <t>ILOT 6.1 (FLEURS JAUNES)</t>
  </si>
  <si>
    <t>AX 18 (ZAMBAVILLE)</t>
  </si>
  <si>
    <t>ILOT 5.1 (VERVEINES DES INDES)</t>
  </si>
  <si>
    <t>dde avenant faite</t>
  </si>
  <si>
    <t>Mqe conformité</t>
  </si>
  <si>
    <t xml:space="preserve"> </t>
  </si>
  <si>
    <t>suite à prorogation</t>
  </si>
  <si>
    <t>LES KAKIS (35 LLTS)</t>
  </si>
  <si>
    <t>En attente</t>
  </si>
  <si>
    <t>ST LEU</t>
  </si>
  <si>
    <t>ADEME</t>
  </si>
  <si>
    <t>PETITE ILE</t>
  </si>
  <si>
    <t>EDF</t>
  </si>
  <si>
    <t>OFFICE EAU</t>
  </si>
  <si>
    <t>ETG SALE</t>
  </si>
  <si>
    <t>ST JOSEPH</t>
  </si>
  <si>
    <t>DESIRE 1/2</t>
  </si>
  <si>
    <t>VERIF SOBEPRE</t>
  </si>
  <si>
    <t>Pepinière : dépenses pas atteintes</t>
  </si>
  <si>
    <t>MAURICE LEBON / VEFA BUTOR (55 LLTS)</t>
  </si>
  <si>
    <t>N° 16-0008</t>
  </si>
  <si>
    <t>N° 15-0003</t>
  </si>
  <si>
    <t>Prorogation</t>
  </si>
  <si>
    <t>Fin de la convention</t>
  </si>
  <si>
    <t xml:space="preserve">Suite à prorogat° </t>
  </si>
  <si>
    <t>Dde de prorogation faite</t>
  </si>
  <si>
    <t>PT BANANES &amp; TAMARINS</t>
  </si>
  <si>
    <t>REHAB</t>
  </si>
  <si>
    <t>CH. GALET 1 &amp; 2/LA CHAPELLE</t>
  </si>
  <si>
    <t>CASABIANCA/ORCHIDEES/</t>
  </si>
  <si>
    <t>CHOKA BLEU/LA CURE2</t>
  </si>
  <si>
    <t>N° 2017DD97400011</t>
  </si>
  <si>
    <t>VEFA ANCIEN HOPITAL (30 LLTS)</t>
  </si>
  <si>
    <t>CALIFORNIE (24 LLTS)</t>
  </si>
  <si>
    <t>N° 2017DD97400008</t>
  </si>
  <si>
    <t>N° 2017DD97400017</t>
  </si>
  <si>
    <t>INDIGO TR.1 (84 LLTS)</t>
  </si>
  <si>
    <t>FANFAN TR 2 / 8 LOTS</t>
  </si>
  <si>
    <t>DAKOTA (26 LLTS)</t>
  </si>
  <si>
    <t>N° 2017DD9740014</t>
  </si>
  <si>
    <t>Solde à réalisation de fin de trvx à 98,58 %</t>
  </si>
  <si>
    <t>3ème trimestre 2018</t>
  </si>
  <si>
    <t>ATTENTION</t>
  </si>
  <si>
    <t>BRAS MOUTONS (19 LLTS)</t>
  </si>
  <si>
    <t>N° 2017DD97400041</t>
  </si>
  <si>
    <t>LES FOURRAGERES (21 LLTS)</t>
  </si>
  <si>
    <t>N° 2017DD97400044</t>
  </si>
  <si>
    <t>VEFA EQUILIBRE (37 LLTS)</t>
  </si>
  <si>
    <t>N° 2017DD97400029</t>
  </si>
  <si>
    <t>ETAT DES CREANCES : LBU REHABILITATION DEAL</t>
  </si>
  <si>
    <t>100 MARCHES (10 LLS)</t>
  </si>
  <si>
    <t>BOUGAINVILLEES ( 26 LLS)</t>
  </si>
  <si>
    <t>CARAMBOLES (6 LLS)</t>
  </si>
  <si>
    <t>SHLS N° 17-0446</t>
  </si>
  <si>
    <t>SHLS N° 17-0447</t>
  </si>
  <si>
    <t>Date limite DROC (12 mois)</t>
  </si>
  <si>
    <t>CITRONNELLES (45 LLS)</t>
  </si>
  <si>
    <t>SHLS N° 17-0448</t>
  </si>
  <si>
    <t>SHLS N° 17-0445</t>
  </si>
  <si>
    <t>HUBERT DELISLE (74 LLS)</t>
  </si>
  <si>
    <t>BRAS DES ETANGS (31 LLS)</t>
  </si>
  <si>
    <t>SHLS N°17-0382</t>
  </si>
  <si>
    <t>SHLS N° 17-0415</t>
  </si>
  <si>
    <t>PAPYRUS &amp; CANNELLE E/SALE</t>
  </si>
  <si>
    <t>N° 17REC0185</t>
  </si>
  <si>
    <t>N° 1546C0070</t>
  </si>
  <si>
    <t>N° 17REC0128</t>
  </si>
  <si>
    <t>N° 17REC0124</t>
  </si>
  <si>
    <t>N° 17REC0121</t>
  </si>
  <si>
    <t>Z'AMBAVILLE</t>
  </si>
  <si>
    <t>Solde à réalisation de fin de trx à 98,99%</t>
  </si>
  <si>
    <t>Solde conditionné à la vente des parcelles</t>
  </si>
  <si>
    <t>Demandé par BBL</t>
  </si>
  <si>
    <t>Participat° Communale Validat° CRAC au 31/12/16</t>
  </si>
  <si>
    <t>Participat° Communale Validat° CRAC au 31/12/17</t>
  </si>
  <si>
    <t xml:space="preserve">Demandé par BBL </t>
  </si>
  <si>
    <t>Cocos TURPIN</t>
  </si>
  <si>
    <t>N°18REC0030</t>
  </si>
  <si>
    <t>N° 2018DD97400059</t>
  </si>
  <si>
    <t>CANNELLE (30 LLTS)</t>
  </si>
  <si>
    <t>CROUS ST PIERRE</t>
  </si>
  <si>
    <t>DIRED/20180248</t>
  </si>
  <si>
    <t>Solde à demander avant</t>
  </si>
  <si>
    <t>ETAT DES CREANCES : RECTORAT</t>
  </si>
  <si>
    <t>CPER 2015-2020 VOLET 1 Mesure 1-1-3</t>
  </si>
  <si>
    <t>INDIGO TR.2 (22 LLS)</t>
  </si>
  <si>
    <t>INDIGO TR.2 (34 LLTS)</t>
  </si>
  <si>
    <t>OPALE (17 LLS)</t>
  </si>
  <si>
    <t>PAPYRUS (33 LLS)</t>
  </si>
  <si>
    <t>N° 2018DD97400065</t>
  </si>
  <si>
    <t>N° 2018DD97400067</t>
  </si>
  <si>
    <t>N° 2018DD97400068</t>
  </si>
  <si>
    <t>N° 2018DD97400060</t>
  </si>
  <si>
    <t>BELLEVUE (128 LLS)</t>
  </si>
  <si>
    <t>SHLS N° 18-0127</t>
  </si>
  <si>
    <t>Mise hors d'air</t>
  </si>
  <si>
    <t>Fondations</t>
  </si>
  <si>
    <t>remise des clés</t>
  </si>
  <si>
    <t>Remise des clés</t>
  </si>
  <si>
    <t>Date limite DAT (2 ans à la signature de la convention)</t>
  </si>
  <si>
    <t>FAHAM</t>
  </si>
  <si>
    <t>CROUS TAMPON</t>
  </si>
  <si>
    <t>DIRED/20180457</t>
  </si>
  <si>
    <t>Solde à réalisation de fin de trvx à 99,91 %</t>
  </si>
  <si>
    <t>COCO TURPIN (39 LLS)</t>
  </si>
  <si>
    <t>N° 2018DD97400085</t>
  </si>
  <si>
    <t>opérat° clôturée par DEAL (voir CA)</t>
  </si>
  <si>
    <t>ECART 2018</t>
  </si>
  <si>
    <t>Différence de :</t>
  </si>
  <si>
    <t>POINSETIAS (31 LLS)</t>
  </si>
  <si>
    <t>SHLS N° 18-0122</t>
  </si>
  <si>
    <t>SHLS N° 18-0123</t>
  </si>
  <si>
    <t>CANAL LILIS (23 LLS)</t>
  </si>
  <si>
    <t>SHLS N° 18-0125</t>
  </si>
  <si>
    <t>Base éligible non atteinte ?</t>
  </si>
  <si>
    <t>Payé au pororata des travaux réalisés</t>
  </si>
  <si>
    <t>REHABILITATION</t>
  </si>
  <si>
    <t>Partenariat Efficacité Energétique</t>
  </si>
  <si>
    <t>suite à prorogat° 2</t>
  </si>
  <si>
    <t xml:space="preserve">   + 60 mois de prorogation</t>
  </si>
  <si>
    <t>Avenue Raymond Barre</t>
  </si>
  <si>
    <t>LA SERRE</t>
  </si>
  <si>
    <t>N° 18REC0063</t>
  </si>
  <si>
    <t>manque DGD Hoareau Plafond / pb épaisseur isolant</t>
  </si>
  <si>
    <t>convention signée SODEGIS</t>
  </si>
  <si>
    <t>manque DGD SOREPLAC / PG ROBERT / DOE SOREPLAC / levée de réserves</t>
  </si>
  <si>
    <t>envoyer éléments</t>
  </si>
  <si>
    <t>en cours de signature</t>
  </si>
  <si>
    <t>LA CURE 1</t>
  </si>
  <si>
    <t>LA CURE 2</t>
  </si>
  <si>
    <t xml:space="preserve">manque DGD SMOI </t>
  </si>
  <si>
    <t>RECTORAT</t>
  </si>
  <si>
    <t>LBU REHAB</t>
  </si>
  <si>
    <t>OPERATION</t>
  </si>
  <si>
    <t xml:space="preserve">RECTORAT </t>
  </si>
  <si>
    <t>ETANG-SALE</t>
  </si>
  <si>
    <t>CD 61</t>
  </si>
  <si>
    <t>secondaire 1e tr</t>
  </si>
  <si>
    <t>FRAFU Primaire assainissement</t>
  </si>
  <si>
    <t>Secondaire 2ème tranche</t>
  </si>
  <si>
    <t>TOTAL SUBVENTIONS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</si>
</sst>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\ _€"/>
    <numFmt numFmtId="165" formatCode="[$-40C]mmm\-yy;@"/>
    <numFmt numFmtId="166" formatCode="#,##0.0000"/>
    <numFmt numFmtId="167" formatCode="dd/mm/yy;@"/>
  </numFmts>
  <fonts count="27" x14ac:knownFonts="1">
    <font>
      <sz val="10"/>
      <name val="Arial"/>
    </font>
    <font>
      <sz val="9"/>
      <name val="ScalaSansPro-Regular"/>
      <family val="3"/>
    </font>
    <font>
      <b/>
      <sz val="9"/>
      <name val="ScalaSansPro-Regular"/>
      <family val="3"/>
    </font>
    <font>
      <sz val="9"/>
      <color rgb="FFFF0000"/>
      <name val="ScalaSansPro-Regular"/>
      <family val="3"/>
    </font>
    <font>
      <b/>
      <sz val="9"/>
      <color rgb="FFFF0000"/>
      <name val="ScalaSansPro-Regular"/>
      <family val="3"/>
    </font>
    <font>
      <b/>
      <sz val="10"/>
      <name val="Arial"/>
      <family val="2"/>
    </font>
    <font>
      <sz val="10"/>
      <name val="Arial"/>
      <family val="2"/>
    </font>
    <font>
      <i/>
      <sz val="9"/>
      <name val="ScalaSansPro-Regular"/>
      <family val="3"/>
    </font>
    <font>
      <i/>
      <sz val="9"/>
      <color rgb="FFFF0000"/>
      <name val="ScalaSansPro-Regular"/>
      <family val="3"/>
    </font>
    <font>
      <i/>
      <sz val="10"/>
      <name val="Arial"/>
      <family val="2"/>
    </font>
    <font>
      <b/>
      <i/>
      <sz val="10"/>
      <name val="Arial"/>
      <family val="2"/>
    </font>
    <font>
      <b/>
      <i/>
      <sz val="9"/>
      <name val="ScalaSansPro-Regular"/>
      <family val="3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9"/>
      <color theme="9"/>
      <name val="ScalaSansPro-Regular"/>
      <family val="3"/>
    </font>
    <font>
      <i/>
      <sz val="10"/>
      <name val="Calibri"/>
      <family val="2"/>
      <scheme val="minor"/>
    </font>
    <font>
      <b/>
      <sz val="12"/>
      <name val="Calibri"/>
      <family val="2"/>
      <scheme val="minor"/>
    </font>
    <font>
      <sz val="10"/>
      <name val="ScalaSansPro-Regular"/>
      <family val="3"/>
    </font>
    <font>
      <b/>
      <sz val="10"/>
      <name val="ScalaSansPro-Regular"/>
      <family val="3"/>
    </font>
    <font>
      <b/>
      <sz val="9"/>
      <color theme="1"/>
      <name val="ScalaSansPro-Regular"/>
      <family val="3"/>
    </font>
    <font>
      <b/>
      <sz val="9"/>
      <color rgb="FF002060"/>
      <name val="ScalaSansPro-Regular"/>
      <family val="3"/>
    </font>
    <font>
      <b/>
      <sz val="9"/>
      <color theme="0"/>
      <name val="ScalaSansPro-Regular"/>
      <family val="3"/>
    </font>
    <font>
      <sz val="10"/>
      <name val="Arial"/>
    </font>
  </fonts>
  <fills count="1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9" tint="0.39997558519241921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rgb="FFFF0000"/>
      </top>
      <bottom style="medium">
        <color rgb="FFFF0000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rgb="FFFF0000"/>
      </left>
      <right style="medium">
        <color auto="1"/>
      </right>
      <top style="medium">
        <color rgb="FFFF0000"/>
      </top>
      <bottom style="medium">
        <color rgb="FFFF0000"/>
      </bottom>
      <diagonal/>
    </border>
    <border>
      <left style="medium">
        <color auto="1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 style="medium">
        <color auto="1"/>
      </left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/>
      <right style="medium">
        <color auto="1"/>
      </right>
      <top style="medium">
        <color rgb="FFFF0000"/>
      </top>
      <bottom style="medium">
        <color rgb="FFFF0000"/>
      </bottom>
      <diagonal/>
    </border>
  </borders>
  <cellStyleXfs count="3">
    <xf numFmtId="0" fontId="0" fillId="0" borderId="0"/>
    <xf numFmtId="9" fontId="6" fillId="0" borderId="0" applyFont="0" applyFill="0" applyBorder="0" applyAlignment="0" applyProtection="0"/>
    <xf numFmtId="43" fontId="26" fillId="0" borderId="0" applyFont="0" applyFill="0" applyBorder="0" applyAlignment="0" applyProtection="0"/>
  </cellStyleXfs>
  <cellXfs count="96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top"/>
    </xf>
    <xf numFmtId="0" fontId="2" fillId="2" borderId="2" xfId="0" applyFont="1" applyFill="1" applyBorder="1" applyAlignment="1">
      <alignment horizontal="center" vertical="top" wrapText="1"/>
    </xf>
    <xf numFmtId="0" fontId="1" fillId="0" borderId="6" xfId="0" applyFont="1" applyFill="1" applyBorder="1"/>
    <xf numFmtId="0" fontId="3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14" fontId="2" fillId="0" borderId="0" xfId="0" applyNumberFormat="1" applyFont="1" applyAlignment="1"/>
    <xf numFmtId="4" fontId="2" fillId="2" borderId="2" xfId="0" applyNumberFormat="1" applyFont="1" applyFill="1" applyBorder="1" applyAlignment="1">
      <alignment horizontal="center" vertical="top"/>
    </xf>
    <xf numFmtId="4" fontId="2" fillId="2" borderId="11" xfId="0" applyNumberFormat="1" applyFont="1" applyFill="1" applyBorder="1" applyAlignment="1">
      <alignment horizontal="center" vertical="top"/>
    </xf>
    <xf numFmtId="4" fontId="2" fillId="2" borderId="10" xfId="0" applyNumberFormat="1" applyFont="1" applyFill="1" applyBorder="1" applyAlignment="1">
      <alignment horizontal="center" vertical="top"/>
    </xf>
    <xf numFmtId="0" fontId="1" fillId="0" borderId="0" xfId="0" applyFont="1" applyFill="1" applyAlignment="1">
      <alignment horizontal="center" vertical="top"/>
    </xf>
    <xf numFmtId="0" fontId="2" fillId="0" borderId="6" xfId="0" applyFont="1" applyFill="1" applyBorder="1" applyAlignment="1">
      <alignment vertical="center" wrapText="1"/>
    </xf>
    <xf numFmtId="14" fontId="1" fillId="0" borderId="6" xfId="0" applyNumberFormat="1" applyFont="1" applyFill="1" applyBorder="1"/>
    <xf numFmtId="4" fontId="1" fillId="0" borderId="6" xfId="0" applyNumberFormat="1" applyFont="1" applyFill="1" applyBorder="1"/>
    <xf numFmtId="4" fontId="2" fillId="0" borderId="1" xfId="0" applyNumberFormat="1" applyFont="1" applyFill="1" applyBorder="1"/>
    <xf numFmtId="0" fontId="2" fillId="0" borderId="6" xfId="0" applyFont="1" applyFill="1" applyBorder="1" applyAlignment="1">
      <alignment horizontal="center"/>
    </xf>
    <xf numFmtId="0" fontId="2" fillId="0" borderId="6" xfId="0" applyFont="1" applyFill="1" applyBorder="1"/>
    <xf numFmtId="4" fontId="2" fillId="0" borderId="0" xfId="0" applyNumberFormat="1" applyFont="1" applyFill="1" applyBorder="1"/>
    <xf numFmtId="0" fontId="2" fillId="0" borderId="1" xfId="0" applyFont="1" applyFill="1" applyBorder="1"/>
    <xf numFmtId="4" fontId="2" fillId="0" borderId="6" xfId="0" applyNumberFormat="1" applyFont="1" applyFill="1" applyBorder="1"/>
    <xf numFmtId="4" fontId="1" fillId="0" borderId="1" xfId="0" applyNumberFormat="1" applyFont="1" applyFill="1" applyBorder="1"/>
    <xf numFmtId="4" fontId="1" fillId="0" borderId="0" xfId="0" applyNumberFormat="1" applyFont="1" applyFill="1" applyBorder="1"/>
    <xf numFmtId="0" fontId="1" fillId="0" borderId="1" xfId="0" applyFont="1" applyFill="1" applyBorder="1"/>
    <xf numFmtId="0" fontId="1" fillId="0" borderId="0" xfId="0" applyFont="1" applyFill="1"/>
    <xf numFmtId="4" fontId="1" fillId="0" borderId="0" xfId="0" applyNumberFormat="1" applyFont="1" applyFill="1"/>
    <xf numFmtId="0" fontId="3" fillId="0" borderId="6" xfId="0" applyFont="1" applyFill="1" applyBorder="1"/>
    <xf numFmtId="14" fontId="3" fillId="0" borderId="6" xfId="0" applyNumberFormat="1" applyFont="1" applyFill="1" applyBorder="1"/>
    <xf numFmtId="14" fontId="1" fillId="0" borderId="1" xfId="0" applyNumberFormat="1" applyFont="1" applyFill="1" applyBorder="1"/>
    <xf numFmtId="0" fontId="3" fillId="0" borderId="0" xfId="0" applyFont="1" applyFill="1"/>
    <xf numFmtId="0" fontId="3" fillId="0" borderId="8" xfId="0" applyFont="1" applyFill="1" applyBorder="1"/>
    <xf numFmtId="14" fontId="3" fillId="0" borderId="8" xfId="0" applyNumberFormat="1" applyFont="1" applyFill="1" applyBorder="1"/>
    <xf numFmtId="4" fontId="3" fillId="0" borderId="8" xfId="0" applyNumberFormat="1" applyFont="1" applyFill="1" applyBorder="1"/>
    <xf numFmtId="4" fontId="1" fillId="0" borderId="5" xfId="0" applyNumberFormat="1" applyFont="1" applyFill="1" applyBorder="1"/>
    <xf numFmtId="14" fontId="1" fillId="0" borderId="8" xfId="0" applyNumberFormat="1" applyFont="1" applyFill="1" applyBorder="1"/>
    <xf numFmtId="4" fontId="1" fillId="0" borderId="7" xfId="0" applyNumberFormat="1" applyFont="1" applyFill="1" applyBorder="1"/>
    <xf numFmtId="0" fontId="1" fillId="0" borderId="5" xfId="0" applyFont="1" applyFill="1" applyBorder="1"/>
    <xf numFmtId="0" fontId="1" fillId="0" borderId="8" xfId="0" applyFont="1" applyFill="1" applyBorder="1"/>
    <xf numFmtId="4" fontId="1" fillId="0" borderId="8" xfId="0" applyNumberFormat="1" applyFont="1" applyFill="1" applyBorder="1"/>
    <xf numFmtId="4" fontId="2" fillId="0" borderId="2" xfId="0" applyNumberFormat="1" applyFont="1" applyFill="1" applyBorder="1"/>
    <xf numFmtId="0" fontId="1" fillId="0" borderId="6" xfId="0" applyNumberFormat="1" applyFont="1" applyFill="1" applyBorder="1" applyAlignment="1">
      <alignment horizontal="center"/>
    </xf>
    <xf numFmtId="0" fontId="1" fillId="0" borderId="6" xfId="0" applyNumberFormat="1" applyFont="1" applyFill="1" applyBorder="1"/>
    <xf numFmtId="0" fontId="1" fillId="0" borderId="8" xfId="0" applyNumberFormat="1" applyFont="1" applyFill="1" applyBorder="1" applyAlignment="1">
      <alignment horizontal="center"/>
    </xf>
    <xf numFmtId="0" fontId="2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/>
    </xf>
    <xf numFmtId="0" fontId="1" fillId="0" borderId="0" xfId="0" applyFont="1" applyBorder="1"/>
    <xf numFmtId="0" fontId="2" fillId="0" borderId="2" xfId="0" applyFont="1" applyBorder="1" applyAlignment="1"/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0" fontId="1" fillId="0" borderId="8" xfId="0" applyFont="1" applyBorder="1"/>
    <xf numFmtId="0" fontId="1" fillId="0" borderId="4" xfId="0" applyFont="1" applyBorder="1"/>
    <xf numFmtId="14" fontId="1" fillId="0" borderId="8" xfId="0" applyNumberFormat="1" applyFont="1" applyBorder="1"/>
    <xf numFmtId="0" fontId="1" fillId="0" borderId="8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4" fontId="1" fillId="0" borderId="4" xfId="0" applyNumberFormat="1" applyFont="1" applyFill="1" applyBorder="1"/>
    <xf numFmtId="0" fontId="1" fillId="0" borderId="4" xfId="0" applyFont="1" applyFill="1" applyBorder="1"/>
    <xf numFmtId="4" fontId="2" fillId="0" borderId="8" xfId="0" applyNumberFormat="1" applyFont="1" applyBorder="1"/>
    <xf numFmtId="0" fontId="1" fillId="0" borderId="2" xfId="0" applyFont="1" applyBorder="1" applyAlignment="1">
      <alignment horizontal="center"/>
    </xf>
    <xf numFmtId="0" fontId="1" fillId="0" borderId="2" xfId="0" applyFont="1" applyBorder="1"/>
    <xf numFmtId="10" fontId="1" fillId="0" borderId="0" xfId="0" applyNumberFormat="1" applyFont="1"/>
    <xf numFmtId="4" fontId="2" fillId="0" borderId="2" xfId="0" applyNumberFormat="1" applyFont="1" applyBorder="1"/>
    <xf numFmtId="14" fontId="1" fillId="0" borderId="0" xfId="0" applyNumberFormat="1" applyFont="1" applyAlignment="1">
      <alignment horizontal="center" vertical="top"/>
    </xf>
    <xf numFmtId="0" fontId="1" fillId="0" borderId="3" xfId="0" applyFont="1" applyBorder="1" applyAlignment="1">
      <alignment horizontal="center"/>
    </xf>
    <xf numFmtId="0" fontId="1" fillId="0" borderId="3" xfId="0" applyFont="1" applyBorder="1"/>
    <xf numFmtId="0" fontId="1" fillId="0" borderId="6" xfId="0" applyFont="1" applyBorder="1"/>
    <xf numFmtId="14" fontId="1" fillId="0" borderId="6" xfId="0" applyNumberFormat="1" applyFont="1" applyBorder="1"/>
    <xf numFmtId="0" fontId="1" fillId="0" borderId="6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8" xfId="0" applyFont="1" applyBorder="1"/>
    <xf numFmtId="4" fontId="1" fillId="0" borderId="6" xfId="0" applyNumberFormat="1" applyFont="1" applyBorder="1"/>
    <xf numFmtId="0" fontId="2" fillId="0" borderId="0" xfId="0" applyFont="1" applyAlignment="1">
      <alignment horizontal="center"/>
    </xf>
    <xf numFmtId="0" fontId="1" fillId="0" borderId="6" xfId="0" applyFont="1" applyFill="1" applyBorder="1" applyAlignment="1">
      <alignment vertical="center" wrapText="1"/>
    </xf>
    <xf numFmtId="0" fontId="1" fillId="0" borderId="14" xfId="0" applyFont="1" applyBorder="1" applyAlignment="1">
      <alignment horizontal="center"/>
    </xf>
    <xf numFmtId="0" fontId="1" fillId="0" borderId="14" xfId="0" applyFont="1" applyBorder="1"/>
    <xf numFmtId="0" fontId="1" fillId="0" borderId="0" xfId="0" applyNumberFormat="1" applyFont="1"/>
    <xf numFmtId="0" fontId="2" fillId="2" borderId="11" xfId="0" applyNumberFormat="1" applyFont="1" applyFill="1" applyBorder="1" applyAlignment="1">
      <alignment horizontal="center" vertical="top"/>
    </xf>
    <xf numFmtId="0" fontId="2" fillId="0" borderId="2" xfId="0" applyNumberFormat="1" applyFont="1" applyBorder="1"/>
    <xf numFmtId="0" fontId="1" fillId="0" borderId="4" xfId="0" applyNumberFormat="1" applyFont="1" applyBorder="1"/>
    <xf numFmtId="43" fontId="1" fillId="0" borderId="6" xfId="0" applyNumberFormat="1" applyFont="1" applyFill="1" applyBorder="1"/>
    <xf numFmtId="43" fontId="2" fillId="0" borderId="2" xfId="0" applyNumberFormat="1" applyFont="1" applyFill="1" applyBorder="1"/>
    <xf numFmtId="14" fontId="1" fillId="0" borderId="0" xfId="0" applyNumberFormat="1" applyFont="1"/>
    <xf numFmtId="14" fontId="2" fillId="2" borderId="2" xfId="0" applyNumberFormat="1" applyFont="1" applyFill="1" applyBorder="1" applyAlignment="1">
      <alignment horizontal="center" vertical="top"/>
    </xf>
    <xf numFmtId="14" fontId="2" fillId="0" borderId="1" xfId="0" applyNumberFormat="1" applyFont="1" applyFill="1" applyBorder="1"/>
    <xf numFmtId="14" fontId="2" fillId="0" borderId="2" xfId="0" applyNumberFormat="1" applyFont="1" applyBorder="1"/>
    <xf numFmtId="14" fontId="1" fillId="0" borderId="14" xfId="0" applyNumberFormat="1" applyFont="1" applyBorder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4" fontId="1" fillId="0" borderId="0" xfId="0" applyNumberFormat="1" applyFont="1"/>
    <xf numFmtId="0" fontId="2" fillId="0" borderId="0" xfId="0" applyFont="1" applyAlignment="1">
      <alignment horizontal="center"/>
    </xf>
    <xf numFmtId="4" fontId="0" fillId="0" borderId="3" xfId="0" applyNumberFormat="1" applyBorder="1"/>
    <xf numFmtId="0" fontId="0" fillId="0" borderId="1" xfId="0" applyBorder="1"/>
    <xf numFmtId="4" fontId="0" fillId="0" borderId="1" xfId="0" applyNumberFormat="1" applyBorder="1"/>
    <xf numFmtId="0" fontId="0" fillId="0" borderId="2" xfId="0" applyFill="1" applyBorder="1"/>
    <xf numFmtId="4" fontId="0" fillId="0" borderId="2" xfId="0" applyNumberFormat="1" applyBorder="1"/>
    <xf numFmtId="0" fontId="1" fillId="3" borderId="0" xfId="0" applyFont="1" applyFill="1"/>
    <xf numFmtId="0" fontId="1" fillId="0" borderId="2" xfId="0" applyFont="1" applyFill="1" applyBorder="1" applyAlignment="1">
      <alignment horizontal="center"/>
    </xf>
    <xf numFmtId="0" fontId="1" fillId="0" borderId="2" xfId="0" applyFont="1" applyFill="1" applyBorder="1"/>
    <xf numFmtId="0" fontId="1" fillId="0" borderId="0" xfId="0" applyFont="1" applyFill="1" applyAlignment="1">
      <alignment horizontal="center"/>
    </xf>
    <xf numFmtId="0" fontId="1" fillId="0" borderId="3" xfId="0" applyFont="1" applyFill="1" applyBorder="1"/>
    <xf numFmtId="0" fontId="1" fillId="0" borderId="13" xfId="0" applyFont="1" applyFill="1" applyBorder="1"/>
    <xf numFmtId="4" fontId="2" fillId="0" borderId="8" xfId="0" applyNumberFormat="1" applyFont="1" applyFill="1" applyBorder="1"/>
    <xf numFmtId="14" fontId="2" fillId="0" borderId="6" xfId="0" applyNumberFormat="1" applyFont="1" applyFill="1" applyBorder="1"/>
    <xf numFmtId="43" fontId="2" fillId="0" borderId="6" xfId="0" applyNumberFormat="1" applyFont="1" applyFill="1" applyBorder="1"/>
    <xf numFmtId="0" fontId="2" fillId="0" borderId="0" xfId="0" applyFont="1" applyFill="1"/>
    <xf numFmtId="9" fontId="1" fillId="0" borderId="6" xfId="1" applyFont="1" applyFill="1" applyBorder="1"/>
    <xf numFmtId="9" fontId="1" fillId="0" borderId="6" xfId="1" applyNumberFormat="1" applyFont="1" applyFill="1" applyBorder="1"/>
    <xf numFmtId="4" fontId="1" fillId="4" borderId="1" xfId="0" applyNumberFormat="1" applyFont="1" applyFill="1" applyBorder="1"/>
    <xf numFmtId="4" fontId="1" fillId="5" borderId="1" xfId="0" applyNumberFormat="1" applyFont="1" applyFill="1" applyBorder="1"/>
    <xf numFmtId="4" fontId="1" fillId="3" borderId="0" xfId="0" applyNumberFormat="1" applyFont="1" applyFill="1" applyBorder="1"/>
    <xf numFmtId="4" fontId="3" fillId="0" borderId="0" xfId="0" applyNumberFormat="1" applyFont="1" applyFill="1"/>
    <xf numFmtId="0" fontId="2" fillId="2" borderId="4" xfId="0" applyFont="1" applyFill="1" applyBorder="1" applyAlignment="1">
      <alignment horizontal="center" vertical="top" wrapText="1"/>
    </xf>
    <xf numFmtId="0" fontId="2" fillId="2" borderId="8" xfId="0" applyFont="1" applyFill="1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 vertical="top" wrapText="1"/>
    </xf>
    <xf numFmtId="0" fontId="2" fillId="2" borderId="8" xfId="0" applyFont="1" applyFill="1" applyBorder="1" applyAlignment="1">
      <alignment horizontal="center" vertical="top" wrapText="1"/>
    </xf>
    <xf numFmtId="0" fontId="1" fillId="0" borderId="5" xfId="0" applyFont="1" applyFill="1" applyBorder="1" applyAlignment="1">
      <alignment horizontal="left" vertical="center"/>
    </xf>
    <xf numFmtId="0" fontId="2" fillId="6" borderId="3" xfId="0" applyFont="1" applyFill="1" applyBorder="1" applyAlignment="1">
      <alignment horizontal="left" vertical="center"/>
    </xf>
    <xf numFmtId="0" fontId="2" fillId="6" borderId="4" xfId="0" applyFont="1" applyFill="1" applyBorder="1" applyAlignment="1">
      <alignment vertical="center" wrapText="1"/>
    </xf>
    <xf numFmtId="14" fontId="1" fillId="6" borderId="4" xfId="0" applyNumberFormat="1" applyFont="1" applyFill="1" applyBorder="1"/>
    <xf numFmtId="4" fontId="1" fillId="6" borderId="4" xfId="0" applyNumberFormat="1" applyFont="1" applyFill="1" applyBorder="1"/>
    <xf numFmtId="4" fontId="2" fillId="6" borderId="3" xfId="0" applyNumberFormat="1" applyFont="1" applyFill="1" applyBorder="1"/>
    <xf numFmtId="0" fontId="2" fillId="6" borderId="4" xfId="0" applyFont="1" applyFill="1" applyBorder="1" applyAlignment="1">
      <alignment horizontal="center"/>
    </xf>
    <xf numFmtId="0" fontId="2" fillId="6" borderId="4" xfId="0" applyFont="1" applyFill="1" applyBorder="1"/>
    <xf numFmtId="4" fontId="2" fillId="6" borderId="14" xfId="0" applyNumberFormat="1" applyFont="1" applyFill="1" applyBorder="1"/>
    <xf numFmtId="0" fontId="2" fillId="6" borderId="3" xfId="0" applyFont="1" applyFill="1" applyBorder="1"/>
    <xf numFmtId="4" fontId="2" fillId="6" borderId="4" xfId="0" applyNumberFormat="1" applyFont="1" applyFill="1" applyBorder="1"/>
    <xf numFmtId="0" fontId="2" fillId="6" borderId="1" xfId="0" applyFont="1" applyFill="1" applyBorder="1" applyAlignment="1">
      <alignment horizontal="left" vertical="center"/>
    </xf>
    <xf numFmtId="0" fontId="2" fillId="6" borderId="6" xfId="0" applyFont="1" applyFill="1" applyBorder="1" applyAlignment="1">
      <alignment vertical="center" wrapText="1"/>
    </xf>
    <xf numFmtId="14" fontId="1" fillId="6" borderId="6" xfId="0" applyNumberFormat="1" applyFont="1" applyFill="1" applyBorder="1"/>
    <xf numFmtId="4" fontId="2" fillId="6" borderId="1" xfId="0" applyNumberFormat="1" applyFont="1" applyFill="1" applyBorder="1"/>
    <xf numFmtId="0" fontId="2" fillId="6" borderId="6" xfId="0" applyNumberFormat="1" applyFont="1" applyFill="1" applyBorder="1" applyAlignment="1">
      <alignment horizontal="center"/>
    </xf>
    <xf numFmtId="0" fontId="2" fillId="6" borderId="6" xfId="0" applyFont="1" applyFill="1" applyBorder="1"/>
    <xf numFmtId="4" fontId="2" fillId="6" borderId="0" xfId="0" applyNumberFormat="1" applyFont="1" applyFill="1" applyBorder="1"/>
    <xf numFmtId="0" fontId="2" fillId="6" borderId="1" xfId="0" applyFont="1" applyFill="1" applyBorder="1"/>
    <xf numFmtId="4" fontId="2" fillId="6" borderId="6" xfId="0" applyNumberFormat="1" applyFont="1" applyFill="1" applyBorder="1"/>
    <xf numFmtId="0" fontId="2" fillId="6" borderId="4" xfId="0" applyNumberFormat="1" applyFont="1" applyFill="1" applyBorder="1" applyAlignment="1">
      <alignment horizontal="center"/>
    </xf>
    <xf numFmtId="0" fontId="1" fillId="6" borderId="1" xfId="0" applyFont="1" applyFill="1" applyBorder="1"/>
    <xf numFmtId="0" fontId="1" fillId="6" borderId="1" xfId="0" applyFont="1" applyFill="1" applyBorder="1" applyAlignment="1">
      <alignment horizontal="center"/>
    </xf>
    <xf numFmtId="4" fontId="1" fillId="6" borderId="1" xfId="0" applyNumberFormat="1" applyFont="1" applyFill="1" applyBorder="1"/>
    <xf numFmtId="0" fontId="2" fillId="6" borderId="3" xfId="0" applyFont="1" applyFill="1" applyBorder="1" applyAlignment="1">
      <alignment horizontal="left"/>
    </xf>
    <xf numFmtId="0" fontId="1" fillId="6" borderId="4" xfId="0" applyFont="1" applyFill="1" applyBorder="1" applyAlignment="1">
      <alignment horizontal="center"/>
    </xf>
    <xf numFmtId="0" fontId="1" fillId="6" borderId="4" xfId="0" applyFont="1" applyFill="1" applyBorder="1"/>
    <xf numFmtId="0" fontId="2" fillId="0" borderId="0" xfId="0" applyFont="1" applyFill="1" applyBorder="1" applyAlignment="1">
      <alignment horizontal="center"/>
    </xf>
    <xf numFmtId="4" fontId="2" fillId="0" borderId="0" xfId="0" applyNumberFormat="1" applyFont="1" applyFill="1" applyBorder="1" applyAlignment="1">
      <alignment horizontal="center"/>
    </xf>
    <xf numFmtId="14" fontId="2" fillId="6" borderId="1" xfId="0" applyNumberFormat="1" applyFont="1" applyFill="1" applyBorder="1"/>
    <xf numFmtId="0" fontId="2" fillId="6" borderId="6" xfId="0" applyNumberFormat="1" applyFont="1" applyFill="1" applyBorder="1"/>
    <xf numFmtId="14" fontId="2" fillId="6" borderId="6" xfId="0" applyNumberFormat="1" applyFont="1" applyFill="1" applyBorder="1"/>
    <xf numFmtId="43" fontId="2" fillId="6" borderId="6" xfId="0" applyNumberFormat="1" applyFont="1" applyFill="1" applyBorder="1"/>
    <xf numFmtId="14" fontId="2" fillId="6" borderId="3" xfId="0" applyNumberFormat="1" applyFont="1" applyFill="1" applyBorder="1"/>
    <xf numFmtId="0" fontId="2" fillId="6" borderId="4" xfId="0" applyNumberFormat="1" applyFont="1" applyFill="1" applyBorder="1"/>
    <xf numFmtId="9" fontId="1" fillId="0" borderId="8" xfId="1" applyFont="1" applyFill="1" applyBorder="1"/>
    <xf numFmtId="4" fontId="1" fillId="3" borderId="7" xfId="0" applyNumberFormat="1" applyFont="1" applyFill="1" applyBorder="1"/>
    <xf numFmtId="14" fontId="1" fillId="0" borderId="5" xfId="0" applyNumberFormat="1" applyFont="1" applyFill="1" applyBorder="1"/>
    <xf numFmtId="0" fontId="1" fillId="0" borderId="8" xfId="0" applyNumberFormat="1" applyFont="1" applyFill="1" applyBorder="1"/>
    <xf numFmtId="43" fontId="1" fillId="0" borderId="8" xfId="0" applyNumberFormat="1" applyFont="1" applyFill="1" applyBorder="1"/>
    <xf numFmtId="14" fontId="2" fillId="6" borderId="4" xfId="0" applyNumberFormat="1" applyFont="1" applyFill="1" applyBorder="1"/>
    <xf numFmtId="43" fontId="2" fillId="6" borderId="4" xfId="0" applyNumberFormat="1" applyFont="1" applyFill="1" applyBorder="1"/>
    <xf numFmtId="4" fontId="1" fillId="5" borderId="5" xfId="0" applyNumberFormat="1" applyFont="1" applyFill="1" applyBorder="1"/>
    <xf numFmtId="0" fontId="7" fillId="0" borderId="0" xfId="0" applyFont="1"/>
    <xf numFmtId="10" fontId="7" fillId="0" borderId="0" xfId="0" applyNumberFormat="1" applyFont="1"/>
    <xf numFmtId="4" fontId="7" fillId="0" borderId="0" xfId="0" applyNumberFormat="1" applyFont="1" applyFill="1"/>
    <xf numFmtId="4" fontId="7" fillId="0" borderId="0" xfId="0" applyNumberFormat="1" applyFont="1" applyFill="1" applyBorder="1"/>
    <xf numFmtId="4" fontId="7" fillId="4" borderId="0" xfId="0" applyNumberFormat="1" applyFont="1" applyFill="1"/>
    <xf numFmtId="4" fontId="7" fillId="0" borderId="0" xfId="0" applyNumberFormat="1" applyFont="1"/>
    <xf numFmtId="4" fontId="7" fillId="0" borderId="0" xfId="0" applyNumberFormat="1" applyFont="1" applyAlignment="1">
      <alignment horizontal="center" vertical="top"/>
    </xf>
    <xf numFmtId="4" fontId="7" fillId="0" borderId="0" xfId="0" applyNumberFormat="1" applyFont="1" applyFill="1" applyAlignment="1">
      <alignment horizontal="center" vertical="top"/>
    </xf>
    <xf numFmtId="4" fontId="8" fillId="0" borderId="0" xfId="0" applyNumberFormat="1" applyFont="1" applyFill="1"/>
    <xf numFmtId="43" fontId="2" fillId="6" borderId="3" xfId="0" applyNumberFormat="1" applyFont="1" applyFill="1" applyBorder="1"/>
    <xf numFmtId="0" fontId="2" fillId="2" borderId="4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14" fontId="2" fillId="6" borderId="4" xfId="0" applyNumberFormat="1" applyFont="1" applyFill="1" applyBorder="1" applyAlignment="1">
      <alignment horizontal="center" vertical="center"/>
    </xf>
    <xf numFmtId="14" fontId="1" fillId="0" borderId="6" xfId="0" applyNumberFormat="1" applyFont="1" applyFill="1" applyBorder="1" applyAlignment="1">
      <alignment horizontal="center" vertical="center"/>
    </xf>
    <xf numFmtId="14" fontId="1" fillId="0" borderId="8" xfId="0" applyNumberFormat="1" applyFont="1" applyFill="1" applyBorder="1" applyAlignment="1">
      <alignment horizontal="center" vertical="center"/>
    </xf>
    <xf numFmtId="14" fontId="3" fillId="0" borderId="6" xfId="0" applyNumberFormat="1" applyFont="1" applyFill="1" applyBorder="1" applyAlignment="1">
      <alignment horizontal="center" vertical="center"/>
    </xf>
    <xf numFmtId="14" fontId="2" fillId="6" borderId="6" xfId="0" applyNumberFormat="1" applyFont="1" applyFill="1" applyBorder="1" applyAlignment="1">
      <alignment horizontal="center" vertical="center"/>
    </xf>
    <xf numFmtId="14" fontId="2" fillId="0" borderId="6" xfId="0" applyNumberFormat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4" fontId="7" fillId="0" borderId="0" xfId="0" applyNumberFormat="1" applyFont="1" applyBorder="1"/>
    <xf numFmtId="0" fontId="2" fillId="0" borderId="0" xfId="0" applyFont="1" applyFill="1" applyBorder="1"/>
    <xf numFmtId="43" fontId="2" fillId="6" borderId="1" xfId="0" applyNumberFormat="1" applyFont="1" applyFill="1" applyBorder="1"/>
    <xf numFmtId="0" fontId="6" fillId="0" borderId="1" xfId="0" applyFont="1" applyBorder="1"/>
    <xf numFmtId="4" fontId="9" fillId="0" borderId="0" xfId="0" applyNumberFormat="1" applyFont="1"/>
    <xf numFmtId="4" fontId="4" fillId="0" borderId="8" xfId="0" applyNumberFormat="1" applyFont="1" applyFill="1" applyBorder="1"/>
    <xf numFmtId="4" fontId="4" fillId="0" borderId="6" xfId="0" applyNumberFormat="1" applyFont="1" applyFill="1" applyBorder="1"/>
    <xf numFmtId="0" fontId="2" fillId="4" borderId="1" xfId="0" applyFont="1" applyFill="1" applyBorder="1" applyAlignment="1">
      <alignment horizontal="left"/>
    </xf>
    <xf numFmtId="0" fontId="2" fillId="4" borderId="6" xfId="0" applyFont="1" applyFill="1" applyBorder="1"/>
    <xf numFmtId="14" fontId="1" fillId="4" borderId="6" xfId="0" applyNumberFormat="1" applyFont="1" applyFill="1" applyBorder="1"/>
    <xf numFmtId="4" fontId="2" fillId="4" borderId="6" xfId="0" applyNumberFormat="1" applyFont="1" applyFill="1" applyBorder="1"/>
    <xf numFmtId="4" fontId="1" fillId="4" borderId="6" xfId="0" applyNumberFormat="1" applyFont="1" applyFill="1" applyBorder="1"/>
    <xf numFmtId="0" fontId="1" fillId="4" borderId="6" xfId="0" applyFont="1" applyFill="1" applyBorder="1" applyAlignment="1">
      <alignment horizontal="center"/>
    </xf>
    <xf numFmtId="0" fontId="1" fillId="4" borderId="6" xfId="0" applyFont="1" applyFill="1" applyBorder="1"/>
    <xf numFmtId="0" fontId="1" fillId="4" borderId="1" xfId="0" applyFont="1" applyFill="1" applyBorder="1"/>
    <xf numFmtId="4" fontId="10" fillId="0" borderId="0" xfId="0" applyNumberFormat="1" applyFont="1"/>
    <xf numFmtId="14" fontId="2" fillId="4" borderId="6" xfId="0" applyNumberFormat="1" applyFont="1" applyFill="1" applyBorder="1"/>
    <xf numFmtId="4" fontId="2" fillId="4" borderId="0" xfId="0" applyNumberFormat="1" applyFont="1" applyFill="1" applyBorder="1"/>
    <xf numFmtId="14" fontId="2" fillId="4" borderId="1" xfId="0" applyNumberFormat="1" applyFont="1" applyFill="1" applyBorder="1"/>
    <xf numFmtId="0" fontId="2" fillId="4" borderId="6" xfId="0" applyNumberFormat="1" applyFont="1" applyFill="1" applyBorder="1"/>
    <xf numFmtId="43" fontId="2" fillId="4" borderId="6" xfId="0" applyNumberFormat="1" applyFont="1" applyFill="1" applyBorder="1"/>
    <xf numFmtId="0" fontId="2" fillId="4" borderId="0" xfId="0" applyFont="1" applyFill="1"/>
    <xf numFmtId="0" fontId="1" fillId="4" borderId="6" xfId="0" applyNumberFormat="1" applyFont="1" applyFill="1" applyBorder="1" applyAlignment="1">
      <alignment horizontal="center"/>
    </xf>
    <xf numFmtId="9" fontId="1" fillId="4" borderId="6" xfId="1" applyFont="1" applyFill="1" applyBorder="1"/>
    <xf numFmtId="43" fontId="1" fillId="4" borderId="6" xfId="0" applyNumberFormat="1" applyFont="1" applyFill="1" applyBorder="1"/>
    <xf numFmtId="0" fontId="2" fillId="2" borderId="4" xfId="0" applyFont="1" applyFill="1" applyBorder="1" applyAlignment="1">
      <alignment horizontal="center" vertical="top" wrapText="1"/>
    </xf>
    <xf numFmtId="0" fontId="2" fillId="2" borderId="8" xfId="0" applyFont="1" applyFill="1" applyBorder="1" applyAlignment="1">
      <alignment horizontal="center" vertical="top" wrapText="1"/>
    </xf>
    <xf numFmtId="4" fontId="2" fillId="0" borderId="0" xfId="0" applyNumberFormat="1" applyFont="1" applyFill="1"/>
    <xf numFmtId="0" fontId="7" fillId="0" borderId="0" xfId="0" applyFont="1" applyAlignment="1">
      <alignment horizontal="center" vertical="top"/>
    </xf>
    <xf numFmtId="43" fontId="7" fillId="0" borderId="0" xfId="0" applyNumberFormat="1" applyFont="1" applyAlignment="1">
      <alignment horizontal="center" vertical="top"/>
    </xf>
    <xf numFmtId="0" fontId="7" fillId="0" borderId="0" xfId="0" applyFont="1" applyFill="1"/>
    <xf numFmtId="0" fontId="8" fillId="0" borderId="0" xfId="0" applyFont="1" applyFill="1"/>
    <xf numFmtId="4" fontId="11" fillId="0" borderId="0" xfId="0" applyNumberFormat="1" applyFont="1"/>
    <xf numFmtId="0" fontId="2" fillId="6" borderId="6" xfId="0" applyFont="1" applyFill="1" applyBorder="1" applyAlignment="1">
      <alignment horizontal="center"/>
    </xf>
    <xf numFmtId="14" fontId="1" fillId="6" borderId="3" xfId="0" applyNumberFormat="1" applyFont="1" applyFill="1" applyBorder="1"/>
    <xf numFmtId="0" fontId="2" fillId="4" borderId="0" xfId="0" applyFont="1" applyFill="1" applyBorder="1" applyAlignment="1">
      <alignment horizontal="center"/>
    </xf>
    <xf numFmtId="0" fontId="1" fillId="0" borderId="6" xfId="0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Fill="1" applyAlignment="1">
      <alignment vertical="center"/>
    </xf>
    <xf numFmtId="43" fontId="3" fillId="0" borderId="8" xfId="0" applyNumberFormat="1" applyFont="1" applyFill="1" applyBorder="1"/>
    <xf numFmtId="43" fontId="4" fillId="6" borderId="4" xfId="0" applyNumberFormat="1" applyFont="1" applyFill="1" applyBorder="1"/>
    <xf numFmtId="0" fontId="2" fillId="0" borderId="0" xfId="0" applyFont="1" applyAlignment="1">
      <alignment horizontal="center"/>
    </xf>
    <xf numFmtId="0" fontId="2" fillId="2" borderId="4" xfId="0" applyFont="1" applyFill="1" applyBorder="1" applyAlignment="1">
      <alignment horizontal="center" vertical="top" wrapText="1"/>
    </xf>
    <xf numFmtId="0" fontId="2" fillId="2" borderId="8" xfId="0" applyFont="1" applyFill="1" applyBorder="1" applyAlignment="1">
      <alignment horizontal="center" vertical="top" wrapText="1"/>
    </xf>
    <xf numFmtId="43" fontId="1" fillId="0" borderId="0" xfId="0" applyNumberFormat="1" applyFont="1" applyFill="1" applyAlignment="1">
      <alignment horizontal="center" vertical="top"/>
    </xf>
    <xf numFmtId="2" fontId="7" fillId="0" borderId="0" xfId="0" applyNumberFormat="1" applyFont="1" applyFill="1" applyAlignment="1">
      <alignment horizontal="center" vertical="top"/>
    </xf>
    <xf numFmtId="14" fontId="1" fillId="0" borderId="1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2" borderId="12" xfId="0" applyFont="1" applyFill="1" applyBorder="1" applyAlignment="1">
      <alignment vertical="top" wrapText="1"/>
    </xf>
    <xf numFmtId="4" fontId="0" fillId="0" borderId="0" xfId="0" applyNumberFormat="1"/>
    <xf numFmtId="10" fontId="1" fillId="0" borderId="6" xfId="1" applyNumberFormat="1" applyFont="1" applyFill="1" applyBorder="1"/>
    <xf numFmtId="10" fontId="1" fillId="4" borderId="6" xfId="1" applyNumberFormat="1" applyFont="1" applyFill="1" applyBorder="1"/>
    <xf numFmtId="0" fontId="1" fillId="4" borderId="1" xfId="0" applyFont="1" applyFill="1" applyBorder="1" applyAlignment="1">
      <alignment horizontal="left" vertical="center"/>
    </xf>
    <xf numFmtId="0" fontId="2" fillId="2" borderId="4" xfId="0" applyFont="1" applyFill="1" applyBorder="1" applyAlignment="1">
      <alignment vertical="top" wrapText="1"/>
    </xf>
    <xf numFmtId="0" fontId="2" fillId="2" borderId="3" xfId="0" applyFont="1" applyFill="1" applyBorder="1" applyAlignment="1">
      <alignment vertical="top"/>
    </xf>
    <xf numFmtId="0" fontId="2" fillId="2" borderId="5" xfId="0" applyFont="1" applyFill="1" applyBorder="1" applyAlignment="1">
      <alignment horizontal="center" vertical="center"/>
    </xf>
    <xf numFmtId="4" fontId="2" fillId="2" borderId="2" xfId="0" applyNumberFormat="1" applyFont="1" applyFill="1" applyBorder="1" applyAlignment="1">
      <alignment horizontal="center" vertical="center"/>
    </xf>
    <xf numFmtId="4" fontId="2" fillId="2" borderId="11" xfId="0" applyNumberFormat="1" applyFont="1" applyFill="1" applyBorder="1" applyAlignment="1">
      <alignment horizontal="center" vertical="center"/>
    </xf>
    <xf numFmtId="4" fontId="2" fillId="2" borderId="10" xfId="0" applyNumberFormat="1" applyFont="1" applyFill="1" applyBorder="1" applyAlignment="1">
      <alignment horizontal="center" vertical="center"/>
    </xf>
    <xf numFmtId="14" fontId="2" fillId="2" borderId="2" xfId="0" applyNumberFormat="1" applyFont="1" applyFill="1" applyBorder="1" applyAlignment="1">
      <alignment horizontal="center" vertical="center"/>
    </xf>
    <xf numFmtId="0" fontId="2" fillId="2" borderId="11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/>
    </xf>
    <xf numFmtId="14" fontId="1" fillId="0" borderId="0" xfId="0" applyNumberFormat="1" applyFont="1" applyFill="1" applyAlignment="1">
      <alignment horizontal="center" vertical="top"/>
    </xf>
    <xf numFmtId="4" fontId="2" fillId="0" borderId="2" xfId="0" applyNumberFormat="1" applyFont="1" applyFill="1" applyBorder="1" applyAlignment="1">
      <alignment horizontal="center" vertical="top"/>
    </xf>
    <xf numFmtId="4" fontId="2" fillId="0" borderId="11" xfId="0" applyNumberFormat="1" applyFont="1" applyFill="1" applyBorder="1" applyAlignment="1">
      <alignment horizontal="center" vertical="top"/>
    </xf>
    <xf numFmtId="4" fontId="2" fillId="0" borderId="10" xfId="0" applyNumberFormat="1" applyFont="1" applyFill="1" applyBorder="1" applyAlignment="1">
      <alignment horizontal="center" vertical="top"/>
    </xf>
    <xf numFmtId="0" fontId="2" fillId="0" borderId="2" xfId="0" applyFont="1" applyFill="1" applyBorder="1" applyAlignment="1">
      <alignment horizontal="center" vertical="top" wrapText="1"/>
    </xf>
    <xf numFmtId="0" fontId="4" fillId="0" borderId="0" xfId="0" applyFont="1" applyFill="1"/>
    <xf numFmtId="4" fontId="1" fillId="6" borderId="3" xfId="0" applyNumberFormat="1" applyFont="1" applyFill="1" applyBorder="1"/>
    <xf numFmtId="0" fontId="1" fillId="6" borderId="4" xfId="0" applyNumberFormat="1" applyFont="1" applyFill="1" applyBorder="1" applyAlignment="1">
      <alignment horizontal="center"/>
    </xf>
    <xf numFmtId="0" fontId="1" fillId="6" borderId="4" xfId="0" applyNumberFormat="1" applyFont="1" applyFill="1" applyBorder="1"/>
    <xf numFmtId="43" fontId="1" fillId="6" borderId="4" xfId="0" applyNumberFormat="1" applyFont="1" applyFill="1" applyBorder="1"/>
    <xf numFmtId="0" fontId="1" fillId="6" borderId="3" xfId="0" applyNumberFormat="1" applyFont="1" applyFill="1" applyBorder="1" applyAlignment="1">
      <alignment horizontal="center"/>
    </xf>
    <xf numFmtId="0" fontId="1" fillId="6" borderId="3" xfId="0" applyNumberFormat="1" applyFont="1" applyFill="1" applyBorder="1"/>
    <xf numFmtId="43" fontId="1" fillId="6" borderId="3" xfId="0" applyNumberFormat="1" applyFont="1" applyFill="1" applyBorder="1"/>
    <xf numFmtId="4" fontId="2" fillId="6" borderId="3" xfId="1" applyNumberFormat="1" applyFont="1" applyFill="1" applyBorder="1"/>
    <xf numFmtId="14" fontId="1" fillId="6" borderId="4" xfId="0" applyNumberFormat="1" applyFont="1" applyFill="1" applyBorder="1" applyAlignment="1">
      <alignment horizontal="center" vertical="center"/>
    </xf>
    <xf numFmtId="14" fontId="3" fillId="0" borderId="4" xfId="0" applyNumberFormat="1" applyFont="1" applyFill="1" applyBorder="1"/>
    <xf numFmtId="0" fontId="2" fillId="0" borderId="3" xfId="0" applyFont="1" applyFill="1" applyBorder="1" applyAlignment="1">
      <alignment horizontal="left" vertical="center"/>
    </xf>
    <xf numFmtId="14" fontId="1" fillId="0" borderId="4" xfId="0" applyNumberFormat="1" applyFont="1" applyFill="1" applyBorder="1"/>
    <xf numFmtId="4" fontId="1" fillId="0" borderId="3" xfId="0" applyNumberFormat="1" applyFont="1" applyFill="1" applyBorder="1"/>
    <xf numFmtId="0" fontId="1" fillId="0" borderId="4" xfId="0" applyNumberFormat="1" applyFont="1" applyFill="1" applyBorder="1" applyAlignment="1">
      <alignment horizontal="center"/>
    </xf>
    <xf numFmtId="4" fontId="1" fillId="0" borderId="14" xfId="0" applyNumberFormat="1" applyFont="1" applyFill="1" applyBorder="1"/>
    <xf numFmtId="14" fontId="1" fillId="0" borderId="3" xfId="0" applyNumberFormat="1" applyFont="1" applyFill="1" applyBorder="1"/>
    <xf numFmtId="43" fontId="1" fillId="0" borderId="4" xfId="0" applyNumberFormat="1" applyFont="1" applyFill="1" applyBorder="1"/>
    <xf numFmtId="4" fontId="1" fillId="0" borderId="1" xfId="0" applyNumberFormat="1" applyFont="1" applyFill="1" applyBorder="1" applyAlignment="1">
      <alignment horizontal="center"/>
    </xf>
    <xf numFmtId="4" fontId="1" fillId="0" borderId="0" xfId="0" applyNumberFormat="1" applyFont="1" applyFill="1" applyBorder="1" applyAlignment="1">
      <alignment horizontal="center"/>
    </xf>
    <xf numFmtId="4" fontId="2" fillId="0" borderId="6" xfId="1" applyNumberFormat="1" applyFont="1" applyFill="1" applyBorder="1"/>
    <xf numFmtId="43" fontId="1" fillId="0" borderId="0" xfId="0" applyNumberFormat="1" applyFont="1" applyFill="1" applyAlignment="1">
      <alignment horizontal="left" vertical="top"/>
    </xf>
    <xf numFmtId="0" fontId="2" fillId="7" borderId="3" xfId="0" applyFont="1" applyFill="1" applyBorder="1" applyAlignment="1">
      <alignment horizontal="left" vertical="center"/>
    </xf>
    <xf numFmtId="14" fontId="2" fillId="7" borderId="4" xfId="0" applyNumberFormat="1" applyFont="1" applyFill="1" applyBorder="1"/>
    <xf numFmtId="4" fontId="2" fillId="7" borderId="4" xfId="0" applyNumberFormat="1" applyFont="1" applyFill="1" applyBorder="1"/>
    <xf numFmtId="4" fontId="2" fillId="7" borderId="3" xfId="0" applyNumberFormat="1" applyFont="1" applyFill="1" applyBorder="1"/>
    <xf numFmtId="4" fontId="2" fillId="7" borderId="4" xfId="0" applyNumberFormat="1" applyFont="1" applyFill="1" applyBorder="1" applyAlignment="1">
      <alignment horizontal="center"/>
    </xf>
    <xf numFmtId="4" fontId="2" fillId="7" borderId="14" xfId="0" applyNumberFormat="1" applyFont="1" applyFill="1" applyBorder="1"/>
    <xf numFmtId="43" fontId="2" fillId="7" borderId="3" xfId="0" applyNumberFormat="1" applyFont="1" applyFill="1" applyBorder="1"/>
    <xf numFmtId="0" fontId="1" fillId="7" borderId="1" xfId="0" applyFont="1" applyFill="1" applyBorder="1" applyAlignment="1">
      <alignment horizontal="left" vertical="center"/>
    </xf>
    <xf numFmtId="14" fontId="3" fillId="7" borderId="6" xfId="0" applyNumberFormat="1" applyFont="1" applyFill="1" applyBorder="1"/>
    <xf numFmtId="9" fontId="1" fillId="7" borderId="6" xfId="1" applyFont="1" applyFill="1" applyBorder="1"/>
    <xf numFmtId="4" fontId="1" fillId="7" borderId="1" xfId="0" applyNumberFormat="1" applyFont="1" applyFill="1" applyBorder="1"/>
    <xf numFmtId="0" fontId="1" fillId="7" borderId="6" xfId="0" applyNumberFormat="1" applyFont="1" applyFill="1" applyBorder="1" applyAlignment="1">
      <alignment horizontal="center"/>
    </xf>
    <xf numFmtId="14" fontId="1" fillId="7" borderId="6" xfId="0" applyNumberFormat="1" applyFont="1" applyFill="1" applyBorder="1"/>
    <xf numFmtId="4" fontId="1" fillId="7" borderId="0" xfId="0" applyNumberFormat="1" applyFont="1" applyFill="1" applyBorder="1"/>
    <xf numFmtId="14" fontId="1" fillId="7" borderId="1" xfId="0" applyNumberFormat="1" applyFont="1" applyFill="1" applyBorder="1"/>
    <xf numFmtId="0" fontId="1" fillId="7" borderId="6" xfId="0" applyNumberFormat="1" applyFont="1" applyFill="1" applyBorder="1"/>
    <xf numFmtId="43" fontId="1" fillId="7" borderId="6" xfId="0" applyNumberFormat="1" applyFont="1" applyFill="1" applyBorder="1"/>
    <xf numFmtId="0" fontId="2" fillId="7" borderId="1" xfId="0" applyFont="1" applyFill="1" applyBorder="1" applyAlignment="1">
      <alignment horizontal="left" vertical="center"/>
    </xf>
    <xf numFmtId="0" fontId="2" fillId="7" borderId="6" xfId="0" applyFont="1" applyFill="1" applyBorder="1" applyAlignment="1">
      <alignment vertical="center" wrapText="1"/>
    </xf>
    <xf numFmtId="4" fontId="1" fillId="7" borderId="6" xfId="0" applyNumberFormat="1" applyFont="1" applyFill="1" applyBorder="1"/>
    <xf numFmtId="4" fontId="2" fillId="7" borderId="1" xfId="0" applyNumberFormat="1" applyFont="1" applyFill="1" applyBorder="1"/>
    <xf numFmtId="0" fontId="2" fillId="7" borderId="6" xfId="0" applyFont="1" applyFill="1" applyBorder="1" applyAlignment="1">
      <alignment horizontal="center"/>
    </xf>
    <xf numFmtId="0" fontId="2" fillId="7" borderId="6" xfId="0" applyFont="1" applyFill="1" applyBorder="1"/>
    <xf numFmtId="4" fontId="2" fillId="7" borderId="0" xfId="0" applyNumberFormat="1" applyFont="1" applyFill="1" applyBorder="1"/>
    <xf numFmtId="0" fontId="2" fillId="7" borderId="1" xfId="0" applyFont="1" applyFill="1" applyBorder="1"/>
    <xf numFmtId="4" fontId="2" fillId="7" borderId="6" xfId="0" applyNumberFormat="1" applyFont="1" applyFill="1" applyBorder="1"/>
    <xf numFmtId="0" fontId="1" fillId="7" borderId="6" xfId="0" applyFont="1" applyFill="1" applyBorder="1"/>
    <xf numFmtId="0" fontId="1" fillId="7" borderId="1" xfId="0" applyFont="1" applyFill="1" applyBorder="1"/>
    <xf numFmtId="0" fontId="3" fillId="7" borderId="6" xfId="0" applyFont="1" applyFill="1" applyBorder="1"/>
    <xf numFmtId="4" fontId="3" fillId="7" borderId="6" xfId="0" applyNumberFormat="1" applyFont="1" applyFill="1" applyBorder="1"/>
    <xf numFmtId="0" fontId="1" fillId="7" borderId="6" xfId="0" applyFont="1" applyFill="1" applyBorder="1" applyAlignment="1">
      <alignment vertical="center" wrapText="1"/>
    </xf>
    <xf numFmtId="164" fontId="1" fillId="0" borderId="6" xfId="0" applyNumberFormat="1" applyFont="1" applyBorder="1" applyAlignment="1">
      <alignment horizontal="right"/>
    </xf>
    <xf numFmtId="0" fontId="1" fillId="3" borderId="8" xfId="0" applyFont="1" applyFill="1" applyBorder="1"/>
    <xf numFmtId="0" fontId="2" fillId="2" borderId="4" xfId="0" applyFont="1" applyFill="1" applyBorder="1" applyAlignment="1">
      <alignment vertical="top"/>
    </xf>
    <xf numFmtId="0" fontId="2" fillId="2" borderId="8" xfId="0" applyFont="1" applyFill="1" applyBorder="1" applyAlignment="1">
      <alignment horizontal="center" vertical="center"/>
    </xf>
    <xf numFmtId="0" fontId="2" fillId="6" borderId="4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left" vertical="center"/>
    </xf>
    <xf numFmtId="0" fontId="1" fillId="0" borderId="8" xfId="0" applyFont="1" applyFill="1" applyBorder="1" applyAlignment="1">
      <alignment horizontal="left" vertical="center"/>
    </xf>
    <xf numFmtId="0" fontId="2" fillId="6" borderId="6" xfId="0" applyFont="1" applyFill="1" applyBorder="1" applyAlignment="1">
      <alignment horizontal="left" vertical="center"/>
    </xf>
    <xf numFmtId="0" fontId="1" fillId="4" borderId="6" xfId="0" applyFont="1" applyFill="1" applyBorder="1" applyAlignment="1">
      <alignment horizontal="left" vertical="center"/>
    </xf>
    <xf numFmtId="0" fontId="3" fillId="7" borderId="6" xfId="0" applyFont="1" applyFill="1" applyBorder="1" applyAlignment="1">
      <alignment vertical="center"/>
    </xf>
    <xf numFmtId="14" fontId="3" fillId="7" borderId="6" xfId="0" applyNumberFormat="1" applyFont="1" applyFill="1" applyBorder="1" applyAlignment="1">
      <alignment vertical="center"/>
    </xf>
    <xf numFmtId="14" fontId="1" fillId="7" borderId="6" xfId="0" applyNumberFormat="1" applyFont="1" applyFill="1" applyBorder="1" applyAlignment="1">
      <alignment vertical="center" wrapText="1"/>
    </xf>
    <xf numFmtId="14" fontId="1" fillId="7" borderId="6" xfId="0" applyNumberFormat="1" applyFont="1" applyFill="1" applyBorder="1" applyAlignment="1">
      <alignment vertical="center"/>
    </xf>
    <xf numFmtId="9" fontId="1" fillId="7" borderId="6" xfId="1" applyFont="1" applyFill="1" applyBorder="1" applyAlignment="1">
      <alignment vertical="center"/>
    </xf>
    <xf numFmtId="4" fontId="1" fillId="7" borderId="1" xfId="0" applyNumberFormat="1" applyFont="1" applyFill="1" applyBorder="1" applyAlignment="1">
      <alignment vertical="center"/>
    </xf>
    <xf numFmtId="0" fontId="1" fillId="7" borderId="6" xfId="0" applyNumberFormat="1" applyFont="1" applyFill="1" applyBorder="1" applyAlignment="1">
      <alignment horizontal="center" vertical="center"/>
    </xf>
    <xf numFmtId="4" fontId="1" fillId="7" borderId="0" xfId="0" applyNumberFormat="1" applyFont="1" applyFill="1" applyBorder="1" applyAlignment="1">
      <alignment vertical="center"/>
    </xf>
    <xf numFmtId="14" fontId="1" fillId="7" borderId="1" xfId="0" applyNumberFormat="1" applyFont="1" applyFill="1" applyBorder="1" applyAlignment="1">
      <alignment vertical="center"/>
    </xf>
    <xf numFmtId="0" fontId="1" fillId="7" borderId="6" xfId="0" applyFont="1" applyFill="1" applyBorder="1" applyAlignment="1">
      <alignment vertical="center"/>
    </xf>
    <xf numFmtId="43" fontId="1" fillId="7" borderId="6" xfId="0" applyNumberFormat="1" applyFont="1" applyFill="1" applyBorder="1" applyAlignment="1">
      <alignment vertical="center"/>
    </xf>
    <xf numFmtId="0" fontId="2" fillId="8" borderId="3" xfId="0" applyFont="1" applyFill="1" applyBorder="1" applyAlignment="1">
      <alignment horizontal="left" vertical="center"/>
    </xf>
    <xf numFmtId="14" fontId="2" fillId="8" borderId="4" xfId="0" applyNumberFormat="1" applyFont="1" applyFill="1" applyBorder="1"/>
    <xf numFmtId="4" fontId="2" fillId="8" borderId="4" xfId="0" applyNumberFormat="1" applyFont="1" applyFill="1" applyBorder="1"/>
    <xf numFmtId="4" fontId="2" fillId="8" borderId="3" xfId="0" applyNumberFormat="1" applyFont="1" applyFill="1" applyBorder="1"/>
    <xf numFmtId="0" fontId="2" fillId="8" borderId="4" xfId="0" applyNumberFormat="1" applyFont="1" applyFill="1" applyBorder="1" applyAlignment="1">
      <alignment horizontal="center"/>
    </xf>
    <xf numFmtId="4" fontId="2" fillId="8" borderId="14" xfId="0" applyNumberFormat="1" applyFont="1" applyFill="1" applyBorder="1"/>
    <xf numFmtId="14" fontId="2" fillId="8" borderId="3" xfId="0" applyNumberFormat="1" applyFont="1" applyFill="1" applyBorder="1"/>
    <xf numFmtId="0" fontId="2" fillId="8" borderId="4" xfId="0" applyFont="1" applyFill="1" applyBorder="1"/>
    <xf numFmtId="43" fontId="2" fillId="8" borderId="4" xfId="0" applyNumberFormat="1" applyFont="1" applyFill="1" applyBorder="1"/>
    <xf numFmtId="0" fontId="1" fillId="8" borderId="1" xfId="0" applyFont="1" applyFill="1" applyBorder="1" applyAlignment="1">
      <alignment horizontal="left" vertical="center"/>
    </xf>
    <xf numFmtId="0" fontId="1" fillId="8" borderId="6" xfId="0" applyFont="1" applyFill="1" applyBorder="1" applyAlignment="1">
      <alignment vertical="center" wrapText="1"/>
    </xf>
    <xf numFmtId="14" fontId="1" fillId="8" borderId="6" xfId="0" applyNumberFormat="1" applyFont="1" applyFill="1" applyBorder="1" applyAlignment="1">
      <alignment vertical="center"/>
    </xf>
    <xf numFmtId="14" fontId="1" fillId="8" borderId="6" xfId="0" applyNumberFormat="1" applyFont="1" applyFill="1" applyBorder="1" applyAlignment="1">
      <alignment vertical="center" wrapText="1"/>
    </xf>
    <xf numFmtId="9" fontId="1" fillId="8" borderId="6" xfId="1" applyFont="1" applyFill="1" applyBorder="1" applyAlignment="1">
      <alignment vertical="center"/>
    </xf>
    <xf numFmtId="4" fontId="1" fillId="8" borderId="1" xfId="0" applyNumberFormat="1" applyFont="1" applyFill="1" applyBorder="1" applyAlignment="1">
      <alignment vertical="center"/>
    </xf>
    <xf numFmtId="0" fontId="1" fillId="8" borderId="6" xfId="0" applyNumberFormat="1" applyFont="1" applyFill="1" applyBorder="1" applyAlignment="1">
      <alignment horizontal="center" vertical="center"/>
    </xf>
    <xf numFmtId="4" fontId="1" fillId="8" borderId="0" xfId="0" applyNumberFormat="1" applyFont="1" applyFill="1" applyBorder="1" applyAlignment="1">
      <alignment vertical="center"/>
    </xf>
    <xf numFmtId="14" fontId="1" fillId="8" borderId="1" xfId="0" applyNumberFormat="1" applyFont="1" applyFill="1" applyBorder="1" applyAlignment="1">
      <alignment vertical="center"/>
    </xf>
    <xf numFmtId="0" fontId="1" fillId="8" borderId="6" xfId="0" applyFont="1" applyFill="1" applyBorder="1" applyAlignment="1">
      <alignment vertical="center"/>
    </xf>
    <xf numFmtId="4" fontId="2" fillId="8" borderId="6" xfId="0" applyNumberFormat="1" applyFont="1" applyFill="1" applyBorder="1" applyAlignment="1">
      <alignment vertical="center"/>
    </xf>
    <xf numFmtId="43" fontId="1" fillId="8" borderId="6" xfId="0" applyNumberFormat="1" applyFont="1" applyFill="1" applyBorder="1" applyAlignment="1">
      <alignment vertical="center"/>
    </xf>
    <xf numFmtId="4" fontId="1" fillId="8" borderId="6" xfId="0" applyNumberFormat="1" applyFont="1" applyFill="1" applyBorder="1" applyAlignment="1">
      <alignment vertical="center"/>
    </xf>
    <xf numFmtId="14" fontId="1" fillId="8" borderId="6" xfId="0" applyNumberFormat="1" applyFont="1" applyFill="1" applyBorder="1"/>
    <xf numFmtId="9" fontId="1" fillId="8" borderId="6" xfId="1" applyFont="1" applyFill="1" applyBorder="1"/>
    <xf numFmtId="4" fontId="1" fillId="8" borderId="1" xfId="0" applyNumberFormat="1" applyFont="1" applyFill="1" applyBorder="1"/>
    <xf numFmtId="0" fontId="1" fillId="8" borderId="6" xfId="0" applyNumberFormat="1" applyFont="1" applyFill="1" applyBorder="1" applyAlignment="1">
      <alignment horizontal="center"/>
    </xf>
    <xf numFmtId="4" fontId="1" fillId="8" borderId="0" xfId="0" applyNumberFormat="1" applyFont="1" applyFill="1" applyBorder="1"/>
    <xf numFmtId="14" fontId="1" fillId="8" borderId="1" xfId="0" applyNumberFormat="1" applyFont="1" applyFill="1" applyBorder="1"/>
    <xf numFmtId="0" fontId="1" fillId="8" borderId="6" xfId="0" applyFont="1" applyFill="1" applyBorder="1"/>
    <xf numFmtId="43" fontId="1" fillId="8" borderId="6" xfId="0" applyNumberFormat="1" applyFont="1" applyFill="1" applyBorder="1"/>
    <xf numFmtId="4" fontId="1" fillId="8" borderId="6" xfId="0" applyNumberFormat="1" applyFont="1" applyFill="1" applyBorder="1"/>
    <xf numFmtId="0" fontId="1" fillId="8" borderId="5" xfId="0" applyFont="1" applyFill="1" applyBorder="1" applyAlignment="1">
      <alignment horizontal="left" vertical="center"/>
    </xf>
    <xf numFmtId="0" fontId="1" fillId="8" borderId="8" xfId="0" applyFont="1" applyFill="1" applyBorder="1" applyAlignment="1">
      <alignment vertical="center" wrapText="1"/>
    </xf>
    <xf numFmtId="14" fontId="1" fillId="8" borderId="8" xfId="0" applyNumberFormat="1" applyFont="1" applyFill="1" applyBorder="1"/>
    <xf numFmtId="4" fontId="1" fillId="8" borderId="5" xfId="0" applyNumberFormat="1" applyFont="1" applyFill="1" applyBorder="1"/>
    <xf numFmtId="0" fontId="1" fillId="8" borderId="8" xfId="0" applyNumberFormat="1" applyFont="1" applyFill="1" applyBorder="1" applyAlignment="1">
      <alignment horizontal="center"/>
    </xf>
    <xf numFmtId="4" fontId="1" fillId="8" borderId="7" xfId="0" applyNumberFormat="1" applyFont="1" applyFill="1" applyBorder="1"/>
    <xf numFmtId="14" fontId="1" fillId="8" borderId="5" xfId="0" applyNumberFormat="1" applyFont="1" applyFill="1" applyBorder="1"/>
    <xf numFmtId="0" fontId="1" fillId="8" borderId="8" xfId="0" applyFont="1" applyFill="1" applyBorder="1"/>
    <xf numFmtId="43" fontId="1" fillId="8" borderId="8" xfId="0" applyNumberFormat="1" applyFont="1" applyFill="1" applyBorder="1"/>
    <xf numFmtId="4" fontId="1" fillId="8" borderId="8" xfId="0" applyNumberFormat="1" applyFont="1" applyFill="1" applyBorder="1"/>
    <xf numFmtId="43" fontId="1" fillId="7" borderId="6" xfId="0" applyNumberFormat="1" applyFont="1" applyFill="1" applyBorder="1" applyAlignment="1">
      <alignment wrapText="1"/>
    </xf>
    <xf numFmtId="43" fontId="1" fillId="0" borderId="1" xfId="0" applyNumberFormat="1" applyFont="1" applyFill="1" applyBorder="1"/>
    <xf numFmtId="17" fontId="14" fillId="0" borderId="0" xfId="0" applyNumberFormat="1" applyFont="1"/>
    <xf numFmtId="164" fontId="14" fillId="0" borderId="0" xfId="0" applyNumberFormat="1" applyFont="1"/>
    <xf numFmtId="0" fontId="14" fillId="0" borderId="0" xfId="0" applyFont="1"/>
    <xf numFmtId="0" fontId="2" fillId="9" borderId="0" xfId="0" applyFont="1" applyFill="1" applyAlignment="1">
      <alignment horizontal="center"/>
    </xf>
    <xf numFmtId="0" fontId="2" fillId="10" borderId="0" xfId="0" applyFont="1" applyFill="1" applyAlignment="1">
      <alignment horizontal="center"/>
    </xf>
    <xf numFmtId="164" fontId="14" fillId="9" borderId="0" xfId="0" applyNumberFormat="1" applyFont="1" applyFill="1"/>
    <xf numFmtId="164" fontId="14" fillId="10" borderId="0" xfId="0" applyNumberFormat="1" applyFont="1" applyFill="1"/>
    <xf numFmtId="4" fontId="14" fillId="0" borderId="0" xfId="0" applyNumberFormat="1" applyFont="1"/>
    <xf numFmtId="0" fontId="14" fillId="0" borderId="0" xfId="0" applyFont="1" applyAlignment="1">
      <alignment horizontal="center"/>
    </xf>
    <xf numFmtId="4" fontId="15" fillId="0" borderId="0" xfId="0" applyNumberFormat="1" applyFont="1"/>
    <xf numFmtId="0" fontId="16" fillId="0" borderId="0" xfId="0" applyFont="1"/>
    <xf numFmtId="0" fontId="17" fillId="9" borderId="0" xfId="0" applyFont="1" applyFill="1" applyAlignment="1">
      <alignment horizontal="center"/>
    </xf>
    <xf numFmtId="17" fontId="1" fillId="0" borderId="0" xfId="0" applyNumberFormat="1" applyFont="1"/>
    <xf numFmtId="0" fontId="2" fillId="2" borderId="4" xfId="0" applyFont="1" applyFill="1" applyBorder="1" applyAlignment="1">
      <alignment horizontal="center" vertical="top" wrapText="1"/>
    </xf>
    <xf numFmtId="0" fontId="2" fillId="2" borderId="8" xfId="0" applyFont="1" applyFill="1" applyBorder="1" applyAlignment="1">
      <alignment horizontal="center" vertical="top" wrapText="1"/>
    </xf>
    <xf numFmtId="14" fontId="3" fillId="4" borderId="6" xfId="0" applyNumberFormat="1" applyFont="1" applyFill="1" applyBorder="1"/>
    <xf numFmtId="14" fontId="1" fillId="4" borderId="1" xfId="0" applyNumberFormat="1" applyFont="1" applyFill="1" applyBorder="1"/>
    <xf numFmtId="14" fontId="2" fillId="6" borderId="4" xfId="0" applyNumberFormat="1" applyFont="1" applyFill="1" applyBorder="1" applyAlignment="1">
      <alignment horizontal="right" vertical="center"/>
    </xf>
    <xf numFmtId="14" fontId="3" fillId="0" borderId="8" xfId="0" applyNumberFormat="1" applyFont="1" applyFill="1" applyBorder="1" applyAlignment="1">
      <alignment horizontal="center"/>
    </xf>
    <xf numFmtId="14" fontId="4" fillId="0" borderId="8" xfId="0" applyNumberFormat="1" applyFont="1" applyFill="1" applyBorder="1" applyAlignment="1">
      <alignment horizontal="center"/>
    </xf>
    <xf numFmtId="14" fontId="4" fillId="6" borderId="4" xfId="0" applyNumberFormat="1" applyFont="1" applyFill="1" applyBorder="1"/>
    <xf numFmtId="4" fontId="2" fillId="0" borderId="5" xfId="0" applyNumberFormat="1" applyFont="1" applyFill="1" applyBorder="1"/>
    <xf numFmtId="14" fontId="2" fillId="0" borderId="5" xfId="0" applyNumberFormat="1" applyFont="1" applyFill="1" applyBorder="1"/>
    <xf numFmtId="0" fontId="8" fillId="0" borderId="0" xfId="0" applyFont="1"/>
    <xf numFmtId="43" fontId="3" fillId="8" borderId="6" xfId="0" applyNumberFormat="1" applyFont="1" applyFill="1" applyBorder="1"/>
    <xf numFmtId="4" fontId="1" fillId="8" borderId="3" xfId="0" applyNumberFormat="1" applyFont="1" applyFill="1" applyBorder="1"/>
    <xf numFmtId="0" fontId="3" fillId="8" borderId="8" xfId="0" applyFont="1" applyFill="1" applyBorder="1"/>
    <xf numFmtId="14" fontId="3" fillId="8" borderId="8" xfId="0" applyNumberFormat="1" applyFont="1" applyFill="1" applyBorder="1"/>
    <xf numFmtId="4" fontId="3" fillId="8" borderId="8" xfId="0" applyNumberFormat="1" applyFont="1" applyFill="1" applyBorder="1"/>
    <xf numFmtId="43" fontId="1" fillId="8" borderId="5" xfId="0" applyNumberFormat="1" applyFont="1" applyFill="1" applyBorder="1"/>
    <xf numFmtId="0" fontId="2" fillId="8" borderId="4" xfId="0" applyFont="1" applyFill="1" applyBorder="1" applyAlignment="1">
      <alignment vertical="center" wrapText="1"/>
    </xf>
    <xf numFmtId="14" fontId="1" fillId="8" borderId="4" xfId="0" applyNumberFormat="1" applyFont="1" applyFill="1" applyBorder="1"/>
    <xf numFmtId="0" fontId="2" fillId="8" borderId="4" xfId="0" applyFont="1" applyFill="1" applyBorder="1" applyAlignment="1">
      <alignment horizontal="center"/>
    </xf>
    <xf numFmtId="43" fontId="1" fillId="0" borderId="0" xfId="0" applyNumberFormat="1" applyFont="1"/>
    <xf numFmtId="0" fontId="2" fillId="8" borderId="1" xfId="0" applyFont="1" applyFill="1" applyBorder="1" applyAlignment="1">
      <alignment horizontal="left" vertical="center"/>
    </xf>
    <xf numFmtId="0" fontId="2" fillId="8" borderId="6" xfId="0" applyFont="1" applyFill="1" applyBorder="1" applyAlignment="1">
      <alignment vertical="center" wrapText="1"/>
    </xf>
    <xf numFmtId="4" fontId="2" fillId="8" borderId="1" xfId="0" applyNumberFormat="1" applyFont="1" applyFill="1" applyBorder="1"/>
    <xf numFmtId="0" fontId="2" fillId="8" borderId="6" xfId="0" applyFont="1" applyFill="1" applyBorder="1" applyAlignment="1">
      <alignment horizontal="center"/>
    </xf>
    <xf numFmtId="0" fontId="2" fillId="8" borderId="6" xfId="0" applyFont="1" applyFill="1" applyBorder="1"/>
    <xf numFmtId="4" fontId="2" fillId="8" borderId="0" xfId="0" applyNumberFormat="1" applyFont="1" applyFill="1" applyBorder="1"/>
    <xf numFmtId="0" fontId="2" fillId="8" borderId="1" xfId="0" applyFont="1" applyFill="1" applyBorder="1"/>
    <xf numFmtId="4" fontId="2" fillId="8" borderId="6" xfId="0" applyNumberFormat="1" applyFont="1" applyFill="1" applyBorder="1"/>
    <xf numFmtId="0" fontId="1" fillId="8" borderId="6" xfId="0" applyNumberFormat="1" applyFont="1" applyFill="1" applyBorder="1"/>
    <xf numFmtId="0" fontId="2" fillId="8" borderId="3" xfId="0" applyFont="1" applyFill="1" applyBorder="1"/>
    <xf numFmtId="14" fontId="3" fillId="8" borderId="6" xfId="0" applyNumberFormat="1" applyFont="1" applyFill="1" applyBorder="1"/>
    <xf numFmtId="0" fontId="1" fillId="8" borderId="1" xfId="0" applyFont="1" applyFill="1" applyBorder="1"/>
    <xf numFmtId="14" fontId="2" fillId="8" borderId="6" xfId="0" applyNumberFormat="1" applyFont="1" applyFill="1" applyBorder="1"/>
    <xf numFmtId="0" fontId="2" fillId="8" borderId="6" xfId="0" applyNumberFormat="1" applyFont="1" applyFill="1" applyBorder="1" applyAlignment="1">
      <alignment horizontal="center"/>
    </xf>
    <xf numFmtId="43" fontId="2" fillId="8" borderId="6" xfId="0" applyNumberFormat="1" applyFont="1" applyFill="1" applyBorder="1"/>
    <xf numFmtId="43" fontId="2" fillId="8" borderId="3" xfId="0" applyNumberFormat="1" applyFont="1" applyFill="1" applyBorder="1"/>
    <xf numFmtId="0" fontId="2" fillId="0" borderId="6" xfId="0" applyNumberFormat="1" applyFont="1" applyFill="1" applyBorder="1"/>
    <xf numFmtId="14" fontId="2" fillId="8" borderId="6" xfId="0" applyNumberFormat="1" applyFont="1" applyFill="1" applyBorder="1" applyAlignment="1">
      <alignment horizontal="center" vertical="center"/>
    </xf>
    <xf numFmtId="14" fontId="2" fillId="8" borderId="1" xfId="0" applyNumberFormat="1" applyFont="1" applyFill="1" applyBorder="1"/>
    <xf numFmtId="0" fontId="2" fillId="8" borderId="3" xfId="0" applyNumberFormat="1" applyFont="1" applyFill="1" applyBorder="1"/>
    <xf numFmtId="0" fontId="3" fillId="8" borderId="6" xfId="0" applyFont="1" applyFill="1" applyBorder="1"/>
    <xf numFmtId="14" fontId="3" fillId="8" borderId="6" xfId="0" applyNumberFormat="1" applyFont="1" applyFill="1" applyBorder="1" applyAlignment="1">
      <alignment horizontal="center" vertical="center"/>
    </xf>
    <xf numFmtId="14" fontId="2" fillId="8" borderId="4" xfId="0" applyNumberFormat="1" applyFont="1" applyFill="1" applyBorder="1" applyAlignment="1">
      <alignment horizontal="center" vertical="center"/>
    </xf>
    <xf numFmtId="0" fontId="2" fillId="8" borderId="4" xfId="0" applyNumberFormat="1" applyFont="1" applyFill="1" applyBorder="1"/>
    <xf numFmtId="14" fontId="1" fillId="8" borderId="6" xfId="0" applyNumberFormat="1" applyFont="1" applyFill="1" applyBorder="1" applyAlignment="1">
      <alignment horizontal="center" vertical="center"/>
    </xf>
    <xf numFmtId="14" fontId="1" fillId="8" borderId="8" xfId="0" applyNumberFormat="1" applyFont="1" applyFill="1" applyBorder="1" applyAlignment="1">
      <alignment horizontal="center" vertical="center"/>
    </xf>
    <xf numFmtId="9" fontId="1" fillId="8" borderId="8" xfId="1" applyFont="1" applyFill="1" applyBorder="1"/>
    <xf numFmtId="0" fontId="1" fillId="8" borderId="8" xfId="0" applyNumberFormat="1" applyFont="1" applyFill="1" applyBorder="1"/>
    <xf numFmtId="0" fontId="2" fillId="8" borderId="6" xfId="0" applyNumberFormat="1" applyFont="1" applyFill="1" applyBorder="1"/>
    <xf numFmtId="10" fontId="1" fillId="7" borderId="6" xfId="1" applyNumberFormat="1" applyFont="1" applyFill="1" applyBorder="1"/>
    <xf numFmtId="0" fontId="1" fillId="0" borderId="0" xfId="0" applyFont="1" applyAlignment="1">
      <alignment horizontal="left"/>
    </xf>
    <xf numFmtId="0" fontId="2" fillId="8" borderId="6" xfId="0" applyFont="1" applyFill="1" applyBorder="1" applyAlignment="1">
      <alignment horizontal="left" vertical="center"/>
    </xf>
    <xf numFmtId="0" fontId="1" fillId="8" borderId="6" xfId="0" applyFont="1" applyFill="1" applyBorder="1" applyAlignment="1">
      <alignment horizontal="left" vertical="center"/>
    </xf>
    <xf numFmtId="10" fontId="1" fillId="8" borderId="6" xfId="1" applyNumberFormat="1" applyFont="1" applyFill="1" applyBorder="1"/>
    <xf numFmtId="14" fontId="4" fillId="0" borderId="6" xfId="0" applyNumberFormat="1" applyFont="1" applyFill="1" applyBorder="1"/>
    <xf numFmtId="44" fontId="1" fillId="8" borderId="8" xfId="0" applyNumberFormat="1" applyFont="1" applyFill="1" applyBorder="1"/>
    <xf numFmtId="4" fontId="3" fillId="8" borderId="6" xfId="0" applyNumberFormat="1" applyFont="1" applyFill="1" applyBorder="1"/>
    <xf numFmtId="0" fontId="2" fillId="8" borderId="4" xfId="0" applyFont="1" applyFill="1" applyBorder="1" applyAlignment="1">
      <alignment horizontal="left" vertical="center"/>
    </xf>
    <xf numFmtId="0" fontId="1" fillId="8" borderId="0" xfId="0" applyFont="1" applyFill="1"/>
    <xf numFmtId="0" fontId="1" fillId="8" borderId="8" xfId="0" applyFont="1" applyFill="1" applyBorder="1" applyAlignment="1">
      <alignment horizontal="left" vertical="center"/>
    </xf>
    <xf numFmtId="0" fontId="6" fillId="0" borderId="0" xfId="0" applyFont="1"/>
    <xf numFmtId="2" fontId="7" fillId="0" borderId="0" xfId="0" applyNumberFormat="1" applyFont="1"/>
    <xf numFmtId="43" fontId="1" fillId="0" borderId="5" xfId="0" applyNumberFormat="1" applyFont="1" applyFill="1" applyBorder="1"/>
    <xf numFmtId="4" fontId="2" fillId="6" borderId="4" xfId="1" applyNumberFormat="1" applyFont="1" applyFill="1" applyBorder="1"/>
    <xf numFmtId="0" fontId="1" fillId="0" borderId="3" xfId="0" applyFont="1" applyFill="1" applyBorder="1" applyAlignment="1">
      <alignment horizontal="left" vertical="center"/>
    </xf>
    <xf numFmtId="14" fontId="1" fillId="0" borderId="4" xfId="0" applyNumberFormat="1" applyFont="1" applyFill="1" applyBorder="1" applyAlignment="1">
      <alignment horizontal="center" vertical="center"/>
    </xf>
    <xf numFmtId="9" fontId="1" fillId="0" borderId="4" xfId="1" applyFont="1" applyFill="1" applyBorder="1"/>
    <xf numFmtId="0" fontId="1" fillId="0" borderId="4" xfId="0" applyNumberFormat="1" applyFont="1" applyFill="1" applyBorder="1"/>
    <xf numFmtId="4" fontId="1" fillId="0" borderId="6" xfId="1" applyNumberFormat="1" applyFont="1" applyFill="1" applyBorder="1"/>
    <xf numFmtId="4" fontId="1" fillId="0" borderId="0" xfId="0" applyNumberFormat="1" applyFont="1" applyFill="1" applyAlignment="1">
      <alignment horizontal="center" vertical="top"/>
    </xf>
    <xf numFmtId="4" fontId="2" fillId="6" borderId="14" xfId="0" applyNumberFormat="1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 vertical="top" wrapText="1"/>
    </xf>
    <xf numFmtId="0" fontId="2" fillId="2" borderId="8" xfId="0" applyFont="1" applyFill="1" applyBorder="1" applyAlignment="1">
      <alignment horizontal="center" vertical="top" wrapText="1"/>
    </xf>
    <xf numFmtId="0" fontId="1" fillId="0" borderId="6" xfId="0" applyFont="1" applyFill="1" applyBorder="1" applyAlignment="1">
      <alignment horizontal="center" vertical="center"/>
    </xf>
    <xf numFmtId="14" fontId="4" fillId="0" borderId="8" xfId="0" applyNumberFormat="1" applyFont="1" applyFill="1" applyBorder="1"/>
    <xf numFmtId="43" fontId="18" fillId="8" borderId="6" xfId="0" applyNumberFormat="1" applyFont="1" applyFill="1" applyBorder="1"/>
    <xf numFmtId="0" fontId="1" fillId="0" borderId="0" xfId="0" applyFont="1" applyFill="1" applyBorder="1"/>
    <xf numFmtId="14" fontId="2" fillId="6" borderId="4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4" fontId="2" fillId="0" borderId="0" xfId="0" applyNumberFormat="1" applyFont="1"/>
    <xf numFmtId="0" fontId="19" fillId="0" borderId="0" xfId="0" applyFont="1"/>
    <xf numFmtId="4" fontId="19" fillId="0" borderId="0" xfId="0" applyNumberFormat="1" applyFont="1"/>
    <xf numFmtId="0" fontId="9" fillId="0" borderId="0" xfId="0" applyFont="1"/>
    <xf numFmtId="0" fontId="11" fillId="0" borderId="0" xfId="0" applyFont="1"/>
    <xf numFmtId="0" fontId="7" fillId="0" borderId="0" xfId="0" applyFont="1" applyAlignment="1">
      <alignment horizontal="center"/>
    </xf>
    <xf numFmtId="3" fontId="1" fillId="0" borderId="0" xfId="0" applyNumberFormat="1" applyFont="1"/>
    <xf numFmtId="3" fontId="2" fillId="0" borderId="0" xfId="0" applyNumberFormat="1" applyFont="1"/>
    <xf numFmtId="3" fontId="7" fillId="0" borderId="0" xfId="0" applyNumberFormat="1" applyFont="1"/>
    <xf numFmtId="164" fontId="16" fillId="11" borderId="0" xfId="0" applyNumberFormat="1" applyFont="1" applyFill="1"/>
    <xf numFmtId="0" fontId="20" fillId="9" borderId="0" xfId="0" applyFont="1" applyFill="1" applyAlignment="1">
      <alignment horizontal="center"/>
    </xf>
    <xf numFmtId="4" fontId="17" fillId="9" borderId="0" xfId="0" applyNumberFormat="1" applyFont="1" applyFill="1" applyAlignment="1">
      <alignment horizontal="center"/>
    </xf>
    <xf numFmtId="164" fontId="17" fillId="9" borderId="0" xfId="0" applyNumberFormat="1" applyFont="1" applyFill="1" applyAlignment="1">
      <alignment horizontal="center"/>
    </xf>
    <xf numFmtId="4" fontId="1" fillId="0" borderId="14" xfId="0" applyNumberFormat="1" applyFont="1" applyBorder="1"/>
    <xf numFmtId="0" fontId="4" fillId="8" borderId="3" xfId="0" applyFont="1" applyFill="1" applyBorder="1" applyAlignment="1">
      <alignment horizontal="left" vertical="center"/>
    </xf>
    <xf numFmtId="0" fontId="3" fillId="8" borderId="4" xfId="0" applyFont="1" applyFill="1" applyBorder="1"/>
    <xf numFmtId="14" fontId="3" fillId="8" borderId="4" xfId="0" applyNumberFormat="1" applyFont="1" applyFill="1" applyBorder="1"/>
    <xf numFmtId="4" fontId="3" fillId="8" borderId="4" xfId="0" applyNumberFormat="1" applyFont="1" applyFill="1" applyBorder="1"/>
    <xf numFmtId="4" fontId="3" fillId="8" borderId="3" xfId="0" applyNumberFormat="1" applyFont="1" applyFill="1" applyBorder="1"/>
    <xf numFmtId="0" fontId="3" fillId="8" borderId="4" xfId="0" applyNumberFormat="1" applyFont="1" applyFill="1" applyBorder="1" applyAlignment="1">
      <alignment horizontal="center"/>
    </xf>
    <xf numFmtId="4" fontId="3" fillId="8" borderId="14" xfId="0" applyNumberFormat="1" applyFont="1" applyFill="1" applyBorder="1"/>
    <xf numFmtId="0" fontId="3" fillId="8" borderId="3" xfId="0" applyFont="1" applyFill="1" applyBorder="1"/>
    <xf numFmtId="43" fontId="3" fillId="8" borderId="4" xfId="0" applyNumberFormat="1" applyFont="1" applyFill="1" applyBorder="1"/>
    <xf numFmtId="0" fontId="3" fillId="8" borderId="1" xfId="0" applyFont="1" applyFill="1" applyBorder="1" applyAlignment="1">
      <alignment horizontal="left" vertical="center"/>
    </xf>
    <xf numFmtId="4" fontId="3" fillId="8" borderId="1" xfId="0" applyNumberFormat="1" applyFont="1" applyFill="1" applyBorder="1"/>
    <xf numFmtId="0" fontId="3" fillId="8" borderId="6" xfId="0" applyNumberFormat="1" applyFont="1" applyFill="1" applyBorder="1" applyAlignment="1">
      <alignment horizontal="center"/>
    </xf>
    <xf numFmtId="4" fontId="3" fillId="8" borderId="0" xfId="0" applyNumberFormat="1" applyFont="1" applyFill="1" applyBorder="1"/>
    <xf numFmtId="14" fontId="3" fillId="8" borderId="1" xfId="0" applyNumberFormat="1" applyFont="1" applyFill="1" applyBorder="1"/>
    <xf numFmtId="0" fontId="2" fillId="8" borderId="2" xfId="0" applyFont="1" applyFill="1" applyBorder="1" applyAlignment="1"/>
    <xf numFmtId="4" fontId="2" fillId="8" borderId="2" xfId="0" applyNumberFormat="1" applyFont="1" applyFill="1" applyBorder="1"/>
    <xf numFmtId="0" fontId="2" fillId="8" borderId="2" xfId="0" applyFont="1" applyFill="1" applyBorder="1" applyAlignment="1">
      <alignment horizontal="center"/>
    </xf>
    <xf numFmtId="0" fontId="2" fillId="8" borderId="2" xfId="0" applyFont="1" applyFill="1" applyBorder="1"/>
    <xf numFmtId="14" fontId="1" fillId="0" borderId="0" xfId="0" applyNumberFormat="1" applyFont="1" applyFill="1" applyBorder="1"/>
    <xf numFmtId="165" fontId="1" fillId="0" borderId="0" xfId="0" applyNumberFormat="1" applyFont="1" applyFill="1" applyBorder="1"/>
    <xf numFmtId="0" fontId="5" fillId="0" borderId="3" xfId="0" applyFont="1" applyBorder="1" applyAlignment="1">
      <alignment horizontal="center" vertical="center" wrapText="1"/>
    </xf>
    <xf numFmtId="0" fontId="6" fillId="0" borderId="3" xfId="0" applyFont="1" applyBorder="1"/>
    <xf numFmtId="165" fontId="1" fillId="0" borderId="0" xfId="0" applyNumberFormat="1" applyFont="1"/>
    <xf numFmtId="0" fontId="0" fillId="0" borderId="0" xfId="0" applyBorder="1"/>
    <xf numFmtId="165" fontId="1" fillId="0" borderId="0" xfId="0" applyNumberFormat="1" applyFont="1" applyFill="1" applyBorder="1" applyAlignment="1">
      <alignment wrapText="1"/>
    </xf>
    <xf numFmtId="0" fontId="5" fillId="0" borderId="0" xfId="0" applyFont="1"/>
    <xf numFmtId="14" fontId="2" fillId="0" borderId="0" xfId="0" applyNumberFormat="1" applyFont="1" applyFill="1" applyBorder="1" applyAlignment="1">
      <alignment wrapText="1"/>
    </xf>
    <xf numFmtId="0" fontId="21" fillId="0" borderId="0" xfId="0" applyFont="1"/>
    <xf numFmtId="4" fontId="21" fillId="0" borderId="0" xfId="0" applyNumberFormat="1" applyFont="1"/>
    <xf numFmtId="4" fontId="22" fillId="0" borderId="0" xfId="0" applyNumberFormat="1" applyFont="1"/>
    <xf numFmtId="14" fontId="2" fillId="6" borderId="3" xfId="0" applyNumberFormat="1" applyFont="1" applyFill="1" applyBorder="1" applyAlignment="1">
      <alignment horizontal="center" vertical="center"/>
    </xf>
    <xf numFmtId="43" fontId="1" fillId="0" borderId="0" xfId="0" applyNumberFormat="1" applyFont="1" applyFill="1" applyBorder="1" applyAlignment="1">
      <alignment horizontal="left" vertical="top"/>
    </xf>
    <xf numFmtId="0" fontId="1" fillId="0" borderId="0" xfId="0" applyFont="1" applyFill="1" applyBorder="1" applyAlignment="1">
      <alignment horizontal="center" vertical="top"/>
    </xf>
    <xf numFmtId="9" fontId="1" fillId="4" borderId="8" xfId="1" applyFont="1" applyFill="1" applyBorder="1"/>
    <xf numFmtId="0" fontId="1" fillId="4" borderId="8" xfId="0" applyNumberFormat="1" applyFont="1" applyFill="1" applyBorder="1" applyAlignment="1">
      <alignment horizontal="center"/>
    </xf>
    <xf numFmtId="14" fontId="2" fillId="0" borderId="4" xfId="0" applyNumberFormat="1" applyFont="1" applyFill="1" applyBorder="1"/>
    <xf numFmtId="4" fontId="2" fillId="0" borderId="4" xfId="1" applyNumberFormat="1" applyFont="1" applyFill="1" applyBorder="1"/>
    <xf numFmtId="0" fontId="3" fillId="0" borderId="0" xfId="0" applyFont="1" applyFill="1" applyAlignment="1">
      <alignment horizontal="center" vertical="center"/>
    </xf>
    <xf numFmtId="14" fontId="2" fillId="8" borderId="4" xfId="0" applyNumberFormat="1" applyFont="1" applyFill="1" applyBorder="1" applyAlignment="1">
      <alignment horizontal="right"/>
    </xf>
    <xf numFmtId="43" fontId="1" fillId="8" borderId="1" xfId="0" applyNumberFormat="1" applyFont="1" applyFill="1" applyBorder="1"/>
    <xf numFmtId="14" fontId="2" fillId="8" borderId="3" xfId="0" applyNumberFormat="1" applyFont="1" applyFill="1" applyBorder="1" applyAlignment="1">
      <alignment horizontal="right"/>
    </xf>
    <xf numFmtId="0" fontId="2" fillId="2" borderId="4" xfId="0" applyFont="1" applyFill="1" applyBorder="1" applyAlignment="1">
      <alignment horizontal="center" vertical="top" wrapText="1"/>
    </xf>
    <xf numFmtId="0" fontId="2" fillId="2" borderId="8" xfId="0" applyFont="1" applyFill="1" applyBorder="1" applyAlignment="1">
      <alignment horizontal="center" vertical="top" wrapText="1"/>
    </xf>
    <xf numFmtId="0" fontId="2" fillId="0" borderId="14" xfId="0" applyFont="1" applyBorder="1" applyAlignment="1"/>
    <xf numFmtId="4" fontId="2" fillId="0" borderId="14" xfId="0" applyNumberFormat="1" applyFont="1" applyFill="1" applyBorder="1"/>
    <xf numFmtId="0" fontId="2" fillId="0" borderId="14" xfId="0" applyFont="1" applyBorder="1"/>
    <xf numFmtId="0" fontId="2" fillId="0" borderId="3" xfId="0" applyFont="1" applyBorder="1" applyAlignment="1"/>
    <xf numFmtId="4" fontId="2" fillId="0" borderId="3" xfId="0" applyNumberFormat="1" applyFont="1" applyFill="1" applyBorder="1"/>
    <xf numFmtId="0" fontId="2" fillId="0" borderId="3" xfId="0" applyFont="1" applyBorder="1"/>
    <xf numFmtId="0" fontId="1" fillId="0" borderId="0" xfId="0" applyFont="1" applyBorder="1" applyAlignment="1">
      <alignment horizontal="center"/>
    </xf>
    <xf numFmtId="0" fontId="2" fillId="0" borderId="0" xfId="0" applyFont="1" applyBorder="1" applyAlignment="1"/>
    <xf numFmtId="0" fontId="2" fillId="0" borderId="0" xfId="0" applyFont="1" applyBorder="1"/>
    <xf numFmtId="0" fontId="2" fillId="0" borderId="1" xfId="0" applyFont="1" applyBorder="1" applyAlignment="1"/>
    <xf numFmtId="0" fontId="2" fillId="0" borderId="5" xfId="0" applyFont="1" applyBorder="1" applyAlignment="1"/>
    <xf numFmtId="0" fontId="2" fillId="0" borderId="12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7" xfId="0" applyFont="1" applyBorder="1"/>
    <xf numFmtId="4" fontId="2" fillId="0" borderId="7" xfId="0" applyNumberFormat="1" applyFont="1" applyFill="1" applyBorder="1"/>
    <xf numFmtId="0" fontId="2" fillId="0" borderId="1" xfId="0" applyFont="1" applyBorder="1"/>
    <xf numFmtId="0" fontId="2" fillId="0" borderId="5" xfId="0" applyFont="1" applyBorder="1"/>
    <xf numFmtId="0" fontId="2" fillId="0" borderId="7" xfId="0" applyFont="1" applyBorder="1" applyAlignment="1"/>
    <xf numFmtId="0" fontId="2" fillId="8" borderId="5" xfId="0" applyFont="1" applyFill="1" applyBorder="1" applyAlignment="1"/>
    <xf numFmtId="0" fontId="2" fillId="8" borderId="7" xfId="0" applyFont="1" applyFill="1" applyBorder="1" applyAlignment="1"/>
    <xf numFmtId="4" fontId="2" fillId="8" borderId="8" xfId="0" applyNumberFormat="1" applyFont="1" applyFill="1" applyBorder="1"/>
    <xf numFmtId="4" fontId="2" fillId="8" borderId="5" xfId="0" applyNumberFormat="1" applyFont="1" applyFill="1" applyBorder="1"/>
    <xf numFmtId="0" fontId="2" fillId="8" borderId="5" xfId="0" applyFont="1" applyFill="1" applyBorder="1" applyAlignment="1">
      <alignment horizontal="center"/>
    </xf>
    <xf numFmtId="0" fontId="2" fillId="8" borderId="5" xfId="0" applyFont="1" applyFill="1" applyBorder="1"/>
    <xf numFmtId="14" fontId="2" fillId="0" borderId="3" xfId="0" applyNumberFormat="1" applyFont="1" applyBorder="1" applyAlignment="1"/>
    <xf numFmtId="0" fontId="2" fillId="8" borderId="8" xfId="0" applyFont="1" applyFill="1" applyBorder="1" applyAlignment="1"/>
    <xf numFmtId="14" fontId="4" fillId="0" borderId="3" xfId="0" applyNumberFormat="1" applyFont="1" applyBorder="1" applyAlignment="1">
      <alignment horizontal="center"/>
    </xf>
    <xf numFmtId="0" fontId="4" fillId="0" borderId="1" xfId="0" applyFont="1" applyBorder="1" applyAlignment="1"/>
    <xf numFmtId="14" fontId="1" fillId="0" borderId="0" xfId="0" applyNumberFormat="1" applyFont="1" applyFill="1" applyBorder="1" applyAlignment="1">
      <alignment horizontal="center" vertical="center"/>
    </xf>
    <xf numFmtId="10" fontId="0" fillId="0" borderId="0" xfId="1" applyNumberFormat="1" applyFont="1"/>
    <xf numFmtId="14" fontId="4" fillId="6" borderId="3" xfId="0" applyNumberFormat="1" applyFont="1" applyFill="1" applyBorder="1"/>
    <xf numFmtId="9" fontId="1" fillId="8" borderId="6" xfId="1" applyNumberFormat="1" applyFont="1" applyFill="1" applyBorder="1"/>
    <xf numFmtId="0" fontId="4" fillId="0" borderId="5" xfId="0" applyFont="1" applyBorder="1" applyAlignment="1"/>
    <xf numFmtId="14" fontId="3" fillId="0" borderId="0" xfId="0" applyNumberFormat="1" applyFont="1" applyFill="1" applyBorder="1"/>
    <xf numFmtId="0" fontId="1" fillId="0" borderId="0" xfId="0" applyNumberFormat="1" applyFont="1" applyFill="1" applyBorder="1"/>
    <xf numFmtId="14" fontId="1" fillId="6" borderId="14" xfId="0" applyNumberFormat="1" applyFont="1" applyFill="1" applyBorder="1"/>
    <xf numFmtId="9" fontId="1" fillId="0" borderId="5" xfId="1" applyFont="1" applyFill="1" applyBorder="1"/>
    <xf numFmtId="0" fontId="1" fillId="0" borderId="5" xfId="0" applyNumberFormat="1" applyFont="1" applyFill="1" applyBorder="1" applyAlignment="1">
      <alignment horizontal="center"/>
    </xf>
    <xf numFmtId="0" fontId="1" fillId="6" borderId="14" xfId="0" applyNumberFormat="1" applyFont="1" applyFill="1" applyBorder="1"/>
    <xf numFmtId="14" fontId="1" fillId="0" borderId="5" xfId="0" applyNumberFormat="1" applyFont="1" applyFill="1" applyBorder="1" applyAlignment="1">
      <alignment horizontal="center" vertical="center"/>
    </xf>
    <xf numFmtId="14" fontId="2" fillId="6" borderId="14" xfId="0" applyNumberFormat="1" applyFont="1" applyFill="1" applyBorder="1"/>
    <xf numFmtId="4" fontId="1" fillId="0" borderId="1" xfId="1" applyNumberFormat="1" applyFont="1" applyFill="1" applyBorder="1"/>
    <xf numFmtId="14" fontId="23" fillId="6" borderId="4" xfId="0" applyNumberFormat="1" applyFont="1" applyFill="1" applyBorder="1" applyAlignment="1">
      <alignment horizontal="center" vertical="center"/>
    </xf>
    <xf numFmtId="14" fontId="3" fillId="0" borderId="7" xfId="0" applyNumberFormat="1" applyFont="1" applyFill="1" applyBorder="1"/>
    <xf numFmtId="14" fontId="1" fillId="0" borderId="7" xfId="0" applyNumberFormat="1" applyFont="1" applyFill="1" applyBorder="1" applyAlignment="1">
      <alignment horizontal="center" vertical="center"/>
    </xf>
    <xf numFmtId="14" fontId="1" fillId="6" borderId="12" xfId="0" applyNumberFormat="1" applyFont="1" applyFill="1" applyBorder="1" applyAlignment="1">
      <alignment horizontal="center" vertical="center"/>
    </xf>
    <xf numFmtId="0" fontId="1" fillId="0" borderId="8" xfId="0" applyNumberFormat="1" applyFont="1" applyFill="1" applyBorder="1" applyAlignment="1">
      <alignment horizontal="center" vertical="center"/>
    </xf>
    <xf numFmtId="0" fontId="1" fillId="0" borderId="7" xfId="0" applyNumberFormat="1" applyFont="1" applyFill="1" applyBorder="1" applyAlignment="1">
      <alignment horizontal="center" vertical="center"/>
    </xf>
    <xf numFmtId="14" fontId="4" fillId="0" borderId="1" xfId="0" applyNumberFormat="1" applyFont="1" applyFill="1" applyBorder="1"/>
    <xf numFmtId="14" fontId="2" fillId="0" borderId="1" xfId="0" applyNumberFormat="1" applyFont="1" applyFill="1" applyBorder="1" applyAlignment="1">
      <alignment horizontal="center" vertical="center"/>
    </xf>
    <xf numFmtId="0" fontId="1" fillId="8" borderId="4" xfId="0" applyFont="1" applyFill="1" applyBorder="1"/>
    <xf numFmtId="0" fontId="2" fillId="2" borderId="4" xfId="0" applyFont="1" applyFill="1" applyBorder="1" applyAlignment="1">
      <alignment horizontal="center" vertical="top" wrapText="1"/>
    </xf>
    <xf numFmtId="0" fontId="2" fillId="2" borderId="8" xfId="0" applyFont="1" applyFill="1" applyBorder="1" applyAlignment="1">
      <alignment horizontal="center" vertical="top" wrapText="1"/>
    </xf>
    <xf numFmtId="14" fontId="1" fillId="0" borderId="1" xfId="0" applyNumberFormat="1" applyFont="1" applyFill="1" applyBorder="1" applyAlignment="1">
      <alignment vertical="center"/>
    </xf>
    <xf numFmtId="4" fontId="7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1" fillId="0" borderId="6" xfId="0" applyFont="1" applyFill="1" applyBorder="1" applyAlignment="1">
      <alignment vertical="center"/>
    </xf>
    <xf numFmtId="14" fontId="1" fillId="0" borderId="6" xfId="0" applyNumberFormat="1" applyFont="1" applyFill="1" applyBorder="1" applyAlignment="1">
      <alignment vertical="center"/>
    </xf>
    <xf numFmtId="9" fontId="1" fillId="0" borderId="6" xfId="1" applyFont="1" applyFill="1" applyBorder="1" applyAlignment="1">
      <alignment vertical="center"/>
    </xf>
    <xf numFmtId="4" fontId="1" fillId="0" borderId="1" xfId="0" applyNumberFormat="1" applyFont="1" applyFill="1" applyBorder="1" applyAlignment="1">
      <alignment vertical="center"/>
    </xf>
    <xf numFmtId="4" fontId="1" fillId="0" borderId="0" xfId="0" applyNumberFormat="1" applyFont="1" applyFill="1" applyBorder="1" applyAlignment="1">
      <alignment vertical="center"/>
    </xf>
    <xf numFmtId="0" fontId="1" fillId="0" borderId="6" xfId="0" applyNumberFormat="1" applyFont="1" applyFill="1" applyBorder="1" applyAlignment="1">
      <alignment vertical="center"/>
    </xf>
    <xf numFmtId="43" fontId="1" fillId="0" borderId="6" xfId="0" applyNumberFormat="1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14" fontId="3" fillId="0" borderId="6" xfId="0" applyNumberFormat="1" applyFont="1" applyFill="1" applyBorder="1" applyAlignment="1">
      <alignment vertical="center"/>
    </xf>
    <xf numFmtId="0" fontId="1" fillId="0" borderId="8" xfId="0" applyFont="1" applyFill="1" applyBorder="1" applyAlignment="1">
      <alignment vertical="center"/>
    </xf>
    <xf numFmtId="14" fontId="3" fillId="0" borderId="8" xfId="0" applyNumberFormat="1" applyFont="1" applyFill="1" applyBorder="1" applyAlignment="1">
      <alignment vertical="center"/>
    </xf>
    <xf numFmtId="14" fontId="1" fillId="0" borderId="8" xfId="0" applyNumberFormat="1" applyFont="1" applyFill="1" applyBorder="1" applyAlignment="1">
      <alignment vertical="center"/>
    </xf>
    <xf numFmtId="9" fontId="1" fillId="0" borderId="8" xfId="1" applyFont="1" applyFill="1" applyBorder="1" applyAlignment="1">
      <alignment vertical="center"/>
    </xf>
    <xf numFmtId="4" fontId="1" fillId="0" borderId="5" xfId="0" applyNumberFormat="1" applyFont="1" applyFill="1" applyBorder="1" applyAlignment="1">
      <alignment vertical="center"/>
    </xf>
    <xf numFmtId="4" fontId="1" fillId="0" borderId="7" xfId="0" applyNumberFormat="1" applyFont="1" applyFill="1" applyBorder="1" applyAlignment="1">
      <alignment vertical="center"/>
    </xf>
    <xf numFmtId="14" fontId="1" fillId="0" borderId="5" xfId="0" applyNumberFormat="1" applyFont="1" applyFill="1" applyBorder="1" applyAlignment="1">
      <alignment vertical="center"/>
    </xf>
    <xf numFmtId="0" fontId="1" fillId="0" borderId="8" xfId="0" applyNumberFormat="1" applyFont="1" applyFill="1" applyBorder="1" applyAlignment="1">
      <alignment vertical="center"/>
    </xf>
    <xf numFmtId="43" fontId="1" fillId="0" borderId="8" xfId="0" applyNumberFormat="1" applyFont="1" applyFill="1" applyBorder="1" applyAlignment="1">
      <alignment vertical="center"/>
    </xf>
    <xf numFmtId="4" fontId="4" fillId="0" borderId="0" xfId="0" applyNumberFormat="1" applyFont="1"/>
    <xf numFmtId="0" fontId="2" fillId="6" borderId="4" xfId="0" applyFont="1" applyFill="1" applyBorder="1" applyAlignment="1">
      <alignment vertical="center"/>
    </xf>
    <xf numFmtId="14" fontId="2" fillId="6" borderId="4" xfId="0" applyNumberFormat="1" applyFont="1" applyFill="1" applyBorder="1" applyAlignment="1">
      <alignment vertical="center"/>
    </xf>
    <xf numFmtId="4" fontId="2" fillId="6" borderId="4" xfId="0" applyNumberFormat="1" applyFont="1" applyFill="1" applyBorder="1" applyAlignment="1">
      <alignment vertical="center"/>
    </xf>
    <xf numFmtId="4" fontId="2" fillId="6" borderId="3" xfId="0" applyNumberFormat="1" applyFont="1" applyFill="1" applyBorder="1" applyAlignment="1">
      <alignment vertical="center"/>
    </xf>
    <xf numFmtId="0" fontId="2" fillId="6" borderId="4" xfId="0" applyNumberFormat="1" applyFont="1" applyFill="1" applyBorder="1" applyAlignment="1">
      <alignment horizontal="center" vertical="center"/>
    </xf>
    <xf numFmtId="4" fontId="2" fillId="6" borderId="14" xfId="0" applyNumberFormat="1" applyFont="1" applyFill="1" applyBorder="1" applyAlignment="1">
      <alignment vertical="center"/>
    </xf>
    <xf numFmtId="14" fontId="2" fillId="6" borderId="3" xfId="0" applyNumberFormat="1" applyFont="1" applyFill="1" applyBorder="1" applyAlignment="1">
      <alignment vertical="center"/>
    </xf>
    <xf numFmtId="0" fontId="2" fillId="6" borderId="4" xfId="0" applyNumberFormat="1" applyFont="1" applyFill="1" applyBorder="1" applyAlignment="1">
      <alignment vertical="center"/>
    </xf>
    <xf numFmtId="43" fontId="2" fillId="6" borderId="4" xfId="0" applyNumberFormat="1" applyFont="1" applyFill="1" applyBorder="1" applyAlignment="1">
      <alignment vertical="center"/>
    </xf>
    <xf numFmtId="14" fontId="1" fillId="6" borderId="4" xfId="0" applyNumberFormat="1" applyFont="1" applyFill="1" applyBorder="1" applyAlignment="1">
      <alignment vertical="center"/>
    </xf>
    <xf numFmtId="4" fontId="1" fillId="6" borderId="3" xfId="0" applyNumberFormat="1" applyFont="1" applyFill="1" applyBorder="1" applyAlignment="1">
      <alignment vertical="center"/>
    </xf>
    <xf numFmtId="0" fontId="1" fillId="6" borderId="4" xfId="0" applyNumberFormat="1" applyFont="1" applyFill="1" applyBorder="1" applyAlignment="1">
      <alignment horizontal="center" vertical="center"/>
    </xf>
    <xf numFmtId="14" fontId="1" fillId="6" borderId="3" xfId="0" applyNumberFormat="1" applyFont="1" applyFill="1" applyBorder="1" applyAlignment="1">
      <alignment vertical="center"/>
    </xf>
    <xf numFmtId="0" fontId="1" fillId="6" borderId="4" xfId="0" applyNumberFormat="1" applyFont="1" applyFill="1" applyBorder="1" applyAlignment="1">
      <alignment vertical="center"/>
    </xf>
    <xf numFmtId="43" fontId="1" fillId="6" borderId="4" xfId="0" applyNumberFormat="1" applyFont="1" applyFill="1" applyBorder="1" applyAlignment="1">
      <alignment vertical="center"/>
    </xf>
    <xf numFmtId="0" fontId="2" fillId="6" borderId="4" xfId="0" applyFont="1" applyFill="1" applyBorder="1" applyAlignment="1">
      <alignment horizontal="center" vertical="center"/>
    </xf>
    <xf numFmtId="14" fontId="1" fillId="0" borderId="1" xfId="0" applyNumberFormat="1" applyFont="1" applyFill="1" applyBorder="1" applyAlignment="1">
      <alignment vertical="center"/>
    </xf>
    <xf numFmtId="14" fontId="1" fillId="0" borderId="1" xfId="0" applyNumberFormat="1" applyFont="1" applyFill="1" applyBorder="1" applyAlignment="1">
      <alignment vertical="center"/>
    </xf>
    <xf numFmtId="0" fontId="0" fillId="8" borderId="5" xfId="0" applyFill="1" applyBorder="1" applyAlignment="1">
      <alignment vertical="center"/>
    </xf>
    <xf numFmtId="14" fontId="4" fillId="8" borderId="4" xfId="0" applyNumberFormat="1" applyFont="1" applyFill="1" applyBorder="1"/>
    <xf numFmtId="0" fontId="0" fillId="8" borderId="1" xfId="0" applyFill="1" applyBorder="1" applyAlignment="1">
      <alignment vertical="center"/>
    </xf>
    <xf numFmtId="0" fontId="2" fillId="12" borderId="1" xfId="0" applyFont="1" applyFill="1" applyBorder="1" applyAlignment="1">
      <alignment horizontal="left" vertical="center"/>
    </xf>
    <xf numFmtId="0" fontId="1" fillId="12" borderId="6" xfId="0" applyFont="1" applyFill="1" applyBorder="1" applyAlignment="1">
      <alignment horizontal="center" vertical="center"/>
    </xf>
    <xf numFmtId="14" fontId="3" fillId="12" borderId="6" xfId="0" applyNumberFormat="1" applyFont="1" applyFill="1" applyBorder="1"/>
    <xf numFmtId="4" fontId="1" fillId="12" borderId="6" xfId="1" applyNumberFormat="1" applyFont="1" applyFill="1" applyBorder="1"/>
    <xf numFmtId="4" fontId="1" fillId="12" borderId="6" xfId="0" applyNumberFormat="1" applyFont="1" applyFill="1" applyBorder="1"/>
    <xf numFmtId="0" fontId="1" fillId="12" borderId="6" xfId="0" applyNumberFormat="1" applyFont="1" applyFill="1" applyBorder="1" applyAlignment="1">
      <alignment horizontal="center"/>
    </xf>
    <xf numFmtId="4" fontId="1" fillId="12" borderId="0" xfId="0" applyNumberFormat="1" applyFont="1" applyFill="1" applyBorder="1"/>
    <xf numFmtId="14" fontId="1" fillId="12" borderId="1" xfId="0" applyNumberFormat="1" applyFont="1" applyFill="1" applyBorder="1"/>
    <xf numFmtId="14" fontId="2" fillId="6" borderId="12" xfId="0" applyNumberFormat="1" applyFont="1" applyFill="1" applyBorder="1" applyAlignment="1">
      <alignment horizontal="center" vertical="center"/>
    </xf>
    <xf numFmtId="14" fontId="2" fillId="6" borderId="14" xfId="0" applyNumberFormat="1" applyFont="1" applyFill="1" applyBorder="1" applyAlignment="1">
      <alignment horizontal="right"/>
    </xf>
    <xf numFmtId="14" fontId="2" fillId="0" borderId="0" xfId="0" applyNumberFormat="1" applyFont="1" applyFill="1" applyBorder="1" applyAlignment="1">
      <alignment horizontal="right"/>
    </xf>
    <xf numFmtId="14" fontId="2" fillId="0" borderId="0" xfId="0" applyNumberFormat="1" applyFont="1" applyFill="1" applyBorder="1"/>
    <xf numFmtId="14" fontId="2" fillId="0" borderId="0" xfId="0" applyNumberFormat="1" applyFont="1" applyFill="1" applyBorder="1" applyAlignment="1">
      <alignment horizontal="center" vertical="center"/>
    </xf>
    <xf numFmtId="14" fontId="1" fillId="0" borderId="7" xfId="0" applyNumberFormat="1" applyFont="1" applyFill="1" applyBorder="1"/>
    <xf numFmtId="9" fontId="1" fillId="0" borderId="1" xfId="1" applyFont="1" applyFill="1" applyBorder="1"/>
    <xf numFmtId="0" fontId="1" fillId="0" borderId="1" xfId="0" applyNumberFormat="1" applyFont="1" applyFill="1" applyBorder="1" applyAlignment="1">
      <alignment horizontal="center"/>
    </xf>
    <xf numFmtId="14" fontId="24" fillId="0" borderId="6" xfId="0" applyNumberFormat="1" applyFont="1" applyFill="1" applyBorder="1" applyAlignment="1">
      <alignment horizontal="center"/>
    </xf>
    <xf numFmtId="14" fontId="4" fillId="4" borderId="6" xfId="0" applyNumberFormat="1" applyFont="1" applyFill="1" applyBorder="1"/>
    <xf numFmtId="4" fontId="2" fillId="0" borderId="2" xfId="0" applyNumberFormat="1" applyFont="1" applyFill="1" applyBorder="1" applyAlignment="1">
      <alignment horizontal="center"/>
    </xf>
    <xf numFmtId="0" fontId="2" fillId="7" borderId="3" xfId="0" applyFont="1" applyFill="1" applyBorder="1" applyAlignment="1"/>
    <xf numFmtId="0" fontId="2" fillId="7" borderId="14" xfId="0" applyFont="1" applyFill="1" applyBorder="1" applyAlignment="1"/>
    <xf numFmtId="14" fontId="2" fillId="7" borderId="3" xfId="0" applyNumberFormat="1" applyFont="1" applyFill="1" applyBorder="1" applyAlignment="1"/>
    <xf numFmtId="0" fontId="2" fillId="7" borderId="12" xfId="0" applyFont="1" applyFill="1" applyBorder="1" applyAlignment="1">
      <alignment horizontal="center"/>
    </xf>
    <xf numFmtId="14" fontId="2" fillId="7" borderId="3" xfId="0" applyNumberFormat="1" applyFont="1" applyFill="1" applyBorder="1"/>
    <xf numFmtId="0" fontId="2" fillId="7" borderId="14" xfId="0" applyFont="1" applyFill="1" applyBorder="1"/>
    <xf numFmtId="0" fontId="2" fillId="7" borderId="1" xfId="0" applyFont="1" applyFill="1" applyBorder="1" applyAlignment="1"/>
    <xf numFmtId="0" fontId="2" fillId="7" borderId="0" xfId="0" applyFont="1" applyFill="1" applyBorder="1" applyAlignment="1"/>
    <xf numFmtId="0" fontId="2" fillId="7" borderId="15" xfId="0" applyFont="1" applyFill="1" applyBorder="1" applyAlignment="1">
      <alignment horizontal="center"/>
    </xf>
    <xf numFmtId="0" fontId="2" fillId="7" borderId="0" xfId="0" applyFont="1" applyFill="1" applyBorder="1"/>
    <xf numFmtId="0" fontId="2" fillId="7" borderId="5" xfId="0" applyFont="1" applyFill="1" applyBorder="1" applyAlignment="1"/>
    <xf numFmtId="0" fontId="2" fillId="7" borderId="7" xfId="0" applyFont="1" applyFill="1" applyBorder="1" applyAlignment="1"/>
    <xf numFmtId="4" fontId="2" fillId="7" borderId="5" xfId="0" applyNumberFormat="1" applyFont="1" applyFill="1" applyBorder="1"/>
    <xf numFmtId="0" fontId="2" fillId="7" borderId="13" xfId="0" applyFont="1" applyFill="1" applyBorder="1" applyAlignment="1">
      <alignment horizontal="center"/>
    </xf>
    <xf numFmtId="0" fontId="2" fillId="7" borderId="5" xfId="0" applyFont="1" applyFill="1" applyBorder="1"/>
    <xf numFmtId="4" fontId="2" fillId="7" borderId="7" xfId="0" applyNumberFormat="1" applyFont="1" applyFill="1" applyBorder="1"/>
    <xf numFmtId="0" fontId="2" fillId="7" borderId="7" xfId="0" applyFont="1" applyFill="1" applyBorder="1"/>
    <xf numFmtId="4" fontId="2" fillId="7" borderId="8" xfId="0" applyNumberFormat="1" applyFont="1" applyFill="1" applyBorder="1"/>
    <xf numFmtId="14" fontId="1" fillId="0" borderId="6" xfId="0" applyNumberFormat="1" applyFont="1" applyFill="1" applyBorder="1" applyAlignment="1">
      <alignment horizontal="right"/>
    </xf>
    <xf numFmtId="10" fontId="1" fillId="0" borderId="1" xfId="1" applyNumberFormat="1" applyFont="1" applyFill="1" applyBorder="1"/>
    <xf numFmtId="166" fontId="1" fillId="0" borderId="0" xfId="0" applyNumberFormat="1" applyFont="1" applyFill="1" applyBorder="1"/>
    <xf numFmtId="14" fontId="4" fillId="8" borderId="6" xfId="0" applyNumberFormat="1" applyFont="1" applyFill="1" applyBorder="1" applyAlignment="1">
      <alignment horizontal="center"/>
    </xf>
    <xf numFmtId="14" fontId="4" fillId="8" borderId="6" xfId="0" applyNumberFormat="1" applyFont="1" applyFill="1" applyBorder="1"/>
    <xf numFmtId="0" fontId="2" fillId="7" borderId="3" xfId="0" applyFont="1" applyFill="1" applyBorder="1"/>
    <xf numFmtId="14" fontId="2" fillId="7" borderId="5" xfId="0" applyNumberFormat="1" applyFont="1" applyFill="1" applyBorder="1"/>
    <xf numFmtId="0" fontId="0" fillId="0" borderId="0" xfId="0" applyFill="1"/>
    <xf numFmtId="0" fontId="2" fillId="7" borderId="4" xfId="0" applyFont="1" applyFill="1" applyBorder="1" applyAlignment="1">
      <alignment vertical="center" wrapText="1"/>
    </xf>
    <xf numFmtId="14" fontId="1" fillId="7" borderId="3" xfId="0" applyNumberFormat="1" applyFont="1" applyFill="1" applyBorder="1"/>
    <xf numFmtId="4" fontId="1" fillId="7" borderId="4" xfId="0" applyNumberFormat="1" applyFont="1" applyFill="1" applyBorder="1"/>
    <xf numFmtId="0" fontId="2" fillId="7" borderId="4" xfId="0" applyFont="1" applyFill="1" applyBorder="1" applyAlignment="1">
      <alignment horizontal="center"/>
    </xf>
    <xf numFmtId="0" fontId="2" fillId="7" borderId="4" xfId="0" applyFont="1" applyFill="1" applyBorder="1"/>
    <xf numFmtId="0" fontId="1" fillId="7" borderId="5" xfId="0" applyFont="1" applyFill="1" applyBorder="1" applyAlignment="1">
      <alignment horizontal="left" vertical="center"/>
    </xf>
    <xf numFmtId="0" fontId="1" fillId="7" borderId="8" xfId="0" applyFont="1" applyFill="1" applyBorder="1"/>
    <xf numFmtId="14" fontId="1" fillId="7" borderId="8" xfId="0" applyNumberFormat="1" applyFont="1" applyFill="1" applyBorder="1"/>
    <xf numFmtId="4" fontId="1" fillId="7" borderId="8" xfId="0" applyNumberFormat="1" applyFont="1" applyFill="1" applyBorder="1"/>
    <xf numFmtId="4" fontId="1" fillId="7" borderId="5" xfId="0" applyNumberFormat="1" applyFont="1" applyFill="1" applyBorder="1"/>
    <xf numFmtId="0" fontId="1" fillId="7" borderId="8" xfId="0" applyNumberFormat="1" applyFont="1" applyFill="1" applyBorder="1" applyAlignment="1">
      <alignment horizontal="center"/>
    </xf>
    <xf numFmtId="4" fontId="1" fillId="7" borderId="7" xfId="0" applyNumberFormat="1" applyFont="1" applyFill="1" applyBorder="1"/>
    <xf numFmtId="14" fontId="1" fillId="7" borderId="5" xfId="0" applyNumberFormat="1" applyFont="1" applyFill="1" applyBorder="1"/>
    <xf numFmtId="43" fontId="1" fillId="7" borderId="8" xfId="0" applyNumberFormat="1" applyFont="1" applyFill="1" applyBorder="1"/>
    <xf numFmtId="4" fontId="1" fillId="3" borderId="14" xfId="0" applyNumberFormat="1" applyFont="1" applyFill="1" applyBorder="1"/>
    <xf numFmtId="0" fontId="6" fillId="0" borderId="0" xfId="0" applyFont="1" applyFill="1"/>
    <xf numFmtId="14" fontId="1" fillId="6" borderId="3" xfId="0" applyNumberFormat="1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top" wrapText="1"/>
    </xf>
    <xf numFmtId="0" fontId="2" fillId="2" borderId="8" xfId="0" applyFont="1" applyFill="1" applyBorder="1" applyAlignment="1">
      <alignment horizontal="center" vertical="top" wrapText="1"/>
    </xf>
    <xf numFmtId="43" fontId="1" fillId="0" borderId="0" xfId="0" applyNumberFormat="1" applyFont="1" applyAlignment="1">
      <alignment horizontal="center" vertical="center"/>
    </xf>
    <xf numFmtId="0" fontId="1" fillId="0" borderId="0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vertical="center" wrapText="1"/>
    </xf>
    <xf numFmtId="9" fontId="1" fillId="0" borderId="15" xfId="1" applyFont="1" applyFill="1" applyBorder="1"/>
    <xf numFmtId="14" fontId="2" fillId="0" borderId="3" xfId="0" applyNumberFormat="1" applyFont="1" applyFill="1" applyBorder="1"/>
    <xf numFmtId="43" fontId="2" fillId="0" borderId="4" xfId="0" applyNumberFormat="1" applyFont="1" applyFill="1" applyBorder="1"/>
    <xf numFmtId="0" fontId="11" fillId="0" borderId="0" xfId="0" applyFont="1" applyFill="1"/>
    <xf numFmtId="0" fontId="1" fillId="0" borderId="5" xfId="0" applyFont="1" applyFill="1" applyBorder="1" applyAlignment="1">
      <alignment vertical="center" wrapText="1"/>
    </xf>
    <xf numFmtId="9" fontId="1" fillId="0" borderId="13" xfId="1" applyFont="1" applyFill="1" applyBorder="1"/>
    <xf numFmtId="0" fontId="1" fillId="0" borderId="7" xfId="0" applyNumberFormat="1" applyFont="1" applyFill="1" applyBorder="1" applyAlignment="1">
      <alignment horizontal="center"/>
    </xf>
    <xf numFmtId="0" fontId="1" fillId="0" borderId="7" xfId="0" applyFont="1" applyFill="1" applyBorder="1"/>
    <xf numFmtId="4" fontId="2" fillId="0" borderId="9" xfId="0" applyNumberFormat="1" applyFont="1" applyFill="1" applyBorder="1"/>
    <xf numFmtId="0" fontId="2" fillId="0" borderId="10" xfId="0" applyFont="1" applyBorder="1" applyAlignment="1">
      <alignment horizontal="center"/>
    </xf>
    <xf numFmtId="4" fontId="2" fillId="0" borderId="10" xfId="0" applyNumberFormat="1" applyFont="1" applyFill="1" applyBorder="1"/>
    <xf numFmtId="0" fontId="2" fillId="0" borderId="10" xfId="0" applyFont="1" applyBorder="1"/>
    <xf numFmtId="4" fontId="2" fillId="0" borderId="11" xfId="0" applyNumberFormat="1" applyFont="1" applyFill="1" applyBorder="1"/>
    <xf numFmtId="14" fontId="1" fillId="8" borderId="6" xfId="0" applyNumberFormat="1" applyFont="1" applyFill="1" applyBorder="1" applyAlignment="1">
      <alignment wrapText="1"/>
    </xf>
    <xf numFmtId="0" fontId="2" fillId="0" borderId="6" xfId="0" applyFont="1" applyFill="1" applyBorder="1" applyAlignment="1">
      <alignment vertical="center"/>
    </xf>
    <xf numFmtId="14" fontId="2" fillId="0" borderId="6" xfId="0" applyNumberFormat="1" applyFont="1" applyFill="1" applyBorder="1" applyAlignment="1">
      <alignment vertical="center"/>
    </xf>
    <xf numFmtId="4" fontId="2" fillId="0" borderId="0" xfId="0" applyNumberFormat="1" applyFont="1" applyFill="1" applyBorder="1" applyAlignment="1">
      <alignment vertical="center"/>
    </xf>
    <xf numFmtId="0" fontId="1" fillId="0" borderId="5" xfId="0" applyNumberFormat="1" applyFont="1" applyFill="1" applyBorder="1" applyAlignment="1">
      <alignment horizontal="center" vertical="center"/>
    </xf>
    <xf numFmtId="10" fontId="1" fillId="0" borderId="6" xfId="1" applyNumberFormat="1" applyFont="1" applyFill="1" applyBorder="1" applyAlignment="1">
      <alignment vertical="center"/>
    </xf>
    <xf numFmtId="4" fontId="1" fillId="0" borderId="0" xfId="0" applyNumberFormat="1" applyFont="1" applyFill="1" applyAlignment="1">
      <alignment vertical="center"/>
    </xf>
    <xf numFmtId="0" fontId="1" fillId="8" borderId="4" xfId="0" applyNumberFormat="1" applyFont="1" applyFill="1" applyBorder="1" applyAlignment="1">
      <alignment horizontal="center"/>
    </xf>
    <xf numFmtId="4" fontId="1" fillId="8" borderId="14" xfId="0" applyNumberFormat="1" applyFont="1" applyFill="1" applyBorder="1"/>
    <xf numFmtId="14" fontId="1" fillId="8" borderId="3" xfId="0" applyNumberFormat="1" applyFont="1" applyFill="1" applyBorder="1"/>
    <xf numFmtId="43" fontId="1" fillId="8" borderId="4" xfId="0" applyNumberFormat="1" applyFont="1" applyFill="1" applyBorder="1"/>
    <xf numFmtId="4" fontId="1" fillId="8" borderId="0" xfId="0" applyNumberFormat="1" applyFont="1" applyFill="1" applyBorder="1" applyAlignment="1">
      <alignment horizontal="right"/>
    </xf>
    <xf numFmtId="14" fontId="2" fillId="7" borderId="1" xfId="0" applyNumberFormat="1" applyFont="1" applyFill="1" applyBorder="1" applyAlignment="1"/>
    <xf numFmtId="14" fontId="2" fillId="7" borderId="1" xfId="0" applyNumberFormat="1" applyFont="1" applyFill="1" applyBorder="1"/>
    <xf numFmtId="14" fontId="1" fillId="8" borderId="0" xfId="0" applyNumberFormat="1" applyFont="1" applyFill="1" applyBorder="1" applyAlignment="1">
      <alignment horizontal="center" vertical="center"/>
    </xf>
    <xf numFmtId="0" fontId="1" fillId="0" borderId="7" xfId="0" applyNumberFormat="1" applyFont="1" applyFill="1" applyBorder="1"/>
    <xf numFmtId="14" fontId="2" fillId="6" borderId="14" xfId="0" applyNumberFormat="1" applyFont="1" applyFill="1" applyBorder="1" applyAlignment="1">
      <alignment vertical="center"/>
    </xf>
    <xf numFmtId="14" fontId="1" fillId="0" borderId="0" xfId="0" applyNumberFormat="1" applyFont="1" applyFill="1" applyBorder="1" applyAlignment="1">
      <alignment vertical="center"/>
    </xf>
    <xf numFmtId="14" fontId="2" fillId="0" borderId="5" xfId="0" applyNumberFormat="1" applyFont="1" applyFill="1" applyBorder="1" applyAlignment="1">
      <alignment vertical="center"/>
    </xf>
    <xf numFmtId="14" fontId="2" fillId="6" borderId="14" xfId="0" applyNumberFormat="1" applyFont="1" applyFill="1" applyBorder="1" applyAlignment="1">
      <alignment horizontal="center" vertical="center"/>
    </xf>
    <xf numFmtId="43" fontId="1" fillId="0" borderId="5" xfId="0" applyNumberFormat="1" applyFont="1" applyFill="1" applyBorder="1" applyAlignment="1">
      <alignment vertical="center"/>
    </xf>
    <xf numFmtId="0" fontId="1" fillId="6" borderId="4" xfId="0" applyFont="1" applyFill="1" applyBorder="1" applyAlignment="1">
      <alignment horizontal="center" vertical="center"/>
    </xf>
    <xf numFmtId="14" fontId="3" fillId="6" borderId="4" xfId="0" applyNumberFormat="1" applyFont="1" applyFill="1" applyBorder="1"/>
    <xf numFmtId="0" fontId="1" fillId="6" borderId="14" xfId="0" applyNumberFormat="1" applyFont="1" applyFill="1" applyBorder="1" applyAlignment="1">
      <alignment horizontal="center" vertical="center"/>
    </xf>
    <xf numFmtId="14" fontId="2" fillId="0" borderId="1" xfId="0" applyNumberFormat="1" applyFont="1" applyFill="1" applyBorder="1" applyAlignment="1">
      <alignment vertical="center"/>
    </xf>
    <xf numFmtId="0" fontId="2" fillId="0" borderId="6" xfId="0" applyNumberFormat="1" applyFont="1" applyFill="1" applyBorder="1" applyAlignment="1">
      <alignment vertical="center"/>
    </xf>
    <xf numFmtId="43" fontId="2" fillId="0" borderId="6" xfId="0" applyNumberFormat="1" applyFont="1" applyFill="1" applyBorder="1" applyAlignment="1">
      <alignment vertical="center"/>
    </xf>
    <xf numFmtId="10" fontId="1" fillId="0" borderId="6" xfId="0" applyNumberFormat="1" applyFont="1" applyFill="1" applyBorder="1" applyAlignment="1">
      <alignment vertical="center"/>
    </xf>
    <xf numFmtId="14" fontId="4" fillId="0" borderId="6" xfId="0" applyNumberFormat="1" applyFont="1" applyFill="1" applyBorder="1" applyAlignment="1">
      <alignment vertical="center"/>
    </xf>
    <xf numFmtId="0" fontId="2" fillId="0" borderId="1" xfId="0" applyFont="1" applyFill="1" applyBorder="1" applyAlignment="1">
      <alignment vertical="center" wrapText="1"/>
    </xf>
    <xf numFmtId="14" fontId="2" fillId="0" borderId="0" xfId="0" applyNumberFormat="1" applyFont="1" applyFill="1" applyBorder="1" applyAlignment="1">
      <alignment vertical="center"/>
    </xf>
    <xf numFmtId="0" fontId="2" fillId="0" borderId="4" xfId="0" applyNumberFormat="1" applyFont="1" applyFill="1" applyBorder="1" applyAlignment="1">
      <alignment horizontal="center"/>
    </xf>
    <xf numFmtId="0" fontId="2" fillId="0" borderId="4" xfId="0" applyNumberFormat="1" applyFont="1" applyFill="1" applyBorder="1"/>
    <xf numFmtId="14" fontId="2" fillId="8" borderId="4" xfId="0" applyNumberFormat="1" applyFont="1" applyFill="1" applyBorder="1" applyAlignment="1">
      <alignment horizontal="center"/>
    </xf>
    <xf numFmtId="14" fontId="4" fillId="8" borderId="8" xfId="0" applyNumberFormat="1" applyFont="1" applyFill="1" applyBorder="1" applyAlignment="1">
      <alignment horizontal="center"/>
    </xf>
    <xf numFmtId="14" fontId="2" fillId="8" borderId="6" xfId="0" applyNumberFormat="1" applyFont="1" applyFill="1" applyBorder="1" applyAlignment="1">
      <alignment horizontal="center"/>
    </xf>
    <xf numFmtId="14" fontId="2" fillId="8" borderId="3" xfId="0" applyNumberFormat="1" applyFont="1" applyFill="1" applyBorder="1" applyAlignment="1">
      <alignment horizontal="center" vertical="center"/>
    </xf>
    <xf numFmtId="4" fontId="2" fillId="8" borderId="3" xfId="1" applyNumberFormat="1" applyFont="1" applyFill="1" applyBorder="1"/>
    <xf numFmtId="0" fontId="1" fillId="8" borderId="4" xfId="0" applyNumberFormat="1" applyFont="1" applyFill="1" applyBorder="1"/>
    <xf numFmtId="14" fontId="2" fillId="8" borderId="1" xfId="0" applyNumberFormat="1" applyFont="1" applyFill="1" applyBorder="1" applyAlignment="1">
      <alignment horizontal="center" vertical="center"/>
    </xf>
    <xf numFmtId="14" fontId="4" fillId="8" borderId="4" xfId="0" applyNumberFormat="1" applyFont="1" applyFill="1" applyBorder="1" applyAlignment="1">
      <alignment horizontal="center"/>
    </xf>
    <xf numFmtId="4" fontId="2" fillId="7" borderId="1" xfId="0" applyNumberFormat="1" applyFont="1" applyFill="1" applyBorder="1" applyAlignment="1">
      <alignment horizontal="center"/>
    </xf>
    <xf numFmtId="4" fontId="1" fillId="3" borderId="0" xfId="0" applyNumberFormat="1" applyFont="1" applyFill="1"/>
    <xf numFmtId="0" fontId="1" fillId="0" borderId="0" xfId="0" applyFont="1" applyAlignment="1">
      <alignment horizontal="right"/>
    </xf>
    <xf numFmtId="0" fontId="2" fillId="9" borderId="17" xfId="0" applyFont="1" applyFill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18" xfId="0" applyFont="1" applyBorder="1"/>
    <xf numFmtId="0" fontId="2" fillId="10" borderId="19" xfId="0" applyFont="1" applyFill="1" applyBorder="1" applyAlignment="1">
      <alignment horizontal="center"/>
    </xf>
    <xf numFmtId="164" fontId="14" fillId="0" borderId="20" xfId="0" applyNumberFormat="1" applyFont="1" applyBorder="1"/>
    <xf numFmtId="164" fontId="14" fillId="0" borderId="21" xfId="0" applyNumberFormat="1" applyFont="1" applyBorder="1"/>
    <xf numFmtId="0" fontId="1" fillId="0" borderId="23" xfId="0" applyFont="1" applyBorder="1" applyAlignment="1">
      <alignment horizontal="center"/>
    </xf>
    <xf numFmtId="0" fontId="1" fillId="0" borderId="23" xfId="0" applyFont="1" applyBorder="1"/>
    <xf numFmtId="0" fontId="2" fillId="9" borderId="25" xfId="0" applyFont="1" applyFill="1" applyBorder="1" applyAlignment="1">
      <alignment horizontal="center"/>
    </xf>
    <xf numFmtId="164" fontId="14" fillId="0" borderId="26" xfId="0" applyNumberFormat="1" applyFont="1" applyBorder="1"/>
    <xf numFmtId="164" fontId="14" fillId="0" borderId="27" xfId="0" applyNumberFormat="1" applyFont="1" applyBorder="1"/>
    <xf numFmtId="164" fontId="15" fillId="0" borderId="28" xfId="0" applyNumberFormat="1" applyFont="1" applyBorder="1"/>
    <xf numFmtId="0" fontId="2" fillId="10" borderId="25" xfId="0" applyFont="1" applyFill="1" applyBorder="1" applyAlignment="1">
      <alignment horizontal="center"/>
    </xf>
    <xf numFmtId="0" fontId="14" fillId="0" borderId="26" xfId="0" applyNumberFormat="1" applyFont="1" applyBorder="1"/>
    <xf numFmtId="0" fontId="14" fillId="0" borderId="26" xfId="0" applyFont="1" applyBorder="1"/>
    <xf numFmtId="0" fontId="14" fillId="0" borderId="25" xfId="0" applyNumberFormat="1" applyFont="1" applyBorder="1"/>
    <xf numFmtId="0" fontId="14" fillId="0" borderId="29" xfId="0" applyFont="1" applyBorder="1"/>
    <xf numFmtId="0" fontId="1" fillId="0" borderId="16" xfId="0" applyFont="1" applyBorder="1" applyAlignment="1">
      <alignment horizontal="center"/>
    </xf>
    <xf numFmtId="0" fontId="1" fillId="0" borderId="16" xfId="0" applyFont="1" applyBorder="1"/>
    <xf numFmtId="164" fontId="14" fillId="0" borderId="30" xfId="0" applyNumberFormat="1" applyFont="1" applyBorder="1"/>
    <xf numFmtId="10" fontId="1" fillId="0" borderId="8" xfId="1" applyNumberFormat="1" applyFont="1" applyFill="1" applyBorder="1"/>
    <xf numFmtId="43" fontId="1" fillId="3" borderId="8" xfId="0" applyNumberFormat="1" applyFont="1" applyFill="1" applyBorder="1"/>
    <xf numFmtId="14" fontId="1" fillId="0" borderId="7" xfId="0" applyNumberFormat="1" applyFont="1" applyFill="1" applyBorder="1" applyAlignment="1">
      <alignment vertical="center"/>
    </xf>
    <xf numFmtId="14" fontId="4" fillId="0" borderId="8" xfId="0" applyNumberFormat="1" applyFont="1" applyFill="1" applyBorder="1" applyAlignment="1">
      <alignment vertical="center"/>
    </xf>
    <xf numFmtId="10" fontId="1" fillId="0" borderId="8" xfId="0" applyNumberFormat="1" applyFont="1" applyFill="1" applyBorder="1" applyAlignment="1">
      <alignment vertical="center"/>
    </xf>
    <xf numFmtId="0" fontId="4" fillId="0" borderId="0" xfId="0" applyFont="1"/>
    <xf numFmtId="164" fontId="15" fillId="9" borderId="22" xfId="0" applyNumberFormat="1" applyFont="1" applyFill="1" applyBorder="1"/>
    <xf numFmtId="164" fontId="15" fillId="9" borderId="24" xfId="0" applyNumberFormat="1" applyFont="1" applyFill="1" applyBorder="1"/>
    <xf numFmtId="0" fontId="1" fillId="0" borderId="25" xfId="0" applyFont="1" applyBorder="1"/>
    <xf numFmtId="0" fontId="1" fillId="0" borderId="26" xfId="0" applyFont="1" applyBorder="1"/>
    <xf numFmtId="4" fontId="1" fillId="0" borderId="26" xfId="0" applyNumberFormat="1" applyFont="1" applyBorder="1"/>
    <xf numFmtId="4" fontId="2" fillId="0" borderId="28" xfId="0" applyNumberFormat="1" applyFont="1" applyBorder="1"/>
    <xf numFmtId="0" fontId="1" fillId="0" borderId="29" xfId="0" applyFont="1" applyBorder="1"/>
    <xf numFmtId="4" fontId="1" fillId="0" borderId="27" xfId="0" applyNumberFormat="1" applyFont="1" applyBorder="1"/>
    <xf numFmtId="4" fontId="1" fillId="0" borderId="30" xfId="0" applyNumberFormat="1" applyFont="1" applyBorder="1"/>
    <xf numFmtId="0" fontId="2" fillId="6" borderId="3" xfId="0" applyFont="1" applyFill="1" applyBorder="1" applyAlignment="1">
      <alignment vertical="center" wrapText="1"/>
    </xf>
    <xf numFmtId="4" fontId="2" fillId="6" borderId="12" xfId="1" applyNumberFormat="1" applyFont="1" applyFill="1" applyBorder="1"/>
    <xf numFmtId="0" fontId="2" fillId="6" borderId="14" xfId="0" applyNumberFormat="1" applyFont="1" applyFill="1" applyBorder="1" applyAlignment="1">
      <alignment horizontal="center"/>
    </xf>
    <xf numFmtId="0" fontId="2" fillId="6" borderId="14" xfId="0" applyFont="1" applyFill="1" applyBorder="1"/>
    <xf numFmtId="0" fontId="2" fillId="6" borderId="1" xfId="0" applyFont="1" applyFill="1" applyBorder="1" applyAlignment="1">
      <alignment vertical="center" wrapText="1"/>
    </xf>
    <xf numFmtId="14" fontId="1" fillId="6" borderId="1" xfId="0" applyNumberFormat="1" applyFont="1" applyFill="1" applyBorder="1"/>
    <xf numFmtId="4" fontId="2" fillId="6" borderId="15" xfId="1" applyNumberFormat="1" applyFont="1" applyFill="1" applyBorder="1"/>
    <xf numFmtId="0" fontId="1" fillId="6" borderId="0" xfId="0" applyNumberFormat="1" applyFont="1" applyFill="1" applyBorder="1" applyAlignment="1">
      <alignment horizontal="center"/>
    </xf>
    <xf numFmtId="0" fontId="1" fillId="6" borderId="0" xfId="0" applyFont="1" applyFill="1" applyBorder="1"/>
    <xf numFmtId="0" fontId="2" fillId="6" borderId="0" xfId="0" applyNumberFormat="1" applyFont="1" applyFill="1" applyBorder="1" applyAlignment="1">
      <alignment horizontal="center"/>
    </xf>
    <xf numFmtId="0" fontId="2" fillId="6" borderId="0" xfId="0" applyFont="1" applyFill="1" applyBorder="1"/>
    <xf numFmtId="4" fontId="2" fillId="9" borderId="0" xfId="0" applyNumberFormat="1" applyFont="1" applyFill="1" applyAlignment="1">
      <alignment horizontal="center"/>
    </xf>
    <xf numFmtId="167" fontId="1" fillId="0" borderId="0" xfId="0" applyNumberFormat="1" applyFont="1"/>
    <xf numFmtId="167" fontId="2" fillId="2" borderId="11" xfId="0" applyNumberFormat="1" applyFont="1" applyFill="1" applyBorder="1" applyAlignment="1">
      <alignment horizontal="center" vertical="top"/>
    </xf>
    <xf numFmtId="167" fontId="1" fillId="0" borderId="6" xfId="0" applyNumberFormat="1" applyFont="1" applyFill="1" applyBorder="1"/>
    <xf numFmtId="167" fontId="1" fillId="6" borderId="4" xfId="0" applyNumberFormat="1" applyFont="1" applyFill="1" applyBorder="1"/>
    <xf numFmtId="167" fontId="1" fillId="12" borderId="6" xfId="0" applyNumberFormat="1" applyFont="1" applyFill="1" applyBorder="1"/>
    <xf numFmtId="167" fontId="2" fillId="0" borderId="2" xfId="0" applyNumberFormat="1" applyFont="1" applyBorder="1"/>
    <xf numFmtId="167" fontId="1" fillId="0" borderId="14" xfId="0" applyNumberFormat="1" applyFont="1" applyBorder="1"/>
    <xf numFmtId="167" fontId="7" fillId="0" borderId="0" xfId="0" applyNumberFormat="1" applyFont="1"/>
    <xf numFmtId="0" fontId="2" fillId="4" borderId="2" xfId="0" applyFont="1" applyFill="1" applyBorder="1" applyAlignment="1">
      <alignment horizontal="left" vertical="center"/>
    </xf>
    <xf numFmtId="4" fontId="2" fillId="4" borderId="2" xfId="0" applyNumberFormat="1" applyFont="1" applyFill="1" applyBorder="1"/>
    <xf numFmtId="0" fontId="1" fillId="0" borderId="4" xfId="0" applyFont="1" applyBorder="1" applyAlignment="1">
      <alignment horizontal="center"/>
    </xf>
    <xf numFmtId="0" fontId="2" fillId="8" borderId="2" xfId="0" applyFont="1" applyFill="1" applyBorder="1" applyAlignment="1">
      <alignment horizontal="left" vertical="center"/>
    </xf>
    <xf numFmtId="167" fontId="1" fillId="8" borderId="2" xfId="0" applyNumberFormat="1" applyFont="1" applyFill="1" applyBorder="1" applyAlignment="1">
      <alignment horizontal="center" vertical="center"/>
    </xf>
    <xf numFmtId="43" fontId="1" fillId="8" borderId="2" xfId="0" applyNumberFormat="1" applyFont="1" applyFill="1" applyBorder="1"/>
    <xf numFmtId="43" fontId="2" fillId="8" borderId="2" xfId="0" applyNumberFormat="1" applyFont="1" applyFill="1" applyBorder="1"/>
    <xf numFmtId="0" fontId="1" fillId="8" borderId="2" xfId="0" applyFont="1" applyFill="1" applyBorder="1" applyAlignment="1">
      <alignment horizontal="center" vertical="center"/>
    </xf>
    <xf numFmtId="14" fontId="1" fillId="8" borderId="2" xfId="0" applyNumberFormat="1" applyFont="1" applyFill="1" applyBorder="1" applyAlignment="1">
      <alignment horizontal="center" vertical="center"/>
    </xf>
    <xf numFmtId="14" fontId="1" fillId="8" borderId="2" xfId="0" applyNumberFormat="1" applyFont="1" applyFill="1" applyBorder="1" applyAlignment="1">
      <alignment horizontal="center" vertical="center" wrapText="1"/>
    </xf>
    <xf numFmtId="4" fontId="1" fillId="8" borderId="2" xfId="0" applyNumberFormat="1" applyFont="1" applyFill="1" applyBorder="1" applyAlignment="1">
      <alignment horizontal="right" vertical="center"/>
    </xf>
    <xf numFmtId="0" fontId="1" fillId="8" borderId="2" xfId="0" applyNumberFormat="1" applyFont="1" applyFill="1" applyBorder="1" applyAlignment="1">
      <alignment horizontal="center" vertical="center"/>
    </xf>
    <xf numFmtId="4" fontId="1" fillId="8" borderId="2" xfId="0" applyNumberFormat="1" applyFont="1" applyFill="1" applyBorder="1" applyAlignment="1">
      <alignment horizontal="center" vertical="center"/>
    </xf>
    <xf numFmtId="43" fontId="1" fillId="8" borderId="2" xfId="0" applyNumberFormat="1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center" vertical="center"/>
    </xf>
    <xf numFmtId="14" fontId="1" fillId="0" borderId="2" xfId="0" applyNumberFormat="1" applyFont="1" applyFill="1" applyBorder="1" applyAlignment="1">
      <alignment horizontal="center" vertical="center"/>
    </xf>
    <xf numFmtId="14" fontId="1" fillId="0" borderId="2" xfId="0" applyNumberFormat="1" applyFont="1" applyFill="1" applyBorder="1" applyAlignment="1">
      <alignment horizontal="center" vertical="center" wrapText="1"/>
    </xf>
    <xf numFmtId="4" fontId="2" fillId="6" borderId="2" xfId="0" applyNumberFormat="1" applyFont="1" applyFill="1" applyBorder="1"/>
    <xf numFmtId="4" fontId="1" fillId="0" borderId="2" xfId="0" applyNumberFormat="1" applyFont="1" applyFill="1" applyBorder="1" applyAlignment="1">
      <alignment horizontal="right" vertical="center"/>
    </xf>
    <xf numFmtId="0" fontId="1" fillId="0" borderId="2" xfId="0" applyNumberFormat="1" applyFont="1" applyFill="1" applyBorder="1" applyAlignment="1">
      <alignment horizontal="center" vertical="center"/>
    </xf>
    <xf numFmtId="167" fontId="1" fillId="0" borderId="2" xfId="0" applyNumberFormat="1" applyFont="1" applyFill="1" applyBorder="1" applyAlignment="1">
      <alignment horizontal="center" vertical="center"/>
    </xf>
    <xf numFmtId="4" fontId="1" fillId="3" borderId="2" xfId="0" applyNumberFormat="1" applyFont="1" applyFill="1" applyBorder="1" applyAlignment="1">
      <alignment horizontal="center" vertical="center"/>
    </xf>
    <xf numFmtId="43" fontId="1" fillId="0" borderId="2" xfId="0" applyNumberFormat="1" applyFont="1" applyFill="1" applyBorder="1"/>
    <xf numFmtId="43" fontId="1" fillId="0" borderId="2" xfId="0" applyNumberFormat="1" applyFont="1" applyFill="1" applyBorder="1" applyAlignment="1">
      <alignment horizontal="center" vertical="center"/>
    </xf>
    <xf numFmtId="14" fontId="3" fillId="0" borderId="2" xfId="0" applyNumberFormat="1" applyFont="1" applyFill="1" applyBorder="1"/>
    <xf numFmtId="4" fontId="1" fillId="0" borderId="2" xfId="0" applyNumberFormat="1" applyFont="1" applyFill="1" applyBorder="1"/>
    <xf numFmtId="0" fontId="1" fillId="0" borderId="2" xfId="0" applyNumberFormat="1" applyFont="1" applyFill="1" applyBorder="1" applyAlignment="1">
      <alignment horizontal="center"/>
    </xf>
    <xf numFmtId="167" fontId="1" fillId="0" borderId="2" xfId="0" applyNumberFormat="1" applyFont="1" applyFill="1" applyBorder="1"/>
    <xf numFmtId="14" fontId="1" fillId="0" borderId="2" xfId="0" applyNumberFormat="1" applyFont="1" applyFill="1" applyBorder="1"/>
    <xf numFmtId="14" fontId="3" fillId="8" borderId="2" xfId="0" applyNumberFormat="1" applyFont="1" applyFill="1" applyBorder="1"/>
    <xf numFmtId="4" fontId="1" fillId="8" borderId="2" xfId="0" applyNumberFormat="1" applyFont="1" applyFill="1" applyBorder="1"/>
    <xf numFmtId="0" fontId="1" fillId="8" borderId="2" xfId="0" applyNumberFormat="1" applyFont="1" applyFill="1" applyBorder="1" applyAlignment="1">
      <alignment horizontal="center"/>
    </xf>
    <xf numFmtId="167" fontId="1" fillId="8" borderId="2" xfId="0" applyNumberFormat="1" applyFont="1" applyFill="1" applyBorder="1"/>
    <xf numFmtId="14" fontId="1" fillId="8" borderId="2" xfId="0" applyNumberFormat="1" applyFont="1" applyFill="1" applyBorder="1"/>
    <xf numFmtId="14" fontId="2" fillId="8" borderId="2" xfId="0" applyNumberFormat="1" applyFont="1" applyFill="1" applyBorder="1"/>
    <xf numFmtId="14" fontId="2" fillId="0" borderId="2" xfId="0" applyNumberFormat="1" applyFont="1" applyFill="1" applyBorder="1"/>
    <xf numFmtId="4" fontId="1" fillId="3" borderId="2" xfId="0" applyNumberFormat="1" applyFont="1" applyFill="1" applyBorder="1"/>
    <xf numFmtId="4" fontId="2" fillId="8" borderId="2" xfId="1" applyNumberFormat="1" applyFont="1" applyFill="1" applyBorder="1"/>
    <xf numFmtId="4" fontId="2" fillId="6" borderId="2" xfId="1" applyNumberFormat="1" applyFont="1" applyFill="1" applyBorder="1"/>
    <xf numFmtId="4" fontId="2" fillId="4" borderId="2" xfId="1" applyNumberFormat="1" applyFont="1" applyFill="1" applyBorder="1"/>
    <xf numFmtId="0" fontId="1" fillId="12" borderId="15" xfId="0" applyNumberFormat="1" applyFont="1" applyFill="1" applyBorder="1" applyAlignment="1">
      <alignment horizontal="center" vertical="center"/>
    </xf>
    <xf numFmtId="43" fontId="1" fillId="12" borderId="1" xfId="0" applyNumberFormat="1" applyFont="1" applyFill="1" applyBorder="1"/>
    <xf numFmtId="43" fontId="1" fillId="12" borderId="6" xfId="0" applyNumberFormat="1" applyFont="1" applyFill="1" applyBorder="1"/>
    <xf numFmtId="4" fontId="1" fillId="5" borderId="2" xfId="0" applyNumberFormat="1" applyFont="1" applyFill="1" applyBorder="1"/>
    <xf numFmtId="4" fontId="1" fillId="0" borderId="2" xfId="0" applyNumberFormat="1" applyFont="1" applyFill="1" applyBorder="1" applyAlignment="1">
      <alignment horizontal="center"/>
    </xf>
    <xf numFmtId="14" fontId="4" fillId="0" borderId="1" xfId="0" applyNumberFormat="1" applyFont="1" applyFill="1" applyBorder="1" applyAlignment="1">
      <alignment vertical="center"/>
    </xf>
    <xf numFmtId="14" fontId="1" fillId="8" borderId="1" xfId="0" applyNumberFormat="1" applyFont="1" applyFill="1" applyBorder="1" applyAlignment="1">
      <alignment horizontal="center" vertical="center"/>
    </xf>
    <xf numFmtId="14" fontId="2" fillId="7" borderId="3" xfId="0" applyNumberFormat="1" applyFont="1" applyFill="1" applyBorder="1" applyAlignment="1">
      <alignment horizontal="center"/>
    </xf>
    <xf numFmtId="14" fontId="2" fillId="7" borderId="1" xfId="0" applyNumberFormat="1" applyFont="1" applyFill="1" applyBorder="1" applyAlignment="1">
      <alignment horizontal="center"/>
    </xf>
    <xf numFmtId="0" fontId="2" fillId="7" borderId="1" xfId="0" applyFont="1" applyFill="1" applyBorder="1" applyAlignment="1">
      <alignment horizontal="center"/>
    </xf>
    <xf numFmtId="0" fontId="2" fillId="6" borderId="11" xfId="0" applyFont="1" applyFill="1" applyBorder="1"/>
    <xf numFmtId="14" fontId="2" fillId="6" borderId="11" xfId="0" applyNumberFormat="1" applyFont="1" applyFill="1" applyBorder="1"/>
    <xf numFmtId="14" fontId="2" fillId="6" borderId="11" xfId="0" applyNumberFormat="1" applyFont="1" applyFill="1" applyBorder="1" applyAlignment="1">
      <alignment horizontal="center" vertical="center"/>
    </xf>
    <xf numFmtId="4" fontId="2" fillId="6" borderId="11" xfId="0" applyNumberFormat="1" applyFont="1" applyFill="1" applyBorder="1"/>
    <xf numFmtId="0" fontId="2" fillId="6" borderId="11" xfId="0" applyNumberFormat="1" applyFont="1" applyFill="1" applyBorder="1" applyAlignment="1">
      <alignment horizontal="center"/>
    </xf>
    <xf numFmtId="4" fontId="2" fillId="6" borderId="10" xfId="0" applyNumberFormat="1" applyFont="1" applyFill="1" applyBorder="1"/>
    <xf numFmtId="14" fontId="2" fillId="6" borderId="2" xfId="0" applyNumberFormat="1" applyFont="1" applyFill="1" applyBorder="1"/>
    <xf numFmtId="0" fontId="2" fillId="6" borderId="11" xfId="0" applyNumberFormat="1" applyFont="1" applyFill="1" applyBorder="1"/>
    <xf numFmtId="43" fontId="2" fillId="6" borderId="2" xfId="0" applyNumberFormat="1" applyFont="1" applyFill="1" applyBorder="1"/>
    <xf numFmtId="43" fontId="2" fillId="6" borderId="11" xfId="0" applyNumberFormat="1" applyFont="1" applyFill="1" applyBorder="1"/>
    <xf numFmtId="4" fontId="1" fillId="0" borderId="0" xfId="0" applyNumberFormat="1" applyFont="1" applyAlignment="1">
      <alignment horizontal="left" vertical="top"/>
    </xf>
    <xf numFmtId="0" fontId="1" fillId="12" borderId="2" xfId="0" applyFont="1" applyFill="1" applyBorder="1" applyAlignment="1">
      <alignment horizontal="center" vertical="center"/>
    </xf>
    <xf numFmtId="14" fontId="1" fillId="12" borderId="2" xfId="0" applyNumberFormat="1" applyFont="1" applyFill="1" applyBorder="1"/>
    <xf numFmtId="14" fontId="3" fillId="12" borderId="2" xfId="0" applyNumberFormat="1" applyFont="1" applyFill="1" applyBorder="1"/>
    <xf numFmtId="4" fontId="2" fillId="12" borderId="2" xfId="1" applyNumberFormat="1" applyFont="1" applyFill="1" applyBorder="1"/>
    <xf numFmtId="4" fontId="1" fillId="12" borderId="2" xfId="0" applyNumberFormat="1" applyFont="1" applyFill="1" applyBorder="1"/>
    <xf numFmtId="0" fontId="1" fillId="12" borderId="2" xfId="0" applyNumberFormat="1" applyFont="1" applyFill="1" applyBorder="1" applyAlignment="1">
      <alignment horizontal="center"/>
    </xf>
    <xf numFmtId="167" fontId="1" fillId="12" borderId="2" xfId="0" applyNumberFormat="1" applyFont="1" applyFill="1" applyBorder="1"/>
    <xf numFmtId="0" fontId="1" fillId="12" borderId="2" xfId="0" applyNumberFormat="1" applyFont="1" applyFill="1" applyBorder="1" applyAlignment="1">
      <alignment horizontal="center" vertical="center"/>
    </xf>
    <xf numFmtId="43" fontId="1" fillId="12" borderId="2" xfId="0" applyNumberFormat="1" applyFont="1" applyFill="1" applyBorder="1"/>
    <xf numFmtId="0" fontId="25" fillId="12" borderId="2" xfId="0" applyFont="1" applyFill="1" applyBorder="1" applyAlignment="1">
      <alignment horizontal="left" vertical="center"/>
    </xf>
    <xf numFmtId="14" fontId="3" fillId="0" borderId="5" xfId="0" applyNumberFormat="1" applyFont="1" applyFill="1" applyBorder="1"/>
    <xf numFmtId="4" fontId="1" fillId="8" borderId="2" xfId="0" applyNumberFormat="1" applyFont="1" applyFill="1" applyBorder="1" applyAlignment="1">
      <alignment horizontal="center"/>
    </xf>
    <xf numFmtId="14" fontId="1" fillId="8" borderId="2" xfId="0" applyNumberFormat="1" applyFont="1" applyFill="1" applyBorder="1" applyAlignment="1">
      <alignment horizontal="center"/>
    </xf>
    <xf numFmtId="4" fontId="2" fillId="8" borderId="4" xfId="1" applyNumberFormat="1" applyFont="1" applyFill="1" applyBorder="1"/>
    <xf numFmtId="4" fontId="1" fillId="8" borderId="4" xfId="0" applyNumberFormat="1" applyFont="1" applyFill="1" applyBorder="1"/>
    <xf numFmtId="167" fontId="1" fillId="8" borderId="4" xfId="0" applyNumberFormat="1" applyFont="1" applyFill="1" applyBorder="1"/>
    <xf numFmtId="0" fontId="1" fillId="8" borderId="14" xfId="0" applyNumberFormat="1" applyFont="1" applyFill="1" applyBorder="1" applyAlignment="1">
      <alignment horizontal="center" vertical="center"/>
    </xf>
    <xf numFmtId="4" fontId="1" fillId="3" borderId="1" xfId="0" applyNumberFormat="1" applyFont="1" applyFill="1" applyBorder="1" applyAlignment="1">
      <alignment vertical="center"/>
    </xf>
    <xf numFmtId="4" fontId="1" fillId="3" borderId="5" xfId="0" applyNumberFormat="1" applyFont="1" applyFill="1" applyBorder="1" applyAlignment="1">
      <alignment vertical="center"/>
    </xf>
    <xf numFmtId="43" fontId="1" fillId="0" borderId="15" xfId="0" applyNumberFormat="1" applyFont="1" applyFill="1" applyBorder="1"/>
    <xf numFmtId="43" fontId="1" fillId="6" borderId="12" xfId="0" applyNumberFormat="1" applyFont="1" applyFill="1" applyBorder="1"/>
    <xf numFmtId="43" fontId="1" fillId="0" borderId="13" xfId="0" applyNumberFormat="1" applyFont="1" applyFill="1" applyBorder="1"/>
    <xf numFmtId="10" fontId="1" fillId="0" borderId="5" xfId="1" applyNumberFormat="1" applyFont="1" applyFill="1" applyBorder="1"/>
    <xf numFmtId="4" fontId="2" fillId="3" borderId="0" xfId="0" applyNumberFormat="1" applyFont="1" applyFill="1" applyBorder="1"/>
    <xf numFmtId="0" fontId="1" fillId="6" borderId="2" xfId="0" applyFont="1" applyFill="1" applyBorder="1" applyAlignment="1">
      <alignment horizontal="left" vertical="center"/>
    </xf>
    <xf numFmtId="4" fontId="1" fillId="0" borderId="0" xfId="0" applyNumberFormat="1" applyFont="1" applyAlignment="1">
      <alignment horizontal="left"/>
    </xf>
    <xf numFmtId="4" fontId="1" fillId="0" borderId="0" xfId="0" applyNumberFormat="1" applyFont="1" applyAlignment="1">
      <alignment horizontal="left" vertical="top" wrapText="1"/>
    </xf>
    <xf numFmtId="4" fontId="1" fillId="0" borderId="0" xfId="0" applyNumberFormat="1" applyFont="1" applyFill="1" applyAlignment="1">
      <alignment horizontal="left" vertical="top"/>
    </xf>
    <xf numFmtId="0" fontId="1" fillId="0" borderId="4" xfId="0" applyFont="1" applyFill="1" applyBorder="1" applyAlignment="1">
      <alignment horizontal="center" vertical="center"/>
    </xf>
    <xf numFmtId="167" fontId="1" fillId="0" borderId="4" xfId="0" applyNumberFormat="1" applyFont="1" applyFill="1" applyBorder="1"/>
    <xf numFmtId="0" fontId="1" fillId="0" borderId="14" xfId="0" applyNumberFormat="1" applyFont="1" applyFill="1" applyBorder="1" applyAlignment="1">
      <alignment horizontal="center" vertical="center"/>
    </xf>
    <xf numFmtId="43" fontId="1" fillId="0" borderId="3" xfId="0" applyNumberFormat="1" applyFont="1" applyFill="1" applyBorder="1"/>
    <xf numFmtId="0" fontId="1" fillId="0" borderId="2" xfId="0" applyFont="1" applyFill="1" applyBorder="1" applyAlignment="1">
      <alignment horizontal="left" vertical="center"/>
    </xf>
    <xf numFmtId="0" fontId="1" fillId="0" borderId="2" xfId="0" applyFont="1" applyBorder="1" applyAlignment="1"/>
    <xf numFmtId="4" fontId="1" fillId="3" borderId="2" xfId="0" applyNumberFormat="1" applyFont="1" applyFill="1" applyBorder="1" applyAlignment="1">
      <alignment horizontal="left"/>
    </xf>
    <xf numFmtId="4" fontId="2" fillId="4" borderId="2" xfId="1" applyNumberFormat="1" applyFont="1" applyFill="1" applyBorder="1" applyAlignment="1">
      <alignment horizontal="right"/>
    </xf>
    <xf numFmtId="14" fontId="4" fillId="3" borderId="6" xfId="0" applyNumberFormat="1" applyFont="1" applyFill="1" applyBorder="1"/>
    <xf numFmtId="0" fontId="2" fillId="0" borderId="1" xfId="0" applyFont="1" applyFill="1" applyBorder="1" applyAlignment="1"/>
    <xf numFmtId="0" fontId="2" fillId="0" borderId="0" xfId="0" applyFont="1" applyFill="1" applyBorder="1" applyAlignment="1"/>
    <xf numFmtId="14" fontId="2" fillId="0" borderId="1" xfId="0" applyNumberFormat="1" applyFont="1" applyFill="1" applyBorder="1" applyAlignment="1"/>
    <xf numFmtId="14" fontId="2" fillId="0" borderId="1" xfId="0" applyNumberFormat="1" applyFont="1" applyFill="1" applyBorder="1" applyAlignment="1">
      <alignment horizontal="center"/>
    </xf>
    <xf numFmtId="4" fontId="2" fillId="0" borderId="1" xfId="0" applyNumberFormat="1" applyFont="1" applyFill="1" applyBorder="1" applyAlignment="1">
      <alignment horizontal="center"/>
    </xf>
    <xf numFmtId="0" fontId="2" fillId="0" borderId="15" xfId="0" applyFont="1" applyFill="1" applyBorder="1" applyAlignment="1">
      <alignment horizontal="center"/>
    </xf>
    <xf numFmtId="0" fontId="2" fillId="0" borderId="5" xfId="0" applyFont="1" applyFill="1" applyBorder="1" applyAlignment="1"/>
    <xf numFmtId="0" fontId="2" fillId="0" borderId="7" xfId="0" applyFont="1" applyFill="1" applyBorder="1" applyAlignment="1"/>
    <xf numFmtId="0" fontId="2" fillId="0" borderId="13" xfId="0" applyFont="1" applyFill="1" applyBorder="1" applyAlignment="1">
      <alignment horizontal="center"/>
    </xf>
    <xf numFmtId="0" fontId="2" fillId="0" borderId="5" xfId="0" applyFont="1" applyFill="1" applyBorder="1"/>
    <xf numFmtId="0" fontId="2" fillId="0" borderId="7" xfId="0" applyFont="1" applyFill="1" applyBorder="1"/>
    <xf numFmtId="9" fontId="1" fillId="0" borderId="1" xfId="1" applyNumberFormat="1" applyFont="1" applyFill="1" applyBorder="1"/>
    <xf numFmtId="9" fontId="1" fillId="0" borderId="5" xfId="1" applyNumberFormat="1" applyFont="1" applyFill="1" applyBorder="1"/>
    <xf numFmtId="4" fontId="1" fillId="0" borderId="8" xfId="0" applyNumberFormat="1" applyFont="1" applyBorder="1"/>
    <xf numFmtId="164" fontId="15" fillId="9" borderId="28" xfId="0" applyNumberFormat="1" applyFont="1" applyFill="1" applyBorder="1"/>
    <xf numFmtId="164" fontId="16" fillId="0" borderId="0" xfId="0" applyNumberFormat="1" applyFont="1" applyFill="1"/>
    <xf numFmtId="0" fontId="1" fillId="0" borderId="31" xfId="0" applyFont="1" applyBorder="1"/>
    <xf numFmtId="164" fontId="14" fillId="0" borderId="32" xfId="0" applyNumberFormat="1" applyFont="1" applyBorder="1"/>
    <xf numFmtId="164" fontId="14" fillId="0" borderId="33" xfId="0" applyNumberFormat="1" applyFont="1" applyBorder="1"/>
    <xf numFmtId="0" fontId="1" fillId="0" borderId="17" xfId="0" applyFont="1" applyBorder="1" applyAlignment="1">
      <alignment horizontal="center"/>
    </xf>
    <xf numFmtId="0" fontId="1" fillId="0" borderId="19" xfId="0" applyFont="1" applyBorder="1"/>
    <xf numFmtId="0" fontId="1" fillId="0" borderId="20" xfId="0" applyFont="1" applyBorder="1" applyAlignment="1">
      <alignment horizontal="center"/>
    </xf>
    <xf numFmtId="0" fontId="1" fillId="0" borderId="21" xfId="0" applyFont="1" applyBorder="1"/>
    <xf numFmtId="0" fontId="1" fillId="0" borderId="32" xfId="0" applyFont="1" applyBorder="1" applyAlignment="1">
      <alignment horizontal="center"/>
    </xf>
    <xf numFmtId="0" fontId="1" fillId="0" borderId="34" xfId="0" applyFont="1" applyBorder="1"/>
    <xf numFmtId="0" fontId="1" fillId="0" borderId="22" xfId="0" applyFont="1" applyBorder="1" applyAlignment="1">
      <alignment horizontal="center"/>
    </xf>
    <xf numFmtId="0" fontId="1" fillId="0" borderId="24" xfId="0" applyFont="1" applyBorder="1"/>
    <xf numFmtId="4" fontId="2" fillId="3" borderId="9" xfId="0" applyNumberFormat="1" applyFont="1" applyFill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2" borderId="9" xfId="0" applyFont="1" applyFill="1" applyBorder="1" applyAlignment="1">
      <alignment horizontal="center" vertical="top" wrapText="1"/>
    </xf>
    <xf numFmtId="0" fontId="2" fillId="2" borderId="10" xfId="0" applyFont="1" applyFill="1" applyBorder="1" applyAlignment="1">
      <alignment horizontal="center" vertical="top" wrapText="1"/>
    </xf>
    <xf numFmtId="0" fontId="2" fillId="2" borderId="11" xfId="0" applyFont="1" applyFill="1" applyBorder="1" applyAlignment="1">
      <alignment horizontal="center" vertical="top" wrapText="1"/>
    </xf>
    <xf numFmtId="0" fontId="2" fillId="2" borderId="12" xfId="0" applyFont="1" applyFill="1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 vertical="top" wrapText="1"/>
    </xf>
    <xf numFmtId="0" fontId="1" fillId="8" borderId="1" xfId="0" applyNumberFormat="1" applyFont="1" applyFill="1" applyBorder="1" applyAlignment="1">
      <alignment horizontal="center" vertical="center"/>
    </xf>
    <xf numFmtId="0" fontId="1" fillId="8" borderId="5" xfId="0" applyNumberFormat="1" applyFont="1" applyFill="1" applyBorder="1" applyAlignment="1">
      <alignment horizontal="center" vertical="center"/>
    </xf>
    <xf numFmtId="14" fontId="1" fillId="8" borderId="1" xfId="0" applyNumberFormat="1" applyFont="1" applyFill="1" applyBorder="1" applyAlignment="1">
      <alignment horizontal="center" vertical="center"/>
    </xf>
    <xf numFmtId="4" fontId="1" fillId="8" borderId="1" xfId="0" applyNumberFormat="1" applyFont="1" applyFill="1" applyBorder="1" applyAlignment="1">
      <alignment horizontal="right" vertical="center"/>
    </xf>
    <xf numFmtId="4" fontId="1" fillId="8" borderId="5" xfId="0" applyNumberFormat="1" applyFont="1" applyFill="1" applyBorder="1" applyAlignment="1">
      <alignment horizontal="right" vertical="center"/>
    </xf>
    <xf numFmtId="43" fontId="1" fillId="8" borderId="1" xfId="0" applyNumberFormat="1" applyFont="1" applyFill="1" applyBorder="1" applyAlignment="1">
      <alignment vertical="center"/>
    </xf>
    <xf numFmtId="0" fontId="0" fillId="8" borderId="5" xfId="0" applyFill="1" applyBorder="1" applyAlignment="1">
      <alignment vertical="center"/>
    </xf>
    <xf numFmtId="0" fontId="1" fillId="0" borderId="1" xfId="0" applyNumberFormat="1" applyFont="1" applyFill="1" applyBorder="1" applyAlignment="1">
      <alignment horizontal="center" vertical="center"/>
    </xf>
    <xf numFmtId="0" fontId="1" fillId="0" borderId="5" xfId="0" applyNumberFormat="1" applyFont="1" applyFill="1" applyBorder="1" applyAlignment="1">
      <alignment horizontal="center" vertical="center"/>
    </xf>
    <xf numFmtId="14" fontId="1" fillId="0" borderId="1" xfId="0" applyNumberFormat="1" applyFont="1" applyFill="1" applyBorder="1" applyAlignment="1">
      <alignment horizontal="right" vertical="center"/>
    </xf>
    <xf numFmtId="14" fontId="1" fillId="0" borderId="5" xfId="0" applyNumberFormat="1" applyFont="1" applyFill="1" applyBorder="1" applyAlignment="1">
      <alignment horizontal="right" vertical="center"/>
    </xf>
    <xf numFmtId="0" fontId="2" fillId="2" borderId="3" xfId="0" applyFont="1" applyFill="1" applyBorder="1" applyAlignment="1">
      <alignment horizontal="center" vertical="top" wrapText="1"/>
    </xf>
    <xf numFmtId="0" fontId="2" fillId="2" borderId="5" xfId="0" applyFont="1" applyFill="1" applyBorder="1" applyAlignment="1">
      <alignment horizontal="center" vertical="top" wrapText="1"/>
    </xf>
    <xf numFmtId="0" fontId="2" fillId="2" borderId="8" xfId="0" applyFont="1" applyFill="1" applyBorder="1" applyAlignment="1">
      <alignment horizontal="center" vertical="top" wrapText="1"/>
    </xf>
    <xf numFmtId="14" fontId="1" fillId="8" borderId="1" xfId="0" applyNumberFormat="1" applyFont="1" applyFill="1" applyBorder="1" applyAlignment="1">
      <alignment vertical="center"/>
    </xf>
    <xf numFmtId="0" fontId="0" fillId="8" borderId="1" xfId="0" applyFill="1" applyBorder="1" applyAlignment="1">
      <alignment vertical="center"/>
    </xf>
    <xf numFmtId="4" fontId="1" fillId="8" borderId="1" xfId="0" applyNumberFormat="1" applyFont="1" applyFill="1" applyBorder="1" applyAlignment="1">
      <alignment vertical="center"/>
    </xf>
    <xf numFmtId="4" fontId="2" fillId="0" borderId="12" xfId="0" applyNumberFormat="1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4" fontId="2" fillId="0" borderId="9" xfId="0" applyNumberFormat="1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4" fontId="2" fillId="0" borderId="4" xfId="0" applyNumberFormat="1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 vertical="top" wrapText="1"/>
    </xf>
    <xf numFmtId="0" fontId="2" fillId="0" borderId="5" xfId="0" applyFont="1" applyFill="1" applyBorder="1" applyAlignment="1">
      <alignment horizontal="center" vertical="top" wrapText="1"/>
    </xf>
    <xf numFmtId="0" fontId="2" fillId="0" borderId="9" xfId="0" applyFont="1" applyFill="1" applyBorder="1" applyAlignment="1">
      <alignment horizontal="center" vertical="top" wrapText="1"/>
    </xf>
    <xf numFmtId="0" fontId="2" fillId="0" borderId="10" xfId="0" applyFont="1" applyFill="1" applyBorder="1" applyAlignment="1">
      <alignment horizontal="center" vertical="top" wrapText="1"/>
    </xf>
    <xf numFmtId="0" fontId="2" fillId="0" borderId="11" xfId="0" applyFont="1" applyFill="1" applyBorder="1" applyAlignment="1">
      <alignment horizontal="center" vertical="top" wrapText="1"/>
    </xf>
    <xf numFmtId="0" fontId="6" fillId="0" borderId="2" xfId="0" applyFont="1" applyBorder="1"/>
    <xf numFmtId="0" fontId="5" fillId="0" borderId="0" xfId="0" applyFont="1" applyAlignment="1">
      <alignment horizontal="center"/>
    </xf>
    <xf numFmtId="0" fontId="5" fillId="0" borderId="2" xfId="0" applyFont="1" applyBorder="1" applyAlignment="1">
      <alignment horizontal="center"/>
    </xf>
    <xf numFmtId="0" fontId="5" fillId="13" borderId="2" xfId="0" applyFont="1" applyFill="1" applyBorder="1" applyAlignment="1">
      <alignment horizontal="center"/>
    </xf>
    <xf numFmtId="43" fontId="0" fillId="13" borderId="2" xfId="2" applyFont="1" applyFill="1" applyBorder="1"/>
    <xf numFmtId="0" fontId="5" fillId="9" borderId="2" xfId="0" applyFont="1" applyFill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11" xfId="0" applyFont="1" applyBorder="1" applyAlignment="1">
      <alignment horizontal="center"/>
    </xf>
  </cellXfs>
  <cellStyles count="3">
    <cellStyle name="Milliers" xfId="2" builtinId="3"/>
    <cellStyle name="Normal" xfId="0" builtinId="0"/>
    <cellStyle name="Pourcentage" xfId="1" builtinId="5"/>
  </cellStyles>
  <dxfs count="108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rgb="FFFF0000"/>
      </font>
    </dxf>
  </dxfs>
  <tableStyles count="0" defaultTableStyle="TableStyleMedium2" defaultPivotStyle="PivotStyleLight16"/>
  <colors>
    <mruColors>
      <color rgb="FFFF66CC"/>
      <color rgb="FF1CA847"/>
      <color rgb="FF358B77"/>
      <color rgb="FF368E7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LBU Appelé / Payé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'LBU DEAL'!$J$401</c:f>
              <c:strCache>
                <c:ptCount val="1"/>
                <c:pt idx="0">
                  <c:v>APPELE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/>
          </c:spPr>
          <c:invertIfNegative val="0"/>
          <c:cat>
            <c:numRef>
              <c:f>'LBU DEAL'!$I$402:$I$412</c:f>
              <c:numCache>
                <c:formatCode>General</c:formatCode>
                <c:ptCount val="11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  <c:pt idx="9">
                  <c:v>2018</c:v>
                </c:pt>
                <c:pt idx="10">
                  <c:v>2019</c:v>
                </c:pt>
              </c:numCache>
            </c:numRef>
          </c:cat>
          <c:val>
            <c:numRef>
              <c:f>'LBU DEAL'!$J$402:$J$412</c:f>
              <c:numCache>
                <c:formatCode>#\ ##0.00\ _€</c:formatCode>
                <c:ptCount val="11"/>
                <c:pt idx="0">
                  <c:v>0</c:v>
                </c:pt>
                <c:pt idx="1">
                  <c:v>2578304.0300000003</c:v>
                </c:pt>
                <c:pt idx="2">
                  <c:v>1379921.74</c:v>
                </c:pt>
                <c:pt idx="3">
                  <c:v>2290444.0999999996</c:v>
                </c:pt>
                <c:pt idx="4">
                  <c:v>2713185.75</c:v>
                </c:pt>
                <c:pt idx="5">
                  <c:v>2180533.38</c:v>
                </c:pt>
                <c:pt idx="6">
                  <c:v>3885594.4799999995</c:v>
                </c:pt>
                <c:pt idx="7">
                  <c:v>2177727.7512000003</c:v>
                </c:pt>
                <c:pt idx="8">
                  <c:v>3905691.3887999998</c:v>
                </c:pt>
                <c:pt idx="9">
                  <c:v>3811521.15</c:v>
                </c:pt>
                <c:pt idx="10">
                  <c:v>1060448.2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446-4F08-898C-368ED6629CB0}"/>
            </c:ext>
          </c:extLst>
        </c:ser>
        <c:ser>
          <c:idx val="1"/>
          <c:order val="1"/>
          <c:tx>
            <c:strRef>
              <c:f>'LBU DEAL'!$K$401</c:f>
              <c:strCache>
                <c:ptCount val="1"/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</c:spPr>
          <c:invertIfNegative val="0"/>
          <c:cat>
            <c:numRef>
              <c:f>'LBU DEAL'!$I$402:$I$412</c:f>
              <c:numCache>
                <c:formatCode>General</c:formatCode>
                <c:ptCount val="11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  <c:pt idx="9">
                  <c:v>2018</c:v>
                </c:pt>
                <c:pt idx="10">
                  <c:v>2019</c:v>
                </c:pt>
              </c:numCache>
            </c:numRef>
          </c:cat>
          <c:val>
            <c:numRef>
              <c:f>'LBU DEAL'!$K$402:$K$412</c:f>
              <c:numCache>
                <c:formatCode>General</c:formatCode>
                <c:ptCount val="11"/>
              </c:numCache>
            </c:numRef>
          </c:val>
          <c:extLst>
            <c:ext xmlns:c16="http://schemas.microsoft.com/office/drawing/2014/chart" uri="{C3380CC4-5D6E-409C-BE32-E72D297353CC}">
              <c16:uniqueId val="{00000001-F446-4F08-898C-368ED6629CB0}"/>
            </c:ext>
          </c:extLst>
        </c:ser>
        <c:ser>
          <c:idx val="2"/>
          <c:order val="2"/>
          <c:tx>
            <c:strRef>
              <c:f>'LBU DEAL'!$L$401</c:f>
              <c:strCache>
                <c:ptCount val="1"/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'LBU DEAL'!$I$402:$I$412</c:f>
              <c:numCache>
                <c:formatCode>General</c:formatCode>
                <c:ptCount val="11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  <c:pt idx="9">
                  <c:v>2018</c:v>
                </c:pt>
                <c:pt idx="10">
                  <c:v>2019</c:v>
                </c:pt>
              </c:numCache>
            </c:numRef>
          </c:cat>
          <c:val>
            <c:numRef>
              <c:f>'LBU DEAL'!$L$402:$L$412</c:f>
              <c:numCache>
                <c:formatCode>General</c:formatCode>
                <c:ptCount val="11"/>
              </c:numCache>
            </c:numRef>
          </c:val>
          <c:extLst>
            <c:ext xmlns:c16="http://schemas.microsoft.com/office/drawing/2014/chart" uri="{C3380CC4-5D6E-409C-BE32-E72D297353CC}">
              <c16:uniqueId val="{00000000-6CC3-452D-AF21-42ACFD66F8A2}"/>
            </c:ext>
          </c:extLst>
        </c:ser>
        <c:ser>
          <c:idx val="3"/>
          <c:order val="3"/>
          <c:tx>
            <c:strRef>
              <c:f>'LBU DEAL'!$M$401</c:f>
              <c:strCache>
                <c:ptCount val="1"/>
                <c:pt idx="0">
                  <c:v>PAYE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'LBU DEAL'!$I$402:$I$412</c:f>
              <c:numCache>
                <c:formatCode>General</c:formatCode>
                <c:ptCount val="11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  <c:pt idx="9">
                  <c:v>2018</c:v>
                </c:pt>
                <c:pt idx="10">
                  <c:v>2019</c:v>
                </c:pt>
              </c:numCache>
            </c:numRef>
          </c:cat>
          <c:val>
            <c:numRef>
              <c:f>'LBU DEAL'!$M$402:$M$412</c:f>
              <c:numCache>
                <c:formatCode>#\ ##0.00\ _€</c:formatCode>
                <c:ptCount val="11"/>
                <c:pt idx="0">
                  <c:v>830071.5</c:v>
                </c:pt>
                <c:pt idx="1">
                  <c:v>1071068.93</c:v>
                </c:pt>
                <c:pt idx="2">
                  <c:v>1745441.3800000001</c:v>
                </c:pt>
                <c:pt idx="3">
                  <c:v>2192494.3899999997</c:v>
                </c:pt>
                <c:pt idx="4">
                  <c:v>3091587.22</c:v>
                </c:pt>
                <c:pt idx="5">
                  <c:v>1926685.98</c:v>
                </c:pt>
                <c:pt idx="6">
                  <c:v>3628789.28</c:v>
                </c:pt>
                <c:pt idx="7">
                  <c:v>2546228.35</c:v>
                </c:pt>
                <c:pt idx="8">
                  <c:v>3536728.59</c:v>
                </c:pt>
                <c:pt idx="9">
                  <c:v>4229192.16</c:v>
                </c:pt>
                <c:pt idx="10">
                  <c:v>570865.69999999995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CC3-452D-AF21-42ACFD66F8A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5458944"/>
        <c:axId val="141541952"/>
      </c:barChart>
      <c:catAx>
        <c:axId val="454589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1541952"/>
        <c:crosses val="autoZero"/>
        <c:auto val="1"/>
        <c:lblAlgn val="ctr"/>
        <c:lblOffset val="100"/>
        <c:noMultiLvlLbl val="0"/>
      </c:catAx>
      <c:valAx>
        <c:axId val="1415419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_€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54589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FRAFU</a:t>
            </a:r>
            <a:r>
              <a:rPr lang="fr-FR" baseline="0"/>
              <a:t> appelé / payé</a:t>
            </a:r>
            <a:endParaRPr lang="fr-FR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'FRAFU DEAL'!$I$156</c:f>
              <c:strCache>
                <c:ptCount val="1"/>
                <c:pt idx="0">
                  <c:v>APPELE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/>
          </c:spPr>
          <c:invertIfNegative val="0"/>
          <c:cat>
            <c:numRef>
              <c:f>'FRAFU DEAL'!$H$157:$H$168</c:f>
              <c:numCache>
                <c:formatCode>General</c:formatCode>
                <c:ptCount val="12"/>
                <c:pt idx="0">
                  <c:v>2006</c:v>
                </c:pt>
                <c:pt idx="1">
                  <c:v>2007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  <c:pt idx="6">
                  <c:v>2014</c:v>
                </c:pt>
                <c:pt idx="7">
                  <c:v>2015</c:v>
                </c:pt>
                <c:pt idx="8">
                  <c:v>2016</c:v>
                </c:pt>
                <c:pt idx="9">
                  <c:v>2017</c:v>
                </c:pt>
                <c:pt idx="10">
                  <c:v>2018</c:v>
                </c:pt>
                <c:pt idx="11">
                  <c:v>2019</c:v>
                </c:pt>
              </c:numCache>
            </c:numRef>
          </c:cat>
          <c:val>
            <c:numRef>
              <c:f>'FRAFU DEAL'!$I$157:$I$168</c:f>
              <c:numCache>
                <c:formatCode>#\ ##0.00\ _€</c:formatCode>
                <c:ptCount val="12"/>
                <c:pt idx="0">
                  <c:v>1558057.8</c:v>
                </c:pt>
                <c:pt idx="1">
                  <c:v>170100</c:v>
                </c:pt>
                <c:pt idx="2">
                  <c:v>63180</c:v>
                </c:pt>
                <c:pt idx="3">
                  <c:v>1113274</c:v>
                </c:pt>
                <c:pt idx="4">
                  <c:v>1260319.3</c:v>
                </c:pt>
                <c:pt idx="5">
                  <c:v>2866858.28</c:v>
                </c:pt>
                <c:pt idx="6">
                  <c:v>2269922.3799999994</c:v>
                </c:pt>
                <c:pt idx="7">
                  <c:v>3264503.62</c:v>
                </c:pt>
                <c:pt idx="8">
                  <c:v>3128172.4920000001</c:v>
                </c:pt>
                <c:pt idx="9">
                  <c:v>1630791.08</c:v>
                </c:pt>
                <c:pt idx="10">
                  <c:v>1325881.7780000002</c:v>
                </c:pt>
                <c:pt idx="11">
                  <c:v>136252.47999999998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8D5-4656-B5E9-424259BEC499}"/>
            </c:ext>
          </c:extLst>
        </c:ser>
        <c:ser>
          <c:idx val="1"/>
          <c:order val="1"/>
          <c:tx>
            <c:strRef>
              <c:f>'FRAFU DEAL'!$L$156</c:f>
              <c:strCache>
                <c:ptCount val="1"/>
                <c:pt idx="0">
                  <c:v>PAYE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</c:spPr>
          <c:invertIfNegative val="0"/>
          <c:cat>
            <c:numRef>
              <c:f>'FRAFU DEAL'!$H$157:$H$168</c:f>
              <c:numCache>
                <c:formatCode>General</c:formatCode>
                <c:ptCount val="12"/>
                <c:pt idx="0">
                  <c:v>2006</c:v>
                </c:pt>
                <c:pt idx="1">
                  <c:v>2007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  <c:pt idx="6">
                  <c:v>2014</c:v>
                </c:pt>
                <c:pt idx="7">
                  <c:v>2015</c:v>
                </c:pt>
                <c:pt idx="8">
                  <c:v>2016</c:v>
                </c:pt>
                <c:pt idx="9">
                  <c:v>2017</c:v>
                </c:pt>
                <c:pt idx="10">
                  <c:v>2018</c:v>
                </c:pt>
                <c:pt idx="11">
                  <c:v>2019</c:v>
                </c:pt>
              </c:numCache>
            </c:numRef>
          </c:cat>
          <c:val>
            <c:numRef>
              <c:f>'FRAFU DEAL'!$L$157:$L$168</c:f>
              <c:numCache>
                <c:formatCode>#\ ##0.00\ _€</c:formatCode>
                <c:ptCount val="12"/>
                <c:pt idx="0">
                  <c:v>135000</c:v>
                </c:pt>
                <c:pt idx="1">
                  <c:v>1593157.8</c:v>
                </c:pt>
                <c:pt idx="2">
                  <c:v>63180</c:v>
                </c:pt>
                <c:pt idx="3">
                  <c:v>964320</c:v>
                </c:pt>
                <c:pt idx="4">
                  <c:v>1285783.17</c:v>
                </c:pt>
                <c:pt idx="5">
                  <c:v>655454.87</c:v>
                </c:pt>
                <c:pt idx="6">
                  <c:v>4460611.76</c:v>
                </c:pt>
                <c:pt idx="7">
                  <c:v>1769182.02</c:v>
                </c:pt>
                <c:pt idx="8">
                  <c:v>3898075.0300000003</c:v>
                </c:pt>
                <c:pt idx="9">
                  <c:v>2215954.2799999998</c:v>
                </c:pt>
                <c:pt idx="10">
                  <c:v>1554322.41</c:v>
                </c:pt>
                <c:pt idx="11">
                  <c:v>198720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8D5-4656-B5E9-424259BEC49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50767104"/>
        <c:axId val="153035904"/>
      </c:barChart>
      <c:catAx>
        <c:axId val="1507671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3035904"/>
        <c:crosses val="autoZero"/>
        <c:auto val="1"/>
        <c:lblAlgn val="ctr"/>
        <c:lblOffset val="100"/>
        <c:noMultiLvlLbl val="0"/>
      </c:catAx>
      <c:valAx>
        <c:axId val="1530359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_€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076710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LBU Appelé / Payé</a:t>
            </a: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'LBU DEAL'!$J$401</c:f>
              <c:strCache>
                <c:ptCount val="1"/>
                <c:pt idx="0">
                  <c:v>APPELE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/>
          </c:spPr>
          <c:invertIfNegative val="0"/>
          <c:dPt>
            <c:idx val="1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D552-4D21-AB14-8A9CA8646857}"/>
              </c:ext>
            </c:extLst>
          </c:dPt>
          <c:cat>
            <c:numRef>
              <c:f>'LBU DEAL'!$I$402:$I$410</c:f>
              <c:numCache>
                <c:formatCode>General</c:formatCode>
                <c:ptCount val="9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</c:numCache>
            </c:numRef>
          </c:cat>
          <c:val>
            <c:numRef>
              <c:f>'LBU DEAL'!$J$402:$J$410</c:f>
              <c:numCache>
                <c:formatCode>#\ ##0.00\ _€</c:formatCode>
                <c:ptCount val="9"/>
                <c:pt idx="0">
                  <c:v>0</c:v>
                </c:pt>
                <c:pt idx="1">
                  <c:v>2578304.0300000003</c:v>
                </c:pt>
                <c:pt idx="2">
                  <c:v>1379921.74</c:v>
                </c:pt>
                <c:pt idx="3">
                  <c:v>2290444.0999999996</c:v>
                </c:pt>
                <c:pt idx="4">
                  <c:v>2713185.75</c:v>
                </c:pt>
                <c:pt idx="5">
                  <c:v>2180533.38</c:v>
                </c:pt>
                <c:pt idx="6">
                  <c:v>3885594.4799999995</c:v>
                </c:pt>
                <c:pt idx="7">
                  <c:v>2177727.7512000003</c:v>
                </c:pt>
                <c:pt idx="8">
                  <c:v>3905691.3887999998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552-4D21-AB14-8A9CA8646857}"/>
            </c:ext>
          </c:extLst>
        </c:ser>
        <c:ser>
          <c:idx val="1"/>
          <c:order val="1"/>
          <c:tx>
            <c:strRef>
              <c:f>'LBU DEAL'!$M$401</c:f>
              <c:strCache>
                <c:ptCount val="1"/>
                <c:pt idx="0">
                  <c:v>PAYE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</c:spPr>
          <c:invertIfNegative val="0"/>
          <c:cat>
            <c:numRef>
              <c:f>'LBU DEAL'!$I$402:$I$410</c:f>
              <c:numCache>
                <c:formatCode>General</c:formatCode>
                <c:ptCount val="9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</c:numCache>
            </c:numRef>
          </c:cat>
          <c:val>
            <c:numRef>
              <c:f>'LBU DEAL'!$M$402:$M$410</c:f>
              <c:numCache>
                <c:formatCode>#\ ##0.00\ _€</c:formatCode>
                <c:ptCount val="9"/>
                <c:pt idx="0">
                  <c:v>830071.5</c:v>
                </c:pt>
                <c:pt idx="1">
                  <c:v>1071068.93</c:v>
                </c:pt>
                <c:pt idx="2">
                  <c:v>1745441.3800000001</c:v>
                </c:pt>
                <c:pt idx="3">
                  <c:v>2192494.3899999997</c:v>
                </c:pt>
                <c:pt idx="4">
                  <c:v>3091587.22</c:v>
                </c:pt>
                <c:pt idx="5">
                  <c:v>1926685.98</c:v>
                </c:pt>
                <c:pt idx="6">
                  <c:v>3628789.28</c:v>
                </c:pt>
                <c:pt idx="7">
                  <c:v>2546228.35</c:v>
                </c:pt>
                <c:pt idx="8">
                  <c:v>3536728.59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D552-4D21-AB14-8A9CA86468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50438400"/>
        <c:axId val="153038784"/>
      </c:barChart>
      <c:catAx>
        <c:axId val="1504384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3038784"/>
        <c:crosses val="autoZero"/>
        <c:auto val="1"/>
        <c:lblAlgn val="ctr"/>
        <c:lblOffset val="100"/>
        <c:noMultiLvlLbl val="0"/>
      </c:catAx>
      <c:valAx>
        <c:axId val="1530387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_€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04384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LBU Appelé / Payé</a:t>
            </a: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'LBU DEAL'!$J$401</c:f>
              <c:strCache>
                <c:ptCount val="1"/>
                <c:pt idx="0">
                  <c:v>APPELE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/>
          </c:spPr>
          <c:invertIfNegative val="0"/>
          <c:dPt>
            <c:idx val="1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6F8A-418F-8356-91945F5764A6}"/>
              </c:ext>
            </c:extLst>
          </c:dPt>
          <c:cat>
            <c:numRef>
              <c:f>'LBU DEAL'!$I$402:$I$410</c:f>
              <c:numCache>
                <c:formatCode>General</c:formatCode>
                <c:ptCount val="9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</c:numCache>
            </c:numRef>
          </c:cat>
          <c:val>
            <c:numRef>
              <c:f>'LBU DEAL'!$J$402:$J$410</c:f>
              <c:numCache>
                <c:formatCode>#\ ##0.00\ _€</c:formatCode>
                <c:ptCount val="9"/>
                <c:pt idx="0">
                  <c:v>0</c:v>
                </c:pt>
                <c:pt idx="1">
                  <c:v>2578304.0300000003</c:v>
                </c:pt>
                <c:pt idx="2">
                  <c:v>1379921.74</c:v>
                </c:pt>
                <c:pt idx="3">
                  <c:v>2290444.0999999996</c:v>
                </c:pt>
                <c:pt idx="4">
                  <c:v>2713185.75</c:v>
                </c:pt>
                <c:pt idx="5">
                  <c:v>2180533.38</c:v>
                </c:pt>
                <c:pt idx="6">
                  <c:v>3885594.4799999995</c:v>
                </c:pt>
                <c:pt idx="7">
                  <c:v>2177727.7512000003</c:v>
                </c:pt>
                <c:pt idx="8">
                  <c:v>3905691.3887999998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F8A-418F-8356-91945F5764A6}"/>
            </c:ext>
          </c:extLst>
        </c:ser>
        <c:ser>
          <c:idx val="1"/>
          <c:order val="1"/>
          <c:tx>
            <c:strRef>
              <c:f>'LBU DEAL'!$M$401</c:f>
              <c:strCache>
                <c:ptCount val="1"/>
                <c:pt idx="0">
                  <c:v>PAYE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</c:spPr>
          <c:invertIfNegative val="0"/>
          <c:cat>
            <c:numRef>
              <c:f>'LBU DEAL'!$I$402:$I$410</c:f>
              <c:numCache>
                <c:formatCode>General</c:formatCode>
                <c:ptCount val="9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</c:numCache>
            </c:numRef>
          </c:cat>
          <c:val>
            <c:numRef>
              <c:f>'LBU DEAL'!$M$402:$M$410</c:f>
              <c:numCache>
                <c:formatCode>#\ ##0.00\ _€</c:formatCode>
                <c:ptCount val="9"/>
                <c:pt idx="0">
                  <c:v>830071.5</c:v>
                </c:pt>
                <c:pt idx="1">
                  <c:v>1071068.93</c:v>
                </c:pt>
                <c:pt idx="2">
                  <c:v>1745441.3800000001</c:v>
                </c:pt>
                <c:pt idx="3">
                  <c:v>2192494.3899999997</c:v>
                </c:pt>
                <c:pt idx="4">
                  <c:v>3091587.22</c:v>
                </c:pt>
                <c:pt idx="5">
                  <c:v>1926685.98</c:v>
                </c:pt>
                <c:pt idx="6">
                  <c:v>3628789.28</c:v>
                </c:pt>
                <c:pt idx="7">
                  <c:v>2546228.35</c:v>
                </c:pt>
                <c:pt idx="8">
                  <c:v>3536728.59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6F8A-418F-8356-91945F5764A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50439424"/>
        <c:axId val="153041088"/>
      </c:barChart>
      <c:catAx>
        <c:axId val="1504394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3041088"/>
        <c:crosses val="autoZero"/>
        <c:auto val="1"/>
        <c:lblAlgn val="ctr"/>
        <c:lblOffset val="100"/>
        <c:noMultiLvlLbl val="0"/>
      </c:catAx>
      <c:valAx>
        <c:axId val="1530410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_€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04394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REHAB</a:t>
            </a:r>
            <a:r>
              <a:rPr lang="fr-FR" baseline="0"/>
              <a:t> appelé / payé</a:t>
            </a:r>
            <a:endParaRPr lang="fr-FR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'LBU REHAB'!$J$53</c:f>
              <c:strCache>
                <c:ptCount val="1"/>
                <c:pt idx="0">
                  <c:v>APPELE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/>
          </c:spPr>
          <c:invertIfNegative val="0"/>
          <c:cat>
            <c:numRef>
              <c:f>'LBU REHAB'!$I$54:$I$55</c:f>
              <c:numCache>
                <c:formatCode>General</c:formatCode>
                <c:ptCount val="2"/>
                <c:pt idx="0">
                  <c:v>2018</c:v>
                </c:pt>
                <c:pt idx="1">
                  <c:v>2019</c:v>
                </c:pt>
              </c:numCache>
            </c:numRef>
          </c:cat>
          <c:val>
            <c:numRef>
              <c:f>'LBU REHAB'!$J$54:$J$55</c:f>
              <c:numCache>
                <c:formatCode>#\ ##0.00\ _€</c:formatCode>
                <c:ptCount val="2"/>
                <c:pt idx="0">
                  <c:v>244390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EF5-4059-9A75-7D1AD182E63B}"/>
            </c:ext>
          </c:extLst>
        </c:ser>
        <c:ser>
          <c:idx val="1"/>
          <c:order val="1"/>
          <c:tx>
            <c:strRef>
              <c:f>'LBU REHAB'!$M$53</c:f>
              <c:strCache>
                <c:ptCount val="1"/>
                <c:pt idx="0">
                  <c:v>PAYE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</c:spPr>
          <c:invertIfNegative val="0"/>
          <c:cat>
            <c:numRef>
              <c:f>'LBU REHAB'!$I$54:$I$55</c:f>
              <c:numCache>
                <c:formatCode>General</c:formatCode>
                <c:ptCount val="2"/>
                <c:pt idx="0">
                  <c:v>2018</c:v>
                </c:pt>
                <c:pt idx="1">
                  <c:v>2019</c:v>
                </c:pt>
              </c:numCache>
            </c:numRef>
          </c:cat>
          <c:val>
            <c:numRef>
              <c:f>'LBU REHAB'!$M$54:$M$55</c:f>
              <c:numCache>
                <c:formatCode>#\ ##0.00\ _€</c:formatCode>
                <c:ptCount val="2"/>
                <c:pt idx="0">
                  <c:v>244390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EF5-4059-9A75-7D1AD182E63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50441472"/>
        <c:axId val="153264704"/>
      </c:barChart>
      <c:catAx>
        <c:axId val="1504414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3264704"/>
        <c:crosses val="autoZero"/>
        <c:auto val="1"/>
        <c:lblAlgn val="ctr"/>
        <c:lblOffset val="100"/>
        <c:noMultiLvlLbl val="0"/>
      </c:catAx>
      <c:valAx>
        <c:axId val="1532647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_€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04414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Appels de fonds LBU 2015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rgbClr val="92D050"/>
            </a:solidFill>
            <a:ln>
              <a:noFill/>
            </a:ln>
            <a:effectLst/>
          </c:spPr>
          <c:invertIfNegative val="0"/>
          <c:cat>
            <c:multiLvlStrRef>
              <c:f>'LBU DEAL'!$I$478:$I$489</c:f>
            </c:multiLvlStrRef>
          </c:cat>
          <c:val>
            <c:numRef>
              <c:f>'LBU DEAL'!$J$478:$J$489</c:f>
            </c:numRef>
          </c:val>
          <c:extLst>
            <c:ext xmlns:c16="http://schemas.microsoft.com/office/drawing/2014/chart" uri="{C3380CC4-5D6E-409C-BE32-E72D297353CC}">
              <c16:uniqueId val="{00000000-CBB6-4AD3-981C-14537701C39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5458432"/>
        <c:axId val="60320576"/>
      </c:barChart>
      <c:catAx>
        <c:axId val="45458432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0320576"/>
        <c:crosses val="autoZero"/>
        <c:auto val="1"/>
        <c:lblAlgn val="ctr"/>
        <c:lblOffset val="100"/>
        <c:noMultiLvlLbl val="1"/>
      </c:catAx>
      <c:valAx>
        <c:axId val="60320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54584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Appels de fonds LBU 2014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rgbClr val="92D050"/>
            </a:solidFill>
            <a:ln>
              <a:noFill/>
            </a:ln>
            <a:effectLst/>
          </c:spPr>
          <c:invertIfNegative val="0"/>
          <c:cat>
            <c:multiLvlStrRef>
              <c:f>'LBU DEAL'!$I$466:$I$477</c:f>
            </c:multiLvlStrRef>
          </c:cat>
          <c:val>
            <c:numRef>
              <c:f>'LBU DEAL'!$J$466:$J$477</c:f>
            </c:numRef>
          </c:val>
          <c:extLst>
            <c:ext xmlns:c16="http://schemas.microsoft.com/office/drawing/2014/chart" uri="{C3380CC4-5D6E-409C-BE32-E72D297353CC}">
              <c16:uniqueId val="{00000000-CB71-49AE-BACF-8A66622C054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41633024"/>
        <c:axId val="141545408"/>
      </c:barChart>
      <c:catAx>
        <c:axId val="141633024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1545408"/>
        <c:crosses val="autoZero"/>
        <c:auto val="1"/>
        <c:lblAlgn val="ctr"/>
        <c:lblOffset val="100"/>
        <c:noMultiLvlLbl val="1"/>
      </c:catAx>
      <c:valAx>
        <c:axId val="141545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163302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Appel de fonds LBU 2016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rgbClr val="92D050"/>
            </a:solidFill>
            <a:ln>
              <a:noFill/>
            </a:ln>
            <a:effectLst/>
          </c:spPr>
          <c:invertIfNegative val="0"/>
          <c:cat>
            <c:multiLvlStrRef>
              <c:f>'LBU DEAL'!$I$490:$I$501</c:f>
            </c:multiLvlStrRef>
          </c:cat>
          <c:val>
            <c:numRef>
              <c:f>'LBU DEAL'!$J$490:$J$501</c:f>
            </c:numRef>
          </c:val>
          <c:extLst>
            <c:ext xmlns:c16="http://schemas.microsoft.com/office/drawing/2014/chart" uri="{C3380CC4-5D6E-409C-BE32-E72D297353CC}">
              <c16:uniqueId val="{00000000-C0BD-462B-BC2E-01D6ED103CD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41633536"/>
        <c:axId val="141547136"/>
      </c:barChart>
      <c:catAx>
        <c:axId val="141633536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1547136"/>
        <c:crosses val="autoZero"/>
        <c:auto val="1"/>
        <c:lblAlgn val="ctr"/>
        <c:lblOffset val="100"/>
        <c:noMultiLvlLbl val="1"/>
      </c:catAx>
      <c:valAx>
        <c:axId val="1415471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163353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Appels de fonds LBU 2013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rgbClr val="92D050"/>
            </a:solidFill>
            <a:ln>
              <a:noFill/>
            </a:ln>
            <a:effectLst/>
          </c:spPr>
          <c:invertIfNegative val="0"/>
          <c:cat>
            <c:multiLvlStrRef>
              <c:f>'LBU DEAL'!$I$454:$I$465</c:f>
            </c:multiLvlStrRef>
          </c:cat>
          <c:val>
            <c:numRef>
              <c:f>'LBU DEAL'!$J$454:$J$465</c:f>
            </c:numRef>
          </c:val>
          <c:extLst>
            <c:ext xmlns:c16="http://schemas.microsoft.com/office/drawing/2014/chart" uri="{C3380CC4-5D6E-409C-BE32-E72D297353CC}">
              <c16:uniqueId val="{00000000-3D04-4518-A875-BEAF7707364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41632512"/>
        <c:axId val="141548864"/>
      </c:barChart>
      <c:catAx>
        <c:axId val="141632512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1548864"/>
        <c:crosses val="autoZero"/>
        <c:auto val="1"/>
        <c:lblAlgn val="ctr"/>
        <c:lblOffset val="100"/>
        <c:noMultiLvlLbl val="1"/>
      </c:catAx>
      <c:valAx>
        <c:axId val="1415488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16325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Appels de fonds LBU 2012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rgbClr val="92D050"/>
            </a:solidFill>
            <a:ln>
              <a:noFill/>
            </a:ln>
            <a:effectLst/>
          </c:spPr>
          <c:invertIfNegative val="0"/>
          <c:cat>
            <c:multiLvlStrRef>
              <c:f>'LBU DEAL'!$I$442:$I$453</c:f>
            </c:multiLvlStrRef>
          </c:cat>
          <c:val>
            <c:numRef>
              <c:f>'LBU DEAL'!$J$442:$J$453</c:f>
            </c:numRef>
          </c:val>
          <c:extLst>
            <c:ext xmlns:c16="http://schemas.microsoft.com/office/drawing/2014/chart" uri="{C3380CC4-5D6E-409C-BE32-E72D297353CC}">
              <c16:uniqueId val="{00000000-CDCE-4766-A0BB-E04DFC6FE1E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41634560"/>
        <c:axId val="141771904"/>
      </c:barChart>
      <c:catAx>
        <c:axId val="141634560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1771904"/>
        <c:crosses val="autoZero"/>
        <c:auto val="1"/>
        <c:lblAlgn val="ctr"/>
        <c:lblOffset val="100"/>
        <c:noMultiLvlLbl val="1"/>
      </c:catAx>
      <c:valAx>
        <c:axId val="1417719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163456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LBU Appelé / Payé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'LBU DEAL'!$J$401</c:f>
              <c:strCache>
                <c:ptCount val="1"/>
                <c:pt idx="0">
                  <c:v>APPELE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/>
          </c:spPr>
          <c:invertIfNegative val="0"/>
          <c:dPt>
            <c:idx val="1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57CE-44DB-A67B-1293AF4E4504}"/>
              </c:ext>
            </c:extLst>
          </c:dPt>
          <c:cat>
            <c:numRef>
              <c:f>'LBU DEAL'!$I$402:$I$412</c:f>
              <c:numCache>
                <c:formatCode>General</c:formatCode>
                <c:ptCount val="11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  <c:pt idx="9">
                  <c:v>2018</c:v>
                </c:pt>
                <c:pt idx="10">
                  <c:v>2019</c:v>
                </c:pt>
              </c:numCache>
            </c:numRef>
          </c:cat>
          <c:val>
            <c:numRef>
              <c:f>'LBU DEAL'!$J$402:$J$412</c:f>
              <c:numCache>
                <c:formatCode>#\ ##0.00\ _€</c:formatCode>
                <c:ptCount val="11"/>
                <c:pt idx="0">
                  <c:v>0</c:v>
                </c:pt>
                <c:pt idx="1">
                  <c:v>2578304.0300000003</c:v>
                </c:pt>
                <c:pt idx="2">
                  <c:v>1379921.74</c:v>
                </c:pt>
                <c:pt idx="3">
                  <c:v>2290444.0999999996</c:v>
                </c:pt>
                <c:pt idx="4">
                  <c:v>2713185.75</c:v>
                </c:pt>
                <c:pt idx="5">
                  <c:v>2180533.38</c:v>
                </c:pt>
                <c:pt idx="6">
                  <c:v>3885594.4799999995</c:v>
                </c:pt>
                <c:pt idx="7">
                  <c:v>2177727.7512000003</c:v>
                </c:pt>
                <c:pt idx="8">
                  <c:v>3905691.3887999998</c:v>
                </c:pt>
                <c:pt idx="9">
                  <c:v>3811521.15</c:v>
                </c:pt>
                <c:pt idx="10">
                  <c:v>1060448.2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7CE-44DB-A67B-1293AF4E4504}"/>
            </c:ext>
          </c:extLst>
        </c:ser>
        <c:ser>
          <c:idx val="1"/>
          <c:order val="1"/>
          <c:tx>
            <c:strRef>
              <c:f>'LBU DEAL'!$M$401</c:f>
              <c:strCache>
                <c:ptCount val="1"/>
                <c:pt idx="0">
                  <c:v>PAYE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</c:spPr>
          <c:invertIfNegative val="0"/>
          <c:cat>
            <c:numRef>
              <c:f>'LBU DEAL'!$I$402:$I$412</c:f>
              <c:numCache>
                <c:formatCode>General</c:formatCode>
                <c:ptCount val="11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  <c:pt idx="9">
                  <c:v>2018</c:v>
                </c:pt>
                <c:pt idx="10">
                  <c:v>2019</c:v>
                </c:pt>
              </c:numCache>
            </c:numRef>
          </c:cat>
          <c:val>
            <c:numRef>
              <c:f>'LBU DEAL'!$M$402:$M$412</c:f>
              <c:numCache>
                <c:formatCode>#\ ##0.00\ _€</c:formatCode>
                <c:ptCount val="11"/>
                <c:pt idx="0">
                  <c:v>830071.5</c:v>
                </c:pt>
                <c:pt idx="1">
                  <c:v>1071068.93</c:v>
                </c:pt>
                <c:pt idx="2">
                  <c:v>1745441.3800000001</c:v>
                </c:pt>
                <c:pt idx="3">
                  <c:v>2192494.3899999997</c:v>
                </c:pt>
                <c:pt idx="4">
                  <c:v>3091587.22</c:v>
                </c:pt>
                <c:pt idx="5">
                  <c:v>1926685.98</c:v>
                </c:pt>
                <c:pt idx="6">
                  <c:v>3628789.28</c:v>
                </c:pt>
                <c:pt idx="7">
                  <c:v>2546228.35</c:v>
                </c:pt>
                <c:pt idx="8">
                  <c:v>3536728.59</c:v>
                </c:pt>
                <c:pt idx="9">
                  <c:v>4229192.16</c:v>
                </c:pt>
                <c:pt idx="10">
                  <c:v>570865.69999999995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57CE-44DB-A67B-1293AF4E45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41635072"/>
        <c:axId val="141773632"/>
      </c:barChart>
      <c:catAx>
        <c:axId val="1416350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1773632"/>
        <c:crosses val="autoZero"/>
        <c:auto val="1"/>
        <c:lblAlgn val="ctr"/>
        <c:lblOffset val="100"/>
        <c:noMultiLvlLbl val="0"/>
      </c:catAx>
      <c:valAx>
        <c:axId val="1417736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_€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16350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Appel de fonds LBU 2017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rgbClr val="92D050"/>
            </a:solidFill>
            <a:ln>
              <a:noFill/>
            </a:ln>
            <a:effectLst/>
          </c:spPr>
          <c:invertIfNegative val="0"/>
          <c:cat>
            <c:multiLvlStrRef>
              <c:f>'LBU DEAL'!$I$502:$I$513</c:f>
            </c:multiLvlStrRef>
          </c:cat>
          <c:val>
            <c:numRef>
              <c:f>'LBU DEAL'!$J$502:$J$513</c:f>
            </c:numRef>
          </c:val>
          <c:extLst>
            <c:ext xmlns:c16="http://schemas.microsoft.com/office/drawing/2014/chart" uri="{C3380CC4-5D6E-409C-BE32-E72D297353CC}">
              <c16:uniqueId val="{00000000-F2E8-4AB2-8244-D715BE4D08B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50765568"/>
        <c:axId val="141775936"/>
      </c:barChart>
      <c:catAx>
        <c:axId val="150765568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1775936"/>
        <c:crosses val="autoZero"/>
        <c:auto val="1"/>
        <c:lblAlgn val="ctr"/>
        <c:lblOffset val="100"/>
        <c:noMultiLvlLbl val="1"/>
      </c:catAx>
      <c:valAx>
        <c:axId val="1417759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07655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Appel de fonds LBU 2018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rgbClr val="92D050"/>
            </a:solidFill>
            <a:ln>
              <a:noFill/>
            </a:ln>
            <a:effectLst/>
          </c:spPr>
          <c:invertIfNegative val="0"/>
          <c:cat>
            <c:multiLvlStrRef>
              <c:f>'LBU DEAL'!$I$514:$I$525</c:f>
            </c:multiLvlStrRef>
          </c:cat>
          <c:val>
            <c:numRef>
              <c:f>'LBU DEAL'!$J$514:$J$525</c:f>
            </c:numRef>
          </c:val>
          <c:extLst>
            <c:ext xmlns:c16="http://schemas.microsoft.com/office/drawing/2014/chart" uri="{C3380CC4-5D6E-409C-BE32-E72D297353CC}">
              <c16:uniqueId val="{00000000-F4DA-4A80-93CF-98F334F7E9C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41634048"/>
        <c:axId val="141778240"/>
      </c:barChart>
      <c:catAx>
        <c:axId val="141634048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1778240"/>
        <c:crosses val="autoZero"/>
        <c:auto val="1"/>
        <c:lblAlgn val="ctr"/>
        <c:lblOffset val="100"/>
        <c:noMultiLvlLbl val="0"/>
      </c:catAx>
      <c:valAx>
        <c:axId val="1417782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163404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ST LEU appelé / payé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'ST LEU'!$K$57</c:f>
              <c:strCache>
                <c:ptCount val="1"/>
                <c:pt idx="0">
                  <c:v>APPELE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/>
          </c:spPr>
          <c:invertIfNegative val="0"/>
          <c:cat>
            <c:numRef>
              <c:f>'ST LEU'!$J$58:$J$64</c:f>
              <c:numCache>
                <c:formatCode>General</c:formatCode>
                <c:ptCount val="7"/>
                <c:pt idx="0">
                  <c:v>2012</c:v>
                </c:pt>
                <c:pt idx="1">
                  <c:v>2013</c:v>
                </c:pt>
                <c:pt idx="2">
                  <c:v>2014</c:v>
                </c:pt>
                <c:pt idx="3">
                  <c:v>2015</c:v>
                </c:pt>
                <c:pt idx="4">
                  <c:v>2016</c:v>
                </c:pt>
                <c:pt idx="5">
                  <c:v>2017</c:v>
                </c:pt>
                <c:pt idx="6">
                  <c:v>2018</c:v>
                </c:pt>
              </c:numCache>
            </c:numRef>
          </c:cat>
          <c:val>
            <c:numRef>
              <c:f>'ST LEU'!$K$58:$K$64</c:f>
              <c:numCache>
                <c:formatCode>#,##0.00</c:formatCode>
                <c:ptCount val="7"/>
                <c:pt idx="0">
                  <c:v>369138.64</c:v>
                </c:pt>
                <c:pt idx="1">
                  <c:v>328396.61000000004</c:v>
                </c:pt>
                <c:pt idx="2">
                  <c:v>3077009.68</c:v>
                </c:pt>
                <c:pt idx="3">
                  <c:v>443115.66000000003</c:v>
                </c:pt>
                <c:pt idx="4">
                  <c:v>0</c:v>
                </c:pt>
                <c:pt idx="5">
                  <c:v>41383.379999999997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4F5-46FC-808B-72B342D662C3}"/>
            </c:ext>
          </c:extLst>
        </c:ser>
        <c:ser>
          <c:idx val="1"/>
          <c:order val="1"/>
          <c:tx>
            <c:strRef>
              <c:f>'ST LEU'!$L$57</c:f>
              <c:strCache>
                <c:ptCount val="1"/>
                <c:pt idx="0">
                  <c:v>PAYE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</c:spPr>
          <c:invertIfNegative val="0"/>
          <c:cat>
            <c:numRef>
              <c:f>'ST LEU'!$J$58:$J$64</c:f>
              <c:numCache>
                <c:formatCode>General</c:formatCode>
                <c:ptCount val="7"/>
                <c:pt idx="0">
                  <c:v>2012</c:v>
                </c:pt>
                <c:pt idx="1">
                  <c:v>2013</c:v>
                </c:pt>
                <c:pt idx="2">
                  <c:v>2014</c:v>
                </c:pt>
                <c:pt idx="3">
                  <c:v>2015</c:v>
                </c:pt>
                <c:pt idx="4">
                  <c:v>2016</c:v>
                </c:pt>
                <c:pt idx="5">
                  <c:v>2017</c:v>
                </c:pt>
                <c:pt idx="6">
                  <c:v>2018</c:v>
                </c:pt>
              </c:numCache>
            </c:numRef>
          </c:cat>
          <c:val>
            <c:numRef>
              <c:f>'ST LEU'!$L$58:$L$64</c:f>
              <c:numCache>
                <c:formatCode>#,##0.00</c:formatCode>
                <c:ptCount val="7"/>
                <c:pt idx="0">
                  <c:v>23978.81</c:v>
                </c:pt>
                <c:pt idx="1">
                  <c:v>91990.6</c:v>
                </c:pt>
                <c:pt idx="2">
                  <c:v>71936.430000000008</c:v>
                </c:pt>
                <c:pt idx="3">
                  <c:v>827337.32000000007</c:v>
                </c:pt>
                <c:pt idx="4">
                  <c:v>1442192.77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4F5-46FC-808B-72B342D662C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53155072"/>
        <c:axId val="153267584"/>
      </c:barChart>
      <c:catAx>
        <c:axId val="1531550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3267584"/>
        <c:crosses val="autoZero"/>
        <c:auto val="1"/>
        <c:lblAlgn val="ctr"/>
        <c:lblOffset val="100"/>
        <c:noMultiLvlLbl val="0"/>
      </c:catAx>
      <c:valAx>
        <c:axId val="1532675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31550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CAF appelé / payé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CAF!$L$47</c:f>
              <c:strCache>
                <c:ptCount val="1"/>
                <c:pt idx="0">
                  <c:v>APPELE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/>
          </c:spPr>
          <c:invertIfNegative val="0"/>
          <c:cat>
            <c:numRef>
              <c:f>CAF!$K$48:$K$54</c:f>
              <c:numCache>
                <c:formatCode>General</c:formatCode>
                <c:ptCount val="7"/>
                <c:pt idx="0">
                  <c:v>2012</c:v>
                </c:pt>
                <c:pt idx="1">
                  <c:v>2013</c:v>
                </c:pt>
                <c:pt idx="2">
                  <c:v>2014</c:v>
                </c:pt>
                <c:pt idx="3">
                  <c:v>2015</c:v>
                </c:pt>
                <c:pt idx="4">
                  <c:v>2016</c:v>
                </c:pt>
                <c:pt idx="5">
                  <c:v>2017</c:v>
                </c:pt>
                <c:pt idx="6">
                  <c:v>2018</c:v>
                </c:pt>
              </c:numCache>
            </c:numRef>
          </c:cat>
          <c:val>
            <c:numRef>
              <c:f>CAF!$L$48:$L$54</c:f>
              <c:numCache>
                <c:formatCode>#,##0</c:formatCode>
                <c:ptCount val="7"/>
                <c:pt idx="0">
                  <c:v>28000</c:v>
                </c:pt>
                <c:pt idx="1">
                  <c:v>175000</c:v>
                </c:pt>
                <c:pt idx="2">
                  <c:v>190000</c:v>
                </c:pt>
                <c:pt idx="3">
                  <c:v>269500</c:v>
                </c:pt>
                <c:pt idx="4">
                  <c:v>135000</c:v>
                </c:pt>
                <c:pt idx="5">
                  <c:v>288000</c:v>
                </c:pt>
                <c:pt idx="6">
                  <c:v>124500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93C-4B17-8490-5598FDD3A308}"/>
            </c:ext>
          </c:extLst>
        </c:ser>
        <c:ser>
          <c:idx val="1"/>
          <c:order val="1"/>
          <c:tx>
            <c:strRef>
              <c:f>CAF!$M$47</c:f>
              <c:strCache>
                <c:ptCount val="1"/>
                <c:pt idx="0">
                  <c:v>PAYE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</c:spPr>
          <c:invertIfNegative val="0"/>
          <c:cat>
            <c:numRef>
              <c:f>CAF!$K$48:$K$54</c:f>
              <c:numCache>
                <c:formatCode>General</c:formatCode>
                <c:ptCount val="7"/>
                <c:pt idx="0">
                  <c:v>2012</c:v>
                </c:pt>
                <c:pt idx="1">
                  <c:v>2013</c:v>
                </c:pt>
                <c:pt idx="2">
                  <c:v>2014</c:v>
                </c:pt>
                <c:pt idx="3">
                  <c:v>2015</c:v>
                </c:pt>
                <c:pt idx="4">
                  <c:v>2016</c:v>
                </c:pt>
                <c:pt idx="5">
                  <c:v>2017</c:v>
                </c:pt>
                <c:pt idx="6">
                  <c:v>2018</c:v>
                </c:pt>
              </c:numCache>
            </c:numRef>
          </c:cat>
          <c:val>
            <c:numRef>
              <c:f>CAF!$M$48:$M$54</c:f>
              <c:numCache>
                <c:formatCode>#,##0</c:formatCode>
                <c:ptCount val="7"/>
                <c:pt idx="0">
                  <c:v>28000</c:v>
                </c:pt>
                <c:pt idx="1">
                  <c:v>175000</c:v>
                </c:pt>
                <c:pt idx="2">
                  <c:v>136000</c:v>
                </c:pt>
                <c:pt idx="3">
                  <c:v>290500</c:v>
                </c:pt>
                <c:pt idx="4">
                  <c:v>168000</c:v>
                </c:pt>
                <c:pt idx="5">
                  <c:v>288000</c:v>
                </c:pt>
                <c:pt idx="6">
                  <c:v>124500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93C-4B17-8490-5598FDD3A3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53153536"/>
        <c:axId val="153269888"/>
      </c:barChart>
      <c:catAx>
        <c:axId val="1531535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3269888"/>
        <c:crosses val="autoZero"/>
        <c:auto val="1"/>
        <c:lblAlgn val="ctr"/>
        <c:lblOffset val="100"/>
        <c:noMultiLvlLbl val="0"/>
      </c:catAx>
      <c:valAx>
        <c:axId val="1532698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31535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REGION appelé / payé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REGION!$H$33</c:f>
              <c:strCache>
                <c:ptCount val="1"/>
                <c:pt idx="0">
                  <c:v>APPELE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/>
          </c:spPr>
          <c:invertIfNegative val="0"/>
          <c:cat>
            <c:numRef>
              <c:f>REGION!$G$34:$G$42</c:f>
              <c:numCache>
                <c:formatCode>General</c:formatCode>
                <c:ptCount val="9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</c:numCache>
            </c:numRef>
          </c:cat>
          <c:val>
            <c:numRef>
              <c:f>REGION!$H$34:$H$42</c:f>
              <c:numCache>
                <c:formatCode>#,##0.00</c:formatCode>
                <c:ptCount val="9"/>
                <c:pt idx="0">
                  <c:v>735403.9</c:v>
                </c:pt>
                <c:pt idx="1">
                  <c:v>0</c:v>
                </c:pt>
                <c:pt idx="2">
                  <c:v>205000</c:v>
                </c:pt>
                <c:pt idx="3">
                  <c:v>94683.18</c:v>
                </c:pt>
                <c:pt idx="4">
                  <c:v>544244.53</c:v>
                </c:pt>
                <c:pt idx="5">
                  <c:v>205000</c:v>
                </c:pt>
                <c:pt idx="6">
                  <c:v>0</c:v>
                </c:pt>
                <c:pt idx="7">
                  <c:v>941484.5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143-45BE-A369-5380E234C856}"/>
            </c:ext>
          </c:extLst>
        </c:ser>
        <c:ser>
          <c:idx val="1"/>
          <c:order val="1"/>
          <c:tx>
            <c:strRef>
              <c:f>REGION!$K$33</c:f>
              <c:strCache>
                <c:ptCount val="1"/>
                <c:pt idx="0">
                  <c:v>PAYE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</c:spPr>
          <c:invertIfNegative val="0"/>
          <c:cat>
            <c:numRef>
              <c:f>REGION!$G$34:$G$42</c:f>
              <c:numCache>
                <c:formatCode>General</c:formatCode>
                <c:ptCount val="9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</c:numCache>
            </c:numRef>
          </c:cat>
          <c:val>
            <c:numRef>
              <c:f>REGION!$K$34:$K$42</c:f>
              <c:numCache>
                <c:formatCode>#,##0.00</c:formatCode>
                <c:ptCount val="9"/>
                <c:pt idx="0">
                  <c:v>735403.9</c:v>
                </c:pt>
                <c:pt idx="1">
                  <c:v>0</c:v>
                </c:pt>
                <c:pt idx="2">
                  <c:v>205000</c:v>
                </c:pt>
                <c:pt idx="3">
                  <c:v>0</c:v>
                </c:pt>
                <c:pt idx="4">
                  <c:v>614035.68000000005</c:v>
                </c:pt>
                <c:pt idx="5">
                  <c:v>105000</c:v>
                </c:pt>
                <c:pt idx="6">
                  <c:v>100000</c:v>
                </c:pt>
                <c:pt idx="7">
                  <c:v>941484.5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143-45BE-A369-5380E234C85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53155584"/>
        <c:axId val="154566656"/>
      </c:barChart>
      <c:catAx>
        <c:axId val="1531555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4566656"/>
        <c:crosses val="autoZero"/>
        <c:auto val="1"/>
        <c:lblAlgn val="ctr"/>
        <c:lblOffset val="100"/>
        <c:noMultiLvlLbl val="0"/>
      </c:catAx>
      <c:valAx>
        <c:axId val="1545666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315558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REGION appelé / payé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REGION!$H$33</c:f>
              <c:strCache>
                <c:ptCount val="1"/>
                <c:pt idx="0">
                  <c:v>APPELE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/>
          </c:spPr>
          <c:invertIfNegative val="0"/>
          <c:cat>
            <c:numRef>
              <c:f>REGION!$G$34:$G$40</c:f>
              <c:numCache>
                <c:formatCode>General</c:formatCode>
                <c:ptCount val="7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</c:numCache>
            </c:numRef>
          </c:cat>
          <c:val>
            <c:numRef>
              <c:f>REGION!$H$34:$H$40</c:f>
              <c:numCache>
                <c:formatCode>#,##0.00</c:formatCode>
                <c:ptCount val="7"/>
                <c:pt idx="0">
                  <c:v>735403.9</c:v>
                </c:pt>
                <c:pt idx="1">
                  <c:v>0</c:v>
                </c:pt>
                <c:pt idx="2">
                  <c:v>205000</c:v>
                </c:pt>
                <c:pt idx="3">
                  <c:v>94683.18</c:v>
                </c:pt>
                <c:pt idx="4">
                  <c:v>544244.53</c:v>
                </c:pt>
                <c:pt idx="5">
                  <c:v>205000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D8C-410A-9BAD-42F21511CB76}"/>
            </c:ext>
          </c:extLst>
        </c:ser>
        <c:ser>
          <c:idx val="1"/>
          <c:order val="1"/>
          <c:tx>
            <c:strRef>
              <c:f>REGION!$K$33</c:f>
              <c:strCache>
                <c:ptCount val="1"/>
                <c:pt idx="0">
                  <c:v>PAYE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</c:spPr>
          <c:invertIfNegative val="0"/>
          <c:cat>
            <c:numRef>
              <c:f>REGION!$G$34:$G$40</c:f>
              <c:numCache>
                <c:formatCode>General</c:formatCode>
                <c:ptCount val="7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</c:numCache>
            </c:numRef>
          </c:cat>
          <c:val>
            <c:numRef>
              <c:f>REGION!$K$34:$K$40</c:f>
              <c:numCache>
                <c:formatCode>#,##0.00</c:formatCode>
                <c:ptCount val="7"/>
                <c:pt idx="0">
                  <c:v>735403.9</c:v>
                </c:pt>
                <c:pt idx="1">
                  <c:v>0</c:v>
                </c:pt>
                <c:pt idx="2">
                  <c:v>205000</c:v>
                </c:pt>
                <c:pt idx="3">
                  <c:v>0</c:v>
                </c:pt>
                <c:pt idx="4">
                  <c:v>614035.68000000005</c:v>
                </c:pt>
                <c:pt idx="5">
                  <c:v>105000</c:v>
                </c:pt>
                <c:pt idx="6">
                  <c:v>100000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D8C-410A-9BAD-42F21511CB7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53157120"/>
        <c:axId val="154570112"/>
      </c:barChart>
      <c:catAx>
        <c:axId val="1531571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4570112"/>
        <c:crosses val="autoZero"/>
        <c:auto val="1"/>
        <c:lblAlgn val="ctr"/>
        <c:lblOffset val="100"/>
        <c:noMultiLvlLbl val="0"/>
      </c:catAx>
      <c:valAx>
        <c:axId val="1545701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31571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.xml"/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3.xml"/><Relationship Id="rId3" Type="http://schemas.openxmlformats.org/officeDocument/2006/relationships/chart" Target="../charts/chart8.xml"/><Relationship Id="rId7" Type="http://schemas.openxmlformats.org/officeDocument/2006/relationships/chart" Target="../charts/chart12.xml"/><Relationship Id="rId2" Type="http://schemas.openxmlformats.org/officeDocument/2006/relationships/chart" Target="../charts/chart7.xml"/><Relationship Id="rId1" Type="http://schemas.openxmlformats.org/officeDocument/2006/relationships/chart" Target="../charts/chart6.xml"/><Relationship Id="rId6" Type="http://schemas.openxmlformats.org/officeDocument/2006/relationships/chart" Target="../charts/chart11.xml"/><Relationship Id="rId5" Type="http://schemas.openxmlformats.org/officeDocument/2006/relationships/chart" Target="../charts/chart10.xml"/><Relationship Id="rId4" Type="http://schemas.openxmlformats.org/officeDocument/2006/relationships/chart" Target="../charts/chart9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5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6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155791</xdr:colOff>
      <xdr:row>3</xdr:row>
      <xdr:rowOff>43594</xdr:rowOff>
    </xdr:from>
    <xdr:to>
      <xdr:col>14</xdr:col>
      <xdr:colOff>863362</xdr:colOff>
      <xdr:row>14</xdr:row>
      <xdr:rowOff>163286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502265</xdr:colOff>
      <xdr:row>153</xdr:row>
      <xdr:rowOff>146397</xdr:rowOff>
    </xdr:from>
    <xdr:to>
      <xdr:col>6</xdr:col>
      <xdr:colOff>896470</xdr:colOff>
      <xdr:row>169</xdr:row>
      <xdr:rowOff>134472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585107</xdr:colOff>
      <xdr:row>50</xdr:row>
      <xdr:rowOff>96611</xdr:rowOff>
    </xdr:from>
    <xdr:to>
      <xdr:col>23</xdr:col>
      <xdr:colOff>95250</xdr:colOff>
      <xdr:row>51</xdr:row>
      <xdr:rowOff>0</xdr:rowOff>
    </xdr:to>
    <xdr:graphicFrame macro="">
      <xdr:nvGraphicFramePr>
        <xdr:cNvPr id="7" name="Graphique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17</xdr:col>
      <xdr:colOff>585107</xdr:colOff>
      <xdr:row>50</xdr:row>
      <xdr:rowOff>96611</xdr:rowOff>
    </xdr:from>
    <xdr:to>
      <xdr:col>23</xdr:col>
      <xdr:colOff>95250</xdr:colOff>
      <xdr:row>51</xdr:row>
      <xdr:rowOff>0</xdr:rowOff>
    </xdr:to>
    <xdr:graphicFrame macro="">
      <xdr:nvGraphicFramePr>
        <xdr:cNvPr id="13" name="Graphique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516272</xdr:colOff>
      <xdr:row>52</xdr:row>
      <xdr:rowOff>31215</xdr:rowOff>
    </xdr:from>
    <xdr:to>
      <xdr:col>6</xdr:col>
      <xdr:colOff>86043</xdr:colOff>
      <xdr:row>68</xdr:row>
      <xdr:rowOff>32897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96493</xdr:colOff>
      <xdr:row>476</xdr:row>
      <xdr:rowOff>129988</xdr:rowOff>
    </xdr:from>
    <xdr:to>
      <xdr:col>16</xdr:col>
      <xdr:colOff>440871</xdr:colOff>
      <xdr:row>489</xdr:row>
      <xdr:rowOff>46264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243568</xdr:colOff>
      <xdr:row>464</xdr:row>
      <xdr:rowOff>130628</xdr:rowOff>
    </xdr:from>
    <xdr:to>
      <xdr:col>6</xdr:col>
      <xdr:colOff>1061357</xdr:colOff>
      <xdr:row>476</xdr:row>
      <xdr:rowOff>117021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243568</xdr:colOff>
      <xdr:row>489</xdr:row>
      <xdr:rowOff>43542</xdr:rowOff>
    </xdr:from>
    <xdr:to>
      <xdr:col>6</xdr:col>
      <xdr:colOff>1028700</xdr:colOff>
      <xdr:row>501</xdr:row>
      <xdr:rowOff>114300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13</xdr:col>
      <xdr:colOff>104774</xdr:colOff>
      <xdr:row>452</xdr:row>
      <xdr:rowOff>129269</xdr:rowOff>
    </xdr:from>
    <xdr:to>
      <xdr:col>16</xdr:col>
      <xdr:colOff>363311</xdr:colOff>
      <xdr:row>465</xdr:row>
      <xdr:rowOff>14968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229961</xdr:colOff>
      <xdr:row>440</xdr:row>
      <xdr:rowOff>119742</xdr:rowOff>
    </xdr:from>
    <xdr:to>
      <xdr:col>6</xdr:col>
      <xdr:colOff>1015093</xdr:colOff>
      <xdr:row>453</xdr:row>
      <xdr:rowOff>89805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</xdr:col>
      <xdr:colOff>842282</xdr:colOff>
      <xdr:row>399</xdr:row>
      <xdr:rowOff>106136</xdr:rowOff>
    </xdr:from>
    <xdr:to>
      <xdr:col>7</xdr:col>
      <xdr:colOff>466725</xdr:colOff>
      <xdr:row>417</xdr:row>
      <xdr:rowOff>148318</xdr:rowOff>
    </xdr:to>
    <xdr:graphicFrame macro="">
      <xdr:nvGraphicFramePr>
        <xdr:cNvPr id="8" name="Graphique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13</xdr:col>
      <xdr:colOff>238125</xdr:colOff>
      <xdr:row>500</xdr:row>
      <xdr:rowOff>95251</xdr:rowOff>
    </xdr:from>
    <xdr:to>
      <xdr:col>16</xdr:col>
      <xdr:colOff>0</xdr:colOff>
      <xdr:row>513</xdr:row>
      <xdr:rowOff>19051</xdr:rowOff>
    </xdr:to>
    <xdr:graphicFrame macro="">
      <xdr:nvGraphicFramePr>
        <xdr:cNvPr id="9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3</xdr:col>
      <xdr:colOff>733425</xdr:colOff>
      <xdr:row>512</xdr:row>
      <xdr:rowOff>57150</xdr:rowOff>
    </xdr:from>
    <xdr:to>
      <xdr:col>6</xdr:col>
      <xdr:colOff>981075</xdr:colOff>
      <xdr:row>524</xdr:row>
      <xdr:rowOff>133350</xdr:rowOff>
    </xdr:to>
    <xdr:graphicFrame macro="">
      <xdr:nvGraphicFramePr>
        <xdr:cNvPr id="10" name="Graphique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276225</xdr:colOff>
      <xdr:row>66</xdr:row>
      <xdr:rowOff>42862</xdr:rowOff>
    </xdr:from>
    <xdr:to>
      <xdr:col>13</xdr:col>
      <xdr:colOff>723900</xdr:colOff>
      <xdr:row>85</xdr:row>
      <xdr:rowOff>42862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251731</xdr:colOff>
      <xdr:row>55</xdr:row>
      <xdr:rowOff>104774</xdr:rowOff>
    </xdr:from>
    <xdr:to>
      <xdr:col>14</xdr:col>
      <xdr:colOff>687160</xdr:colOff>
      <xdr:row>74</xdr:row>
      <xdr:rowOff>4081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1032623</xdr:colOff>
      <xdr:row>31</xdr:row>
      <xdr:rowOff>78448</xdr:rowOff>
    </xdr:from>
    <xdr:to>
      <xdr:col>5</xdr:col>
      <xdr:colOff>381000</xdr:colOff>
      <xdr:row>44</xdr:row>
      <xdr:rowOff>95250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565898</xdr:colOff>
      <xdr:row>15</xdr:row>
      <xdr:rowOff>0</xdr:rowOff>
    </xdr:from>
    <xdr:to>
      <xdr:col>16</xdr:col>
      <xdr:colOff>308162</xdr:colOff>
      <xdr:row>15</xdr:row>
      <xdr:rowOff>0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36"/>
  <sheetViews>
    <sheetView topLeftCell="A19" zoomScaleNormal="100" workbookViewId="0">
      <selection activeCell="F33" sqref="F33:F34"/>
    </sheetView>
  </sheetViews>
  <sheetFormatPr baseColWidth="10" defaultRowHeight="12.75" x14ac:dyDescent="0.2"/>
  <cols>
    <col min="1" max="1" width="16.42578125" customWidth="1"/>
    <col min="2" max="2" width="15.140625" customWidth="1"/>
    <col min="3" max="3" width="19.5703125" customWidth="1"/>
    <col min="4" max="4" width="18.42578125" customWidth="1"/>
    <col min="5" max="5" width="16.42578125" customWidth="1"/>
    <col min="6" max="6" width="15" customWidth="1"/>
    <col min="7" max="7" width="14.140625" customWidth="1"/>
    <col min="8" max="8" width="16.140625" customWidth="1"/>
    <col min="10" max="10" width="15.7109375" customWidth="1"/>
    <col min="11" max="11" width="17.7109375" customWidth="1"/>
    <col min="13" max="14" width="15.5703125" customWidth="1"/>
    <col min="15" max="15" width="16.5703125" customWidth="1"/>
    <col min="16" max="16" width="14.85546875" customWidth="1"/>
    <col min="17" max="17" width="15.140625" customWidth="1"/>
  </cols>
  <sheetData>
    <row r="1" spans="1:7" ht="27.75" customHeight="1" x14ac:dyDescent="0.2">
      <c r="B1" s="496" t="s">
        <v>100</v>
      </c>
      <c r="C1" s="496" t="s">
        <v>101</v>
      </c>
      <c r="D1" s="496" t="s">
        <v>119</v>
      </c>
      <c r="E1" s="496" t="s">
        <v>19</v>
      </c>
    </row>
    <row r="2" spans="1:7" ht="21.75" customHeight="1" x14ac:dyDescent="0.2">
      <c r="A2" s="497" t="s">
        <v>117</v>
      </c>
      <c r="B2" s="93">
        <f>'FRAFU DEAL'!H153</f>
        <v>26941524.539999999</v>
      </c>
      <c r="C2" s="93">
        <f>'FRAFU DEAL'!L153</f>
        <v>18793761.34</v>
      </c>
      <c r="D2" s="93">
        <f>'FRAFU DEAL'!O153</f>
        <v>712517.91999999993</v>
      </c>
      <c r="E2" s="93">
        <f>'FRAFU DEAL'!P153</f>
        <v>7397110.4580000006</v>
      </c>
      <c r="F2" s="197">
        <f t="shared" ref="F2:F15" si="0">B2-(C2+D2+E2)</f>
        <v>38134.822000000626</v>
      </c>
      <c r="G2" s="442" t="s">
        <v>302</v>
      </c>
    </row>
    <row r="3" spans="1:7" ht="21.75" customHeight="1" x14ac:dyDescent="0.2">
      <c r="A3" s="185" t="s">
        <v>116</v>
      </c>
      <c r="B3" s="95">
        <f>'LBU DEAL'!I398</f>
        <v>38901471</v>
      </c>
      <c r="C3" s="95">
        <f>'LBU DEAL'!M398</f>
        <v>25452869</v>
      </c>
      <c r="D3" s="95">
        <f>'LBU DEAL'!P398</f>
        <v>523812</v>
      </c>
      <c r="E3" s="95">
        <f>'LBU DEAL'!Q398</f>
        <v>12924786</v>
      </c>
      <c r="F3" s="197">
        <f t="shared" si="0"/>
        <v>4</v>
      </c>
    </row>
    <row r="4" spans="1:7" ht="21.75" customHeight="1" x14ac:dyDescent="0.2">
      <c r="A4" s="94" t="s">
        <v>93</v>
      </c>
      <c r="B4" s="95">
        <f>'ST LEU'!D38+'ST LEU'!D40</f>
        <v>4270508.2799999993</v>
      </c>
      <c r="C4" s="95">
        <f>'ST LEU'!H38+'ST LEU'!H46</f>
        <v>3896551.0100000002</v>
      </c>
      <c r="D4" s="95">
        <f>'ST LEU'!K38+'ST LEU'!K46</f>
        <v>551506.14</v>
      </c>
      <c r="E4" s="95">
        <f>'ST LEU'!L38+'ST LEU'!L46</f>
        <v>0</v>
      </c>
      <c r="F4" s="197">
        <f t="shared" si="0"/>
        <v>-177548.87000000104</v>
      </c>
      <c r="G4" s="442" t="s">
        <v>303</v>
      </c>
    </row>
    <row r="5" spans="1:7" ht="21.75" customHeight="1" x14ac:dyDescent="0.2">
      <c r="A5" s="94" t="s">
        <v>95</v>
      </c>
      <c r="B5" s="95">
        <f>CAF!E42</f>
        <v>1370000</v>
      </c>
      <c r="C5" s="95">
        <f>CAF!I42</f>
        <v>1210000</v>
      </c>
      <c r="D5" s="95">
        <f>CAF!L42</f>
        <v>0</v>
      </c>
      <c r="E5" s="95">
        <f>CAF!M42</f>
        <v>160000</v>
      </c>
      <c r="F5" s="197">
        <f t="shared" si="0"/>
        <v>0</v>
      </c>
    </row>
    <row r="6" spans="1:7" ht="21.75" customHeight="1" x14ac:dyDescent="0.2">
      <c r="A6" s="94" t="s">
        <v>98</v>
      </c>
      <c r="B6" s="95">
        <f>REGION!G30</f>
        <v>3829151.42</v>
      </c>
      <c r="C6" s="95">
        <f>REGION!K30</f>
        <v>2700924.08</v>
      </c>
      <c r="D6" s="95">
        <f>REGION!N30</f>
        <v>18394.199999999953</v>
      </c>
      <c r="E6" s="95">
        <f>REGION!O30</f>
        <v>941484.5</v>
      </c>
      <c r="F6" s="197">
        <f t="shared" si="0"/>
        <v>168348.63999999966</v>
      </c>
      <c r="G6" s="442" t="s">
        <v>304</v>
      </c>
    </row>
    <row r="7" spans="1:7" ht="21.75" customHeight="1" x14ac:dyDescent="0.2">
      <c r="A7" s="94" t="s">
        <v>97</v>
      </c>
      <c r="B7" s="95">
        <f>DIECCTE!D6</f>
        <v>66848.639999999999</v>
      </c>
      <c r="C7" s="95">
        <f>DIECCTE!H11</f>
        <v>57101.89</v>
      </c>
      <c r="D7" s="95">
        <f>DIECCTE!K11</f>
        <v>0</v>
      </c>
      <c r="E7" s="95">
        <f>DIECCTE!L11</f>
        <v>0</v>
      </c>
      <c r="F7" s="197">
        <f t="shared" si="0"/>
        <v>9746.75</v>
      </c>
    </row>
    <row r="8" spans="1:7" ht="21.75" customHeight="1" x14ac:dyDescent="0.2">
      <c r="A8" s="94" t="s">
        <v>96</v>
      </c>
      <c r="B8" s="95">
        <f>FEDER!G14</f>
        <v>1712805.26</v>
      </c>
      <c r="C8" s="95">
        <f>FEDER!K14</f>
        <v>1492522.4</v>
      </c>
      <c r="D8" s="95">
        <f>FEDER!N14</f>
        <v>0</v>
      </c>
      <c r="E8" s="95">
        <f>FEDER!O14</f>
        <v>0</v>
      </c>
      <c r="F8" s="197">
        <f t="shared" si="0"/>
        <v>220282.8600000001</v>
      </c>
    </row>
    <row r="9" spans="1:7" ht="21.75" customHeight="1" x14ac:dyDescent="0.2">
      <c r="A9" s="94" t="s">
        <v>99</v>
      </c>
      <c r="B9" s="95">
        <f>TCO!E16</f>
        <v>500814.33231938235</v>
      </c>
      <c r="C9" s="95">
        <f>TCO!I16</f>
        <v>359788.59</v>
      </c>
      <c r="D9" s="95">
        <f>TCO!L16</f>
        <v>90808.98</v>
      </c>
      <c r="E9" s="95">
        <f>TCO!M16</f>
        <v>50211.41</v>
      </c>
      <c r="F9" s="197">
        <f t="shared" si="0"/>
        <v>5.3523193823639303</v>
      </c>
    </row>
    <row r="10" spans="1:7" ht="21.75" customHeight="1" x14ac:dyDescent="0.2">
      <c r="A10" s="185" t="s">
        <v>298</v>
      </c>
      <c r="B10" s="95">
        <f>+EDF!E84</f>
        <v>2197461.3749500006</v>
      </c>
      <c r="C10" s="95">
        <f>+EDF!I84</f>
        <v>1009076.4700000002</v>
      </c>
      <c r="D10" s="95">
        <f>+EDF!L84</f>
        <v>294933.78645000001</v>
      </c>
      <c r="E10" s="95">
        <f>+EDF!M84</f>
        <v>715764.06830000016</v>
      </c>
      <c r="F10" s="197">
        <f t="shared" si="0"/>
        <v>177687.05020000017</v>
      </c>
    </row>
    <row r="11" spans="1:7" ht="21.75" customHeight="1" x14ac:dyDescent="0.2">
      <c r="A11" s="94" t="s">
        <v>218</v>
      </c>
      <c r="B11" s="95">
        <f>'ST JOSEPH'!D17</f>
        <v>510715.38</v>
      </c>
      <c r="C11" s="95">
        <f>'ST JOSEPH'!H17</f>
        <v>364604.28</v>
      </c>
      <c r="D11" s="95">
        <f>'ST JOSEPH'!K17</f>
        <v>0</v>
      </c>
      <c r="E11" s="95">
        <f>'ST JOSEPH'!L17</f>
        <v>146111.1</v>
      </c>
      <c r="F11" s="197">
        <f t="shared" si="0"/>
        <v>0</v>
      </c>
    </row>
    <row r="12" spans="1:7" ht="21.75" customHeight="1" x14ac:dyDescent="0.2">
      <c r="A12" s="185" t="s">
        <v>299</v>
      </c>
      <c r="B12" s="95">
        <f>+'OFFICE DE L''EAU'!D15</f>
        <v>350572.66000000003</v>
      </c>
      <c r="C12" s="95">
        <f>+'OFFICE DE L''EAU'!H15</f>
        <v>225067.56</v>
      </c>
      <c r="D12" s="95">
        <f>+'OFFICE DE L''EAU'!K15</f>
        <v>125505.1</v>
      </c>
      <c r="E12" s="95">
        <f>+'OFFICE DE L''EAU'!L15</f>
        <v>0</v>
      </c>
      <c r="F12" s="197">
        <f t="shared" si="0"/>
        <v>0</v>
      </c>
    </row>
    <row r="13" spans="1:7" ht="21.75" customHeight="1" x14ac:dyDescent="0.2">
      <c r="A13" s="185" t="s">
        <v>296</v>
      </c>
      <c r="B13" s="95">
        <f>+ADEME!E10</f>
        <v>0</v>
      </c>
      <c r="C13" s="95">
        <f>+ADEME!I10</f>
        <v>25600</v>
      </c>
      <c r="D13" s="95">
        <f>+ADEME!L10</f>
        <v>0</v>
      </c>
      <c r="E13" s="95">
        <f>+ADEME!M10</f>
        <v>0</v>
      </c>
      <c r="F13" s="197">
        <f t="shared" si="0"/>
        <v>-25600</v>
      </c>
    </row>
    <row r="14" spans="1:7" ht="21.75" customHeight="1" x14ac:dyDescent="0.2">
      <c r="A14" s="185" t="s">
        <v>300</v>
      </c>
      <c r="B14" s="95">
        <f>+'ETANG-SALE'!D12</f>
        <v>1085000</v>
      </c>
      <c r="C14" s="95">
        <f>+'ETANG-SALE'!H12</f>
        <v>1627500</v>
      </c>
      <c r="D14" s="95">
        <f>+'ETANG-SALE'!K12</f>
        <v>1085000</v>
      </c>
      <c r="E14" s="95">
        <f>+'ETANG-SALE'!L12</f>
        <v>0</v>
      </c>
      <c r="F14" s="197">
        <f t="shared" si="0"/>
        <v>-1627500</v>
      </c>
    </row>
    <row r="15" spans="1:7" ht="21.75" customHeight="1" x14ac:dyDescent="0.2">
      <c r="A15" s="94" t="s">
        <v>94</v>
      </c>
      <c r="B15" s="95">
        <f>'PETITE ILE'!C17</f>
        <v>1924239.64</v>
      </c>
      <c r="C15" s="95">
        <f>'PETITE ILE'!G17</f>
        <v>1872435.32</v>
      </c>
      <c r="D15" s="95">
        <f>'PETITE ILE'!J17</f>
        <v>0</v>
      </c>
      <c r="E15" s="95">
        <f>'PETITE ILE'!K17</f>
        <v>46021.32</v>
      </c>
      <c r="F15" s="197">
        <f t="shared" si="0"/>
        <v>5782.9999999997672</v>
      </c>
    </row>
    <row r="16" spans="1:7" x14ac:dyDescent="0.2">
      <c r="A16" s="96" t="s">
        <v>102</v>
      </c>
      <c r="B16" s="97">
        <f>SUM(B4:B15)</f>
        <v>17818116.987269383</v>
      </c>
      <c r="C16" s="97">
        <f>SUM(C4:C15)</f>
        <v>14841171.6</v>
      </c>
      <c r="D16" s="97">
        <f>SUM(D4:D15)</f>
        <v>2166148.2064499999</v>
      </c>
      <c r="E16" s="97">
        <f>SUM(E4:E15)</f>
        <v>2059592.3983000002</v>
      </c>
      <c r="F16" s="186">
        <f>B16-(C16+D16+E16)</f>
        <v>-1248795.2174806148</v>
      </c>
    </row>
    <row r="18" spans="1:19" x14ac:dyDescent="0.2">
      <c r="E18" s="186">
        <v>26105888.269999996</v>
      </c>
      <c r="F18" t="s">
        <v>139</v>
      </c>
    </row>
    <row r="19" spans="1:19" x14ac:dyDescent="0.2">
      <c r="F19" s="232"/>
    </row>
    <row r="22" spans="1:19" ht="15.75" x14ac:dyDescent="0.25">
      <c r="B22" s="472" t="s">
        <v>220</v>
      </c>
      <c r="C22" s="472"/>
      <c r="D22" s="379" t="s">
        <v>117</v>
      </c>
      <c r="E22" s="379" t="s">
        <v>116</v>
      </c>
      <c r="F22" s="379" t="s">
        <v>418</v>
      </c>
      <c r="G22" s="379" t="s">
        <v>295</v>
      </c>
      <c r="H22" s="379" t="s">
        <v>95</v>
      </c>
      <c r="I22" s="379" t="s">
        <v>98</v>
      </c>
      <c r="J22" s="379" t="s">
        <v>417</v>
      </c>
      <c r="K22" s="379" t="s">
        <v>97</v>
      </c>
      <c r="L22" s="379" t="s">
        <v>96</v>
      </c>
      <c r="M22" s="379" t="s">
        <v>99</v>
      </c>
      <c r="N22" s="379" t="s">
        <v>296</v>
      </c>
      <c r="O22" s="379" t="s">
        <v>297</v>
      </c>
      <c r="P22" s="379" t="s">
        <v>298</v>
      </c>
      <c r="Q22" s="379" t="s">
        <v>299</v>
      </c>
      <c r="R22" s="379" t="s">
        <v>300</v>
      </c>
      <c r="S22" s="379" t="s">
        <v>301</v>
      </c>
    </row>
    <row r="23" spans="1:19" x14ac:dyDescent="0.2">
      <c r="B23" s="379">
        <v>2006</v>
      </c>
      <c r="C23" s="474">
        <f t="shared" ref="C23:C34" si="1">SUM(D23:Q23)</f>
        <v>1558057.8</v>
      </c>
      <c r="D23" s="471">
        <f>'FRAFU DEAL'!I157</f>
        <v>1558057.8</v>
      </c>
      <c r="E23" s="471">
        <v>0</v>
      </c>
      <c r="F23" s="471">
        <v>0</v>
      </c>
      <c r="G23" s="471">
        <v>0</v>
      </c>
      <c r="H23" s="471">
        <v>0</v>
      </c>
      <c r="I23" s="471">
        <v>0</v>
      </c>
      <c r="J23" s="471">
        <v>0</v>
      </c>
      <c r="K23" s="471">
        <v>0</v>
      </c>
      <c r="L23" s="471">
        <v>0</v>
      </c>
      <c r="M23" s="471">
        <v>0</v>
      </c>
      <c r="N23" s="471">
        <v>0</v>
      </c>
      <c r="O23" s="471">
        <v>0</v>
      </c>
      <c r="P23" s="471">
        <v>0</v>
      </c>
      <c r="Q23" s="471">
        <v>0</v>
      </c>
      <c r="R23" s="471"/>
      <c r="S23" s="471"/>
    </row>
    <row r="24" spans="1:19" x14ac:dyDescent="0.2">
      <c r="B24" s="379">
        <v>2007</v>
      </c>
      <c r="C24" s="474">
        <f t="shared" si="1"/>
        <v>170100</v>
      </c>
      <c r="D24" s="471">
        <f>'FRAFU DEAL'!I158</f>
        <v>170100</v>
      </c>
      <c r="E24" s="471">
        <f>'LBU DEAL'!J402</f>
        <v>0</v>
      </c>
      <c r="F24" s="471">
        <v>0</v>
      </c>
      <c r="G24" s="471">
        <v>0</v>
      </c>
      <c r="H24" s="471">
        <v>0</v>
      </c>
      <c r="I24" s="471">
        <v>0</v>
      </c>
      <c r="J24" s="471">
        <v>0</v>
      </c>
      <c r="K24" s="471">
        <v>0</v>
      </c>
      <c r="L24" s="471">
        <v>0</v>
      </c>
      <c r="M24" s="471">
        <v>0</v>
      </c>
      <c r="N24" s="471">
        <v>0</v>
      </c>
      <c r="O24" s="471">
        <v>0</v>
      </c>
      <c r="P24" s="471">
        <v>0</v>
      </c>
      <c r="Q24" s="471">
        <v>0</v>
      </c>
      <c r="R24" s="471"/>
      <c r="S24" s="471"/>
    </row>
    <row r="25" spans="1:19" x14ac:dyDescent="0.2">
      <c r="B25" s="379">
        <v>2010</v>
      </c>
      <c r="C25" s="474">
        <f t="shared" si="1"/>
        <v>2779598.56</v>
      </c>
      <c r="D25" s="471">
        <f>'FRAFU DEAL'!I159</f>
        <v>63180</v>
      </c>
      <c r="E25" s="471">
        <f>'LBU DEAL'!J403</f>
        <v>2578304.0300000003</v>
      </c>
      <c r="F25" s="471">
        <v>0</v>
      </c>
      <c r="G25" s="471">
        <v>0</v>
      </c>
      <c r="H25" s="471">
        <v>0</v>
      </c>
      <c r="I25" s="471">
        <v>0</v>
      </c>
      <c r="J25" s="471">
        <v>0</v>
      </c>
      <c r="K25" s="471">
        <v>0</v>
      </c>
      <c r="L25" s="471">
        <v>0</v>
      </c>
      <c r="M25" s="471">
        <f>+TCO!L21</f>
        <v>68000</v>
      </c>
      <c r="N25" s="471">
        <v>0</v>
      </c>
      <c r="O25" s="471">
        <v>0</v>
      </c>
      <c r="P25" s="471">
        <v>0</v>
      </c>
      <c r="Q25" s="471">
        <f>+'OFFICE DE L''EAU'!K19</f>
        <v>70114.53</v>
      </c>
      <c r="R25" s="471"/>
      <c r="S25" s="471"/>
    </row>
    <row r="26" spans="1:19" x14ac:dyDescent="0.2">
      <c r="B26" s="379">
        <v>2011</v>
      </c>
      <c r="C26" s="474">
        <f t="shared" si="1"/>
        <v>3985527.6</v>
      </c>
      <c r="D26" s="471">
        <f>'FRAFU DEAL'!I160</f>
        <v>1113274</v>
      </c>
      <c r="E26" s="471">
        <f>'LBU DEAL'!J404</f>
        <v>1379921.74</v>
      </c>
      <c r="F26" s="471">
        <v>0</v>
      </c>
      <c r="G26" s="471">
        <v>0</v>
      </c>
      <c r="H26" s="471">
        <v>0</v>
      </c>
      <c r="I26" s="471">
        <f>REGION!H34</f>
        <v>735403.9</v>
      </c>
      <c r="J26" s="471">
        <v>0</v>
      </c>
      <c r="K26" s="471">
        <v>0</v>
      </c>
      <c r="L26" s="471">
        <f>+FEDER!N18</f>
        <v>124127.96</v>
      </c>
      <c r="M26" s="471">
        <v>0</v>
      </c>
      <c r="N26" s="471">
        <f>ADEME!F34</f>
        <v>12800</v>
      </c>
      <c r="O26" s="471">
        <f>+'PETITE ILE'!J22</f>
        <v>620000</v>
      </c>
      <c r="P26" s="471">
        <v>0</v>
      </c>
      <c r="Q26" s="471">
        <v>0</v>
      </c>
      <c r="R26" s="471"/>
      <c r="S26" s="471"/>
    </row>
    <row r="27" spans="1:19" x14ac:dyDescent="0.2">
      <c r="B27" s="379">
        <v>2012</v>
      </c>
      <c r="C27" s="474">
        <f t="shared" si="1"/>
        <v>4881672.66</v>
      </c>
      <c r="D27" s="471">
        <f>'FRAFU DEAL'!I161</f>
        <v>1260319.3</v>
      </c>
      <c r="E27" s="471">
        <f>'LBU DEAL'!J405</f>
        <v>2290444.0999999996</v>
      </c>
      <c r="F27" s="471">
        <v>0</v>
      </c>
      <c r="G27" s="471">
        <f>'ST LEU'!K58</f>
        <v>369138.64</v>
      </c>
      <c r="H27" s="471">
        <f>CAF!L48</f>
        <v>28000</v>
      </c>
      <c r="I27" s="471">
        <f>REGION!H35</f>
        <v>0</v>
      </c>
      <c r="J27" s="471">
        <v>0</v>
      </c>
      <c r="K27" s="471">
        <v>0</v>
      </c>
      <c r="L27" s="471">
        <f>+FEDER!N19</f>
        <v>117869.62</v>
      </c>
      <c r="M27" s="471">
        <f>+TCO!L22</f>
        <v>204000</v>
      </c>
      <c r="N27" s="471">
        <f>ADEME!F35</f>
        <v>0</v>
      </c>
      <c r="O27" s="471">
        <f>+'PETITE ILE'!K23</f>
        <v>611901</v>
      </c>
      <c r="P27" s="471">
        <v>0</v>
      </c>
      <c r="Q27" s="471">
        <v>0</v>
      </c>
      <c r="R27" s="471"/>
      <c r="S27" s="471"/>
    </row>
    <row r="28" spans="1:19" x14ac:dyDescent="0.2">
      <c r="B28" s="379">
        <v>2013</v>
      </c>
      <c r="C28" s="474">
        <f t="shared" si="1"/>
        <v>6376229.2299999995</v>
      </c>
      <c r="D28" s="471">
        <f>'FRAFU DEAL'!I162</f>
        <v>2866858.28</v>
      </c>
      <c r="E28" s="471">
        <f>'LBU DEAL'!J406</f>
        <v>2713185.75</v>
      </c>
      <c r="F28" s="471">
        <v>0</v>
      </c>
      <c r="G28" s="471">
        <f>'ST LEU'!K59</f>
        <v>328396.61000000004</v>
      </c>
      <c r="H28" s="471">
        <f>CAF!L49</f>
        <v>175000</v>
      </c>
      <c r="I28" s="471">
        <f>REGION!H36</f>
        <v>205000</v>
      </c>
      <c r="J28" s="471">
        <v>0</v>
      </c>
      <c r="K28" s="471">
        <v>0</v>
      </c>
      <c r="L28" s="471">
        <v>0</v>
      </c>
      <c r="M28" s="471">
        <f>+TCO!L23</f>
        <v>87788.59</v>
      </c>
      <c r="N28" s="471">
        <f>ADEME!F36</f>
        <v>0</v>
      </c>
      <c r="O28" s="471">
        <v>0</v>
      </c>
      <c r="P28" s="471">
        <v>0</v>
      </c>
      <c r="Q28" s="471">
        <v>0</v>
      </c>
      <c r="R28" s="471"/>
      <c r="S28" s="471"/>
    </row>
    <row r="29" spans="1:19" x14ac:dyDescent="0.2">
      <c r="B29" s="379">
        <v>2014</v>
      </c>
      <c r="C29" s="474">
        <f t="shared" si="1"/>
        <v>8649914.7999999989</v>
      </c>
      <c r="D29" s="471">
        <f>'FRAFU DEAL'!I163</f>
        <v>2269922.3799999994</v>
      </c>
      <c r="E29" s="471">
        <f>'LBU DEAL'!J407</f>
        <v>2180533.38</v>
      </c>
      <c r="F29" s="471">
        <v>0</v>
      </c>
      <c r="G29" s="471">
        <f>'ST LEU'!K60</f>
        <v>3077009.68</v>
      </c>
      <c r="H29" s="471">
        <f>CAF!L50</f>
        <v>190000</v>
      </c>
      <c r="I29" s="471">
        <f>REGION!H37</f>
        <v>94683.18</v>
      </c>
      <c r="J29" s="471">
        <v>0</v>
      </c>
      <c r="K29" s="471">
        <v>0</v>
      </c>
      <c r="L29" s="471">
        <f>+FEDER!N20</f>
        <v>809277.2</v>
      </c>
      <c r="M29" s="471">
        <f>+TCO!L24</f>
        <v>20808.98</v>
      </c>
      <c r="N29" s="471">
        <f>ADEME!F37</f>
        <v>7680</v>
      </c>
      <c r="O29" s="471">
        <v>0</v>
      </c>
      <c r="P29" s="471">
        <v>0</v>
      </c>
      <c r="Q29" s="471">
        <v>0</v>
      </c>
      <c r="R29" s="471"/>
      <c r="S29" s="471"/>
    </row>
    <row r="30" spans="1:19" x14ac:dyDescent="0.2">
      <c r="B30" s="379">
        <v>2015</v>
      </c>
      <c r="C30" s="474">
        <f t="shared" si="1"/>
        <v>9923576.8300000001</v>
      </c>
      <c r="D30" s="471">
        <f>'FRAFU DEAL'!I164</f>
        <v>3264503.62</v>
      </c>
      <c r="E30" s="471">
        <f>'LBU DEAL'!J408</f>
        <v>3885594.4799999995</v>
      </c>
      <c r="F30" s="471">
        <v>0</v>
      </c>
      <c r="G30" s="471">
        <f>'ST LEU'!K61</f>
        <v>443115.66000000003</v>
      </c>
      <c r="H30" s="471">
        <f>CAF!L51</f>
        <v>269500</v>
      </c>
      <c r="I30" s="471">
        <f>REGION!H38</f>
        <v>544244.53</v>
      </c>
      <c r="J30" s="471">
        <v>0</v>
      </c>
      <c r="K30" s="471">
        <f>DIECCTE!E7</f>
        <v>66848.639999999999</v>
      </c>
      <c r="L30" s="471">
        <f>+FEDER!N21</f>
        <v>499678.77</v>
      </c>
      <c r="M30" s="471">
        <f>+TCO!L25</f>
        <v>70000</v>
      </c>
      <c r="N30" s="471">
        <f>ADEME!F38</f>
        <v>5120</v>
      </c>
      <c r="O30" s="471">
        <f>+'PETITE ILE'!J24</f>
        <v>594513</v>
      </c>
      <c r="P30" s="471">
        <v>0</v>
      </c>
      <c r="Q30" s="471">
        <f>+'OFFICE DE L''EAU'!K20</f>
        <v>280458.13</v>
      </c>
      <c r="R30" s="471">
        <f>+'ETANG-SALE'!E12</f>
        <v>1085000</v>
      </c>
      <c r="S30" s="471"/>
    </row>
    <row r="31" spans="1:19" x14ac:dyDescent="0.2">
      <c r="B31" s="379">
        <v>2016</v>
      </c>
      <c r="C31" s="474">
        <f t="shared" si="1"/>
        <v>5882024.6032000007</v>
      </c>
      <c r="D31" s="471">
        <f>'FRAFU DEAL'!I165</f>
        <v>3128172.4920000001</v>
      </c>
      <c r="E31" s="471">
        <f>'LBU DEAL'!J409</f>
        <v>2177727.7512000003</v>
      </c>
      <c r="F31" s="471">
        <v>0</v>
      </c>
      <c r="G31" s="471">
        <f>'ST LEU'!K62</f>
        <v>0</v>
      </c>
      <c r="H31" s="471">
        <f>CAF!L52</f>
        <v>135000</v>
      </c>
      <c r="I31" s="471">
        <f>REGION!H39</f>
        <v>205000</v>
      </c>
      <c r="J31" s="471">
        <v>0</v>
      </c>
      <c r="K31" s="471">
        <v>0</v>
      </c>
      <c r="L31" s="471">
        <f>+FEDER!N22</f>
        <v>0</v>
      </c>
      <c r="M31" s="471">
        <v>0</v>
      </c>
      <c r="N31" s="471">
        <f>ADEME!F39</f>
        <v>0</v>
      </c>
      <c r="O31" s="471">
        <f>+'PETITE ILE'!J25</f>
        <v>0</v>
      </c>
      <c r="P31" s="471">
        <f>+EDF!L88</f>
        <v>236124.36</v>
      </c>
      <c r="Q31" s="471">
        <v>0</v>
      </c>
      <c r="R31" s="471"/>
      <c r="S31" s="471">
        <f>+'ST JOSEPH'!K21</f>
        <v>109246.59</v>
      </c>
    </row>
    <row r="32" spans="1:19" x14ac:dyDescent="0.2">
      <c r="A32" s="549">
        <f>C32/C31</f>
        <v>1.0827911090910887</v>
      </c>
      <c r="B32" s="379">
        <v>2017</v>
      </c>
      <c r="C32" s="474">
        <f t="shared" si="1"/>
        <v>6369003.9437999995</v>
      </c>
      <c r="D32" s="471">
        <f>'FRAFU DEAL'!I166</f>
        <v>1630791.08</v>
      </c>
      <c r="E32" s="471">
        <f>'LBU DEAL'!J410</f>
        <v>3905691.3887999998</v>
      </c>
      <c r="F32" s="471">
        <v>0</v>
      </c>
      <c r="G32" s="471">
        <f>'ST LEU'!K63</f>
        <v>41383.379999999997</v>
      </c>
      <c r="H32" s="471">
        <f>CAF!L53</f>
        <v>288000</v>
      </c>
      <c r="I32" s="471">
        <f>REGION!H40</f>
        <v>0</v>
      </c>
      <c r="J32" s="471">
        <v>0</v>
      </c>
      <c r="K32" s="471">
        <v>0</v>
      </c>
      <c r="L32" s="471">
        <f>+FEDER!N23</f>
        <v>0</v>
      </c>
      <c r="M32" s="471">
        <v>0</v>
      </c>
      <c r="N32" s="471">
        <f>ADEME!F40</f>
        <v>7700</v>
      </c>
      <c r="O32" s="471">
        <v>0</v>
      </c>
      <c r="P32" s="471">
        <f>+EDF!L89</f>
        <v>495438.09499999997</v>
      </c>
      <c r="Q32" s="471">
        <v>0</v>
      </c>
      <c r="R32" s="471"/>
      <c r="S32" s="471">
        <f>+'ST JOSEPH'!K22</f>
        <v>146111.1</v>
      </c>
    </row>
    <row r="33" spans="1:19" x14ac:dyDescent="0.2">
      <c r="A33" s="549"/>
      <c r="B33" s="379">
        <v>2018</v>
      </c>
      <c r="C33" s="474">
        <f t="shared" si="1"/>
        <v>7887775.3044500006</v>
      </c>
      <c r="D33" s="471">
        <f>'FRAFU DEAL'!I167</f>
        <v>1325881.7780000002</v>
      </c>
      <c r="E33" s="471">
        <f>'LBU DEAL'!J411</f>
        <v>3811521.15</v>
      </c>
      <c r="F33" s="471">
        <f>'LBU REHAB'!J54</f>
        <v>244390</v>
      </c>
      <c r="G33" s="471">
        <f>'ST LEU'!K64</f>
        <v>0</v>
      </c>
      <c r="H33" s="471">
        <f>CAF!L54</f>
        <v>124500</v>
      </c>
      <c r="I33" s="471">
        <f>REGION!H41</f>
        <v>941484.5</v>
      </c>
      <c r="J33" s="471">
        <f>RECTORAT!H7+RECTORAT!H11</f>
        <v>941484.5</v>
      </c>
      <c r="K33" s="471">
        <v>0</v>
      </c>
      <c r="L33" s="471">
        <v>0</v>
      </c>
      <c r="M33" s="471">
        <v>0</v>
      </c>
      <c r="N33" s="471">
        <f>ADEME!F41</f>
        <v>16660</v>
      </c>
      <c r="O33" s="471">
        <f>+'PETITE ILE'!J26</f>
        <v>46021.32</v>
      </c>
      <c r="P33" s="471">
        <f>+EDF!L90</f>
        <v>435832.05645000003</v>
      </c>
      <c r="Q33" s="471"/>
      <c r="R33" s="471">
        <f>'ETANG-SALE'!E8+'ETANG-SALE'!E10</f>
        <v>1085000</v>
      </c>
      <c r="S33" s="471">
        <f>+'ST JOSEPH'!K23</f>
        <v>109246.59</v>
      </c>
    </row>
    <row r="34" spans="1:19" x14ac:dyDescent="0.2">
      <c r="A34" s="549"/>
      <c r="B34" s="379">
        <v>2019</v>
      </c>
      <c r="C34" s="474">
        <f t="shared" si="1"/>
        <v>1335940.6099999999</v>
      </c>
      <c r="D34" s="471">
        <f>'FRAFU DEAL'!I168</f>
        <v>136252.47999999998</v>
      </c>
      <c r="E34" s="471">
        <f>'LBU DEAL'!J412</f>
        <v>1060448.2</v>
      </c>
      <c r="F34" s="471">
        <f>'LBU REHAB'!J55</f>
        <v>0</v>
      </c>
      <c r="G34" s="471">
        <v>0</v>
      </c>
      <c r="H34" s="471">
        <v>0</v>
      </c>
      <c r="I34" s="471">
        <f>REGION!H42</f>
        <v>0</v>
      </c>
      <c r="J34" s="471"/>
      <c r="K34" s="471">
        <v>0</v>
      </c>
      <c r="L34" s="471">
        <v>0</v>
      </c>
      <c r="M34" s="471">
        <v>0</v>
      </c>
      <c r="N34" s="471">
        <f>ADEME!F42</f>
        <v>1575</v>
      </c>
      <c r="O34" s="471">
        <f>'PETITE ILE'!J27</f>
        <v>0</v>
      </c>
      <c r="P34" s="471">
        <f>EDF!L91</f>
        <v>137664.93</v>
      </c>
      <c r="Q34" s="471"/>
      <c r="R34" s="471"/>
      <c r="S34" s="471"/>
    </row>
    <row r="35" spans="1:19" x14ac:dyDescent="0.2">
      <c r="B35" s="378"/>
      <c r="C35" s="473">
        <f>SUM(C23:C34)</f>
        <v>59799421.94145</v>
      </c>
      <c r="D35" s="473">
        <f t="shared" ref="D35:M35" si="2">SUM(D23:D34)</f>
        <v>18787313.210000001</v>
      </c>
      <c r="E35" s="473">
        <f t="shared" si="2"/>
        <v>25983371.969999999</v>
      </c>
      <c r="F35" s="473"/>
      <c r="G35" s="473">
        <f t="shared" si="2"/>
        <v>4259043.97</v>
      </c>
      <c r="H35" s="473">
        <f t="shared" si="2"/>
        <v>1210000</v>
      </c>
      <c r="I35" s="473">
        <f t="shared" si="2"/>
        <v>2725816.1100000003</v>
      </c>
      <c r="J35" s="473">
        <f t="shared" si="2"/>
        <v>941484.5</v>
      </c>
      <c r="K35" s="473">
        <f t="shared" si="2"/>
        <v>66848.639999999999</v>
      </c>
      <c r="L35" s="473">
        <f t="shared" si="2"/>
        <v>1550953.55</v>
      </c>
      <c r="M35" s="473">
        <f t="shared" si="2"/>
        <v>450597.56999999995</v>
      </c>
      <c r="N35" s="473">
        <f>SUM(N23:N34)</f>
        <v>51535</v>
      </c>
      <c r="O35" s="473">
        <f t="shared" ref="O35:S35" si="3">SUM(O23:O34)</f>
        <v>1872435.32</v>
      </c>
      <c r="P35" s="473">
        <f t="shared" si="3"/>
        <v>1305059.44145</v>
      </c>
      <c r="Q35" s="473">
        <f t="shared" si="3"/>
        <v>350572.66000000003</v>
      </c>
      <c r="R35" s="473">
        <f t="shared" si="3"/>
        <v>2170000</v>
      </c>
      <c r="S35" s="473">
        <f t="shared" si="3"/>
        <v>364604.28</v>
      </c>
    </row>
    <row r="36" spans="1:19" s="465" customFormat="1" x14ac:dyDescent="0.2">
      <c r="B36" s="463"/>
      <c r="C36" s="463"/>
      <c r="D36" s="464">
        <f>D35-'FRAFU DEAL'!I169</f>
        <v>0</v>
      </c>
      <c r="E36" s="464">
        <f>E35-'LBU DEAL'!J413</f>
        <v>1060448.1999999993</v>
      </c>
      <c r="F36" s="464"/>
      <c r="G36" s="464">
        <f>G35-'ST LEU'!K65</f>
        <v>0</v>
      </c>
      <c r="H36" s="464">
        <f>H35-CAF!L55</f>
        <v>0</v>
      </c>
      <c r="I36" s="464">
        <f>I35-REGION!$H$43</f>
        <v>0</v>
      </c>
      <c r="J36" s="909"/>
      <c r="L36" s="186">
        <f>+L35-FEDER!N24</f>
        <v>0</v>
      </c>
      <c r="M36" s="186">
        <f>+M35-TCO!L26</f>
        <v>0</v>
      </c>
      <c r="N36" s="186">
        <f>+N35-ADEME!F31</f>
        <v>0</v>
      </c>
      <c r="O36" s="186">
        <f>+O35-'PETITE ILE'!J28</f>
        <v>0</v>
      </c>
      <c r="P36" s="186">
        <f>+P35-EDF!L92</f>
        <v>0</v>
      </c>
      <c r="Q36" s="186">
        <f>+Q35-'OFFICE DE L''EAU'!K21</f>
        <v>0</v>
      </c>
      <c r="R36" s="186">
        <f>+R35-'ETANG-SALE'!E12</f>
        <v>1085000</v>
      </c>
      <c r="S36" s="186">
        <f>+S35-'ST JOSEPH'!K25</f>
        <v>0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rgb="FF00B050"/>
  </sheetPr>
  <dimension ref="A1:S288"/>
  <sheetViews>
    <sheetView view="pageBreakPreview" zoomScaleNormal="70" zoomScaleSheetLayoutView="100" workbookViewId="0">
      <pane xSplit="1" ySplit="5" topLeftCell="B53" activePane="bottomRight" state="frozen"/>
      <selection pane="topRight" activeCell="B1" sqref="B1"/>
      <selection pane="bottomLeft" activeCell="A6" sqref="A6"/>
      <selection pane="bottomRight" activeCell="A146" sqref="A146"/>
    </sheetView>
  </sheetViews>
  <sheetFormatPr baseColWidth="10" defaultColWidth="11.42578125" defaultRowHeight="12" outlineLevelRow="1" x14ac:dyDescent="0.2"/>
  <cols>
    <col min="1" max="1" width="36.7109375" style="6" customWidth="1"/>
    <col min="2" max="2" width="24.28515625" style="6" customWidth="1"/>
    <col min="3" max="3" width="14" style="1" customWidth="1"/>
    <col min="4" max="4" width="14.5703125" style="1" customWidth="1"/>
    <col min="5" max="5" width="14.28515625" style="1" customWidth="1"/>
    <col min="6" max="6" width="18.140625" style="1" customWidth="1"/>
    <col min="7" max="7" width="16" style="1" customWidth="1"/>
    <col min="8" max="8" width="16.42578125" style="1" customWidth="1"/>
    <col min="9" max="9" width="15.5703125" style="1" customWidth="1"/>
    <col min="10" max="10" width="4.140625" style="6" bestFit="1" customWidth="1"/>
    <col min="11" max="11" width="12.7109375" style="1" customWidth="1"/>
    <col min="12" max="12" width="17.42578125" style="1" customWidth="1"/>
    <col min="13" max="13" width="10.42578125" style="83" bestFit="1" customWidth="1"/>
    <col min="14" max="14" width="18.5703125" style="77" bestFit="1" customWidth="1"/>
    <col min="15" max="15" width="17.5703125" style="1" customWidth="1"/>
    <col min="16" max="17" width="18.7109375" style="1" customWidth="1"/>
    <col min="18" max="18" width="23.85546875" style="161" customWidth="1"/>
    <col min="19" max="16384" width="11.42578125" style="1"/>
  </cols>
  <sheetData>
    <row r="1" spans="1:19" x14ac:dyDescent="0.2">
      <c r="N1" s="91"/>
    </row>
    <row r="2" spans="1:19" x14ac:dyDescent="0.2">
      <c r="A2" s="923" t="s">
        <v>108</v>
      </c>
      <c r="B2" s="923"/>
      <c r="C2" s="923"/>
      <c r="D2" s="923"/>
      <c r="E2" s="923"/>
      <c r="F2" s="923"/>
      <c r="G2" s="923"/>
      <c r="H2" s="923"/>
      <c r="I2" s="923"/>
      <c r="J2" s="923"/>
      <c r="K2" s="923"/>
      <c r="L2" s="923"/>
      <c r="M2" s="923"/>
      <c r="N2" s="923"/>
      <c r="O2" s="923"/>
      <c r="P2" s="9">
        <f ca="1">TODAY()</f>
        <v>43593</v>
      </c>
      <c r="Q2" s="9"/>
      <c r="R2" s="162"/>
    </row>
    <row r="3" spans="1:19" x14ac:dyDescent="0.2">
      <c r="R3" s="162"/>
    </row>
    <row r="4" spans="1:19" s="2" customFormat="1" x14ac:dyDescent="0.2">
      <c r="A4" s="237"/>
      <c r="B4" s="307"/>
      <c r="C4" s="236"/>
      <c r="D4" s="116"/>
      <c r="E4" s="116"/>
      <c r="F4" s="116"/>
      <c r="G4" s="116"/>
      <c r="H4" s="236"/>
      <c r="I4" s="924" t="s">
        <v>4</v>
      </c>
      <c r="J4" s="925"/>
      <c r="K4" s="925"/>
      <c r="L4" s="925"/>
      <c r="M4" s="925"/>
      <c r="N4" s="926"/>
      <c r="O4" s="927" t="s">
        <v>13</v>
      </c>
      <c r="P4" s="928"/>
      <c r="Q4" s="3" t="s">
        <v>107</v>
      </c>
      <c r="R4" s="162"/>
      <c r="S4" s="63"/>
    </row>
    <row r="5" spans="1:19" s="230" customFormat="1" ht="24" x14ac:dyDescent="0.2">
      <c r="A5" s="238" t="s">
        <v>2</v>
      </c>
      <c r="B5" s="308"/>
      <c r="C5" s="172" t="s">
        <v>21</v>
      </c>
      <c r="D5" s="172" t="s">
        <v>121</v>
      </c>
      <c r="E5" s="172" t="s">
        <v>228</v>
      </c>
      <c r="F5" s="172" t="s">
        <v>120</v>
      </c>
      <c r="G5" s="172" t="s">
        <v>111</v>
      </c>
      <c r="H5" s="171" t="s">
        <v>12</v>
      </c>
      <c r="I5" s="239" t="s">
        <v>1</v>
      </c>
      <c r="J5" s="240" t="s">
        <v>3</v>
      </c>
      <c r="K5" s="240" t="s">
        <v>15</v>
      </c>
      <c r="L5" s="241" t="s">
        <v>14</v>
      </c>
      <c r="M5" s="242" t="s">
        <v>15</v>
      </c>
      <c r="N5" s="243" t="s">
        <v>18</v>
      </c>
      <c r="O5" s="244" t="s">
        <v>20</v>
      </c>
      <c r="P5" s="244" t="s">
        <v>19</v>
      </c>
      <c r="Q5" s="244"/>
      <c r="R5" s="245"/>
    </row>
    <row r="6" spans="1:19" s="107" customFormat="1" ht="12.2" customHeight="1" x14ac:dyDescent="0.2">
      <c r="A6" s="325" t="s">
        <v>78</v>
      </c>
      <c r="B6" s="439"/>
      <c r="C6" s="326">
        <v>40506</v>
      </c>
      <c r="D6" s="326">
        <f>DATE(YEAR(C6)+2,MONTH(C6),DAY(C6))</f>
        <v>41237</v>
      </c>
      <c r="E6" s="326">
        <v>40945</v>
      </c>
      <c r="F6" s="326">
        <f>DATE(YEAR(E6)+4,MONTH(E6),DAY(E6))</f>
        <v>42406</v>
      </c>
      <c r="G6" s="326">
        <v>41669</v>
      </c>
      <c r="H6" s="327">
        <v>555000</v>
      </c>
      <c r="I6" s="328"/>
      <c r="J6" s="329"/>
      <c r="K6" s="326"/>
      <c r="L6" s="330">
        <f>SUM(L7:L12)</f>
        <v>555000</v>
      </c>
      <c r="M6" s="331"/>
      <c r="N6" s="425"/>
      <c r="O6" s="333">
        <f>SUM(O7:O12)</f>
        <v>0</v>
      </c>
      <c r="P6" s="333">
        <f>SUM(P7:P12)</f>
        <v>0</v>
      </c>
      <c r="Q6" s="333"/>
      <c r="R6" s="163">
        <f>H6-(L6+O6+P6)</f>
        <v>0</v>
      </c>
    </row>
    <row r="7" spans="1:19" s="26" customFormat="1" ht="12.2" hidden="1" customHeight="1" outlineLevel="1" x14ac:dyDescent="0.2">
      <c r="A7" s="334" t="s">
        <v>78</v>
      </c>
      <c r="B7" s="434"/>
      <c r="C7" s="347"/>
      <c r="D7" s="347"/>
      <c r="E7" s="347"/>
      <c r="F7" s="347"/>
      <c r="G7" s="347"/>
      <c r="H7" s="355"/>
      <c r="I7" s="349">
        <v>242850</v>
      </c>
      <c r="J7" s="350">
        <v>1</v>
      </c>
      <c r="K7" s="347">
        <v>40648</v>
      </c>
      <c r="L7" s="351">
        <v>242850</v>
      </c>
      <c r="M7" s="352">
        <v>40787</v>
      </c>
      <c r="N7" s="410">
        <f t="shared" ref="N7:N12" si="0">IF(M7="",$P$2-K7,M7-K7)</f>
        <v>139</v>
      </c>
      <c r="O7" s="354" t="str">
        <f t="shared" ref="O7:O12" si="1">IF(L7="en attente",I7,"")</f>
        <v/>
      </c>
      <c r="P7" s="354">
        <f t="shared" ref="P7:P12" si="2">IF(K7="",I7-L7,0)</f>
        <v>0</v>
      </c>
      <c r="Q7" s="354"/>
      <c r="R7" s="163"/>
    </row>
    <row r="8" spans="1:19" s="26" customFormat="1" ht="12.2" hidden="1" customHeight="1" outlineLevel="1" x14ac:dyDescent="0.2">
      <c r="A8" s="334" t="s">
        <v>78</v>
      </c>
      <c r="B8" s="434"/>
      <c r="C8" s="347"/>
      <c r="D8" s="347"/>
      <c r="E8" s="347"/>
      <c r="F8" s="347"/>
      <c r="G8" s="347"/>
      <c r="H8" s="440"/>
      <c r="I8" s="349">
        <v>45966.39</v>
      </c>
      <c r="J8" s="350">
        <v>2</v>
      </c>
      <c r="K8" s="347">
        <v>41073</v>
      </c>
      <c r="L8" s="351">
        <v>45966.39</v>
      </c>
      <c r="M8" s="352">
        <v>41170</v>
      </c>
      <c r="N8" s="410">
        <f t="shared" si="0"/>
        <v>97</v>
      </c>
      <c r="O8" s="354" t="str">
        <f t="shared" si="1"/>
        <v/>
      </c>
      <c r="P8" s="354">
        <f t="shared" si="2"/>
        <v>0</v>
      </c>
      <c r="Q8" s="354"/>
      <c r="R8" s="163"/>
    </row>
    <row r="9" spans="1:19" s="26" customFormat="1" ht="12.2" hidden="1" customHeight="1" outlineLevel="1" x14ac:dyDescent="0.2">
      <c r="A9" s="334" t="s">
        <v>78</v>
      </c>
      <c r="B9" s="434"/>
      <c r="C9" s="347"/>
      <c r="D9" s="347"/>
      <c r="E9" s="347"/>
      <c r="F9" s="347"/>
      <c r="G9" s="347"/>
      <c r="H9" s="440"/>
      <c r="I9" s="349">
        <v>45329.07</v>
      </c>
      <c r="J9" s="350">
        <v>3</v>
      </c>
      <c r="K9" s="347">
        <v>41143</v>
      </c>
      <c r="L9" s="351">
        <v>45329.07</v>
      </c>
      <c r="M9" s="352">
        <v>41187</v>
      </c>
      <c r="N9" s="410">
        <f t="shared" si="0"/>
        <v>44</v>
      </c>
      <c r="O9" s="354" t="str">
        <f t="shared" si="1"/>
        <v/>
      </c>
      <c r="P9" s="354">
        <f t="shared" si="2"/>
        <v>0</v>
      </c>
      <c r="Q9" s="354"/>
      <c r="R9" s="163"/>
    </row>
    <row r="10" spans="1:19" s="26" customFormat="1" ht="12.2" hidden="1" customHeight="1" outlineLevel="1" x14ac:dyDescent="0.2">
      <c r="A10" s="334" t="s">
        <v>78</v>
      </c>
      <c r="B10" s="434"/>
      <c r="C10" s="347"/>
      <c r="D10" s="347"/>
      <c r="E10" s="347"/>
      <c r="F10" s="347"/>
      <c r="G10" s="347"/>
      <c r="H10" s="440"/>
      <c r="I10" s="349">
        <v>70348.05</v>
      </c>
      <c r="J10" s="350">
        <v>4</v>
      </c>
      <c r="K10" s="347">
        <v>41192</v>
      </c>
      <c r="L10" s="351">
        <v>70348.05</v>
      </c>
      <c r="M10" s="352">
        <v>41243</v>
      </c>
      <c r="N10" s="410">
        <f t="shared" si="0"/>
        <v>51</v>
      </c>
      <c r="O10" s="354" t="str">
        <f t="shared" si="1"/>
        <v/>
      </c>
      <c r="P10" s="354">
        <f t="shared" si="2"/>
        <v>0</v>
      </c>
      <c r="Q10" s="354"/>
      <c r="R10" s="163"/>
    </row>
    <row r="11" spans="1:19" s="26" customFormat="1" ht="12.2" hidden="1" customHeight="1" outlineLevel="1" x14ac:dyDescent="0.2">
      <c r="A11" s="334" t="s">
        <v>78</v>
      </c>
      <c r="B11" s="434"/>
      <c r="C11" s="347"/>
      <c r="D11" s="347"/>
      <c r="E11" s="347"/>
      <c r="F11" s="347"/>
      <c r="G11" s="347"/>
      <c r="H11" s="355"/>
      <c r="I11" s="349">
        <v>40785.4</v>
      </c>
      <c r="J11" s="350">
        <v>5</v>
      </c>
      <c r="K11" s="347">
        <v>41387</v>
      </c>
      <c r="L11" s="351">
        <v>40785.4</v>
      </c>
      <c r="M11" s="352">
        <v>41551</v>
      </c>
      <c r="N11" s="410">
        <f t="shared" si="0"/>
        <v>164</v>
      </c>
      <c r="O11" s="354" t="str">
        <f t="shared" si="1"/>
        <v/>
      </c>
      <c r="P11" s="354">
        <f t="shared" si="2"/>
        <v>0</v>
      </c>
      <c r="Q11" s="354"/>
      <c r="R11" s="163"/>
    </row>
    <row r="12" spans="1:19" s="26" customFormat="1" ht="12.2" hidden="1" customHeight="1" outlineLevel="1" x14ac:dyDescent="0.2">
      <c r="A12" s="334" t="s">
        <v>78</v>
      </c>
      <c r="B12" s="434"/>
      <c r="C12" s="347"/>
      <c r="D12" s="347"/>
      <c r="E12" s="347"/>
      <c r="F12" s="347"/>
      <c r="G12" s="347"/>
      <c r="H12" s="355"/>
      <c r="I12" s="355">
        <v>109721.09</v>
      </c>
      <c r="J12" s="350">
        <v>6</v>
      </c>
      <c r="K12" s="347">
        <v>41957</v>
      </c>
      <c r="L12" s="351">
        <v>109721.09</v>
      </c>
      <c r="M12" s="352">
        <v>42104</v>
      </c>
      <c r="N12" s="410">
        <f t="shared" si="0"/>
        <v>147</v>
      </c>
      <c r="O12" s="354" t="str">
        <f t="shared" si="1"/>
        <v/>
      </c>
      <c r="P12" s="354">
        <f t="shared" si="2"/>
        <v>0</v>
      </c>
      <c r="Q12" s="354"/>
      <c r="R12" s="163"/>
    </row>
    <row r="13" spans="1:19" s="107" customFormat="1" ht="12.2" customHeight="1" collapsed="1" x14ac:dyDescent="0.2">
      <c r="A13" s="325" t="s">
        <v>73</v>
      </c>
      <c r="B13" s="439"/>
      <c r="C13" s="326">
        <v>40491</v>
      </c>
      <c r="D13" s="326">
        <f>DATE(YEAR(C13)+2,MONTH(C13),DAY(C13))</f>
        <v>41222</v>
      </c>
      <c r="E13" s="326">
        <v>40939</v>
      </c>
      <c r="F13" s="326">
        <f>DATE(YEAR(E13)+4,MONTH(E13),DAY(E13))</f>
        <v>42400</v>
      </c>
      <c r="G13" s="326">
        <v>41709</v>
      </c>
      <c r="H13" s="327">
        <v>400000</v>
      </c>
      <c r="I13" s="328"/>
      <c r="J13" s="329"/>
      <c r="K13" s="326"/>
      <c r="L13" s="330">
        <f>SUM(L14:L19)</f>
        <v>400000</v>
      </c>
      <c r="M13" s="331"/>
      <c r="N13" s="425"/>
      <c r="O13" s="333">
        <f>SUM(O14:O19)</f>
        <v>0</v>
      </c>
      <c r="P13" s="333">
        <f>SUM(P14:P19)</f>
        <v>0</v>
      </c>
      <c r="Q13" s="333"/>
      <c r="R13" s="163">
        <f>H13-(L13+O13+P13)</f>
        <v>0</v>
      </c>
    </row>
    <row r="14" spans="1:19" s="26" customFormat="1" ht="12.2" hidden="1" customHeight="1" outlineLevel="1" x14ac:dyDescent="0.2">
      <c r="A14" s="334" t="s">
        <v>73</v>
      </c>
      <c r="B14" s="433"/>
      <c r="C14" s="347"/>
      <c r="D14" s="347"/>
      <c r="E14" s="347"/>
      <c r="F14" s="347"/>
      <c r="G14" s="347"/>
      <c r="H14" s="348">
        <f>I14/$H$13</f>
        <v>0.23730000000000001</v>
      </c>
      <c r="I14" s="349">
        <v>94920</v>
      </c>
      <c r="J14" s="350">
        <v>1</v>
      </c>
      <c r="K14" s="347">
        <v>40561</v>
      </c>
      <c r="L14" s="351">
        <v>94920</v>
      </c>
      <c r="M14" s="352">
        <v>40877</v>
      </c>
      <c r="N14" s="410">
        <f t="shared" ref="N14:N56" si="3">IF(M14="",$P$2-K14,M14-K14)</f>
        <v>316</v>
      </c>
      <c r="O14" s="354" t="str">
        <f t="shared" ref="O14:O31" si="4">IF(L14="en attente",I14,"")</f>
        <v/>
      </c>
      <c r="P14" s="354">
        <f t="shared" ref="P14:P21" si="5">IF(K14="",I14-L14,0)</f>
        <v>0</v>
      </c>
      <c r="Q14" s="354"/>
      <c r="R14" s="163"/>
    </row>
    <row r="15" spans="1:19" s="26" customFormat="1" ht="11.25" hidden="1" customHeight="1" outlineLevel="1" x14ac:dyDescent="0.2">
      <c r="A15" s="334" t="s">
        <v>73</v>
      </c>
      <c r="B15" s="434"/>
      <c r="C15" s="347"/>
      <c r="D15" s="347"/>
      <c r="E15" s="347"/>
      <c r="F15" s="347"/>
      <c r="G15" s="347"/>
      <c r="H15" s="348">
        <f>I15/$H$13+H14</f>
        <v>0.41492249999999997</v>
      </c>
      <c r="I15" s="349">
        <v>71049</v>
      </c>
      <c r="J15" s="350">
        <v>2</v>
      </c>
      <c r="K15" s="347">
        <v>41143</v>
      </c>
      <c r="L15" s="351">
        <v>71049</v>
      </c>
      <c r="M15" s="352">
        <v>41257</v>
      </c>
      <c r="N15" s="410">
        <f t="shared" si="3"/>
        <v>114</v>
      </c>
      <c r="O15" s="354" t="str">
        <f t="shared" si="4"/>
        <v/>
      </c>
      <c r="P15" s="354">
        <f t="shared" si="5"/>
        <v>0</v>
      </c>
      <c r="Q15" s="354"/>
      <c r="R15" s="163"/>
    </row>
    <row r="16" spans="1:19" s="26" customFormat="1" ht="12.2" hidden="1" customHeight="1" outlineLevel="1" x14ac:dyDescent="0.2">
      <c r="A16" s="334" t="s">
        <v>73</v>
      </c>
      <c r="B16" s="434"/>
      <c r="C16" s="347"/>
      <c r="D16" s="347"/>
      <c r="E16" s="347"/>
      <c r="F16" s="347"/>
      <c r="G16" s="347"/>
      <c r="H16" s="348">
        <f>I16/$H$13+H15</f>
        <v>0.54004782499999993</v>
      </c>
      <c r="I16" s="349">
        <v>50050.13</v>
      </c>
      <c r="J16" s="350">
        <v>3</v>
      </c>
      <c r="K16" s="347">
        <v>41191</v>
      </c>
      <c r="L16" s="351">
        <v>50050.13</v>
      </c>
      <c r="M16" s="352">
        <v>41987</v>
      </c>
      <c r="N16" s="410">
        <f t="shared" si="3"/>
        <v>796</v>
      </c>
      <c r="O16" s="354" t="str">
        <f t="shared" si="4"/>
        <v/>
      </c>
      <c r="P16" s="354">
        <f t="shared" si="5"/>
        <v>0</v>
      </c>
      <c r="Q16" s="354"/>
      <c r="R16" s="163"/>
    </row>
    <row r="17" spans="1:18" s="26" customFormat="1" ht="12.2" hidden="1" customHeight="1" outlineLevel="1" x14ac:dyDescent="0.2">
      <c r="A17" s="334" t="s">
        <v>73</v>
      </c>
      <c r="B17" s="434"/>
      <c r="C17" s="347"/>
      <c r="D17" s="347"/>
      <c r="E17" s="347"/>
      <c r="F17" s="347"/>
      <c r="G17" s="347"/>
      <c r="H17" s="348">
        <f>I17/$H$13+H16</f>
        <v>0.65286377499999992</v>
      </c>
      <c r="I17" s="349">
        <v>45126.38</v>
      </c>
      <c r="J17" s="350">
        <v>4</v>
      </c>
      <c r="K17" s="347">
        <v>41361</v>
      </c>
      <c r="L17" s="351">
        <v>45126.38</v>
      </c>
      <c r="M17" s="352">
        <v>41508</v>
      </c>
      <c r="N17" s="410">
        <f t="shared" si="3"/>
        <v>147</v>
      </c>
      <c r="O17" s="354" t="str">
        <f t="shared" si="4"/>
        <v/>
      </c>
      <c r="P17" s="354">
        <f t="shared" si="5"/>
        <v>0</v>
      </c>
      <c r="Q17" s="354"/>
      <c r="R17" s="163"/>
    </row>
    <row r="18" spans="1:18" s="26" customFormat="1" ht="12" hidden="1" customHeight="1" outlineLevel="1" x14ac:dyDescent="0.2">
      <c r="A18" s="334" t="s">
        <v>73</v>
      </c>
      <c r="B18" s="434"/>
      <c r="C18" s="347"/>
      <c r="D18" s="347"/>
      <c r="E18" s="347"/>
      <c r="F18" s="347"/>
      <c r="G18" s="347"/>
      <c r="H18" s="348">
        <f>I18/$H$13+H17</f>
        <v>0.7868040999999999</v>
      </c>
      <c r="I18" s="349">
        <v>53576.13</v>
      </c>
      <c r="J18" s="350">
        <v>5</v>
      </c>
      <c r="K18" s="347">
        <v>41549</v>
      </c>
      <c r="L18" s="351">
        <v>53576.13</v>
      </c>
      <c r="M18" s="352">
        <v>41680</v>
      </c>
      <c r="N18" s="410">
        <f t="shared" si="3"/>
        <v>131</v>
      </c>
      <c r="O18" s="354" t="str">
        <f t="shared" si="4"/>
        <v/>
      </c>
      <c r="P18" s="354">
        <f t="shared" si="5"/>
        <v>0</v>
      </c>
      <c r="Q18" s="354"/>
      <c r="R18" s="163"/>
    </row>
    <row r="19" spans="1:18" s="26" customFormat="1" ht="12.2" hidden="1" customHeight="1" outlineLevel="1" x14ac:dyDescent="0.2">
      <c r="A19" s="356" t="s">
        <v>73</v>
      </c>
      <c r="B19" s="441"/>
      <c r="C19" s="358"/>
      <c r="D19" s="358"/>
      <c r="E19" s="358"/>
      <c r="F19" s="358"/>
      <c r="G19" s="358"/>
      <c r="H19" s="428">
        <f>I19/$H$13+H18</f>
        <v>0.99999999999999989</v>
      </c>
      <c r="I19" s="359">
        <v>85278.36</v>
      </c>
      <c r="J19" s="360">
        <v>6</v>
      </c>
      <c r="K19" s="358">
        <v>42037</v>
      </c>
      <c r="L19" s="361">
        <v>85278.36</v>
      </c>
      <c r="M19" s="362">
        <v>42314</v>
      </c>
      <c r="N19" s="429">
        <f t="shared" si="3"/>
        <v>277</v>
      </c>
      <c r="O19" s="364" t="str">
        <f t="shared" si="4"/>
        <v/>
      </c>
      <c r="P19" s="364">
        <f t="shared" si="5"/>
        <v>0</v>
      </c>
      <c r="Q19" s="364"/>
      <c r="R19" s="163"/>
    </row>
    <row r="20" spans="1:18" s="107" customFormat="1" ht="12.2" customHeight="1" collapsed="1" x14ac:dyDescent="0.2">
      <c r="A20" s="402" t="s">
        <v>79</v>
      </c>
      <c r="B20" s="433"/>
      <c r="C20" s="414">
        <v>40506</v>
      </c>
      <c r="D20" s="326">
        <f>DATE(YEAR(C20)+2,MONTH(C20),DAY(C20))</f>
        <v>41237</v>
      </c>
      <c r="E20" s="414">
        <v>40721</v>
      </c>
      <c r="F20" s="414">
        <f>DATE(YEAR(E20)+4,MONTH(E20),DAY(E20))</f>
        <v>42182</v>
      </c>
      <c r="G20" s="414">
        <v>41605</v>
      </c>
      <c r="H20" s="409">
        <v>660000</v>
      </c>
      <c r="I20" s="404"/>
      <c r="J20" s="415"/>
      <c r="K20" s="414"/>
      <c r="L20" s="407">
        <f>SUM(L21:L27)</f>
        <v>656094.66</v>
      </c>
      <c r="M20" s="420"/>
      <c r="N20" s="430"/>
      <c r="O20" s="416">
        <f>SUM(O21:O27)</f>
        <v>0</v>
      </c>
      <c r="P20" s="416">
        <f>SUM(P21:P27)</f>
        <v>0</v>
      </c>
      <c r="Q20" s="416"/>
      <c r="R20" s="163">
        <f>H20-(L20+O20+P20)</f>
        <v>3905.3399999999674</v>
      </c>
    </row>
    <row r="21" spans="1:18" s="26" customFormat="1" ht="12.2" hidden="1" customHeight="1" outlineLevel="1" x14ac:dyDescent="0.2">
      <c r="A21" s="334" t="s">
        <v>79</v>
      </c>
      <c r="B21" s="434"/>
      <c r="C21" s="347"/>
      <c r="D21" s="347"/>
      <c r="E21" s="347"/>
      <c r="F21" s="347"/>
      <c r="G21" s="347"/>
      <c r="H21" s="348">
        <f>I21/$H$20</f>
        <v>0.23835909090909091</v>
      </c>
      <c r="I21" s="349">
        <v>157317</v>
      </c>
      <c r="J21" s="350">
        <v>1</v>
      </c>
      <c r="K21" s="347">
        <v>40648</v>
      </c>
      <c r="L21" s="349">
        <v>157317</v>
      </c>
      <c r="M21" s="352">
        <v>40787</v>
      </c>
      <c r="N21" s="410">
        <f t="shared" si="3"/>
        <v>139</v>
      </c>
      <c r="O21" s="354" t="str">
        <f t="shared" si="4"/>
        <v/>
      </c>
      <c r="P21" s="354">
        <f t="shared" si="5"/>
        <v>0</v>
      </c>
      <c r="Q21" s="354"/>
      <c r="R21" s="169" t="s">
        <v>222</v>
      </c>
    </row>
    <row r="22" spans="1:18" s="26" customFormat="1" ht="12.2" hidden="1" customHeight="1" outlineLevel="1" x14ac:dyDescent="0.2">
      <c r="A22" s="334" t="s">
        <v>79</v>
      </c>
      <c r="B22" s="434"/>
      <c r="C22" s="347"/>
      <c r="D22" s="347"/>
      <c r="E22" s="347"/>
      <c r="F22" s="347"/>
      <c r="G22" s="347"/>
      <c r="H22" s="348">
        <f t="shared" ref="H22:H27" si="6">I22/$H$20+H21</f>
        <v>0.40604545454545454</v>
      </c>
      <c r="I22" s="349">
        <v>110673</v>
      </c>
      <c r="J22" s="350">
        <v>2</v>
      </c>
      <c r="K22" s="347">
        <v>40830</v>
      </c>
      <c r="L22" s="349">
        <v>110673</v>
      </c>
      <c r="M22" s="352">
        <v>40876</v>
      </c>
      <c r="N22" s="410">
        <f t="shared" si="3"/>
        <v>46</v>
      </c>
      <c r="O22" s="354" t="str">
        <f t="shared" si="4"/>
        <v/>
      </c>
      <c r="P22" s="354">
        <f t="shared" ref="P22:P134" si="7">IF(K22="",I22-L22,0)</f>
        <v>0</v>
      </c>
      <c r="Q22" s="354"/>
      <c r="R22" s="163"/>
    </row>
    <row r="23" spans="1:18" s="26" customFormat="1" ht="12.2" hidden="1" customHeight="1" outlineLevel="1" x14ac:dyDescent="0.2">
      <c r="A23" s="334" t="s">
        <v>79</v>
      </c>
      <c r="B23" s="434"/>
      <c r="C23" s="347"/>
      <c r="D23" s="347"/>
      <c r="E23" s="347"/>
      <c r="F23" s="347"/>
      <c r="G23" s="347"/>
      <c r="H23" s="348">
        <f t="shared" si="6"/>
        <v>0.47223130303030303</v>
      </c>
      <c r="I23" s="349">
        <v>43682.66</v>
      </c>
      <c r="J23" s="350">
        <v>3</v>
      </c>
      <c r="K23" s="347">
        <v>41143</v>
      </c>
      <c r="L23" s="349">
        <v>43682.66</v>
      </c>
      <c r="M23" s="352">
        <v>41187</v>
      </c>
      <c r="N23" s="410">
        <f t="shared" si="3"/>
        <v>44</v>
      </c>
      <c r="O23" s="354" t="str">
        <f t="shared" si="4"/>
        <v/>
      </c>
      <c r="P23" s="354">
        <f t="shared" si="7"/>
        <v>0</v>
      </c>
      <c r="Q23" s="354"/>
      <c r="R23" s="163"/>
    </row>
    <row r="24" spans="1:18" s="26" customFormat="1" ht="12.2" hidden="1" customHeight="1" outlineLevel="1" x14ac:dyDescent="0.2">
      <c r="A24" s="334" t="s">
        <v>79</v>
      </c>
      <c r="B24" s="434"/>
      <c r="C24" s="347"/>
      <c r="D24" s="347"/>
      <c r="E24" s="347"/>
      <c r="F24" s="347"/>
      <c r="G24" s="347"/>
      <c r="H24" s="348">
        <f t="shared" si="6"/>
        <v>0.68728846969696966</v>
      </c>
      <c r="I24" s="349">
        <v>141937.73000000001</v>
      </c>
      <c r="J24" s="350">
        <v>4</v>
      </c>
      <c r="K24" s="347">
        <v>41362</v>
      </c>
      <c r="L24" s="349">
        <v>141937.73000000001</v>
      </c>
      <c r="M24" s="352">
        <v>41428</v>
      </c>
      <c r="N24" s="410">
        <f t="shared" si="3"/>
        <v>66</v>
      </c>
      <c r="O24" s="354" t="str">
        <f t="shared" si="4"/>
        <v/>
      </c>
      <c r="P24" s="354">
        <f t="shared" si="7"/>
        <v>0</v>
      </c>
      <c r="Q24" s="354"/>
      <c r="R24" s="163"/>
    </row>
    <row r="25" spans="1:18" s="26" customFormat="1" ht="12.2" hidden="1" customHeight="1" outlineLevel="1" x14ac:dyDescent="0.2">
      <c r="A25" s="334" t="s">
        <v>79</v>
      </c>
      <c r="B25" s="434"/>
      <c r="C25" s="347"/>
      <c r="D25" s="347"/>
      <c r="E25" s="347"/>
      <c r="F25" s="347"/>
      <c r="G25" s="347"/>
      <c r="H25" s="348">
        <f t="shared" si="6"/>
        <v>0.76837296969696967</v>
      </c>
      <c r="I25" s="349">
        <v>53515.77</v>
      </c>
      <c r="J25" s="350">
        <v>5</v>
      </c>
      <c r="K25" s="347">
        <v>41549</v>
      </c>
      <c r="L25" s="349">
        <v>53515.77</v>
      </c>
      <c r="M25" s="352">
        <v>41638</v>
      </c>
      <c r="N25" s="410">
        <f t="shared" si="3"/>
        <v>89</v>
      </c>
      <c r="O25" s="354" t="str">
        <f t="shared" si="4"/>
        <v/>
      </c>
      <c r="P25" s="354">
        <f t="shared" si="7"/>
        <v>0</v>
      </c>
      <c r="Q25" s="354"/>
      <c r="R25" s="163"/>
    </row>
    <row r="26" spans="1:18" s="26" customFormat="1" ht="12.2" hidden="1" customHeight="1" outlineLevel="1" x14ac:dyDescent="0.2">
      <c r="A26" s="334" t="s">
        <v>79</v>
      </c>
      <c r="B26" s="434"/>
      <c r="C26" s="347"/>
      <c r="D26" s="347"/>
      <c r="E26" s="347"/>
      <c r="F26" s="347"/>
      <c r="G26" s="347"/>
      <c r="H26" s="348">
        <f t="shared" si="6"/>
        <v>0.79999999999999993</v>
      </c>
      <c r="I26" s="349">
        <v>20873.84</v>
      </c>
      <c r="J26" s="350">
        <v>6</v>
      </c>
      <c r="K26" s="347">
        <v>41673</v>
      </c>
      <c r="L26" s="349">
        <v>20873.84</v>
      </c>
      <c r="M26" s="352">
        <v>41743</v>
      </c>
      <c r="N26" s="410">
        <f t="shared" si="3"/>
        <v>70</v>
      </c>
      <c r="O26" s="354" t="str">
        <f t="shared" si="4"/>
        <v/>
      </c>
      <c r="P26" s="354">
        <f t="shared" si="7"/>
        <v>0</v>
      </c>
      <c r="Q26" s="354"/>
      <c r="R26" s="163"/>
    </row>
    <row r="27" spans="1:18" s="26" customFormat="1" ht="12.2" hidden="1" customHeight="1" outlineLevel="1" x14ac:dyDescent="0.2">
      <c r="A27" s="334" t="s">
        <v>79</v>
      </c>
      <c r="B27" s="434"/>
      <c r="C27" s="347"/>
      <c r="D27" s="347"/>
      <c r="E27" s="347"/>
      <c r="F27" s="347"/>
      <c r="G27" s="347"/>
      <c r="H27" s="348">
        <f t="shared" si="6"/>
        <v>1</v>
      </c>
      <c r="I27" s="349">
        <v>132000</v>
      </c>
      <c r="J27" s="350">
        <v>7</v>
      </c>
      <c r="K27" s="347">
        <v>42214</v>
      </c>
      <c r="L27" s="351">
        <v>128094.66</v>
      </c>
      <c r="M27" s="352">
        <v>42307</v>
      </c>
      <c r="N27" s="410">
        <f t="shared" si="3"/>
        <v>93</v>
      </c>
      <c r="O27" s="354" t="str">
        <f t="shared" si="4"/>
        <v/>
      </c>
      <c r="P27" s="354">
        <f t="shared" si="7"/>
        <v>0</v>
      </c>
      <c r="Q27" s="354"/>
      <c r="R27" s="163"/>
    </row>
    <row r="28" spans="1:18" s="107" customFormat="1" ht="12.2" customHeight="1" collapsed="1" x14ac:dyDescent="0.2">
      <c r="A28" s="325" t="s">
        <v>80</v>
      </c>
      <c r="B28" s="439"/>
      <c r="C28" s="326">
        <v>40795</v>
      </c>
      <c r="D28" s="326"/>
      <c r="E28" s="326"/>
      <c r="F28" s="326"/>
      <c r="G28" s="326"/>
      <c r="H28" s="327">
        <v>280000</v>
      </c>
      <c r="I28" s="328"/>
      <c r="J28" s="329"/>
      <c r="K28" s="326"/>
      <c r="L28" s="333">
        <f>SUM(L29:L32)</f>
        <v>280000</v>
      </c>
      <c r="M28" s="331"/>
      <c r="N28" s="425"/>
      <c r="O28" s="333">
        <f>SUM(O29:O32)</f>
        <v>0</v>
      </c>
      <c r="P28" s="333">
        <f>SUM(P29:P32)</f>
        <v>0</v>
      </c>
      <c r="Q28" s="333"/>
      <c r="R28" s="163">
        <f>H28-(L28+O28+P28)</f>
        <v>0</v>
      </c>
    </row>
    <row r="29" spans="1:18" s="26" customFormat="1" ht="12.2" hidden="1" customHeight="1" outlineLevel="1" x14ac:dyDescent="0.2">
      <c r="A29" s="334" t="s">
        <v>80</v>
      </c>
      <c r="B29" s="434"/>
      <c r="C29" s="347"/>
      <c r="D29" s="347"/>
      <c r="E29" s="347"/>
      <c r="F29" s="347"/>
      <c r="G29" s="347"/>
      <c r="H29" s="355"/>
      <c r="I29" s="349">
        <v>129444</v>
      </c>
      <c r="J29" s="350">
        <v>1</v>
      </c>
      <c r="K29" s="347">
        <v>41143</v>
      </c>
      <c r="L29" s="349">
        <v>129444</v>
      </c>
      <c r="M29" s="352">
        <v>41199</v>
      </c>
      <c r="N29" s="410">
        <f t="shared" si="3"/>
        <v>56</v>
      </c>
      <c r="O29" s="354" t="str">
        <f t="shared" si="4"/>
        <v/>
      </c>
      <c r="P29" s="354">
        <f t="shared" si="7"/>
        <v>0</v>
      </c>
      <c r="Q29" s="354"/>
      <c r="R29" s="163"/>
    </row>
    <row r="30" spans="1:18" s="26" customFormat="1" ht="12.2" hidden="1" customHeight="1" outlineLevel="1" x14ac:dyDescent="0.2">
      <c r="A30" s="334" t="s">
        <v>80</v>
      </c>
      <c r="B30" s="434"/>
      <c r="C30" s="347"/>
      <c r="D30" s="347"/>
      <c r="E30" s="347"/>
      <c r="F30" s="347"/>
      <c r="G30" s="347"/>
      <c r="H30" s="355"/>
      <c r="I30" s="349">
        <v>41989.59</v>
      </c>
      <c r="J30" s="350">
        <v>2</v>
      </c>
      <c r="K30" s="347">
        <v>41423</v>
      </c>
      <c r="L30" s="349">
        <v>41989.59</v>
      </c>
      <c r="M30" s="352">
        <v>41551</v>
      </c>
      <c r="N30" s="410">
        <f t="shared" si="3"/>
        <v>128</v>
      </c>
      <c r="O30" s="354" t="str">
        <f t="shared" si="4"/>
        <v/>
      </c>
      <c r="P30" s="354">
        <f t="shared" si="7"/>
        <v>0</v>
      </c>
      <c r="Q30" s="354"/>
      <c r="R30" s="163"/>
    </row>
    <row r="31" spans="1:18" s="26" customFormat="1" ht="12.2" hidden="1" customHeight="1" outlineLevel="1" x14ac:dyDescent="0.2">
      <c r="A31" s="334" t="s">
        <v>80</v>
      </c>
      <c r="B31" s="434"/>
      <c r="C31" s="347"/>
      <c r="D31" s="347"/>
      <c r="E31" s="347"/>
      <c r="F31" s="347"/>
      <c r="G31" s="347"/>
      <c r="H31" s="355"/>
      <c r="I31" s="349">
        <v>52566.41</v>
      </c>
      <c r="J31" s="350">
        <v>3</v>
      </c>
      <c r="K31" s="347">
        <v>41673</v>
      </c>
      <c r="L31" s="349">
        <v>52566.41</v>
      </c>
      <c r="M31" s="352">
        <v>41743</v>
      </c>
      <c r="N31" s="410">
        <f t="shared" si="3"/>
        <v>70</v>
      </c>
      <c r="O31" s="354" t="str">
        <f t="shared" si="4"/>
        <v/>
      </c>
      <c r="P31" s="354">
        <f t="shared" si="7"/>
        <v>0</v>
      </c>
      <c r="Q31" s="354"/>
      <c r="R31" s="163"/>
    </row>
    <row r="32" spans="1:18" s="26" customFormat="1" ht="12.2" hidden="1" customHeight="1" outlineLevel="1" x14ac:dyDescent="0.2">
      <c r="A32" s="334" t="s">
        <v>80</v>
      </c>
      <c r="B32" s="434"/>
      <c r="C32" s="347"/>
      <c r="D32" s="347"/>
      <c r="E32" s="347"/>
      <c r="F32" s="347"/>
      <c r="G32" s="347"/>
      <c r="H32" s="355"/>
      <c r="I32" s="349">
        <v>56000</v>
      </c>
      <c r="J32" s="350">
        <v>4</v>
      </c>
      <c r="K32" s="347">
        <v>42034</v>
      </c>
      <c r="L32" s="349">
        <v>56000</v>
      </c>
      <c r="M32" s="352">
        <v>42069</v>
      </c>
      <c r="N32" s="410">
        <f t="shared" si="3"/>
        <v>35</v>
      </c>
      <c r="O32" s="354" t="str">
        <f>IF(L32="en attente",I32,"")</f>
        <v/>
      </c>
      <c r="P32" s="354">
        <f t="shared" si="7"/>
        <v>0</v>
      </c>
      <c r="Q32" s="354" t="s">
        <v>91</v>
      </c>
      <c r="R32" s="163"/>
    </row>
    <row r="33" spans="1:18" s="107" customFormat="1" ht="12.2" customHeight="1" collapsed="1" x14ac:dyDescent="0.2">
      <c r="A33" s="325" t="s">
        <v>81</v>
      </c>
      <c r="B33" s="439" t="s">
        <v>211</v>
      </c>
      <c r="C33" s="326">
        <v>40864</v>
      </c>
      <c r="D33" s="326">
        <f>DATE(YEAR(C33)+2,MONTH(C33),DAY(C33))</f>
        <v>41595</v>
      </c>
      <c r="E33" s="326">
        <v>41309</v>
      </c>
      <c r="F33" s="326">
        <f>DATE(YEAR(E33)+4,MONTH(E33),DAY(E33))</f>
        <v>42770</v>
      </c>
      <c r="G33" s="326">
        <v>42788</v>
      </c>
      <c r="H33" s="327">
        <v>340000</v>
      </c>
      <c r="I33" s="328"/>
      <c r="J33" s="329"/>
      <c r="K33" s="326"/>
      <c r="L33" s="330">
        <f>SUM(L34:L37)</f>
        <v>335175.78000000003</v>
      </c>
      <c r="M33" s="331"/>
      <c r="N33" s="425"/>
      <c r="O33" s="333">
        <f>SUM(O34:O37)</f>
        <v>0</v>
      </c>
      <c r="P33" s="333">
        <f>SUM(P34:P37)</f>
        <v>0</v>
      </c>
      <c r="Q33" s="333"/>
      <c r="R33" s="163">
        <f>H33-(L33+O33+P33)</f>
        <v>4824.2199999999721</v>
      </c>
    </row>
    <row r="34" spans="1:18" s="26" customFormat="1" ht="12.2" hidden="1" customHeight="1" outlineLevel="1" x14ac:dyDescent="0.2">
      <c r="A34" s="334" t="s">
        <v>81</v>
      </c>
      <c r="B34" s="434"/>
      <c r="C34" s="412" t="s">
        <v>224</v>
      </c>
      <c r="D34" s="347"/>
      <c r="E34" s="412" t="s">
        <v>224</v>
      </c>
      <c r="F34" s="412" t="s">
        <v>289</v>
      </c>
      <c r="G34" s="347"/>
      <c r="H34" s="348">
        <f>I34/$H$33</f>
        <v>0.43809999999999999</v>
      </c>
      <c r="I34" s="349">
        <v>148954</v>
      </c>
      <c r="J34" s="350">
        <v>1</v>
      </c>
      <c r="K34" s="347">
        <v>40892</v>
      </c>
      <c r="L34" s="351">
        <v>148954</v>
      </c>
      <c r="M34" s="352">
        <v>40994</v>
      </c>
      <c r="N34" s="410">
        <f t="shared" si="3"/>
        <v>102</v>
      </c>
      <c r="O34" s="354" t="str">
        <f>IF(L34="en attente",I34,"")</f>
        <v/>
      </c>
      <c r="P34" s="354">
        <f t="shared" si="7"/>
        <v>0</v>
      </c>
      <c r="Q34" s="354"/>
      <c r="R34" s="163"/>
    </row>
    <row r="35" spans="1:18" s="26" customFormat="1" ht="12.2" hidden="1" customHeight="1" outlineLevel="1" x14ac:dyDescent="0.2">
      <c r="A35" s="334" t="s">
        <v>81</v>
      </c>
      <c r="B35" s="434"/>
      <c r="C35" s="347"/>
      <c r="D35" s="347"/>
      <c r="E35" s="347"/>
      <c r="F35" s="347"/>
      <c r="G35" s="347"/>
      <c r="H35" s="348">
        <f>I35/$H$33+H34</f>
        <v>0.56899999999999995</v>
      </c>
      <c r="I35" s="349">
        <v>44506</v>
      </c>
      <c r="J35" s="350">
        <v>2</v>
      </c>
      <c r="K35" s="347">
        <v>41549</v>
      </c>
      <c r="L35" s="351">
        <v>44506</v>
      </c>
      <c r="M35" s="352">
        <v>41680</v>
      </c>
      <c r="N35" s="410">
        <f t="shared" si="3"/>
        <v>131</v>
      </c>
      <c r="O35" s="354" t="str">
        <f>IF(L35="en attente",I35,"")</f>
        <v/>
      </c>
      <c r="P35" s="354">
        <f t="shared" si="7"/>
        <v>0</v>
      </c>
      <c r="Q35" s="354"/>
      <c r="R35" s="163"/>
    </row>
    <row r="36" spans="1:18" s="26" customFormat="1" hidden="1" outlineLevel="1" x14ac:dyDescent="0.2">
      <c r="A36" s="334" t="s">
        <v>81</v>
      </c>
      <c r="B36" s="434"/>
      <c r="C36" s="347"/>
      <c r="D36" s="347"/>
      <c r="E36" s="347"/>
      <c r="F36" s="347"/>
      <c r="G36" s="347"/>
      <c r="H36" s="435">
        <v>0.76029999999999998</v>
      </c>
      <c r="I36" s="349">
        <v>65042</v>
      </c>
      <c r="J36" s="350">
        <v>3</v>
      </c>
      <c r="K36" s="347">
        <v>42325</v>
      </c>
      <c r="L36" s="351">
        <v>65042</v>
      </c>
      <c r="M36" s="352">
        <v>42422</v>
      </c>
      <c r="N36" s="410"/>
      <c r="O36" s="354" t="str">
        <f>IF(L36="en attente",I36,"")</f>
        <v/>
      </c>
      <c r="P36" s="354">
        <f t="shared" si="7"/>
        <v>0</v>
      </c>
      <c r="Q36" s="354"/>
      <c r="R36" s="163"/>
    </row>
    <row r="37" spans="1:18" s="26" customFormat="1" ht="12.2" hidden="1" customHeight="1" outlineLevel="1" x14ac:dyDescent="0.2">
      <c r="A37" s="356" t="s">
        <v>81</v>
      </c>
      <c r="B37" s="441"/>
      <c r="C37" s="358"/>
      <c r="D37" s="358"/>
      <c r="E37" s="358"/>
      <c r="F37" s="358"/>
      <c r="G37" s="358"/>
      <c r="H37" s="435">
        <v>0.98580000000000001</v>
      </c>
      <c r="I37" s="359">
        <v>76673.78</v>
      </c>
      <c r="J37" s="360">
        <v>4</v>
      </c>
      <c r="K37" s="358">
        <v>42997</v>
      </c>
      <c r="L37" s="361">
        <v>76673.78</v>
      </c>
      <c r="M37" s="362">
        <v>43448</v>
      </c>
      <c r="N37" s="429"/>
      <c r="O37" s="364" t="str">
        <f>IF(L37="en attente",I37,"")</f>
        <v/>
      </c>
      <c r="P37" s="354">
        <f t="shared" si="7"/>
        <v>0</v>
      </c>
      <c r="Q37" s="354" t="s">
        <v>326</v>
      </c>
      <c r="R37" s="163"/>
    </row>
    <row r="38" spans="1:18" s="107" customFormat="1" ht="12.2" customHeight="1" collapsed="1" x14ac:dyDescent="0.2">
      <c r="A38" s="402" t="s">
        <v>82</v>
      </c>
      <c r="B38" s="433" t="s">
        <v>210</v>
      </c>
      <c r="C38" s="414">
        <v>40864</v>
      </c>
      <c r="D38" s="326">
        <f>DATE(YEAR(C38)+2,MONTH(C38),DAY(C38))</f>
        <v>41595</v>
      </c>
      <c r="E38" s="414">
        <v>41303</v>
      </c>
      <c r="F38" s="414">
        <v>44175</v>
      </c>
      <c r="G38" s="414">
        <v>42954</v>
      </c>
      <c r="H38" s="328">
        <v>1300000</v>
      </c>
      <c r="I38" s="404"/>
      <c r="J38" s="415"/>
      <c r="K38" s="414"/>
      <c r="L38" s="407">
        <f>SUM(L39:L44)</f>
        <v>1286871.5899999999</v>
      </c>
      <c r="M38" s="420"/>
      <c r="N38" s="430"/>
      <c r="O38" s="416">
        <f>SUM(O39:O44)</f>
        <v>0</v>
      </c>
      <c r="P38" s="333">
        <f>SUM(P39:P44)</f>
        <v>0</v>
      </c>
      <c r="Q38" s="417"/>
      <c r="R38" s="163">
        <f>H38-(L38+O38+P38)</f>
        <v>13128.410000000149</v>
      </c>
    </row>
    <row r="39" spans="1:18" s="26" customFormat="1" ht="12.2" hidden="1" customHeight="1" outlineLevel="1" x14ac:dyDescent="0.2">
      <c r="A39" s="334" t="s">
        <v>82</v>
      </c>
      <c r="B39" s="434"/>
      <c r="C39" s="412" t="s">
        <v>224</v>
      </c>
      <c r="D39" s="347"/>
      <c r="E39" s="412" t="s">
        <v>224</v>
      </c>
      <c r="F39" s="412" t="s">
        <v>292</v>
      </c>
      <c r="G39" s="347"/>
      <c r="H39" s="348">
        <f>I39/$H$38</f>
        <v>0.48630000000000001</v>
      </c>
      <c r="I39" s="349">
        <v>632190</v>
      </c>
      <c r="J39" s="350">
        <v>1</v>
      </c>
      <c r="K39" s="347">
        <v>40962</v>
      </c>
      <c r="L39" s="351">
        <v>632190</v>
      </c>
      <c r="M39" s="352">
        <v>41067</v>
      </c>
      <c r="N39" s="410">
        <f t="shared" si="3"/>
        <v>105</v>
      </c>
      <c r="O39" s="354" t="str">
        <f t="shared" ref="O39:O44" si="8">IF(L39="en attente",I39,"")</f>
        <v/>
      </c>
      <c r="P39" s="354">
        <f t="shared" si="7"/>
        <v>0</v>
      </c>
      <c r="Q39" s="515"/>
      <c r="R39" s="163"/>
    </row>
    <row r="40" spans="1:18" s="26" customFormat="1" ht="12.2" hidden="1" customHeight="1" outlineLevel="1" x14ac:dyDescent="0.2">
      <c r="A40" s="334" t="s">
        <v>82</v>
      </c>
      <c r="B40" s="434"/>
      <c r="C40" s="347"/>
      <c r="D40" s="347"/>
      <c r="E40" s="347"/>
      <c r="F40" s="347"/>
      <c r="G40" s="347"/>
      <c r="H40" s="348">
        <f>I40/$H$38+H39</f>
        <v>0.56350456923076919</v>
      </c>
      <c r="I40" s="349">
        <v>100365.94</v>
      </c>
      <c r="J40" s="350">
        <v>2</v>
      </c>
      <c r="K40" s="347">
        <v>41549</v>
      </c>
      <c r="L40" s="351">
        <v>100365.94</v>
      </c>
      <c r="M40" s="352">
        <v>41653</v>
      </c>
      <c r="N40" s="410">
        <f t="shared" si="3"/>
        <v>104</v>
      </c>
      <c r="O40" s="354" t="str">
        <f t="shared" si="8"/>
        <v/>
      </c>
      <c r="P40" s="354">
        <f t="shared" si="7"/>
        <v>0</v>
      </c>
      <c r="Q40" s="515"/>
      <c r="R40" s="163"/>
    </row>
    <row r="41" spans="1:18" s="26" customFormat="1" ht="12.2" hidden="1" customHeight="1" outlineLevel="1" x14ac:dyDescent="0.2">
      <c r="A41" s="334" t="s">
        <v>82</v>
      </c>
      <c r="B41" s="434"/>
      <c r="C41" s="347"/>
      <c r="D41" s="347"/>
      <c r="E41" s="347"/>
      <c r="F41" s="347"/>
      <c r="G41" s="347"/>
      <c r="H41" s="348">
        <f>I41/$H$38+H40</f>
        <v>0.68899496153846151</v>
      </c>
      <c r="I41" s="349">
        <v>163137.51</v>
      </c>
      <c r="J41" s="350">
        <v>3</v>
      </c>
      <c r="K41" s="347">
        <v>41673</v>
      </c>
      <c r="L41" s="351">
        <v>163137.51</v>
      </c>
      <c r="M41" s="352">
        <v>41731</v>
      </c>
      <c r="N41" s="410">
        <f t="shared" si="3"/>
        <v>58</v>
      </c>
      <c r="O41" s="354" t="str">
        <f t="shared" si="8"/>
        <v/>
      </c>
      <c r="P41" s="354">
        <f t="shared" si="7"/>
        <v>0</v>
      </c>
      <c r="Q41" s="515"/>
      <c r="R41" s="163"/>
    </row>
    <row r="42" spans="1:18" s="26" customFormat="1" ht="12.2" hidden="1" customHeight="1" outlineLevel="1" x14ac:dyDescent="0.2">
      <c r="A42" s="334" t="s">
        <v>82</v>
      </c>
      <c r="B42" s="434"/>
      <c r="C42" s="347"/>
      <c r="D42" s="347"/>
      <c r="E42" s="347"/>
      <c r="F42" s="347"/>
      <c r="G42" s="347"/>
      <c r="H42" s="348">
        <f>I42/$H$38+H41</f>
        <v>0.71552039999999995</v>
      </c>
      <c r="I42" s="349">
        <v>34483.07</v>
      </c>
      <c r="J42" s="350">
        <v>4</v>
      </c>
      <c r="K42" s="347">
        <v>41941</v>
      </c>
      <c r="L42" s="351">
        <v>34483.07</v>
      </c>
      <c r="M42" s="352">
        <v>42030</v>
      </c>
      <c r="N42" s="410">
        <f t="shared" si="3"/>
        <v>89</v>
      </c>
      <c r="O42" s="354" t="str">
        <f t="shared" si="8"/>
        <v/>
      </c>
      <c r="P42" s="354">
        <f t="shared" si="7"/>
        <v>0</v>
      </c>
      <c r="Q42" s="515"/>
      <c r="R42" s="163"/>
    </row>
    <row r="43" spans="1:18" s="26" customFormat="1" ht="12.2" hidden="1" customHeight="1" outlineLevel="1" x14ac:dyDescent="0.2">
      <c r="A43" s="334" t="s">
        <v>82</v>
      </c>
      <c r="B43" s="434"/>
      <c r="C43" s="347"/>
      <c r="D43" s="347"/>
      <c r="E43" s="347"/>
      <c r="F43" s="347"/>
      <c r="G43" s="347"/>
      <c r="H43" s="348">
        <f>I43/$H$38+H42</f>
        <v>0.79999999999999993</v>
      </c>
      <c r="I43" s="349">
        <v>109823.48</v>
      </c>
      <c r="J43" s="350">
        <v>5</v>
      </c>
      <c r="K43" s="347">
        <v>42264</v>
      </c>
      <c r="L43" s="351">
        <v>109823.48</v>
      </c>
      <c r="M43" s="352">
        <v>42325</v>
      </c>
      <c r="N43" s="410">
        <f t="shared" si="3"/>
        <v>61</v>
      </c>
      <c r="O43" s="354" t="str">
        <f t="shared" si="8"/>
        <v/>
      </c>
      <c r="P43" s="354">
        <f t="shared" si="7"/>
        <v>0</v>
      </c>
      <c r="Q43" s="515"/>
      <c r="R43" s="163"/>
    </row>
    <row r="44" spans="1:18" s="26" customFormat="1" ht="12.2" hidden="1" customHeight="1" outlineLevel="1" x14ac:dyDescent="0.2">
      <c r="A44" s="334" t="s">
        <v>82</v>
      </c>
      <c r="B44" s="434"/>
      <c r="C44" s="347"/>
      <c r="D44" s="347"/>
      <c r="E44" s="347"/>
      <c r="F44" s="347"/>
      <c r="G44" s="347"/>
      <c r="H44" s="435">
        <f>I44/$H$38+H43</f>
        <v>0.98990122307692308</v>
      </c>
      <c r="I44" s="349">
        <v>246871.59</v>
      </c>
      <c r="J44" s="350">
        <v>6</v>
      </c>
      <c r="K44" s="347">
        <v>39596</v>
      </c>
      <c r="L44" s="351">
        <v>246871.59</v>
      </c>
      <c r="M44" s="352">
        <v>43304</v>
      </c>
      <c r="N44" s="410">
        <f t="shared" si="3"/>
        <v>3708</v>
      </c>
      <c r="O44" s="354" t="str">
        <f t="shared" si="8"/>
        <v/>
      </c>
      <c r="P44" s="354">
        <f t="shared" si="7"/>
        <v>0</v>
      </c>
      <c r="Q44" s="397" t="s">
        <v>356</v>
      </c>
      <c r="R44" s="163"/>
    </row>
    <row r="45" spans="1:18" s="107" customFormat="1" ht="12.2" customHeight="1" collapsed="1" x14ac:dyDescent="0.2">
      <c r="A45" s="325" t="s">
        <v>83</v>
      </c>
      <c r="B45" s="325" t="s">
        <v>209</v>
      </c>
      <c r="C45" s="331">
        <v>40864</v>
      </c>
      <c r="D45" s="326">
        <f>DATE(YEAR(C45)+2,MONTH(C45),DAY(C45))</f>
        <v>41595</v>
      </c>
      <c r="E45" s="326">
        <v>41309</v>
      </c>
      <c r="F45" s="326">
        <f>DATE(YEAR(E45)+4,MONTH(E45),DAY(E45))</f>
        <v>42770</v>
      </c>
      <c r="G45" s="326">
        <v>42202</v>
      </c>
      <c r="H45" s="327">
        <v>800000</v>
      </c>
      <c r="I45" s="328"/>
      <c r="J45" s="329"/>
      <c r="K45" s="326"/>
      <c r="L45" s="330">
        <f>SUM(L46:L48)</f>
        <v>800000</v>
      </c>
      <c r="M45" s="331"/>
      <c r="N45" s="425"/>
      <c r="O45" s="333">
        <f>SUM(O46:O48)</f>
        <v>0</v>
      </c>
      <c r="P45" s="333">
        <f>SUM(P46:P48)</f>
        <v>0</v>
      </c>
      <c r="Q45" s="333"/>
      <c r="R45" s="163">
        <f>H45-(L45+O45+P45)</f>
        <v>0</v>
      </c>
    </row>
    <row r="46" spans="1:18" s="26" customFormat="1" ht="12.2" hidden="1" customHeight="1" outlineLevel="1" x14ac:dyDescent="0.2">
      <c r="A46" s="334" t="s">
        <v>83</v>
      </c>
      <c r="B46" s="434"/>
      <c r="C46" s="412" t="s">
        <v>224</v>
      </c>
      <c r="D46" s="347"/>
      <c r="E46" s="412" t="s">
        <v>224</v>
      </c>
      <c r="F46" s="347"/>
      <c r="G46" s="347"/>
      <c r="H46" s="348">
        <f>I46/$H$45</f>
        <v>0.1996968875</v>
      </c>
      <c r="I46" s="349">
        <v>159757.51</v>
      </c>
      <c r="J46" s="350">
        <v>1</v>
      </c>
      <c r="K46" s="347">
        <v>41701</v>
      </c>
      <c r="L46" s="351">
        <v>159757.51</v>
      </c>
      <c r="M46" s="352">
        <v>41758</v>
      </c>
      <c r="N46" s="410">
        <f t="shared" si="3"/>
        <v>57</v>
      </c>
      <c r="O46" s="354" t="str">
        <f>IF(L46="en attente",I46,"")</f>
        <v/>
      </c>
      <c r="P46" s="354">
        <f t="shared" si="7"/>
        <v>0</v>
      </c>
      <c r="Q46" s="457"/>
      <c r="R46" s="163"/>
    </row>
    <row r="47" spans="1:18" s="26" customFormat="1" ht="12.2" hidden="1" customHeight="1" outlineLevel="1" x14ac:dyDescent="0.2">
      <c r="A47" s="334" t="s">
        <v>83</v>
      </c>
      <c r="B47" s="434"/>
      <c r="C47" s="347"/>
      <c r="D47" s="347"/>
      <c r="E47" s="347"/>
      <c r="F47" s="347"/>
      <c r="G47" s="347"/>
      <c r="H47" s="348">
        <f>I47/$H$45+H46</f>
        <v>0.40336767500000004</v>
      </c>
      <c r="I47" s="349">
        <v>162936.63</v>
      </c>
      <c r="J47" s="350">
        <v>2</v>
      </c>
      <c r="K47" s="347">
        <v>42032</v>
      </c>
      <c r="L47" s="351">
        <v>162936.63</v>
      </c>
      <c r="M47" s="352">
        <v>42075</v>
      </c>
      <c r="N47" s="410">
        <f t="shared" si="3"/>
        <v>43</v>
      </c>
      <c r="O47" s="354" t="str">
        <f>IF(L47="en attente",I47,"")</f>
        <v/>
      </c>
      <c r="P47" s="354">
        <f t="shared" si="7"/>
        <v>0</v>
      </c>
      <c r="Q47" s="354"/>
      <c r="R47" s="163"/>
    </row>
    <row r="48" spans="1:18" s="26" customFormat="1" hidden="1" outlineLevel="1" x14ac:dyDescent="0.2">
      <c r="A48" s="356" t="s">
        <v>83</v>
      </c>
      <c r="B48" s="441"/>
      <c r="C48" s="358"/>
      <c r="D48" s="358"/>
      <c r="E48" s="358"/>
      <c r="F48" s="358"/>
      <c r="G48" s="358"/>
      <c r="H48" s="428">
        <f>I48/$H$45+H47</f>
        <v>1</v>
      </c>
      <c r="I48" s="359">
        <f>H45-I46-I47</f>
        <v>477305.86</v>
      </c>
      <c r="J48" s="360">
        <v>3</v>
      </c>
      <c r="K48" s="358">
        <v>42697</v>
      </c>
      <c r="L48" s="361">
        <v>477305.86</v>
      </c>
      <c r="M48" s="362">
        <v>42758</v>
      </c>
      <c r="N48" s="429"/>
      <c r="O48" s="364" t="str">
        <f>IF(L48="en attente",I48,"")</f>
        <v/>
      </c>
      <c r="P48" s="364">
        <f t="shared" si="7"/>
        <v>0</v>
      </c>
      <c r="Q48" s="364"/>
      <c r="R48" s="163"/>
    </row>
    <row r="49" spans="1:18" s="107" customFormat="1" ht="12.2" customHeight="1" collapsed="1" x14ac:dyDescent="0.2">
      <c r="A49" s="402" t="s">
        <v>84</v>
      </c>
      <c r="B49" s="433" t="s">
        <v>208</v>
      </c>
      <c r="C49" s="414">
        <v>41207</v>
      </c>
      <c r="D49" s="326">
        <f>DATE(YEAR(C49)+2,MONTH(C49),DAY(C49))</f>
        <v>41937</v>
      </c>
      <c r="E49" s="414">
        <v>41295</v>
      </c>
      <c r="F49" s="414">
        <f>DATE(YEAR(E49)+4,MONTH(E49),DAY(E49))</f>
        <v>42756</v>
      </c>
      <c r="G49" s="414">
        <v>42326</v>
      </c>
      <c r="H49" s="409">
        <v>440000</v>
      </c>
      <c r="I49" s="404"/>
      <c r="J49" s="415"/>
      <c r="K49" s="414"/>
      <c r="L49" s="407">
        <f>SUM(L50:L52)</f>
        <v>440000</v>
      </c>
      <c r="M49" s="420"/>
      <c r="N49" s="430"/>
      <c r="O49" s="416">
        <f>SUM(O50:O52)</f>
        <v>0</v>
      </c>
      <c r="P49" s="416">
        <f>SUM(P50:P52)</f>
        <v>0</v>
      </c>
      <c r="Q49" s="416"/>
      <c r="R49" s="163">
        <f>H49-(L49+O49+P49)</f>
        <v>0</v>
      </c>
    </row>
    <row r="50" spans="1:18" s="26" customFormat="1" ht="12.2" hidden="1" customHeight="1" outlineLevel="1" x14ac:dyDescent="0.2">
      <c r="A50" s="334" t="s">
        <v>84</v>
      </c>
      <c r="B50" s="434"/>
      <c r="C50" s="412" t="s">
        <v>224</v>
      </c>
      <c r="D50" s="347"/>
      <c r="E50" s="412" t="s">
        <v>224</v>
      </c>
      <c r="F50" s="347"/>
      <c r="G50" s="347"/>
      <c r="H50" s="435">
        <f>I50/$H$49</f>
        <v>0.39935324999999999</v>
      </c>
      <c r="I50" s="349">
        <v>175715.43</v>
      </c>
      <c r="J50" s="350">
        <v>1</v>
      </c>
      <c r="K50" s="347">
        <v>41554</v>
      </c>
      <c r="L50" s="351">
        <v>175715.43</v>
      </c>
      <c r="M50" s="352">
        <v>41683</v>
      </c>
      <c r="N50" s="410">
        <f t="shared" si="3"/>
        <v>129</v>
      </c>
      <c r="O50" s="354" t="str">
        <f>IF(L50="en attente",I50,"")</f>
        <v/>
      </c>
      <c r="P50" s="354">
        <f t="shared" si="7"/>
        <v>0</v>
      </c>
      <c r="Q50" s="457"/>
      <c r="R50" s="163"/>
    </row>
    <row r="51" spans="1:18" s="26" customFormat="1" ht="12.2" hidden="1" customHeight="1" outlineLevel="1" x14ac:dyDescent="0.2">
      <c r="A51" s="334" t="s">
        <v>84</v>
      </c>
      <c r="B51" s="434"/>
      <c r="C51" s="347"/>
      <c r="D51" s="347"/>
      <c r="E51" s="347"/>
      <c r="F51" s="347"/>
      <c r="G51" s="347"/>
      <c r="H51" s="435">
        <f>I51/$H$49+H50</f>
        <v>0.8</v>
      </c>
      <c r="I51" s="349">
        <v>176284.57</v>
      </c>
      <c r="J51" s="350">
        <v>2</v>
      </c>
      <c r="K51" s="347">
        <v>42261</v>
      </c>
      <c r="L51" s="351">
        <v>176284.57</v>
      </c>
      <c r="M51" s="352">
        <v>42314</v>
      </c>
      <c r="N51" s="410"/>
      <c r="O51" s="354" t="str">
        <f>IF(L51="en attente",I51,"")</f>
        <v/>
      </c>
      <c r="P51" s="354">
        <f t="shared" si="7"/>
        <v>0</v>
      </c>
      <c r="Q51" s="457"/>
      <c r="R51" s="163"/>
    </row>
    <row r="52" spans="1:18" s="26" customFormat="1" ht="12.2" hidden="1" customHeight="1" outlineLevel="1" x14ac:dyDescent="0.2">
      <c r="A52" s="334" t="s">
        <v>84</v>
      </c>
      <c r="B52" s="434"/>
      <c r="C52" s="347"/>
      <c r="D52" s="347"/>
      <c r="E52" s="347"/>
      <c r="F52" s="347"/>
      <c r="G52" s="347"/>
      <c r="H52" s="348">
        <f>I52/$H$49+H51</f>
        <v>1</v>
      </c>
      <c r="I52" s="349">
        <v>88000</v>
      </c>
      <c r="J52" s="350">
        <v>3</v>
      </c>
      <c r="K52" s="347">
        <v>42740</v>
      </c>
      <c r="L52" s="351">
        <v>88000</v>
      </c>
      <c r="M52" s="352">
        <v>42794</v>
      </c>
      <c r="N52" s="410"/>
      <c r="O52" s="364" t="str">
        <f>IF(L52="en attente",I52,"")</f>
        <v/>
      </c>
      <c r="P52" s="354">
        <f t="shared" si="7"/>
        <v>0</v>
      </c>
      <c r="Q52" s="354"/>
      <c r="R52" s="163"/>
    </row>
    <row r="53" spans="1:18" s="107" customFormat="1" ht="12.2" customHeight="1" collapsed="1" x14ac:dyDescent="0.2">
      <c r="A53" s="325" t="s">
        <v>85</v>
      </c>
      <c r="B53" s="439" t="s">
        <v>207</v>
      </c>
      <c r="C53" s="326">
        <v>41185</v>
      </c>
      <c r="D53" s="326">
        <f>DATE(YEAR(C53)+2,MONTH(C53),DAY(C53))</f>
        <v>41915</v>
      </c>
      <c r="E53" s="326">
        <v>41491</v>
      </c>
      <c r="F53" s="326">
        <f>DATE(YEAR(E53)+4,MONTH(E53),DAY(E53))</f>
        <v>42952</v>
      </c>
      <c r="G53" s="326">
        <v>42633</v>
      </c>
      <c r="H53" s="327">
        <v>480000</v>
      </c>
      <c r="I53" s="328"/>
      <c r="J53" s="329"/>
      <c r="K53" s="326"/>
      <c r="L53" s="330">
        <f>SUM(L54:L57)</f>
        <v>480000</v>
      </c>
      <c r="M53" s="331"/>
      <c r="N53" s="425"/>
      <c r="O53" s="333">
        <f>SUM(O54:O57)</f>
        <v>0</v>
      </c>
      <c r="P53" s="333">
        <f>SUM(P54:P57)</f>
        <v>0</v>
      </c>
      <c r="Q53" s="333"/>
      <c r="R53" s="163">
        <f>H53-(L53+O53+P53)</f>
        <v>0</v>
      </c>
    </row>
    <row r="54" spans="1:18" s="26" customFormat="1" ht="12.2" hidden="1" customHeight="1" outlineLevel="1" x14ac:dyDescent="0.2">
      <c r="A54" s="334" t="s">
        <v>85</v>
      </c>
      <c r="B54" s="434"/>
      <c r="C54" s="412" t="s">
        <v>224</v>
      </c>
      <c r="D54" s="347"/>
      <c r="E54" s="412"/>
      <c r="F54" s="347"/>
      <c r="G54" s="347"/>
      <c r="H54" s="348">
        <f>I54/$H$53</f>
        <v>0.37244579166666669</v>
      </c>
      <c r="I54" s="349">
        <v>178773.98</v>
      </c>
      <c r="J54" s="350">
        <v>1</v>
      </c>
      <c r="K54" s="347">
        <v>41674</v>
      </c>
      <c r="L54" s="351">
        <v>178773.98</v>
      </c>
      <c r="M54" s="352">
        <v>41736</v>
      </c>
      <c r="N54" s="410">
        <f t="shared" si="3"/>
        <v>62</v>
      </c>
      <c r="O54" s="354" t="str">
        <f>IF(L54="en attente",I54,"")</f>
        <v/>
      </c>
      <c r="P54" s="354">
        <f t="shared" si="7"/>
        <v>0</v>
      </c>
      <c r="Q54" s="354"/>
      <c r="R54" s="163"/>
    </row>
    <row r="55" spans="1:18" s="26" customFormat="1" ht="12.2" hidden="1" customHeight="1" outlineLevel="1" x14ac:dyDescent="0.2">
      <c r="A55" s="334" t="s">
        <v>85</v>
      </c>
      <c r="B55" s="434"/>
      <c r="C55" s="347"/>
      <c r="D55" s="347"/>
      <c r="E55" s="347"/>
      <c r="F55" s="347"/>
      <c r="G55" s="347"/>
      <c r="H55" s="348">
        <f>I55/$H$53+H54</f>
        <v>0.55404970833333334</v>
      </c>
      <c r="I55" s="349">
        <v>87169.88</v>
      </c>
      <c r="J55" s="350">
        <v>2</v>
      </c>
      <c r="K55" s="347">
        <v>41869</v>
      </c>
      <c r="L55" s="351">
        <v>87169.88</v>
      </c>
      <c r="M55" s="352">
        <v>41915</v>
      </c>
      <c r="N55" s="410">
        <f t="shared" si="3"/>
        <v>46</v>
      </c>
      <c r="O55" s="354" t="str">
        <f>IF(L55="en attente",I55,"")</f>
        <v/>
      </c>
      <c r="P55" s="354">
        <f t="shared" si="7"/>
        <v>0</v>
      </c>
      <c r="Q55" s="354"/>
    </row>
    <row r="56" spans="1:18" s="26" customFormat="1" hidden="1" outlineLevel="1" x14ac:dyDescent="0.2">
      <c r="A56" s="334" t="s">
        <v>85</v>
      </c>
      <c r="B56" s="434"/>
      <c r="C56" s="347"/>
      <c r="D56" s="347"/>
      <c r="E56" s="347"/>
      <c r="F56" s="347"/>
      <c r="G56" s="347"/>
      <c r="H56" s="435">
        <v>0.73329999999999995</v>
      </c>
      <c r="I56" s="349">
        <v>86025.01</v>
      </c>
      <c r="J56" s="350">
        <v>3</v>
      </c>
      <c r="K56" s="347">
        <v>42327</v>
      </c>
      <c r="L56" s="351">
        <v>86025.01</v>
      </c>
      <c r="M56" s="352">
        <v>42422</v>
      </c>
      <c r="N56" s="410">
        <f t="shared" si="3"/>
        <v>95</v>
      </c>
      <c r="O56" s="354" t="str">
        <f>IF(L56="en attente",I56,"")</f>
        <v/>
      </c>
      <c r="P56" s="354">
        <f t="shared" si="7"/>
        <v>0</v>
      </c>
      <c r="Q56" s="354"/>
      <c r="R56" s="163"/>
    </row>
    <row r="57" spans="1:18" s="26" customFormat="1" ht="12.2" hidden="1" customHeight="1" outlineLevel="1" x14ac:dyDescent="0.2">
      <c r="A57" s="356" t="s">
        <v>85</v>
      </c>
      <c r="B57" s="441"/>
      <c r="C57" s="358"/>
      <c r="D57" s="358"/>
      <c r="E57" s="358"/>
      <c r="F57" s="358"/>
      <c r="G57" s="358"/>
      <c r="H57" s="428">
        <v>1</v>
      </c>
      <c r="I57" s="359">
        <f>H53-SUM(I54:I56)</f>
        <v>128031.13</v>
      </c>
      <c r="J57" s="360">
        <v>4</v>
      </c>
      <c r="K57" s="358">
        <v>42920</v>
      </c>
      <c r="L57" s="361">
        <v>128031.13</v>
      </c>
      <c r="M57" s="362">
        <v>43018</v>
      </c>
      <c r="N57" s="429"/>
      <c r="O57" s="364" t="str">
        <f>IF(L57="en attente",I57,"")</f>
        <v/>
      </c>
      <c r="P57" s="364">
        <f>IF(K57="",I57-L57,0)</f>
        <v>0</v>
      </c>
      <c r="Q57" s="364"/>
      <c r="R57" s="163"/>
    </row>
    <row r="58" spans="1:18" s="107" customFormat="1" ht="12.2" customHeight="1" collapsed="1" x14ac:dyDescent="0.2">
      <c r="A58" s="402" t="s">
        <v>86</v>
      </c>
      <c r="B58" s="433" t="s">
        <v>206</v>
      </c>
      <c r="C58" s="414">
        <v>41185</v>
      </c>
      <c r="D58" s="326">
        <f>DATE(YEAR(C58)+2,MONTH(C58),DAY(C58))</f>
        <v>41915</v>
      </c>
      <c r="E58" s="414">
        <v>41316</v>
      </c>
      <c r="F58" s="414">
        <f>DATE(YEAR(E58)+4,MONTH(E58),DAY(E58))</f>
        <v>42777</v>
      </c>
      <c r="G58" s="414">
        <v>41873</v>
      </c>
      <c r="H58" s="409">
        <v>138200</v>
      </c>
      <c r="I58" s="404"/>
      <c r="J58" s="415"/>
      <c r="K58" s="414"/>
      <c r="L58" s="407">
        <f>SUM(L59:L60)</f>
        <v>122205.97</v>
      </c>
      <c r="M58" s="420"/>
      <c r="N58" s="430"/>
      <c r="O58" s="416">
        <f>SUM(O59:O60)</f>
        <v>0</v>
      </c>
      <c r="P58" s="416">
        <f>SUM(P59:P60)</f>
        <v>0</v>
      </c>
      <c r="Q58" s="416"/>
      <c r="R58" s="163">
        <f>H58-(L58+O58+P58)</f>
        <v>15994.029999999999</v>
      </c>
    </row>
    <row r="59" spans="1:18" s="26" customFormat="1" ht="12.2" hidden="1" customHeight="1" outlineLevel="1" x14ac:dyDescent="0.2">
      <c r="A59" s="334" t="s">
        <v>86</v>
      </c>
      <c r="B59" s="434"/>
      <c r="C59" s="347" t="s">
        <v>224</v>
      </c>
      <c r="D59" s="347"/>
      <c r="E59" s="347" t="s">
        <v>225</v>
      </c>
      <c r="F59" s="347"/>
      <c r="G59" s="347"/>
      <c r="H59" s="348">
        <f>I59/$H$58</f>
        <v>0.79594232995658465</v>
      </c>
      <c r="I59" s="349">
        <v>109999.23</v>
      </c>
      <c r="J59" s="350">
        <v>1</v>
      </c>
      <c r="K59" s="347">
        <v>41746</v>
      </c>
      <c r="L59" s="351">
        <v>109999.23</v>
      </c>
      <c r="M59" s="352">
        <v>41827</v>
      </c>
      <c r="N59" s="410">
        <f>IF(M59="",$P$2-K59,M59-K59)</f>
        <v>81</v>
      </c>
      <c r="O59" s="354" t="str">
        <f>IF(L59="en attente",I59,"")</f>
        <v/>
      </c>
      <c r="P59" s="354">
        <f t="shared" si="7"/>
        <v>0</v>
      </c>
      <c r="Q59" s="354"/>
      <c r="R59" s="163"/>
    </row>
    <row r="60" spans="1:18" s="26" customFormat="1" hidden="1" outlineLevel="1" x14ac:dyDescent="0.2">
      <c r="A60" s="334" t="s">
        <v>86</v>
      </c>
      <c r="B60" s="434"/>
      <c r="C60" s="347"/>
      <c r="D60" s="347"/>
      <c r="E60" s="347"/>
      <c r="F60" s="347"/>
      <c r="G60" s="347"/>
      <c r="H60" s="435">
        <f>I60/$H$58+H59</f>
        <v>0.88426895803183792</v>
      </c>
      <c r="I60" s="349">
        <v>12206.74</v>
      </c>
      <c r="J60" s="350">
        <v>2</v>
      </c>
      <c r="K60" s="347">
        <v>42486</v>
      </c>
      <c r="L60" s="351">
        <v>12206.74</v>
      </c>
      <c r="M60" s="352">
        <v>42555</v>
      </c>
      <c r="N60" s="410"/>
      <c r="O60" s="354" t="str">
        <f>IF(L60="en attente",I60,"")</f>
        <v/>
      </c>
      <c r="P60" s="354">
        <f t="shared" si="7"/>
        <v>0</v>
      </c>
      <c r="Q60" s="354" t="s">
        <v>244</v>
      </c>
      <c r="R60" s="163"/>
    </row>
    <row r="61" spans="1:18" s="107" customFormat="1" ht="12.2" customHeight="1" collapsed="1" x14ac:dyDescent="0.2">
      <c r="A61" s="325" t="s">
        <v>87</v>
      </c>
      <c r="B61" s="439" t="s">
        <v>205</v>
      </c>
      <c r="C61" s="326">
        <v>41600</v>
      </c>
      <c r="D61" s="326">
        <f>DATE(YEAR(C61)+2,MONTH(C61),DAY(C61))</f>
        <v>42330</v>
      </c>
      <c r="E61" s="326">
        <v>41848</v>
      </c>
      <c r="F61" s="326">
        <f>DATE(YEAR(E61)+4,MONTH(E61),DAY(E61))</f>
        <v>43309</v>
      </c>
      <c r="G61" s="326">
        <v>42333</v>
      </c>
      <c r="H61" s="327">
        <v>238500</v>
      </c>
      <c r="I61" s="328"/>
      <c r="J61" s="329"/>
      <c r="K61" s="326"/>
      <c r="L61" s="330">
        <f>SUM(L62:L64)</f>
        <v>238500</v>
      </c>
      <c r="M61" s="331"/>
      <c r="N61" s="425"/>
      <c r="O61" s="333">
        <f>SUM(O62:O64)</f>
        <v>0</v>
      </c>
      <c r="P61" s="333">
        <f>SUM(P62:P64)</f>
        <v>0</v>
      </c>
      <c r="Q61" s="333"/>
      <c r="R61" s="163">
        <f>H61-(L61+O61+P61)</f>
        <v>0</v>
      </c>
    </row>
    <row r="62" spans="1:18" s="26" customFormat="1" ht="12.2" hidden="1" customHeight="1" outlineLevel="1" x14ac:dyDescent="0.2">
      <c r="A62" s="334" t="s">
        <v>87</v>
      </c>
      <c r="B62" s="434"/>
      <c r="C62" s="412" t="s">
        <v>224</v>
      </c>
      <c r="D62" s="347"/>
      <c r="E62" s="412" t="s">
        <v>224</v>
      </c>
      <c r="F62" s="347"/>
      <c r="G62" s="347"/>
      <c r="H62" s="348">
        <f>I62/$H$61</f>
        <v>0.52422373165618452</v>
      </c>
      <c r="I62" s="349">
        <v>125027.36</v>
      </c>
      <c r="J62" s="350">
        <v>1</v>
      </c>
      <c r="K62" s="347">
        <v>41869</v>
      </c>
      <c r="L62" s="351">
        <v>125027.36</v>
      </c>
      <c r="M62" s="352">
        <v>41925</v>
      </c>
      <c r="N62" s="410">
        <f>IF(M62="",$P$2-K62,M62-K62)</f>
        <v>56</v>
      </c>
      <c r="O62" s="354" t="str">
        <f>IF(L62="en attente",I62,"")</f>
        <v/>
      </c>
      <c r="P62" s="354">
        <f t="shared" si="7"/>
        <v>0</v>
      </c>
      <c r="Q62" s="457"/>
      <c r="R62" s="163"/>
    </row>
    <row r="63" spans="1:18" s="26" customFormat="1" ht="12.2" hidden="1" customHeight="1" outlineLevel="1" x14ac:dyDescent="0.2">
      <c r="A63" s="334" t="s">
        <v>87</v>
      </c>
      <c r="B63" s="434"/>
      <c r="C63" s="347"/>
      <c r="D63" s="347"/>
      <c r="E63" s="347"/>
      <c r="F63" s="347"/>
      <c r="G63" s="347"/>
      <c r="H63" s="348">
        <f>I63/$H$61+H62</f>
        <v>0.8</v>
      </c>
      <c r="I63" s="349">
        <v>65772.639999999999</v>
      </c>
      <c r="J63" s="350">
        <v>2</v>
      </c>
      <c r="K63" s="347">
        <v>42264</v>
      </c>
      <c r="L63" s="351">
        <v>65772.639999999999</v>
      </c>
      <c r="M63" s="352">
        <v>42325</v>
      </c>
      <c r="N63" s="410"/>
      <c r="O63" s="354" t="str">
        <f>IF(L63="en attente",I63,"")</f>
        <v/>
      </c>
      <c r="P63" s="354">
        <f t="shared" si="7"/>
        <v>0</v>
      </c>
      <c r="Q63" s="354"/>
      <c r="R63" s="163"/>
    </row>
    <row r="64" spans="1:18" s="26" customFormat="1" ht="12.2" hidden="1" customHeight="1" outlineLevel="1" x14ac:dyDescent="0.2">
      <c r="A64" s="356" t="s">
        <v>87</v>
      </c>
      <c r="B64" s="441"/>
      <c r="C64" s="358"/>
      <c r="D64" s="358"/>
      <c r="E64" s="358"/>
      <c r="F64" s="358"/>
      <c r="G64" s="358"/>
      <c r="H64" s="428">
        <f>I64/$H$61+H63</f>
        <v>1</v>
      </c>
      <c r="I64" s="359">
        <f>H61-SUM(I62:I63)</f>
        <v>47700</v>
      </c>
      <c r="J64" s="360">
        <v>3</v>
      </c>
      <c r="K64" s="358">
        <v>42898</v>
      </c>
      <c r="L64" s="361">
        <v>47700</v>
      </c>
      <c r="M64" s="362">
        <v>42940</v>
      </c>
      <c r="N64" s="429"/>
      <c r="O64" s="364" t="str">
        <f>IF(L64="en attente",I64,"")</f>
        <v/>
      </c>
      <c r="P64" s="354">
        <f t="shared" si="7"/>
        <v>0</v>
      </c>
      <c r="Q64" s="364"/>
      <c r="R64" s="163"/>
    </row>
    <row r="65" spans="1:18" s="107" customFormat="1" ht="12.2" customHeight="1" collapsed="1" x14ac:dyDescent="0.2">
      <c r="A65" s="402" t="s">
        <v>88</v>
      </c>
      <c r="B65" s="433" t="s">
        <v>204</v>
      </c>
      <c r="C65" s="414">
        <v>41570</v>
      </c>
      <c r="D65" s="326">
        <f>DATE(YEAR(C65)+2,MONTH(C65),DAY(C65))</f>
        <v>42300</v>
      </c>
      <c r="E65" s="414">
        <v>41900</v>
      </c>
      <c r="F65" s="414">
        <f>DATE(YEAR(E65)+4,MONTH(E65),DAY(E65))</f>
        <v>43361</v>
      </c>
      <c r="G65" s="414">
        <v>42576</v>
      </c>
      <c r="H65" s="409">
        <v>180000</v>
      </c>
      <c r="I65" s="404"/>
      <c r="J65" s="415"/>
      <c r="K65" s="414"/>
      <c r="L65" s="407">
        <f>SUM(L66:L69)</f>
        <v>180000</v>
      </c>
      <c r="M65" s="420"/>
      <c r="N65" s="430"/>
      <c r="O65" s="416">
        <f>SUM(O66)</f>
        <v>0</v>
      </c>
      <c r="P65" s="417">
        <f>SUM(P66:P69)</f>
        <v>0</v>
      </c>
      <c r="Q65" s="416"/>
      <c r="R65" s="163">
        <f>H65-(L65+O65+P65)</f>
        <v>0</v>
      </c>
    </row>
    <row r="66" spans="1:18" s="26" customFormat="1" hidden="1" outlineLevel="1" x14ac:dyDescent="0.2">
      <c r="A66" s="334" t="s">
        <v>88</v>
      </c>
      <c r="B66" s="434"/>
      <c r="C66" s="412" t="s">
        <v>224</v>
      </c>
      <c r="D66" s="347"/>
      <c r="E66" s="412" t="s">
        <v>224</v>
      </c>
      <c r="F66" s="347"/>
      <c r="G66" s="347"/>
      <c r="H66" s="435">
        <v>0.35120000000000001</v>
      </c>
      <c r="I66" s="349">
        <v>63214</v>
      </c>
      <c r="J66" s="350">
        <v>1</v>
      </c>
      <c r="K66" s="347">
        <v>42376</v>
      </c>
      <c r="L66" s="351">
        <v>63214</v>
      </c>
      <c r="M66" s="352">
        <v>42433</v>
      </c>
      <c r="N66" s="410"/>
      <c r="O66" s="354" t="str">
        <f>IF(L66="en attente",I66,"")</f>
        <v/>
      </c>
      <c r="P66" s="354">
        <f t="shared" si="7"/>
        <v>0</v>
      </c>
      <c r="Q66" s="457"/>
      <c r="R66" s="163"/>
    </row>
    <row r="67" spans="1:18" s="26" customFormat="1" ht="12.2" hidden="1" customHeight="1" outlineLevel="1" x14ac:dyDescent="0.2">
      <c r="A67" s="334" t="s">
        <v>88</v>
      </c>
      <c r="B67" s="434"/>
      <c r="C67" s="347"/>
      <c r="D67" s="347"/>
      <c r="E67" s="347"/>
      <c r="F67" s="347"/>
      <c r="G67" s="347"/>
      <c r="H67" s="435">
        <v>0.56940000000000002</v>
      </c>
      <c r="I67" s="349">
        <v>39277.519999999997</v>
      </c>
      <c r="J67" s="350">
        <v>2</v>
      </c>
      <c r="K67" s="347">
        <v>42528</v>
      </c>
      <c r="L67" s="351">
        <v>39277.519999999997</v>
      </c>
      <c r="M67" s="352">
        <v>42562</v>
      </c>
      <c r="N67" s="410"/>
      <c r="O67" s="354" t="str">
        <f>IF(L67="en attente",I67,"")</f>
        <v/>
      </c>
      <c r="P67" s="354">
        <f t="shared" si="7"/>
        <v>0</v>
      </c>
      <c r="Q67" s="457"/>
      <c r="R67" s="163"/>
    </row>
    <row r="68" spans="1:18" s="26" customFormat="1" ht="12.2" hidden="1" customHeight="1" outlineLevel="1" x14ac:dyDescent="0.2">
      <c r="A68" s="334" t="s">
        <v>88</v>
      </c>
      <c r="B68" s="434"/>
      <c r="C68" s="347"/>
      <c r="D68" s="347"/>
      <c r="E68" s="347"/>
      <c r="F68" s="347"/>
      <c r="G68" s="347"/>
      <c r="H68" s="348">
        <v>0.8</v>
      </c>
      <c r="I68" s="349">
        <f>(H65*H68)-(I66+I67)</f>
        <v>41508.48000000001</v>
      </c>
      <c r="J68" s="929">
        <v>3</v>
      </c>
      <c r="K68" s="931">
        <v>42900</v>
      </c>
      <c r="L68" s="932">
        <v>77508.479999999996</v>
      </c>
      <c r="M68" s="931">
        <v>42940</v>
      </c>
      <c r="N68" s="410"/>
      <c r="O68" s="934"/>
      <c r="P68" s="354">
        <f t="shared" si="7"/>
        <v>0</v>
      </c>
      <c r="Q68" s="354"/>
      <c r="R68" s="163"/>
    </row>
    <row r="69" spans="1:18" s="26" customFormat="1" ht="12.2" hidden="1" customHeight="1" outlineLevel="1" x14ac:dyDescent="0.2">
      <c r="A69" s="334" t="s">
        <v>88</v>
      </c>
      <c r="B69" s="434"/>
      <c r="C69" s="347"/>
      <c r="D69" s="347"/>
      <c r="E69" s="347"/>
      <c r="F69" s="347"/>
      <c r="G69" s="347"/>
      <c r="H69" s="348">
        <f>I69/$H$65+H68</f>
        <v>1</v>
      </c>
      <c r="I69" s="349">
        <f>H65-(I66+I67+I68)</f>
        <v>36000</v>
      </c>
      <c r="J69" s="930"/>
      <c r="K69" s="930"/>
      <c r="L69" s="933"/>
      <c r="M69" s="930"/>
      <c r="N69" s="410"/>
      <c r="O69" s="935"/>
      <c r="P69" s="354">
        <f>O68</f>
        <v>0</v>
      </c>
      <c r="Q69" s="354"/>
      <c r="R69" s="163"/>
    </row>
    <row r="70" spans="1:18" s="183" customFormat="1" ht="12.2" customHeight="1" collapsed="1" x14ac:dyDescent="0.2">
      <c r="A70" s="325" t="s">
        <v>89</v>
      </c>
      <c r="B70" s="439" t="s">
        <v>203</v>
      </c>
      <c r="C70" s="326">
        <v>41544</v>
      </c>
      <c r="D70" s="326">
        <f>DATE(YEAR(C70)+2,MONTH(C70),DAY(C70))</f>
        <v>42274</v>
      </c>
      <c r="E70" s="326">
        <v>41801</v>
      </c>
      <c r="F70" s="326">
        <f>DATE(YEAR(E70)+4,MONTH(E70),DAY(E70))</f>
        <v>43262</v>
      </c>
      <c r="G70" s="331">
        <v>42726</v>
      </c>
      <c r="H70" s="327">
        <v>1303101.69</v>
      </c>
      <c r="I70" s="328"/>
      <c r="J70" s="329"/>
      <c r="K70" s="326"/>
      <c r="L70" s="330">
        <f>SUM(L71:L76)</f>
        <v>1303101.6900000002</v>
      </c>
      <c r="M70" s="331"/>
      <c r="N70" s="425"/>
      <c r="O70" s="333">
        <f>SUM(O71:O76)</f>
        <v>0</v>
      </c>
      <c r="P70" s="333">
        <f>SUM(P71:P76)</f>
        <v>0</v>
      </c>
      <c r="Q70" s="333"/>
      <c r="R70" s="164">
        <f>H70-(L70+O70+P70)</f>
        <v>0</v>
      </c>
    </row>
    <row r="71" spans="1:18" s="26" customFormat="1" ht="12.2" hidden="1" customHeight="1" outlineLevel="1" x14ac:dyDescent="0.2">
      <c r="A71" s="334" t="s">
        <v>89</v>
      </c>
      <c r="B71" s="434"/>
      <c r="C71" s="412" t="s">
        <v>224</v>
      </c>
      <c r="D71" s="347"/>
      <c r="E71" s="412" t="s">
        <v>224</v>
      </c>
      <c r="F71" s="347"/>
      <c r="G71" s="347"/>
      <c r="H71" s="348">
        <f>I71/$H$70</f>
        <v>0.47003906502492526</v>
      </c>
      <c r="I71" s="349">
        <v>612508.69999999995</v>
      </c>
      <c r="J71" s="350">
        <v>1</v>
      </c>
      <c r="K71" s="347">
        <v>42226</v>
      </c>
      <c r="L71" s="351">
        <v>612508.69999999995</v>
      </c>
      <c r="M71" s="352">
        <v>42307</v>
      </c>
      <c r="N71" s="410"/>
      <c r="O71" s="354" t="str">
        <f t="shared" ref="O71:O76" si="9">IF(L71="en attente",I71,"")</f>
        <v/>
      </c>
      <c r="P71" s="354">
        <f t="shared" si="7"/>
        <v>0</v>
      </c>
      <c r="Q71" s="354"/>
      <c r="R71" s="163"/>
    </row>
    <row r="72" spans="1:18" s="26" customFormat="1" ht="12.2" hidden="1" customHeight="1" outlineLevel="1" x14ac:dyDescent="0.2">
      <c r="A72" s="334" t="s">
        <v>89</v>
      </c>
      <c r="B72" s="434"/>
      <c r="C72" s="347"/>
      <c r="D72" s="347"/>
      <c r="E72" s="347"/>
      <c r="F72" s="731"/>
      <c r="G72" s="347"/>
      <c r="H72" s="435">
        <v>0.57240000000000002</v>
      </c>
      <c r="I72" s="349">
        <v>133340.79999999999</v>
      </c>
      <c r="J72" s="350">
        <v>2</v>
      </c>
      <c r="K72" s="347">
        <v>42409</v>
      </c>
      <c r="L72" s="351">
        <v>133340.79999999999</v>
      </c>
      <c r="M72" s="352">
        <v>42488</v>
      </c>
      <c r="N72" s="410"/>
      <c r="O72" s="354" t="str">
        <f t="shared" si="9"/>
        <v/>
      </c>
      <c r="P72" s="354">
        <f t="shared" si="7"/>
        <v>0</v>
      </c>
      <c r="Q72" s="354"/>
      <c r="R72" s="163"/>
    </row>
    <row r="73" spans="1:18" s="26" customFormat="1" ht="12.2" hidden="1" customHeight="1" outlineLevel="1" x14ac:dyDescent="0.2">
      <c r="A73" s="334" t="s">
        <v>89</v>
      </c>
      <c r="B73" s="434"/>
      <c r="C73" s="347"/>
      <c r="D73" s="347"/>
      <c r="E73" s="347"/>
      <c r="F73" s="347"/>
      <c r="G73" s="347"/>
      <c r="H73" s="435">
        <v>0.68020000000000003</v>
      </c>
      <c r="I73" s="349">
        <v>140471.13</v>
      </c>
      <c r="J73" s="350">
        <v>3</v>
      </c>
      <c r="K73" s="347">
        <v>42544</v>
      </c>
      <c r="L73" s="351">
        <v>140471.13</v>
      </c>
      <c r="M73" s="352">
        <v>42578</v>
      </c>
      <c r="N73" s="410"/>
      <c r="O73" s="354" t="str">
        <f t="shared" si="9"/>
        <v/>
      </c>
      <c r="P73" s="354">
        <f t="shared" si="7"/>
        <v>0</v>
      </c>
      <c r="Q73" s="354"/>
      <c r="R73" s="163"/>
    </row>
    <row r="74" spans="1:18" s="26" customFormat="1" ht="12.2" hidden="1" customHeight="1" outlineLevel="1" x14ac:dyDescent="0.2">
      <c r="A74" s="334" t="s">
        <v>89</v>
      </c>
      <c r="B74" s="434"/>
      <c r="C74" s="347"/>
      <c r="D74" s="347"/>
      <c r="E74" s="347"/>
      <c r="F74" s="347"/>
      <c r="G74" s="347"/>
      <c r="H74" s="435">
        <v>0.76839999999999997</v>
      </c>
      <c r="I74" s="349">
        <v>114954.43</v>
      </c>
      <c r="J74" s="350">
        <v>4</v>
      </c>
      <c r="K74" s="347">
        <v>42635</v>
      </c>
      <c r="L74" s="351">
        <v>114954.43</v>
      </c>
      <c r="M74" s="352">
        <v>42667</v>
      </c>
      <c r="N74" s="410"/>
      <c r="O74" s="354" t="str">
        <f t="shared" si="9"/>
        <v/>
      </c>
      <c r="P74" s="354">
        <f t="shared" si="7"/>
        <v>0</v>
      </c>
      <c r="Q74" s="354"/>
      <c r="R74" s="163"/>
    </row>
    <row r="75" spans="1:18" s="26" customFormat="1" ht="12.2" hidden="1" customHeight="1" outlineLevel="1" x14ac:dyDescent="0.2">
      <c r="A75" s="334" t="s">
        <v>89</v>
      </c>
      <c r="B75" s="434"/>
      <c r="C75" s="347"/>
      <c r="D75" s="347"/>
      <c r="E75" s="347"/>
      <c r="F75" s="347"/>
      <c r="G75" s="347"/>
      <c r="H75" s="551">
        <v>0.8</v>
      </c>
      <c r="I75" s="349">
        <f>H70*80%-(I71+I72+I73+I74)</f>
        <v>41206.291999999899</v>
      </c>
      <c r="J75" s="350">
        <v>5</v>
      </c>
      <c r="K75" s="347">
        <v>42678</v>
      </c>
      <c r="L75" s="707">
        <v>41206.29</v>
      </c>
      <c r="M75" s="352">
        <v>42752</v>
      </c>
      <c r="N75" s="410"/>
      <c r="O75" s="354" t="str">
        <f t="shared" si="9"/>
        <v/>
      </c>
      <c r="P75" s="354">
        <f t="shared" si="7"/>
        <v>0</v>
      </c>
      <c r="Q75" s="354"/>
      <c r="R75" s="163"/>
    </row>
    <row r="76" spans="1:18" s="26" customFormat="1" ht="12.2" hidden="1" customHeight="1" outlineLevel="1" x14ac:dyDescent="0.2">
      <c r="A76" s="356" t="s">
        <v>89</v>
      </c>
      <c r="B76" s="441"/>
      <c r="C76" s="358"/>
      <c r="D76" s="358"/>
      <c r="E76" s="358"/>
      <c r="F76" s="358"/>
      <c r="G76" s="358"/>
      <c r="H76" s="428">
        <f>I76/$H$70+H75</f>
        <v>1</v>
      </c>
      <c r="I76" s="349">
        <f>H70-(I71+I72+I73+I74+I75)</f>
        <v>260620.33799999999</v>
      </c>
      <c r="J76" s="360">
        <v>6</v>
      </c>
      <c r="K76" s="358">
        <v>43251</v>
      </c>
      <c r="L76" s="361">
        <v>260620.34</v>
      </c>
      <c r="M76" s="362">
        <v>43412</v>
      </c>
      <c r="N76" s="429"/>
      <c r="O76" s="364" t="str">
        <f t="shared" si="9"/>
        <v/>
      </c>
      <c r="P76" s="364">
        <f t="shared" si="7"/>
        <v>0</v>
      </c>
      <c r="Q76" s="364"/>
      <c r="R76" s="163"/>
    </row>
    <row r="77" spans="1:18" s="107" customFormat="1" ht="12.2" customHeight="1" collapsed="1" x14ac:dyDescent="0.2">
      <c r="A77" s="325" t="s">
        <v>90</v>
      </c>
      <c r="B77" s="439" t="s">
        <v>201</v>
      </c>
      <c r="C77" s="326">
        <v>41612</v>
      </c>
      <c r="D77" s="326">
        <f>DATE(YEAR(C77)+2,MONTH(C77),DAY(C77))</f>
        <v>42342</v>
      </c>
      <c r="E77" s="326">
        <v>42339</v>
      </c>
      <c r="F77" s="326">
        <f>DATE(YEAR(E77)+4,MONTH(E77),DAY(E77))</f>
        <v>43800</v>
      </c>
      <c r="G77" s="326">
        <v>42865</v>
      </c>
      <c r="H77" s="327">
        <v>300000</v>
      </c>
      <c r="I77" s="328"/>
      <c r="J77" s="329"/>
      <c r="K77" s="326"/>
      <c r="L77" s="330">
        <f>SUM(L78:L82)</f>
        <v>299999.90000000002</v>
      </c>
      <c r="M77" s="331"/>
      <c r="N77" s="425"/>
      <c r="O77" s="333">
        <f>SUM(O78:O82)</f>
        <v>0</v>
      </c>
      <c r="P77" s="333">
        <f>SUM(P78:P82)</f>
        <v>0</v>
      </c>
      <c r="Q77" s="159"/>
      <c r="R77" s="163">
        <f>H77-(L77+O77+P77)</f>
        <v>9.9999999976716936E-2</v>
      </c>
    </row>
    <row r="78" spans="1:18" s="26" customFormat="1" ht="12.2" hidden="1" customHeight="1" outlineLevel="1" x14ac:dyDescent="0.2">
      <c r="A78" s="334" t="s">
        <v>90</v>
      </c>
      <c r="B78" s="434"/>
      <c r="C78" s="412" t="s">
        <v>224</v>
      </c>
      <c r="D78" s="412" t="s">
        <v>226</v>
      </c>
      <c r="E78" s="347"/>
      <c r="F78" s="347"/>
      <c r="G78" s="347"/>
      <c r="H78" s="435">
        <v>0.4415</v>
      </c>
      <c r="I78" s="349">
        <v>132435.64000000001</v>
      </c>
      <c r="J78" s="350">
        <v>1</v>
      </c>
      <c r="K78" s="347">
        <v>42355</v>
      </c>
      <c r="L78" s="351">
        <v>133435.64000000001</v>
      </c>
      <c r="M78" s="352">
        <v>42481</v>
      </c>
      <c r="N78" s="410"/>
      <c r="O78" s="416" t="str">
        <f>IF(L78="en attente",I78,"")</f>
        <v/>
      </c>
      <c r="P78" s="354">
        <f>IF(K78="",I78-L78,0)</f>
        <v>0</v>
      </c>
      <c r="Q78" s="81" t="s">
        <v>245</v>
      </c>
      <c r="R78" s="163"/>
    </row>
    <row r="79" spans="1:18" s="26" customFormat="1" ht="12.2" hidden="1" customHeight="1" outlineLevel="1" x14ac:dyDescent="0.2">
      <c r="A79" s="334" t="s">
        <v>90</v>
      </c>
      <c r="B79" s="434"/>
      <c r="C79" s="347"/>
      <c r="D79" s="347"/>
      <c r="E79" s="347"/>
      <c r="F79" s="347"/>
      <c r="G79" s="347"/>
      <c r="H79" s="435">
        <v>0.52359999999999995</v>
      </c>
      <c r="I79" s="349">
        <f>24650.71</f>
        <v>24650.71</v>
      </c>
      <c r="J79" s="350">
        <v>2</v>
      </c>
      <c r="K79" s="347">
        <v>42513</v>
      </c>
      <c r="L79" s="351">
        <v>23650.71</v>
      </c>
      <c r="M79" s="352">
        <v>42562</v>
      </c>
      <c r="N79" s="410"/>
      <c r="O79" s="416" t="str">
        <f>IF(L79="en attente",I79,"")</f>
        <v/>
      </c>
      <c r="P79" s="354">
        <f>IF(K79="",I79-L79,0)</f>
        <v>0</v>
      </c>
      <c r="Q79" s="81" t="s">
        <v>283</v>
      </c>
      <c r="R79" s="163"/>
    </row>
    <row r="80" spans="1:18" s="26" customFormat="1" ht="12.2" hidden="1" customHeight="1" outlineLevel="1" x14ac:dyDescent="0.2">
      <c r="A80" s="334" t="s">
        <v>90</v>
      </c>
      <c r="B80" s="434"/>
      <c r="C80" s="347"/>
      <c r="D80" s="347"/>
      <c r="E80" s="347"/>
      <c r="F80" s="347"/>
      <c r="G80" s="347"/>
      <c r="H80" s="435">
        <v>0.69289999999999996</v>
      </c>
      <c r="I80" s="349">
        <v>50793.72</v>
      </c>
      <c r="J80" s="350">
        <v>3</v>
      </c>
      <c r="K80" s="347">
        <v>42761</v>
      </c>
      <c r="L80" s="351">
        <v>50793.72</v>
      </c>
      <c r="M80" s="352">
        <v>42795</v>
      </c>
      <c r="N80" s="410"/>
      <c r="O80" s="416" t="str">
        <f>IF(L80="en attente",I80,"")</f>
        <v/>
      </c>
      <c r="P80" s="354">
        <f>IF(K80="",I80-L80,0)</f>
        <v>0</v>
      </c>
      <c r="Q80" s="81"/>
      <c r="R80" s="163"/>
    </row>
    <row r="81" spans="1:18" s="26" customFormat="1" ht="12.2" hidden="1" customHeight="1" outlineLevel="1" x14ac:dyDescent="0.2">
      <c r="A81" s="334" t="s">
        <v>90</v>
      </c>
      <c r="B81" s="434"/>
      <c r="C81" s="347"/>
      <c r="D81" s="347"/>
      <c r="E81" s="347"/>
      <c r="F81" s="347"/>
      <c r="G81" s="347"/>
      <c r="H81" s="348">
        <v>0.8</v>
      </c>
      <c r="I81" s="349">
        <f>H77*H81-(I78+I79+I80)</f>
        <v>32119.929999999993</v>
      </c>
      <c r="J81" s="350">
        <v>4</v>
      </c>
      <c r="K81" s="347">
        <v>42817</v>
      </c>
      <c r="L81" s="351">
        <v>32119.83</v>
      </c>
      <c r="M81" s="352">
        <v>42843</v>
      </c>
      <c r="N81" s="410"/>
      <c r="O81" s="416" t="str">
        <f>IF(L81="en attente",I81,"")</f>
        <v/>
      </c>
      <c r="P81" s="354">
        <f>IF(K81="",I81-L81,0)</f>
        <v>0</v>
      </c>
      <c r="Q81" s="81"/>
      <c r="R81" s="163"/>
    </row>
    <row r="82" spans="1:18" s="26" customFormat="1" ht="12.2" hidden="1" customHeight="1" outlineLevel="1" x14ac:dyDescent="0.2">
      <c r="A82" s="356" t="s">
        <v>90</v>
      </c>
      <c r="B82" s="441"/>
      <c r="C82" s="358"/>
      <c r="D82" s="358"/>
      <c r="E82" s="358"/>
      <c r="F82" s="358"/>
      <c r="G82" s="358"/>
      <c r="H82" s="428">
        <v>1</v>
      </c>
      <c r="I82" s="359">
        <v>60000.1</v>
      </c>
      <c r="J82" s="360">
        <v>5</v>
      </c>
      <c r="K82" s="358">
        <v>43439</v>
      </c>
      <c r="L82" s="361">
        <v>60000</v>
      </c>
      <c r="M82" s="362">
        <v>43455</v>
      </c>
      <c r="N82" s="429"/>
      <c r="O82" s="416" t="str">
        <f>IF(L82="en attente",I82,"")</f>
        <v/>
      </c>
      <c r="P82" s="364">
        <f>IF(K82="",I82-L82,0)</f>
        <v>0</v>
      </c>
      <c r="Q82" s="157"/>
      <c r="R82" s="163"/>
    </row>
    <row r="83" spans="1:18" s="107" customFormat="1" ht="12.2" customHeight="1" collapsed="1" x14ac:dyDescent="0.2">
      <c r="A83" s="325" t="s">
        <v>122</v>
      </c>
      <c r="B83" s="439" t="s">
        <v>223</v>
      </c>
      <c r="C83" s="326">
        <v>41841</v>
      </c>
      <c r="D83" s="326">
        <f>DATE(YEAR(C83)+3,MONTH(C83),DAY(C83))</f>
        <v>42937</v>
      </c>
      <c r="E83" s="326">
        <v>42933</v>
      </c>
      <c r="F83" s="736" t="s">
        <v>327</v>
      </c>
      <c r="G83" s="326"/>
      <c r="H83" s="327">
        <v>315000</v>
      </c>
      <c r="I83" s="328"/>
      <c r="J83" s="329"/>
      <c r="K83" s="326"/>
      <c r="L83" s="330">
        <f>SUM(L84:L85)</f>
        <v>314717.28000000003</v>
      </c>
      <c r="M83" s="331"/>
      <c r="N83" s="425"/>
      <c r="O83" s="333">
        <f>SUM(O85)</f>
        <v>0</v>
      </c>
      <c r="P83" s="333">
        <f>SUM(P84:P85)</f>
        <v>0</v>
      </c>
      <c r="Q83" s="333"/>
      <c r="R83" s="163">
        <f>H83-(L83+O83+P83)</f>
        <v>282.71999999997206</v>
      </c>
    </row>
    <row r="84" spans="1:18" s="203" customFormat="1" ht="12.2" hidden="1" customHeight="1" outlineLevel="1" x14ac:dyDescent="0.2">
      <c r="A84" s="334" t="s">
        <v>122</v>
      </c>
      <c r="B84" s="434"/>
      <c r="C84" s="414"/>
      <c r="D84" s="414"/>
      <c r="E84" s="414"/>
      <c r="F84" s="656" t="s">
        <v>328</v>
      </c>
      <c r="G84" s="414"/>
      <c r="H84" s="435">
        <v>0.53259999999999996</v>
      </c>
      <c r="I84" s="349">
        <v>167784.32000000001</v>
      </c>
      <c r="J84" s="350">
        <v>1</v>
      </c>
      <c r="K84" s="347">
        <v>42942</v>
      </c>
      <c r="L84" s="351">
        <v>167784.32000000001</v>
      </c>
      <c r="M84" s="352">
        <v>43006</v>
      </c>
      <c r="N84" s="430"/>
      <c r="O84" s="416" t="str">
        <f>IF(L84="en attente",I84,"")</f>
        <v/>
      </c>
      <c r="P84" s="354">
        <f>IF(K84="",I84-L84,0)</f>
        <v>0</v>
      </c>
      <c r="Q84" s="354" t="s">
        <v>389</v>
      </c>
      <c r="R84" s="165"/>
    </row>
    <row r="85" spans="1:18" s="26" customFormat="1" ht="12.2" hidden="1" customHeight="1" outlineLevel="1" x14ac:dyDescent="0.2">
      <c r="A85" s="334" t="s">
        <v>122</v>
      </c>
      <c r="B85" s="434"/>
      <c r="C85" s="347"/>
      <c r="D85" s="347"/>
      <c r="E85" s="347" t="s">
        <v>291</v>
      </c>
      <c r="F85" s="347"/>
      <c r="G85" s="347"/>
      <c r="H85" s="348">
        <v>0.99909999999999999</v>
      </c>
      <c r="I85" s="349">
        <v>146932.96</v>
      </c>
      <c r="J85" s="350">
        <v>2</v>
      </c>
      <c r="K85" s="347">
        <v>43392</v>
      </c>
      <c r="L85" s="351">
        <v>146932.96</v>
      </c>
      <c r="M85" s="352">
        <v>43424</v>
      </c>
      <c r="N85" s="410"/>
      <c r="O85" s="354" t="str">
        <f>IF(L85="en attente",I85,"")</f>
        <v/>
      </c>
      <c r="P85" s="354">
        <f>IF(K85="",I85-L85,0)</f>
        <v>0</v>
      </c>
      <c r="Q85" s="354"/>
      <c r="R85" s="163"/>
    </row>
    <row r="86" spans="1:18" s="107" customFormat="1" ht="12.2" customHeight="1" collapsed="1" x14ac:dyDescent="0.2">
      <c r="A86" s="119" t="s">
        <v>56</v>
      </c>
      <c r="B86" s="309" t="s">
        <v>202</v>
      </c>
      <c r="C86" s="158">
        <v>41544</v>
      </c>
      <c r="D86" s="158">
        <f>DATE(YEAR(C86)+2,MONTH(C86),DAY(C86))</f>
        <v>42274</v>
      </c>
      <c r="E86" s="158">
        <v>41729</v>
      </c>
      <c r="F86" s="158">
        <f>DATE(YEAR(E86)+4,MONTH(E86),DAY(E86))</f>
        <v>43190</v>
      </c>
      <c r="G86" s="158">
        <v>43131</v>
      </c>
      <c r="H86" s="128">
        <v>680000</v>
      </c>
      <c r="I86" s="123"/>
      <c r="J86" s="138"/>
      <c r="K86" s="158"/>
      <c r="L86" s="126">
        <f>SUM(L87:L89)</f>
        <v>543734.56000000006</v>
      </c>
      <c r="M86" s="151"/>
      <c r="N86" s="152"/>
      <c r="O86" s="159">
        <f>SUM(O87:O89)</f>
        <v>136265.43999999994</v>
      </c>
      <c r="P86" s="159">
        <f>SUM(P87:P89)</f>
        <v>0</v>
      </c>
      <c r="Q86" s="159"/>
      <c r="R86" s="163">
        <f>H86-(L86+O86+P86)</f>
        <v>0</v>
      </c>
    </row>
    <row r="87" spans="1:18" s="26" customFormat="1" ht="12.2" customHeight="1" outlineLevel="1" x14ac:dyDescent="0.2">
      <c r="A87" s="46"/>
      <c r="B87" s="310"/>
      <c r="C87" s="29" t="s">
        <v>224</v>
      </c>
      <c r="D87" s="15"/>
      <c r="E87" s="29" t="s">
        <v>224</v>
      </c>
      <c r="F87" s="632"/>
      <c r="G87" s="15"/>
      <c r="H87" s="108">
        <f>I87/$H$86</f>
        <v>0.47570761764705882</v>
      </c>
      <c r="I87" s="23">
        <v>323481.18</v>
      </c>
      <c r="J87" s="42">
        <v>1</v>
      </c>
      <c r="K87" s="15">
        <v>41746</v>
      </c>
      <c r="L87" s="24">
        <v>323481.18</v>
      </c>
      <c r="M87" s="30">
        <v>41814</v>
      </c>
      <c r="N87" s="43">
        <f>IF(M87="",$P$2-K87,M87-K87)</f>
        <v>68</v>
      </c>
      <c r="O87" s="81" t="str">
        <f>IF(L87="en attente",I87,"")</f>
        <v/>
      </c>
      <c r="P87" s="81">
        <f t="shared" si="7"/>
        <v>0</v>
      </c>
      <c r="Q87" s="81"/>
      <c r="R87" s="163"/>
    </row>
    <row r="88" spans="1:18" s="26" customFormat="1" ht="12.2" customHeight="1" outlineLevel="1" x14ac:dyDescent="0.2">
      <c r="A88" s="46"/>
      <c r="B88" s="310"/>
      <c r="C88" s="15"/>
      <c r="D88" s="15"/>
      <c r="E88" s="15"/>
      <c r="F88" s="15"/>
      <c r="G88" s="15"/>
      <c r="H88" s="233">
        <f>I88/$H$86+H87</f>
        <v>0.79960964705882354</v>
      </c>
      <c r="I88" s="23">
        <v>220253.38</v>
      </c>
      <c r="J88" s="42">
        <v>2</v>
      </c>
      <c r="K88" s="15">
        <v>42264</v>
      </c>
      <c r="L88" s="24">
        <v>220253.38</v>
      </c>
      <c r="M88" s="30">
        <v>42325</v>
      </c>
      <c r="N88" s="43"/>
      <c r="O88" s="81" t="str">
        <f>IF(L88="en attente",I88,"")</f>
        <v/>
      </c>
      <c r="P88" s="81">
        <f t="shared" si="7"/>
        <v>0</v>
      </c>
      <c r="Q88" s="81"/>
      <c r="R88" s="163"/>
    </row>
    <row r="89" spans="1:18" s="26" customFormat="1" ht="12.2" customHeight="1" outlineLevel="1" x14ac:dyDescent="0.2">
      <c r="A89" s="118"/>
      <c r="B89" s="311"/>
      <c r="C89" s="36"/>
      <c r="D89" s="36"/>
      <c r="E89" s="36"/>
      <c r="F89" s="36"/>
      <c r="G89" s="36"/>
      <c r="H89" s="760">
        <f>I89/$H$86+H88</f>
        <v>0.99999999999999989</v>
      </c>
      <c r="I89" s="35">
        <f>H86-SUM(I87:I88)</f>
        <v>136265.43999999994</v>
      </c>
      <c r="J89" s="44">
        <v>3</v>
      </c>
      <c r="K89" s="36">
        <v>43181</v>
      </c>
      <c r="L89" s="154" t="s">
        <v>294</v>
      </c>
      <c r="M89" s="155"/>
      <c r="N89" s="156"/>
      <c r="O89" s="157">
        <f>IF(L89="en attente",I89,"")</f>
        <v>136265.43999999994</v>
      </c>
      <c r="P89" s="157">
        <f t="shared" si="7"/>
        <v>0</v>
      </c>
      <c r="Q89" s="761" t="s">
        <v>357</v>
      </c>
      <c r="R89" s="163"/>
    </row>
    <row r="90" spans="1:18" s="107" customFormat="1" ht="12.2" customHeight="1" x14ac:dyDescent="0.2">
      <c r="A90" s="129" t="s">
        <v>36</v>
      </c>
      <c r="B90" s="312" t="s">
        <v>200</v>
      </c>
      <c r="C90" s="149">
        <v>41544</v>
      </c>
      <c r="D90" s="149">
        <f>DATE(YEAR(C90)+2,MONTH(C90),DAY(C90))</f>
        <v>42274</v>
      </c>
      <c r="E90" s="149">
        <v>42142</v>
      </c>
      <c r="F90" s="149">
        <f>DATE(YEAR(E90)+4,MONTH(E90),DAY(E90))</f>
        <v>43603</v>
      </c>
      <c r="G90" s="149">
        <v>43075</v>
      </c>
      <c r="H90" s="137">
        <v>2200000</v>
      </c>
      <c r="I90" s="132"/>
      <c r="J90" s="133"/>
      <c r="K90" s="149"/>
      <c r="L90" s="135">
        <f>SUM(L91:L98)</f>
        <v>1623747.5200000003</v>
      </c>
      <c r="M90" s="147"/>
      <c r="N90" s="148"/>
      <c r="O90" s="184">
        <f>SUM(O91:O98)</f>
        <v>576252.48</v>
      </c>
      <c r="P90" s="150">
        <f>SUM(P91:P98)</f>
        <v>0</v>
      </c>
      <c r="Q90" s="150"/>
      <c r="R90" s="163">
        <f>H90-(L90+O90+P90)</f>
        <v>0</v>
      </c>
    </row>
    <row r="91" spans="1:18" s="26" customFormat="1" ht="12.2" customHeight="1" outlineLevel="1" x14ac:dyDescent="0.2">
      <c r="A91" s="46"/>
      <c r="B91" s="310"/>
      <c r="C91" s="29" t="s">
        <v>224</v>
      </c>
      <c r="D91" s="29"/>
      <c r="E91" s="29" t="s">
        <v>224</v>
      </c>
      <c r="F91" s="15"/>
      <c r="G91" s="15"/>
      <c r="H91" s="233">
        <v>0.50160000000000005</v>
      </c>
      <c r="I91" s="23">
        <v>1125520</v>
      </c>
      <c r="J91" s="42">
        <v>1</v>
      </c>
      <c r="K91" s="15">
        <v>42314</v>
      </c>
      <c r="L91" s="24">
        <v>1125520</v>
      </c>
      <c r="M91" s="30">
        <v>42384</v>
      </c>
      <c r="N91" s="43"/>
      <c r="O91" s="81" t="str">
        <f t="shared" ref="O91:O103" si="10">IF(L91="en attente",I91,"")</f>
        <v/>
      </c>
      <c r="P91" s="81">
        <f t="shared" si="7"/>
        <v>0</v>
      </c>
      <c r="Q91" s="81"/>
      <c r="R91" s="163"/>
    </row>
    <row r="92" spans="1:18" s="26" customFormat="1" ht="12.2" customHeight="1" outlineLevel="1" x14ac:dyDescent="0.2">
      <c r="A92" s="46"/>
      <c r="B92" s="310"/>
      <c r="C92" s="15"/>
      <c r="D92" s="15"/>
      <c r="E92" s="15"/>
      <c r="F92" s="15"/>
      <c r="G92" s="15"/>
      <c r="H92" s="233">
        <v>0.5655</v>
      </c>
      <c r="I92" s="23">
        <v>118555.58</v>
      </c>
      <c r="J92" s="42">
        <v>2</v>
      </c>
      <c r="K92" s="15">
        <v>42598</v>
      </c>
      <c r="L92" s="24">
        <v>118555.58</v>
      </c>
      <c r="M92" s="30">
        <v>42667</v>
      </c>
      <c r="N92" s="43"/>
      <c r="O92" s="81" t="str">
        <f t="shared" si="10"/>
        <v/>
      </c>
      <c r="P92" s="81">
        <f t="shared" si="7"/>
        <v>0</v>
      </c>
      <c r="Q92" s="81"/>
      <c r="R92" s="163"/>
    </row>
    <row r="93" spans="1:18" s="26" customFormat="1" ht="12.2" customHeight="1" outlineLevel="1" x14ac:dyDescent="0.2">
      <c r="A93" s="46"/>
      <c r="B93" s="310"/>
      <c r="C93" s="15"/>
      <c r="D93" s="15"/>
      <c r="E93" s="15"/>
      <c r="F93" s="15"/>
      <c r="G93" s="15"/>
      <c r="H93" s="233">
        <v>0.59819999999999995</v>
      </c>
      <c r="I93" s="23">
        <v>71864.31</v>
      </c>
      <c r="J93" s="42">
        <v>3</v>
      </c>
      <c r="K93" s="15">
        <v>42717</v>
      </c>
      <c r="L93" s="24">
        <v>71864.31</v>
      </c>
      <c r="M93" s="30">
        <v>42779</v>
      </c>
      <c r="N93" s="43"/>
      <c r="O93" s="81" t="str">
        <f t="shared" si="10"/>
        <v/>
      </c>
      <c r="P93" s="81">
        <f t="shared" si="7"/>
        <v>0</v>
      </c>
      <c r="Q93" s="81"/>
      <c r="R93" s="163"/>
    </row>
    <row r="94" spans="1:18" s="26" customFormat="1" ht="12.2" customHeight="1" outlineLevel="1" x14ac:dyDescent="0.2">
      <c r="A94" s="46"/>
      <c r="B94" s="310"/>
      <c r="C94" s="15"/>
      <c r="D94" s="15"/>
      <c r="E94" s="15"/>
      <c r="F94" s="15"/>
      <c r="G94" s="15"/>
      <c r="H94" s="233">
        <v>0.65690000000000004</v>
      </c>
      <c r="I94" s="23">
        <v>129139.31</v>
      </c>
      <c r="J94" s="42">
        <v>4</v>
      </c>
      <c r="K94" s="15">
        <v>42787</v>
      </c>
      <c r="L94" s="24">
        <v>129139.31</v>
      </c>
      <c r="M94" s="30">
        <v>42843</v>
      </c>
      <c r="N94" s="43"/>
      <c r="O94" s="81" t="str">
        <f t="shared" si="10"/>
        <v/>
      </c>
      <c r="P94" s="81">
        <f t="shared" si="7"/>
        <v>0</v>
      </c>
      <c r="Q94" s="81"/>
      <c r="R94" s="163"/>
    </row>
    <row r="95" spans="1:18" s="26" customFormat="1" ht="12.2" customHeight="1" outlineLevel="1" x14ac:dyDescent="0.2">
      <c r="A95" s="46"/>
      <c r="B95" s="310"/>
      <c r="C95" s="15"/>
      <c r="D95" s="15"/>
      <c r="E95" s="15"/>
      <c r="F95" s="15"/>
      <c r="G95" s="15"/>
      <c r="H95" s="233">
        <v>0.70099999999999996</v>
      </c>
      <c r="I95" s="23">
        <v>97223.02</v>
      </c>
      <c r="J95" s="42">
        <v>5</v>
      </c>
      <c r="K95" s="15">
        <v>42954</v>
      </c>
      <c r="L95" s="24">
        <v>97223.02</v>
      </c>
      <c r="M95" s="30">
        <v>43010</v>
      </c>
      <c r="N95" s="43"/>
      <c r="O95" s="81" t="str">
        <f t="shared" si="10"/>
        <v/>
      </c>
      <c r="P95" s="81">
        <f t="shared" si="7"/>
        <v>0</v>
      </c>
      <c r="Q95" s="81"/>
      <c r="R95" s="163"/>
    </row>
    <row r="96" spans="1:18" s="26" customFormat="1" ht="12.2" customHeight="1" outlineLevel="1" x14ac:dyDescent="0.2">
      <c r="A96" s="46"/>
      <c r="B96" s="310"/>
      <c r="C96" s="15"/>
      <c r="D96" s="15"/>
      <c r="E96" s="15"/>
      <c r="F96" s="15"/>
      <c r="G96" s="15"/>
      <c r="H96" s="233">
        <v>0.73809999999999998</v>
      </c>
      <c r="I96" s="23">
        <v>81445.3</v>
      </c>
      <c r="J96" s="42">
        <v>6</v>
      </c>
      <c r="K96" s="15">
        <v>43067</v>
      </c>
      <c r="L96" s="24">
        <v>81445.3</v>
      </c>
      <c r="M96" s="30">
        <v>43119</v>
      </c>
      <c r="N96" s="43"/>
      <c r="O96" s="81" t="str">
        <f t="shared" si="10"/>
        <v/>
      </c>
      <c r="P96" s="81">
        <f t="shared" si="7"/>
        <v>0</v>
      </c>
      <c r="Q96" s="81"/>
      <c r="R96" s="163"/>
    </row>
    <row r="97" spans="1:18" s="26" customFormat="1" ht="12.2" customHeight="1" outlineLevel="1" x14ac:dyDescent="0.2">
      <c r="A97" s="46"/>
      <c r="B97" s="310"/>
      <c r="C97" s="15"/>
      <c r="D97" s="15"/>
      <c r="E97" s="15"/>
      <c r="F97" s="15"/>
      <c r="G97" s="15"/>
      <c r="H97" s="233">
        <v>0.8</v>
      </c>
      <c r="I97" s="23">
        <f>H90*H97-I91-I92-I93-I94-I95-I96</f>
        <v>136252.47999999998</v>
      </c>
      <c r="J97" s="936">
        <v>7</v>
      </c>
      <c r="K97" s="938">
        <v>43556</v>
      </c>
      <c r="L97" s="874" t="s">
        <v>294</v>
      </c>
      <c r="M97" s="30"/>
      <c r="N97" s="43"/>
      <c r="O97" s="81">
        <f t="shared" si="10"/>
        <v>136252.47999999998</v>
      </c>
      <c r="P97" s="81">
        <f t="shared" si="7"/>
        <v>0</v>
      </c>
      <c r="Q97" s="81"/>
      <c r="R97" s="163"/>
    </row>
    <row r="98" spans="1:18" s="26" customFormat="1" ht="12.2" customHeight="1" outlineLevel="1" x14ac:dyDescent="0.2">
      <c r="A98" s="46"/>
      <c r="B98" s="310"/>
      <c r="C98" s="15"/>
      <c r="D98" s="15"/>
      <c r="E98" s="15"/>
      <c r="F98" s="15"/>
      <c r="G98" s="15"/>
      <c r="H98" s="108">
        <v>1</v>
      </c>
      <c r="I98" s="23">
        <f>H90-I91-I92-I93-I94-I95-I97-I96</f>
        <v>440000.00000000006</v>
      </c>
      <c r="J98" s="937"/>
      <c r="K98" s="939"/>
      <c r="L98" s="875" t="s">
        <v>294</v>
      </c>
      <c r="M98" s="30"/>
      <c r="N98" s="43"/>
      <c r="O98" s="81">
        <f t="shared" si="10"/>
        <v>440000.00000000006</v>
      </c>
      <c r="P98" s="81"/>
      <c r="Q98" s="81"/>
      <c r="R98" s="163"/>
    </row>
    <row r="99" spans="1:18" s="107" customFormat="1" ht="12.2" customHeight="1" x14ac:dyDescent="0.2">
      <c r="A99" s="119" t="s">
        <v>62</v>
      </c>
      <c r="B99" s="309" t="s">
        <v>199</v>
      </c>
      <c r="C99" s="158">
        <v>41544</v>
      </c>
      <c r="D99" s="158">
        <f>DATE(YEAR(C99)+2,MONTH(C99),DAY(C99))</f>
        <v>42274</v>
      </c>
      <c r="E99" s="158">
        <v>41876</v>
      </c>
      <c r="F99" s="158">
        <v>44798</v>
      </c>
      <c r="G99" s="158">
        <v>42796</v>
      </c>
      <c r="H99" s="128">
        <v>480000</v>
      </c>
      <c r="I99" s="123"/>
      <c r="J99" s="138"/>
      <c r="K99" s="158"/>
      <c r="L99" s="126">
        <f>SUM(L100:L103)</f>
        <v>384000</v>
      </c>
      <c r="M99" s="151"/>
      <c r="N99" s="152"/>
      <c r="O99" s="159">
        <f>SUM(O100:O103)</f>
        <v>0</v>
      </c>
      <c r="P99" s="159">
        <f>SUM(P100:P103)</f>
        <v>96000</v>
      </c>
      <c r="Q99" s="159"/>
      <c r="R99" s="163">
        <f>H99-(L99+O99+P99)</f>
        <v>0</v>
      </c>
    </row>
    <row r="100" spans="1:18" s="203" customFormat="1" ht="12.2" customHeight="1" outlineLevel="1" x14ac:dyDescent="0.2">
      <c r="A100" s="235"/>
      <c r="B100" s="313"/>
      <c r="C100" s="383" t="s">
        <v>224</v>
      </c>
      <c r="D100" s="198"/>
      <c r="E100" s="383" t="s">
        <v>224</v>
      </c>
      <c r="F100" s="633" t="s">
        <v>258</v>
      </c>
      <c r="G100" s="198"/>
      <c r="H100" s="234">
        <f>I100/$H$99</f>
        <v>0.47207868749999998</v>
      </c>
      <c r="I100" s="23">
        <v>226597.77</v>
      </c>
      <c r="J100" s="204">
        <v>1</v>
      </c>
      <c r="K100" s="191">
        <v>42264</v>
      </c>
      <c r="L100" s="24">
        <v>226597.77</v>
      </c>
      <c r="M100" s="384">
        <v>42440</v>
      </c>
      <c r="N100" s="201"/>
      <c r="O100" s="206" t="str">
        <f t="shared" si="10"/>
        <v/>
      </c>
      <c r="P100" s="206">
        <f>IF(K100="",I100-L100,0)</f>
        <v>0</v>
      </c>
      <c r="Q100" s="206" t="s">
        <v>241</v>
      </c>
      <c r="R100" s="165"/>
    </row>
    <row r="101" spans="1:18" s="203" customFormat="1" outlineLevel="1" x14ac:dyDescent="0.2">
      <c r="A101" s="235"/>
      <c r="B101" s="313"/>
      <c r="C101" s="198"/>
      <c r="D101" s="198"/>
      <c r="E101" s="198"/>
      <c r="F101" s="198"/>
      <c r="G101" s="198"/>
      <c r="H101" s="234">
        <v>0.56120000000000003</v>
      </c>
      <c r="I101" s="23">
        <v>42771.26</v>
      </c>
      <c r="J101" s="204">
        <v>2</v>
      </c>
      <c r="K101" s="191">
        <v>42513</v>
      </c>
      <c r="L101" s="24">
        <v>42771.26</v>
      </c>
      <c r="M101" s="384">
        <v>42562</v>
      </c>
      <c r="N101" s="201"/>
      <c r="O101" s="206" t="str">
        <f t="shared" si="10"/>
        <v/>
      </c>
      <c r="P101" s="206">
        <f>IF(K101="",I101-L101,0)</f>
        <v>0</v>
      </c>
      <c r="Q101" s="202"/>
      <c r="R101" s="165"/>
    </row>
    <row r="102" spans="1:18" s="203" customFormat="1" ht="12.2" customHeight="1" outlineLevel="1" x14ac:dyDescent="0.2">
      <c r="A102" s="235"/>
      <c r="B102" s="313"/>
      <c r="C102" s="198"/>
      <c r="D102" s="198"/>
      <c r="E102" s="198"/>
      <c r="F102" s="198"/>
      <c r="G102" s="198"/>
      <c r="H102" s="205">
        <v>0.8</v>
      </c>
      <c r="I102" s="110">
        <f>0.8*H99-I100-I101</f>
        <v>114630.97</v>
      </c>
      <c r="J102" s="204">
        <v>3</v>
      </c>
      <c r="K102" s="191">
        <v>42761</v>
      </c>
      <c r="L102" s="24">
        <v>114630.97</v>
      </c>
      <c r="M102" s="384">
        <v>42795</v>
      </c>
      <c r="N102" s="201"/>
      <c r="O102" s="202" t="str">
        <f t="shared" si="10"/>
        <v/>
      </c>
      <c r="P102" s="206">
        <f>IF(K102="",I102-L102,0)</f>
        <v>0</v>
      </c>
      <c r="Q102" s="202"/>
      <c r="R102" s="165"/>
    </row>
    <row r="103" spans="1:18" s="203" customFormat="1" ht="12.2" customHeight="1" outlineLevel="1" x14ac:dyDescent="0.2">
      <c r="A103" s="235"/>
      <c r="B103" s="313"/>
      <c r="C103" s="198"/>
      <c r="D103" s="198"/>
      <c r="E103" s="198"/>
      <c r="F103" s="198"/>
      <c r="G103" s="198"/>
      <c r="H103" s="205">
        <v>1</v>
      </c>
      <c r="I103" s="111">
        <f>H99-I100-I101-I102</f>
        <v>96000</v>
      </c>
      <c r="J103" s="204">
        <v>4</v>
      </c>
      <c r="K103" s="198"/>
      <c r="L103" s="199"/>
      <c r="M103" s="200"/>
      <c r="N103" s="201"/>
      <c r="O103" s="202" t="str">
        <f t="shared" si="10"/>
        <v/>
      </c>
      <c r="P103" s="206">
        <f>IF(K103="",I103-L103,0)</f>
        <v>96000</v>
      </c>
      <c r="Q103" s="202"/>
      <c r="R103" s="165"/>
    </row>
    <row r="104" spans="1:18" s="107" customFormat="1" ht="12.2" customHeight="1" x14ac:dyDescent="0.2">
      <c r="A104" s="119" t="s">
        <v>249</v>
      </c>
      <c r="B104" s="309" t="s">
        <v>198</v>
      </c>
      <c r="C104" s="158">
        <v>41620</v>
      </c>
      <c r="D104" s="158">
        <f>DATE(YEAR(C104)+2,MONTH(C104),DAY(C104))</f>
        <v>42350</v>
      </c>
      <c r="E104" s="158"/>
      <c r="F104" s="158">
        <f>DATE(YEAR(E104)+4,MONTH(E104),DAY(E104))</f>
        <v>1461</v>
      </c>
      <c r="G104" s="158"/>
      <c r="H104" s="128">
        <v>149758.60999999999</v>
      </c>
      <c r="I104" s="123"/>
      <c r="J104" s="138"/>
      <c r="K104" s="158"/>
      <c r="L104" s="126">
        <f>SUM(L105:L107)</f>
        <v>0</v>
      </c>
      <c r="M104" s="151"/>
      <c r="N104" s="152"/>
      <c r="O104" s="159">
        <f>SUM(O107)</f>
        <v>0</v>
      </c>
      <c r="P104" s="159">
        <f>SUM(P105:P107)</f>
        <v>149758.60799999998</v>
      </c>
      <c r="Q104" s="159"/>
      <c r="R104" s="163">
        <f>H104-(L104+O104+P104)</f>
        <v>2.0000000076834112E-3</v>
      </c>
    </row>
    <row r="105" spans="1:18" s="203" customFormat="1" ht="12.2" customHeight="1" outlineLevel="1" x14ac:dyDescent="0.2">
      <c r="A105" s="235"/>
      <c r="B105" s="313"/>
      <c r="C105" s="383" t="s">
        <v>224</v>
      </c>
      <c r="D105" s="383" t="s">
        <v>227</v>
      </c>
      <c r="E105" s="198"/>
      <c r="F105" s="198"/>
      <c r="G105" s="198"/>
      <c r="H105" s="205">
        <f>I105/$H$104</f>
        <v>0.2</v>
      </c>
      <c r="I105" s="110">
        <f>0.2*H104</f>
        <v>29951.721999999998</v>
      </c>
      <c r="J105" s="204">
        <v>1</v>
      </c>
      <c r="K105" s="198"/>
      <c r="L105" s="199"/>
      <c r="M105" s="200"/>
      <c r="N105" s="201"/>
      <c r="O105" s="202" t="str">
        <f>IF(L105="en attente",I105,"")</f>
        <v/>
      </c>
      <c r="P105" s="206">
        <f t="shared" si="7"/>
        <v>29951.721999999998</v>
      </c>
      <c r="Q105" s="202"/>
      <c r="R105" s="165"/>
    </row>
    <row r="106" spans="1:18" s="203" customFormat="1" ht="12.2" customHeight="1" outlineLevel="1" x14ac:dyDescent="0.2">
      <c r="A106" s="235"/>
      <c r="B106" s="313"/>
      <c r="C106" s="198"/>
      <c r="D106" s="198"/>
      <c r="E106" s="198"/>
      <c r="F106" s="198"/>
      <c r="G106" s="198"/>
      <c r="H106" s="205">
        <f>I106/$H$104+H105</f>
        <v>0.8</v>
      </c>
      <c r="I106" s="110">
        <f>0.6*H104</f>
        <v>89855.165999999983</v>
      </c>
      <c r="J106" s="204">
        <v>2</v>
      </c>
      <c r="K106" s="198"/>
      <c r="L106" s="199"/>
      <c r="M106" s="200"/>
      <c r="N106" s="201"/>
      <c r="O106" s="202" t="str">
        <f>IF(L106="en attente",I106,"")</f>
        <v/>
      </c>
      <c r="P106" s="206">
        <f t="shared" si="7"/>
        <v>89855.165999999983</v>
      </c>
      <c r="Q106" s="202"/>
      <c r="R106" s="165"/>
    </row>
    <row r="107" spans="1:18" s="26" customFormat="1" ht="12.2" customHeight="1" outlineLevel="1" x14ac:dyDescent="0.2">
      <c r="A107" s="118"/>
      <c r="B107" s="311"/>
      <c r="C107" s="36"/>
      <c r="D107" s="15"/>
      <c r="E107" s="15"/>
      <c r="F107" s="15"/>
      <c r="G107" s="15"/>
      <c r="H107" s="205">
        <f>I107/$H$104+H106</f>
        <v>0.9999999866451752</v>
      </c>
      <c r="I107" s="35">
        <v>29951.72</v>
      </c>
      <c r="J107" s="44">
        <v>3</v>
      </c>
      <c r="K107" s="36"/>
      <c r="L107" s="37"/>
      <c r="M107" s="155"/>
      <c r="N107" s="156"/>
      <c r="O107" s="157" t="str">
        <f>IF(L107="en attente",I107,"")</f>
        <v/>
      </c>
      <c r="P107" s="157">
        <f t="shared" si="7"/>
        <v>29951.72</v>
      </c>
      <c r="Q107" s="157"/>
      <c r="R107" s="163"/>
    </row>
    <row r="108" spans="1:18" s="107" customFormat="1" ht="12.2" customHeight="1" x14ac:dyDescent="0.2">
      <c r="A108" s="119" t="s">
        <v>274</v>
      </c>
      <c r="B108" s="309" t="s">
        <v>306</v>
      </c>
      <c r="C108" s="158">
        <v>42558</v>
      </c>
      <c r="D108" s="158">
        <f>DATE(YEAR(C108)+2,MONTH(C108),DAY(C108))</f>
        <v>43288</v>
      </c>
      <c r="E108" s="158">
        <v>43263</v>
      </c>
      <c r="F108" s="158">
        <f>DATE(YEAR(E108)+4,MONTH(E108),DAY(E108))</f>
        <v>44724</v>
      </c>
      <c r="G108" s="158"/>
      <c r="H108" s="128">
        <v>560000</v>
      </c>
      <c r="I108" s="123"/>
      <c r="J108" s="138"/>
      <c r="K108" s="158"/>
      <c r="L108" s="126">
        <f>SUM(L109:L111)</f>
        <v>270744.06</v>
      </c>
      <c r="M108" s="151"/>
      <c r="N108" s="152"/>
      <c r="O108" s="159">
        <f>SUM(O109:O111)</f>
        <v>0</v>
      </c>
      <c r="P108" s="159">
        <f>SUM(P109:P111)</f>
        <v>289255.94</v>
      </c>
      <c r="Q108" s="159"/>
      <c r="R108" s="163">
        <f>H108-(L108+O108+P108)</f>
        <v>0</v>
      </c>
    </row>
    <row r="109" spans="1:18" s="26" customFormat="1" ht="12.2" customHeight="1" outlineLevel="1" x14ac:dyDescent="0.2">
      <c r="A109" s="46"/>
      <c r="B109" s="310"/>
      <c r="C109" s="15"/>
      <c r="D109" s="15"/>
      <c r="E109" s="15"/>
      <c r="F109" s="15"/>
      <c r="G109" s="15"/>
      <c r="H109" s="234">
        <v>0.48349999999999999</v>
      </c>
      <c r="I109" s="23">
        <v>270744.06</v>
      </c>
      <c r="J109" s="204">
        <v>1</v>
      </c>
      <c r="K109" s="15">
        <v>43264</v>
      </c>
      <c r="L109" s="24">
        <v>270744.06</v>
      </c>
      <c r="M109" s="30">
        <v>43312</v>
      </c>
      <c r="N109" s="43"/>
      <c r="O109" s="81" t="str">
        <f>IF(L109="en attente",I109,"")</f>
        <v/>
      </c>
      <c r="P109" s="206">
        <f t="shared" si="7"/>
        <v>0</v>
      </c>
      <c r="Q109" s="81"/>
      <c r="R109" s="163"/>
    </row>
    <row r="110" spans="1:18" s="26" customFormat="1" ht="12.2" customHeight="1" outlineLevel="1" x14ac:dyDescent="0.2">
      <c r="A110" s="46"/>
      <c r="B110" s="310"/>
      <c r="C110" s="15"/>
      <c r="D110" s="15"/>
      <c r="E110" s="15"/>
      <c r="F110" s="15"/>
      <c r="G110" s="15"/>
      <c r="H110" s="234">
        <v>0.8</v>
      </c>
      <c r="I110" s="23">
        <f>+H108*H110-I109</f>
        <v>177255.94</v>
      </c>
      <c r="J110" s="204">
        <v>2</v>
      </c>
      <c r="K110" s="15"/>
      <c r="L110" s="24"/>
      <c r="M110" s="30"/>
      <c r="N110" s="43"/>
      <c r="O110" s="81" t="str">
        <f>IF(L110="en attente",I110,"")</f>
        <v/>
      </c>
      <c r="P110" s="206">
        <f t="shared" si="7"/>
        <v>177255.94</v>
      </c>
      <c r="Q110" s="81"/>
      <c r="R110" s="163"/>
    </row>
    <row r="111" spans="1:18" s="26" customFormat="1" ht="12.2" customHeight="1" outlineLevel="1" x14ac:dyDescent="0.2">
      <c r="A111" s="118"/>
      <c r="B111" s="310"/>
      <c r="C111" s="15"/>
      <c r="D111" s="15"/>
      <c r="E111" s="15"/>
      <c r="F111" s="15"/>
      <c r="G111" s="15"/>
      <c r="H111" s="205">
        <v>1</v>
      </c>
      <c r="I111" s="23">
        <f>+H108-I109-I110</f>
        <v>112000</v>
      </c>
      <c r="J111" s="204">
        <v>3</v>
      </c>
      <c r="K111" s="15"/>
      <c r="L111" s="24"/>
      <c r="M111" s="30"/>
      <c r="N111" s="43"/>
      <c r="O111" s="81" t="str">
        <f>IF(L111="en attente",I111,"")</f>
        <v/>
      </c>
      <c r="P111" s="206">
        <f t="shared" si="7"/>
        <v>112000</v>
      </c>
      <c r="Q111" s="81"/>
      <c r="R111" s="163"/>
    </row>
    <row r="112" spans="1:18" s="107" customFormat="1" ht="12.2" customHeight="1" x14ac:dyDescent="0.2">
      <c r="A112" s="119" t="s">
        <v>143</v>
      </c>
      <c r="B112" s="309" t="s">
        <v>307</v>
      </c>
      <c r="C112" s="158">
        <v>42310</v>
      </c>
      <c r="D112" s="158">
        <f>DATE(YEAR(C112)+2,MONTH(C112),DAY(C112))</f>
        <v>43041</v>
      </c>
      <c r="E112" s="158">
        <v>42947</v>
      </c>
      <c r="F112" s="158">
        <f>DATE(YEAR(E112)+4,MONTH(E112),DAY(E112))</f>
        <v>44408</v>
      </c>
      <c r="G112" s="158"/>
      <c r="H112" s="128">
        <v>380000</v>
      </c>
      <c r="I112" s="123"/>
      <c r="J112" s="138"/>
      <c r="K112" s="158"/>
      <c r="L112" s="126">
        <f>SUM(L113:L115)</f>
        <v>304000</v>
      </c>
      <c r="M112" s="151"/>
      <c r="N112" s="152"/>
      <c r="O112" s="159">
        <f>SUM(O113:O115)</f>
        <v>0</v>
      </c>
      <c r="P112" s="159">
        <f>SUM(P113:P115)</f>
        <v>76000</v>
      </c>
      <c r="Q112" s="159"/>
      <c r="R112" s="163">
        <f>H112-(L112+O112+P112)</f>
        <v>0</v>
      </c>
    </row>
    <row r="113" spans="1:18" s="26" customFormat="1" ht="12.2" customHeight="1" outlineLevel="1" x14ac:dyDescent="0.2">
      <c r="A113" s="46"/>
      <c r="B113" s="310"/>
      <c r="C113" s="15"/>
      <c r="D113" s="15"/>
      <c r="E113" s="15"/>
      <c r="F113" s="15"/>
      <c r="G113" s="15"/>
      <c r="H113" s="234">
        <v>0.65110000000000001</v>
      </c>
      <c r="I113" s="23">
        <v>247421.12</v>
      </c>
      <c r="J113" s="204">
        <v>1</v>
      </c>
      <c r="K113" s="15">
        <v>42975</v>
      </c>
      <c r="L113" s="24">
        <v>247421.12</v>
      </c>
      <c r="M113" s="30">
        <v>43007</v>
      </c>
      <c r="N113" s="43"/>
      <c r="O113" s="81" t="str">
        <f>IF(L113="en attente",I113,"")</f>
        <v/>
      </c>
      <c r="P113" s="206">
        <f t="shared" si="7"/>
        <v>0</v>
      </c>
      <c r="Q113" s="81"/>
      <c r="R113" s="163"/>
    </row>
    <row r="114" spans="1:18" s="26" customFormat="1" ht="12.2" customHeight="1" outlineLevel="1" x14ac:dyDescent="0.2">
      <c r="A114" s="46"/>
      <c r="B114" s="310"/>
      <c r="C114" s="15"/>
      <c r="D114" s="15"/>
      <c r="E114" s="15"/>
      <c r="F114" s="15"/>
      <c r="G114" s="15"/>
      <c r="H114" s="234">
        <v>0.8</v>
      </c>
      <c r="I114" s="23">
        <f>H112*H114-I113</f>
        <v>56578.880000000005</v>
      </c>
      <c r="J114" s="204">
        <v>2</v>
      </c>
      <c r="K114" s="15">
        <v>43333</v>
      </c>
      <c r="L114" s="24">
        <v>56578.879999999997</v>
      </c>
      <c r="M114" s="30">
        <v>43377</v>
      </c>
      <c r="N114" s="43"/>
      <c r="O114" s="81" t="str">
        <f>IF(L114="en attente",I114,"")</f>
        <v/>
      </c>
      <c r="P114" s="206">
        <f t="shared" si="7"/>
        <v>0</v>
      </c>
      <c r="Q114" s="81"/>
      <c r="R114" s="163"/>
    </row>
    <row r="115" spans="1:18" s="26" customFormat="1" ht="12.2" customHeight="1" outlineLevel="1" x14ac:dyDescent="0.2">
      <c r="A115" s="46"/>
      <c r="B115" s="311"/>
      <c r="C115" s="36"/>
      <c r="D115" s="36"/>
      <c r="E115" s="36"/>
      <c r="F115" s="36"/>
      <c r="G115" s="36"/>
      <c r="H115" s="509">
        <v>1</v>
      </c>
      <c r="I115" s="35">
        <f>H112-I113-I114</f>
        <v>76000</v>
      </c>
      <c r="J115" s="510">
        <v>3</v>
      </c>
      <c r="K115" s="36"/>
      <c r="L115" s="37"/>
      <c r="M115" s="155"/>
      <c r="N115" s="156"/>
      <c r="O115" s="81" t="str">
        <f>IF(L115="en attente",I115,"")</f>
        <v/>
      </c>
      <c r="P115" s="206">
        <f t="shared" si="7"/>
        <v>76000</v>
      </c>
      <c r="Q115" s="157"/>
      <c r="R115" s="163"/>
    </row>
    <row r="116" spans="1:18" s="107" customFormat="1" ht="12.2" customHeight="1" x14ac:dyDescent="0.2">
      <c r="A116" s="119" t="s">
        <v>75</v>
      </c>
      <c r="B116" s="312"/>
      <c r="C116" s="149"/>
      <c r="D116" s="147"/>
      <c r="E116" s="149"/>
      <c r="F116" s="149"/>
      <c r="G116" s="149"/>
      <c r="H116" s="132">
        <v>1778822.24</v>
      </c>
      <c r="I116" s="132"/>
      <c r="J116" s="133"/>
      <c r="K116" s="149"/>
      <c r="L116" s="135">
        <f>SUM(L117:L118)</f>
        <v>1423057.8</v>
      </c>
      <c r="M116" s="147"/>
      <c r="N116" s="148"/>
      <c r="O116" s="170">
        <f>SUM(O117:O118)</f>
        <v>0</v>
      </c>
      <c r="P116" s="170">
        <f>SUM(P117:P118)</f>
        <v>355764.44</v>
      </c>
      <c r="Q116" s="150"/>
      <c r="R116" s="163">
        <f>H116-(L116+O116+P116)</f>
        <v>0</v>
      </c>
    </row>
    <row r="117" spans="1:18" s="26" customFormat="1" ht="12.2" customHeight="1" outlineLevel="1" x14ac:dyDescent="0.2">
      <c r="A117" s="46"/>
      <c r="B117" s="310"/>
      <c r="C117" s="15"/>
      <c r="D117" s="15"/>
      <c r="E117" s="15"/>
      <c r="F117" s="15"/>
      <c r="G117" s="15"/>
      <c r="H117" s="16"/>
      <c r="I117" s="23">
        <v>1423057.8</v>
      </c>
      <c r="J117" s="42">
        <v>1</v>
      </c>
      <c r="K117" s="15">
        <v>38975</v>
      </c>
      <c r="L117" s="24">
        <v>1423057.8</v>
      </c>
      <c r="M117" s="30">
        <v>39204</v>
      </c>
      <c r="N117" s="43"/>
      <c r="O117" s="81" t="str">
        <f>IF(L117="en attente",I117,"")</f>
        <v/>
      </c>
      <c r="P117" s="81">
        <f t="shared" si="7"/>
        <v>0</v>
      </c>
      <c r="Q117" s="81"/>
      <c r="R117" s="163"/>
    </row>
    <row r="118" spans="1:18" s="26" customFormat="1" ht="12.2" customHeight="1" outlineLevel="1" x14ac:dyDescent="0.2">
      <c r="A118" s="46"/>
      <c r="B118" s="310"/>
      <c r="C118" s="15"/>
      <c r="D118" s="15"/>
      <c r="E118" s="15"/>
      <c r="F118" s="15"/>
      <c r="G118" s="15"/>
      <c r="H118" s="16"/>
      <c r="I118" s="23">
        <v>355764.44</v>
      </c>
      <c r="J118" s="42">
        <v>2</v>
      </c>
      <c r="K118" s="15"/>
      <c r="L118" s="24"/>
      <c r="M118" s="30"/>
      <c r="N118" s="43"/>
      <c r="O118" s="81" t="str">
        <f>IF(L118="en attente",I118,"")</f>
        <v/>
      </c>
      <c r="P118" s="81">
        <f t="shared" si="7"/>
        <v>355764.44</v>
      </c>
      <c r="Q118" s="81"/>
      <c r="R118" s="163"/>
    </row>
    <row r="119" spans="1:18" s="107" customFormat="1" ht="12.2" customHeight="1" x14ac:dyDescent="0.2">
      <c r="A119" s="119" t="s">
        <v>64</v>
      </c>
      <c r="B119" s="309" t="s">
        <v>213</v>
      </c>
      <c r="C119" s="158">
        <v>38717</v>
      </c>
      <c r="D119" s="158">
        <f>DATE(YEAR(C119)+2,MONTH(C119),DAY(C119))</f>
        <v>39447</v>
      </c>
      <c r="E119" s="158"/>
      <c r="F119" s="158"/>
      <c r="G119" s="158"/>
      <c r="H119" s="128">
        <v>5400000</v>
      </c>
      <c r="I119" s="123"/>
      <c r="J119" s="138"/>
      <c r="K119" s="158"/>
      <c r="L119" s="126">
        <f>SUM(L120:L134)</f>
        <v>2181060</v>
      </c>
      <c r="M119" s="151"/>
      <c r="N119" s="152"/>
      <c r="O119" s="159">
        <f>SUM(O120:O134)</f>
        <v>0</v>
      </c>
      <c r="P119" s="159">
        <f>SUM(P120:P134)</f>
        <v>3218940</v>
      </c>
      <c r="Q119" s="159"/>
      <c r="R119" s="163">
        <f>H119-(L119+O119+P119)</f>
        <v>0</v>
      </c>
    </row>
    <row r="120" spans="1:18" s="26" customFormat="1" ht="12.2" customHeight="1" outlineLevel="1" x14ac:dyDescent="0.2">
      <c r="A120" s="46"/>
      <c r="B120" s="310"/>
      <c r="C120" s="15"/>
      <c r="D120" s="15"/>
      <c r="E120" s="15"/>
      <c r="F120" s="15"/>
      <c r="G120" s="15"/>
      <c r="H120" s="16"/>
      <c r="I120" s="23">
        <v>135000</v>
      </c>
      <c r="J120" s="42">
        <v>1</v>
      </c>
      <c r="K120" s="15">
        <v>38965</v>
      </c>
      <c r="L120" s="24">
        <v>135000</v>
      </c>
      <c r="M120" s="30">
        <v>39014</v>
      </c>
      <c r="N120" s="43">
        <f t="shared" ref="N120:N133" si="11">IF(M120="",$P$2-K120,M120-K120)</f>
        <v>49</v>
      </c>
      <c r="O120" s="81" t="str">
        <f t="shared" ref="O120:O134" si="12">IF(L120="en attente",I120,"")</f>
        <v/>
      </c>
      <c r="P120" s="81">
        <f t="shared" si="7"/>
        <v>0</v>
      </c>
      <c r="Q120" s="81"/>
      <c r="R120" s="163"/>
    </row>
    <row r="121" spans="1:18" s="26" customFormat="1" ht="12.2" customHeight="1" outlineLevel="1" x14ac:dyDescent="0.2">
      <c r="A121" s="46"/>
      <c r="B121" s="310"/>
      <c r="C121" s="15"/>
      <c r="D121" s="15"/>
      <c r="E121" s="15"/>
      <c r="F121" s="15"/>
      <c r="G121" s="15"/>
      <c r="H121" s="16"/>
      <c r="I121" s="23">
        <v>170100</v>
      </c>
      <c r="J121" s="42">
        <v>2</v>
      </c>
      <c r="K121" s="15">
        <v>39226</v>
      </c>
      <c r="L121" s="24">
        <v>170100</v>
      </c>
      <c r="M121" s="30">
        <v>39260</v>
      </c>
      <c r="N121" s="43">
        <f t="shared" si="11"/>
        <v>34</v>
      </c>
      <c r="O121" s="81" t="str">
        <f t="shared" si="12"/>
        <v/>
      </c>
      <c r="P121" s="81">
        <f t="shared" si="7"/>
        <v>0</v>
      </c>
      <c r="Q121" s="81"/>
      <c r="R121" s="163"/>
    </row>
    <row r="122" spans="1:18" s="26" customFormat="1" ht="12.2" customHeight="1" outlineLevel="1" x14ac:dyDescent="0.2">
      <c r="A122" s="46"/>
      <c r="B122" s="310"/>
      <c r="C122" s="15"/>
      <c r="D122" s="15"/>
      <c r="E122" s="15"/>
      <c r="F122" s="15"/>
      <c r="G122" s="15"/>
      <c r="H122" s="16"/>
      <c r="I122" s="23">
        <v>63180</v>
      </c>
      <c r="J122" s="42">
        <v>3</v>
      </c>
      <c r="K122" s="15">
        <v>40283</v>
      </c>
      <c r="L122" s="24">
        <v>63180</v>
      </c>
      <c r="M122" s="30">
        <v>40366</v>
      </c>
      <c r="N122" s="43">
        <f t="shared" si="11"/>
        <v>83</v>
      </c>
      <c r="O122" s="81" t="str">
        <f t="shared" si="12"/>
        <v/>
      </c>
      <c r="P122" s="81">
        <f t="shared" si="7"/>
        <v>0</v>
      </c>
      <c r="Q122" s="81"/>
      <c r="R122" s="163"/>
    </row>
    <row r="123" spans="1:18" s="26" customFormat="1" ht="12.2" customHeight="1" outlineLevel="1" x14ac:dyDescent="0.2">
      <c r="A123" s="46"/>
      <c r="B123" s="310"/>
      <c r="C123" s="15"/>
      <c r="D123" s="15"/>
      <c r="E123" s="15"/>
      <c r="F123" s="15"/>
      <c r="G123" s="15"/>
      <c r="H123" s="16"/>
      <c r="I123" s="23">
        <v>280800</v>
      </c>
      <c r="J123" s="42">
        <v>4</v>
      </c>
      <c r="K123" s="15">
        <v>40547</v>
      </c>
      <c r="L123" s="24">
        <v>280800</v>
      </c>
      <c r="M123" s="30">
        <v>40647</v>
      </c>
      <c r="N123" s="43">
        <f t="shared" si="11"/>
        <v>100</v>
      </c>
      <c r="O123" s="81" t="str">
        <f t="shared" si="12"/>
        <v/>
      </c>
      <c r="P123" s="81">
        <f t="shared" si="7"/>
        <v>0</v>
      </c>
      <c r="Q123" s="81"/>
      <c r="R123" s="163"/>
    </row>
    <row r="124" spans="1:18" s="26" customFormat="1" ht="12.2" customHeight="1" outlineLevel="1" x14ac:dyDescent="0.2">
      <c r="A124" s="46"/>
      <c r="B124" s="310"/>
      <c r="C124" s="15"/>
      <c r="D124" s="15"/>
      <c r="E124" s="15"/>
      <c r="F124" s="15"/>
      <c r="G124" s="15"/>
      <c r="H124" s="16"/>
      <c r="I124" s="23">
        <v>77760</v>
      </c>
      <c r="J124" s="42">
        <v>5</v>
      </c>
      <c r="K124" s="15">
        <v>40627</v>
      </c>
      <c r="L124" s="24">
        <v>77760</v>
      </c>
      <c r="M124" s="30">
        <v>40718</v>
      </c>
      <c r="N124" s="43">
        <f t="shared" si="11"/>
        <v>91</v>
      </c>
      <c r="O124" s="81" t="str">
        <f t="shared" si="12"/>
        <v/>
      </c>
      <c r="P124" s="81">
        <f t="shared" si="7"/>
        <v>0</v>
      </c>
      <c r="Q124" s="81"/>
      <c r="R124" s="163"/>
    </row>
    <row r="125" spans="1:18" s="26" customFormat="1" ht="12.2" customHeight="1" outlineLevel="1" x14ac:dyDescent="0.2">
      <c r="A125" s="46"/>
      <c r="B125" s="310"/>
      <c r="C125" s="15"/>
      <c r="D125" s="15"/>
      <c r="E125" s="15"/>
      <c r="F125" s="15"/>
      <c r="G125" s="15"/>
      <c r="H125" s="16"/>
      <c r="I125" s="23">
        <v>98820</v>
      </c>
      <c r="J125" s="42">
        <v>6</v>
      </c>
      <c r="K125" s="15">
        <v>40947</v>
      </c>
      <c r="L125" s="24">
        <v>98820</v>
      </c>
      <c r="M125" s="30">
        <v>41246</v>
      </c>
      <c r="N125" s="43">
        <f t="shared" si="11"/>
        <v>299</v>
      </c>
      <c r="O125" s="81" t="str">
        <f t="shared" si="12"/>
        <v/>
      </c>
      <c r="P125" s="81">
        <f t="shared" si="7"/>
        <v>0</v>
      </c>
      <c r="Q125" s="81"/>
      <c r="R125" s="163"/>
    </row>
    <row r="126" spans="1:18" s="26" customFormat="1" ht="12.2" customHeight="1" outlineLevel="1" x14ac:dyDescent="0.2">
      <c r="A126" s="46"/>
      <c r="B126" s="310"/>
      <c r="C126" s="15"/>
      <c r="D126" s="15"/>
      <c r="E126" s="15"/>
      <c r="F126" s="15"/>
      <c r="G126" s="15"/>
      <c r="H126" s="16"/>
      <c r="I126" s="23">
        <v>73440</v>
      </c>
      <c r="J126" s="42">
        <v>7</v>
      </c>
      <c r="K126" s="15">
        <v>41194</v>
      </c>
      <c r="L126" s="24">
        <v>73440</v>
      </c>
      <c r="M126" s="30">
        <v>41387</v>
      </c>
      <c r="N126" s="43">
        <f t="shared" si="11"/>
        <v>193</v>
      </c>
      <c r="O126" s="81" t="str">
        <f t="shared" si="12"/>
        <v/>
      </c>
      <c r="P126" s="81">
        <f t="shared" si="7"/>
        <v>0</v>
      </c>
      <c r="Q126" s="81"/>
      <c r="R126" s="163"/>
    </row>
    <row r="127" spans="1:18" s="26" customFormat="1" ht="12.2" customHeight="1" outlineLevel="1" x14ac:dyDescent="0.2">
      <c r="A127" s="46"/>
      <c r="B127" s="310"/>
      <c r="C127" s="15"/>
      <c r="D127" s="15"/>
      <c r="E127" s="15"/>
      <c r="F127" s="15"/>
      <c r="G127" s="15"/>
      <c r="H127" s="16"/>
      <c r="I127" s="23">
        <v>258660</v>
      </c>
      <c r="J127" s="42">
        <v>8</v>
      </c>
      <c r="K127" s="15">
        <v>41471</v>
      </c>
      <c r="L127" s="24">
        <v>258660</v>
      </c>
      <c r="M127" s="30">
        <v>41555</v>
      </c>
      <c r="N127" s="43">
        <f t="shared" si="11"/>
        <v>84</v>
      </c>
      <c r="O127" s="81" t="str">
        <f t="shared" si="12"/>
        <v/>
      </c>
      <c r="P127" s="81">
        <f t="shared" si="7"/>
        <v>0</v>
      </c>
      <c r="Q127" s="81"/>
      <c r="R127" s="163"/>
    </row>
    <row r="128" spans="1:18" s="26" customFormat="1" ht="12.2" customHeight="1" outlineLevel="1" x14ac:dyDescent="0.2">
      <c r="A128" s="46"/>
      <c r="B128" s="310"/>
      <c r="C128" s="15"/>
      <c r="D128" s="15"/>
      <c r="E128" s="15"/>
      <c r="F128" s="15"/>
      <c r="G128" s="15"/>
      <c r="H128" s="16"/>
      <c r="I128" s="23">
        <v>51300</v>
      </c>
      <c r="J128" s="42">
        <v>9</v>
      </c>
      <c r="K128" s="15">
        <v>41669</v>
      </c>
      <c r="L128" s="24">
        <v>51300</v>
      </c>
      <c r="M128" s="30">
        <v>41752</v>
      </c>
      <c r="N128" s="43">
        <f t="shared" si="11"/>
        <v>83</v>
      </c>
      <c r="O128" s="81" t="str">
        <f t="shared" si="12"/>
        <v/>
      </c>
      <c r="P128" s="81">
        <f t="shared" si="7"/>
        <v>0</v>
      </c>
      <c r="Q128" s="81"/>
      <c r="R128" s="163"/>
    </row>
    <row r="129" spans="1:18" s="26" customFormat="1" ht="12.2" customHeight="1" outlineLevel="1" x14ac:dyDescent="0.2">
      <c r="A129" s="46"/>
      <c r="B129" s="310"/>
      <c r="C129" s="15"/>
      <c r="D129" s="15"/>
      <c r="E129" s="15"/>
      <c r="F129" s="15"/>
      <c r="G129" s="15"/>
      <c r="H129" s="233">
        <v>0.27</v>
      </c>
      <c r="I129" s="23">
        <v>248940</v>
      </c>
      <c r="J129" s="42">
        <v>10</v>
      </c>
      <c r="K129" s="15">
        <v>42401</v>
      </c>
      <c r="L129" s="24">
        <v>248940</v>
      </c>
      <c r="M129" s="30">
        <v>42452</v>
      </c>
      <c r="N129" s="43">
        <f t="shared" si="11"/>
        <v>51</v>
      </c>
      <c r="O129" s="81" t="str">
        <f t="shared" si="12"/>
        <v/>
      </c>
      <c r="P129" s="81">
        <f t="shared" si="7"/>
        <v>0</v>
      </c>
      <c r="Q129" s="81"/>
      <c r="R129" s="163"/>
    </row>
    <row r="130" spans="1:18" s="26" customFormat="1" ht="12.2" customHeight="1" outlineLevel="1" x14ac:dyDescent="0.2">
      <c r="A130" s="46"/>
      <c r="B130" s="310"/>
      <c r="C130" s="15"/>
      <c r="D130" s="15"/>
      <c r="E130" s="15"/>
      <c r="F130" s="15"/>
      <c r="G130" s="15"/>
      <c r="H130" s="233">
        <v>0.30149999999999999</v>
      </c>
      <c r="I130" s="23">
        <v>169884.5</v>
      </c>
      <c r="J130" s="42">
        <v>11</v>
      </c>
      <c r="K130" s="15">
        <v>42893</v>
      </c>
      <c r="L130" s="24">
        <v>169884.5</v>
      </c>
      <c r="M130" s="30">
        <v>43077</v>
      </c>
      <c r="N130" s="43">
        <f t="shared" si="11"/>
        <v>184</v>
      </c>
      <c r="O130" s="81" t="str">
        <f t="shared" si="12"/>
        <v/>
      </c>
      <c r="P130" s="81">
        <f>IF(K130="",I130-L130,0)</f>
        <v>0</v>
      </c>
      <c r="Q130" s="81"/>
      <c r="R130" s="163"/>
    </row>
    <row r="131" spans="1:18" s="26" customFormat="1" ht="12.2" customHeight="1" outlineLevel="1" x14ac:dyDescent="0.2">
      <c r="A131" s="46"/>
      <c r="B131" s="310"/>
      <c r="C131" s="15"/>
      <c r="D131" s="15"/>
      <c r="E131" s="15"/>
      <c r="F131" s="15"/>
      <c r="G131" s="15"/>
      <c r="H131" s="233">
        <v>0.33079999999999998</v>
      </c>
      <c r="I131" s="23">
        <v>158435.5</v>
      </c>
      <c r="J131" s="42">
        <v>12</v>
      </c>
      <c r="K131" s="15">
        <v>43076</v>
      </c>
      <c r="L131" s="24">
        <v>158435.5</v>
      </c>
      <c r="M131" s="30">
        <v>43220</v>
      </c>
      <c r="N131" s="43">
        <f t="shared" si="11"/>
        <v>144</v>
      </c>
      <c r="O131" s="81" t="str">
        <f t="shared" si="12"/>
        <v/>
      </c>
      <c r="P131" s="81">
        <f>IF(K131="",I131-L131,0)</f>
        <v>0</v>
      </c>
      <c r="Q131" s="81"/>
      <c r="R131" s="163"/>
    </row>
    <row r="132" spans="1:18" s="26" customFormat="1" ht="12.2" customHeight="1" outlineLevel="1" x14ac:dyDescent="0.2">
      <c r="A132" s="46"/>
      <c r="B132" s="310"/>
      <c r="C132" s="15"/>
      <c r="D132" s="15"/>
      <c r="E132" s="15"/>
      <c r="F132" s="15"/>
      <c r="G132" s="15"/>
      <c r="H132" s="233">
        <v>0.36709999999999998</v>
      </c>
      <c r="I132" s="23">
        <f>H119*H132-I120-I121-I122-I123-I124-I125-I126-I127-I128-I129-I130-I131</f>
        <v>196020</v>
      </c>
      <c r="J132" s="42">
        <v>13</v>
      </c>
      <c r="K132" s="15">
        <v>43251</v>
      </c>
      <c r="L132" s="24">
        <v>196020</v>
      </c>
      <c r="M132" s="30">
        <v>43354</v>
      </c>
      <c r="N132" s="43">
        <f t="shared" si="11"/>
        <v>103</v>
      </c>
      <c r="O132" s="81" t="str">
        <f t="shared" si="12"/>
        <v/>
      </c>
      <c r="P132" s="81">
        <f t="shared" ref="P132:P133" si="13">IF(K132="",I132-L132,0)</f>
        <v>0</v>
      </c>
      <c r="Q132" s="81"/>
      <c r="R132" s="163"/>
    </row>
    <row r="133" spans="1:18" s="26" customFormat="1" ht="12.2" customHeight="1" outlineLevel="1" x14ac:dyDescent="0.2">
      <c r="A133" s="46"/>
      <c r="B133" s="310"/>
      <c r="C133" s="15"/>
      <c r="D133" s="15"/>
      <c r="E133" s="15"/>
      <c r="F133" s="15"/>
      <c r="G133" s="15"/>
      <c r="H133" s="233">
        <v>0.40389999999999998</v>
      </c>
      <c r="I133" s="23">
        <v>198720</v>
      </c>
      <c r="J133" s="42">
        <v>14</v>
      </c>
      <c r="K133" s="15">
        <v>43438</v>
      </c>
      <c r="L133" s="24">
        <v>198720</v>
      </c>
      <c r="M133" s="30">
        <v>43572</v>
      </c>
      <c r="N133" s="43">
        <f t="shared" si="11"/>
        <v>134</v>
      </c>
      <c r="O133" s="81" t="str">
        <f t="shared" si="12"/>
        <v/>
      </c>
      <c r="P133" s="81">
        <f t="shared" si="13"/>
        <v>0</v>
      </c>
      <c r="Q133" s="81"/>
      <c r="R133" s="163"/>
    </row>
    <row r="134" spans="1:18" s="26" customFormat="1" ht="12.2" customHeight="1" outlineLevel="1" x14ac:dyDescent="0.2">
      <c r="A134" s="118"/>
      <c r="B134" s="311"/>
      <c r="C134" s="36"/>
      <c r="D134" s="36"/>
      <c r="E134" s="36"/>
      <c r="F134" s="36"/>
      <c r="G134" s="36"/>
      <c r="H134" s="153">
        <v>1</v>
      </c>
      <c r="I134" s="35">
        <f>H119-SUM(I120:I133)</f>
        <v>3218940</v>
      </c>
      <c r="J134" s="44">
        <v>15</v>
      </c>
      <c r="K134" s="36"/>
      <c r="L134" s="37"/>
      <c r="M134" s="155"/>
      <c r="N134" s="156"/>
      <c r="O134" s="157" t="str">
        <f t="shared" si="12"/>
        <v/>
      </c>
      <c r="P134" s="81">
        <f t="shared" si="7"/>
        <v>3218940</v>
      </c>
      <c r="Q134" s="157"/>
      <c r="R134" s="163"/>
    </row>
    <row r="135" spans="1:18" s="107" customFormat="1" ht="12.2" customHeight="1" x14ac:dyDescent="0.2">
      <c r="A135" s="129" t="s">
        <v>64</v>
      </c>
      <c r="B135" s="312" t="s">
        <v>197</v>
      </c>
      <c r="C135" s="149">
        <v>40878</v>
      </c>
      <c r="D135" s="158">
        <f>DATE(YEAR(C135)+2,MONTH(C135),DAY(C135))</f>
        <v>41609</v>
      </c>
      <c r="E135" s="149">
        <v>41514</v>
      </c>
      <c r="F135" s="158">
        <v>44350</v>
      </c>
      <c r="G135" s="149"/>
      <c r="H135" s="137">
        <v>5220000</v>
      </c>
      <c r="I135" s="132"/>
      <c r="J135" s="133"/>
      <c r="K135" s="149"/>
      <c r="L135" s="135">
        <f>SUM(L136:L141)</f>
        <v>4176000</v>
      </c>
      <c r="M135" s="147"/>
      <c r="N135" s="148"/>
      <c r="O135" s="150">
        <f>SUM(O136:O141)</f>
        <v>0</v>
      </c>
      <c r="P135" s="170">
        <f>SUM(P136:P141)</f>
        <v>1044000.0000000001</v>
      </c>
      <c r="Q135" s="150"/>
      <c r="R135" s="163">
        <f>H135-(L135+O135+P135)</f>
        <v>0</v>
      </c>
    </row>
    <row r="136" spans="1:18" s="26" customFormat="1" ht="12.2" customHeight="1" outlineLevel="1" x14ac:dyDescent="0.2">
      <c r="A136" s="46"/>
      <c r="B136" s="310" t="s">
        <v>423</v>
      </c>
      <c r="C136" s="15"/>
      <c r="D136" s="15"/>
      <c r="E136" s="15"/>
      <c r="F136" s="436" t="s">
        <v>292</v>
      </c>
      <c r="G136" s="15"/>
      <c r="H136" s="16"/>
      <c r="I136" s="23">
        <v>1910679.91</v>
      </c>
      <c r="J136" s="42">
        <v>1</v>
      </c>
      <c r="K136" s="15">
        <v>41598</v>
      </c>
      <c r="L136" s="24">
        <v>1910679.91</v>
      </c>
      <c r="M136" s="30">
        <v>41814</v>
      </c>
      <c r="N136" s="43">
        <f>IF(M136="",$P$2-K136,M136-K136)</f>
        <v>216</v>
      </c>
      <c r="O136" s="81" t="str">
        <f t="shared" ref="O136:O149" si="14">IF(L136="en attente",I136,"")</f>
        <v/>
      </c>
      <c r="P136" s="81">
        <f t="shared" ref="P136:P141" si="15">IF(K136="",I136-L136,0)</f>
        <v>0</v>
      </c>
      <c r="Q136" s="81"/>
      <c r="R136" s="163"/>
    </row>
    <row r="137" spans="1:18" s="26" customFormat="1" ht="12.2" customHeight="1" outlineLevel="1" x14ac:dyDescent="0.2">
      <c r="A137" s="46"/>
      <c r="B137" s="310"/>
      <c r="C137" s="15"/>
      <c r="D137" s="15"/>
      <c r="E137" s="15"/>
      <c r="F137" s="15"/>
      <c r="G137" s="15"/>
      <c r="H137" s="233"/>
      <c r="I137" s="23">
        <v>853631.32</v>
      </c>
      <c r="J137" s="42">
        <v>2</v>
      </c>
      <c r="K137" s="15">
        <v>41710</v>
      </c>
      <c r="L137" s="24">
        <v>853631.32</v>
      </c>
      <c r="M137" s="30">
        <v>41771</v>
      </c>
      <c r="N137" s="43">
        <f>IF(M137="",$P$2-K137,M137-K137)</f>
        <v>61</v>
      </c>
      <c r="O137" s="81" t="str">
        <f t="shared" si="14"/>
        <v/>
      </c>
      <c r="P137" s="81">
        <f t="shared" si="15"/>
        <v>0</v>
      </c>
      <c r="Q137" s="81"/>
      <c r="R137" s="163"/>
    </row>
    <row r="138" spans="1:18" s="26" customFormat="1" ht="12.2" customHeight="1" outlineLevel="1" x14ac:dyDescent="0.2">
      <c r="A138" s="46"/>
      <c r="B138" s="310"/>
      <c r="C138" s="15"/>
      <c r="D138" s="15"/>
      <c r="E138" s="15"/>
      <c r="F138" s="15"/>
      <c r="G138" s="15"/>
      <c r="H138" s="233">
        <v>0.66069999999999995</v>
      </c>
      <c r="I138" s="23">
        <v>684526.59</v>
      </c>
      <c r="J138" s="42">
        <v>3</v>
      </c>
      <c r="K138" s="15">
        <v>42374</v>
      </c>
      <c r="L138" s="24">
        <v>684526.59</v>
      </c>
      <c r="M138" s="30">
        <v>42443</v>
      </c>
      <c r="N138" s="43"/>
      <c r="O138" s="81" t="str">
        <f t="shared" si="14"/>
        <v/>
      </c>
      <c r="P138" s="81">
        <f t="shared" si="15"/>
        <v>0</v>
      </c>
      <c r="Q138" s="81"/>
      <c r="R138" s="163"/>
    </row>
    <row r="139" spans="1:18" s="26" customFormat="1" ht="12.2" customHeight="1" outlineLevel="1" x14ac:dyDescent="0.2">
      <c r="A139" s="46"/>
      <c r="B139" s="310"/>
      <c r="C139" s="15"/>
      <c r="D139" s="15"/>
      <c r="E139" s="15"/>
      <c r="F139" s="15"/>
      <c r="G139" s="15"/>
      <c r="H139" s="233">
        <v>0.75419999999999998</v>
      </c>
      <c r="I139" s="23">
        <v>487958.81</v>
      </c>
      <c r="J139" s="42">
        <v>4</v>
      </c>
      <c r="K139" s="15">
        <v>42528</v>
      </c>
      <c r="L139" s="24">
        <v>487958.81</v>
      </c>
      <c r="M139" s="30">
        <v>42564</v>
      </c>
      <c r="N139" s="43"/>
      <c r="O139" s="81" t="str">
        <f t="shared" si="14"/>
        <v/>
      </c>
      <c r="P139" s="81">
        <f t="shared" si="15"/>
        <v>0</v>
      </c>
      <c r="Q139" s="81"/>
      <c r="R139" s="163"/>
    </row>
    <row r="140" spans="1:18" s="26" customFormat="1" ht="12.2" customHeight="1" outlineLevel="1" x14ac:dyDescent="0.2">
      <c r="A140" s="46"/>
      <c r="B140" s="310"/>
      <c r="C140" s="15"/>
      <c r="D140" s="15"/>
      <c r="E140" s="15"/>
      <c r="F140" s="15"/>
      <c r="G140" s="15"/>
      <c r="H140" s="233">
        <v>0.8</v>
      </c>
      <c r="I140" s="23">
        <v>239203.37</v>
      </c>
      <c r="J140" s="42">
        <v>5</v>
      </c>
      <c r="K140" s="15">
        <v>42678</v>
      </c>
      <c r="L140" s="24">
        <v>239203.37</v>
      </c>
      <c r="M140" s="30">
        <v>42752</v>
      </c>
      <c r="N140" s="43"/>
      <c r="O140" s="81" t="str">
        <f t="shared" si="14"/>
        <v/>
      </c>
      <c r="P140" s="81">
        <f t="shared" si="15"/>
        <v>0</v>
      </c>
      <c r="Q140" s="81"/>
      <c r="R140" s="163"/>
    </row>
    <row r="141" spans="1:18" s="26" customFormat="1" ht="12.2" customHeight="1" outlineLevel="1" x14ac:dyDescent="0.2">
      <c r="A141" s="46"/>
      <c r="B141" s="310"/>
      <c r="C141" s="15"/>
      <c r="D141" s="15"/>
      <c r="E141" s="15"/>
      <c r="F141" s="15"/>
      <c r="G141" s="15"/>
      <c r="H141" s="16"/>
      <c r="I141" s="23">
        <f>H135-I136-I137-I138-I139-I140</f>
        <v>1044000.0000000001</v>
      </c>
      <c r="J141" s="42">
        <v>6</v>
      </c>
      <c r="K141" s="15"/>
      <c r="L141" s="24"/>
      <c r="M141" s="30"/>
      <c r="N141" s="43"/>
      <c r="O141" s="81" t="str">
        <f t="shared" si="14"/>
        <v/>
      </c>
      <c r="P141" s="81">
        <f t="shared" si="15"/>
        <v>1044000.0000000001</v>
      </c>
      <c r="Q141" s="81"/>
      <c r="R141" s="163"/>
    </row>
    <row r="142" spans="1:18" s="26" customFormat="1" ht="12.2" customHeight="1" x14ac:dyDescent="0.2">
      <c r="A142" s="129" t="s">
        <v>64</v>
      </c>
      <c r="B142" s="309" t="s">
        <v>212</v>
      </c>
      <c r="C142" s="158">
        <v>40878</v>
      </c>
      <c r="D142" s="158">
        <f>DATE(YEAR(C142)+2,MONTH(C142),DAY(C142))</f>
        <v>41609</v>
      </c>
      <c r="E142" s="158">
        <v>41576</v>
      </c>
      <c r="F142" s="158">
        <v>44498</v>
      </c>
      <c r="G142" s="121"/>
      <c r="H142" s="128">
        <v>363142</v>
      </c>
      <c r="I142" s="253"/>
      <c r="J142" s="254"/>
      <c r="K142" s="121"/>
      <c r="L142" s="126">
        <f>SUM(L143:L147)</f>
        <v>95750.53</v>
      </c>
      <c r="M142" s="216"/>
      <c r="N142" s="255"/>
      <c r="O142" s="159">
        <f>SUM(O143:O147)</f>
        <v>0</v>
      </c>
      <c r="P142" s="159">
        <f>SUM(P143:P147)</f>
        <v>267391.47000000003</v>
      </c>
      <c r="Q142" s="256"/>
      <c r="R142" s="163">
        <f>H142 -(L142+O142+P142)</f>
        <v>0</v>
      </c>
    </row>
    <row r="143" spans="1:18" s="26" customFormat="1" ht="12.2" customHeight="1" outlineLevel="1" x14ac:dyDescent="0.2">
      <c r="A143" s="46"/>
      <c r="B143" s="310" t="s">
        <v>424</v>
      </c>
      <c r="C143" s="15"/>
      <c r="D143" s="15"/>
      <c r="E143" s="15"/>
      <c r="F143" s="436" t="s">
        <v>292</v>
      </c>
      <c r="G143" s="15"/>
      <c r="H143" s="233">
        <v>2.2100000000000002E-2</v>
      </c>
      <c r="I143" s="23">
        <v>8025.44</v>
      </c>
      <c r="J143" s="42">
        <v>1</v>
      </c>
      <c r="K143" s="15">
        <v>42292</v>
      </c>
      <c r="L143" s="24">
        <v>8025.44</v>
      </c>
      <c r="M143" s="30">
        <v>42335</v>
      </c>
      <c r="N143" s="43"/>
      <c r="O143" s="81" t="str">
        <f t="shared" si="14"/>
        <v/>
      </c>
      <c r="P143" s="81">
        <f t="shared" ref="P143:P151" si="16">IF(K143="",I143-L143,0)</f>
        <v>0</v>
      </c>
      <c r="Q143" s="81"/>
      <c r="R143" s="163"/>
    </row>
    <row r="144" spans="1:18" s="26" customFormat="1" ht="12.2" customHeight="1" outlineLevel="1" x14ac:dyDescent="0.2">
      <c r="A144" s="46"/>
      <c r="B144" s="310"/>
      <c r="C144" s="15"/>
      <c r="D144" s="15"/>
      <c r="E144" s="15"/>
      <c r="F144" s="85"/>
      <c r="G144" s="15"/>
      <c r="H144" s="233">
        <v>0.16420000000000001</v>
      </c>
      <c r="I144" s="23">
        <v>51587.040000000001</v>
      </c>
      <c r="J144" s="42">
        <v>2</v>
      </c>
      <c r="K144" s="15">
        <v>42544</v>
      </c>
      <c r="L144" s="24">
        <v>51587.040000000001</v>
      </c>
      <c r="M144" s="30">
        <v>42578</v>
      </c>
      <c r="N144" s="43"/>
      <c r="O144" s="81" t="str">
        <f t="shared" si="14"/>
        <v/>
      </c>
      <c r="P144" s="81">
        <f t="shared" si="16"/>
        <v>0</v>
      </c>
      <c r="Q144" s="81"/>
      <c r="R144" s="163"/>
    </row>
    <row r="145" spans="1:19" s="26" customFormat="1" ht="12.2" customHeight="1" outlineLevel="1" x14ac:dyDescent="0.2">
      <c r="A145" s="46"/>
      <c r="B145" s="310"/>
      <c r="C145" s="15"/>
      <c r="D145" s="15"/>
      <c r="E145" s="15"/>
      <c r="F145" s="105"/>
      <c r="G145" s="15"/>
      <c r="H145" s="233">
        <v>0.26369999999999999</v>
      </c>
      <c r="I145" s="23">
        <v>36138.050000000003</v>
      </c>
      <c r="J145" s="42">
        <v>3</v>
      </c>
      <c r="K145" s="15">
        <v>42678</v>
      </c>
      <c r="L145" s="24">
        <v>36138.050000000003</v>
      </c>
      <c r="M145" s="30">
        <v>42752</v>
      </c>
      <c r="N145" s="43"/>
      <c r="O145" s="81" t="str">
        <f t="shared" si="14"/>
        <v/>
      </c>
      <c r="P145" s="81"/>
      <c r="Q145" s="81"/>
      <c r="R145" s="163"/>
    </row>
    <row r="146" spans="1:19" s="26" customFormat="1" ht="12.2" customHeight="1" outlineLevel="1" x14ac:dyDescent="0.2">
      <c r="A146" s="46"/>
      <c r="B146" s="310"/>
      <c r="C146" s="15"/>
      <c r="D146" s="15"/>
      <c r="E146" s="15"/>
      <c r="F146" s="105"/>
      <c r="G146" s="15"/>
      <c r="H146" s="109">
        <v>0.8</v>
      </c>
      <c r="I146" s="23">
        <f>H142*80%-(I143+I144+I145)</f>
        <v>194763.07000000004</v>
      </c>
      <c r="J146" s="42"/>
      <c r="K146" s="15"/>
      <c r="L146" s="24"/>
      <c r="M146" s="30"/>
      <c r="N146" s="43"/>
      <c r="O146" s="81" t="str">
        <f t="shared" si="14"/>
        <v/>
      </c>
      <c r="P146" s="81">
        <f t="shared" si="16"/>
        <v>194763.07000000004</v>
      </c>
      <c r="Q146" s="81"/>
      <c r="R146" s="163"/>
    </row>
    <row r="147" spans="1:19" s="26" customFormat="1" ht="12.2" customHeight="1" outlineLevel="1" x14ac:dyDescent="0.2">
      <c r="A147" s="46"/>
      <c r="B147" s="310"/>
      <c r="C147" s="15"/>
      <c r="D147" s="15"/>
      <c r="E147" s="15"/>
      <c r="F147" s="105"/>
      <c r="G147" s="15"/>
      <c r="H147" s="109">
        <v>1</v>
      </c>
      <c r="I147" s="23">
        <f>H142-I143-I144-I145-I146</f>
        <v>72628.399999999994</v>
      </c>
      <c r="J147" s="42"/>
      <c r="K147" s="15"/>
      <c r="L147" s="24"/>
      <c r="M147" s="30"/>
      <c r="N147" s="43"/>
      <c r="O147" s="81" t="str">
        <f t="shared" si="14"/>
        <v/>
      </c>
      <c r="P147" s="81">
        <f t="shared" si="16"/>
        <v>72628.399999999994</v>
      </c>
      <c r="Q147" s="81"/>
      <c r="R147" s="163"/>
    </row>
    <row r="148" spans="1:19" s="26" customFormat="1" ht="12" customHeight="1" x14ac:dyDescent="0.2">
      <c r="A148" s="129" t="s">
        <v>64</v>
      </c>
      <c r="B148" s="309" t="s">
        <v>230</v>
      </c>
      <c r="C148" s="158">
        <v>41939</v>
      </c>
      <c r="D148" s="158">
        <f>DATE(YEAR(C148)+2,MONTH(C148),DAY(C148))</f>
        <v>42670</v>
      </c>
      <c r="E148" s="158">
        <v>42467</v>
      </c>
      <c r="F148" s="158">
        <f>DATE(YEAR(E148)+4,MONTH(E148),DAY(E148))</f>
        <v>43928</v>
      </c>
      <c r="G148" s="158"/>
      <c r="H148" s="128">
        <v>2000000</v>
      </c>
      <c r="I148" s="123"/>
      <c r="J148" s="138"/>
      <c r="K148" s="158"/>
      <c r="L148" s="126">
        <f>SUM(L149:L151)</f>
        <v>100000</v>
      </c>
      <c r="M148" s="151"/>
      <c r="N148" s="152"/>
      <c r="O148" s="159">
        <f>SUM(O149:O151)</f>
        <v>0</v>
      </c>
      <c r="P148" s="159">
        <f>SUM(P149:P151)</f>
        <v>1900000</v>
      </c>
      <c r="Q148" s="159"/>
      <c r="R148" s="163">
        <f>H148-(L148+O148+P148)</f>
        <v>0</v>
      </c>
    </row>
    <row r="149" spans="1:19" s="26" customFormat="1" ht="12.2" customHeight="1" outlineLevel="1" x14ac:dyDescent="0.2">
      <c r="A149" s="46"/>
      <c r="B149" s="310" t="s">
        <v>425</v>
      </c>
      <c r="C149" s="15"/>
      <c r="D149" s="29"/>
      <c r="E149" s="15"/>
      <c r="F149" s="15"/>
      <c r="G149" s="15"/>
      <c r="H149" s="108">
        <v>0.05</v>
      </c>
      <c r="I149" s="23">
        <v>100000</v>
      </c>
      <c r="J149" s="42">
        <v>1</v>
      </c>
      <c r="K149" s="15">
        <v>42530</v>
      </c>
      <c r="L149" s="24">
        <v>100000</v>
      </c>
      <c r="M149" s="30">
        <v>42562</v>
      </c>
      <c r="N149" s="43"/>
      <c r="O149" s="81" t="str">
        <f t="shared" si="14"/>
        <v/>
      </c>
      <c r="P149" s="81">
        <f t="shared" si="16"/>
        <v>0</v>
      </c>
      <c r="Q149" s="81"/>
      <c r="R149" s="163"/>
    </row>
    <row r="150" spans="1:19" s="26" customFormat="1" ht="12.2" customHeight="1" outlineLevel="1" x14ac:dyDescent="0.2">
      <c r="A150" s="46"/>
      <c r="B150" s="310"/>
      <c r="C150" s="15"/>
      <c r="D150" s="29"/>
      <c r="E150" s="15"/>
      <c r="F150" s="15"/>
      <c r="G150" s="15"/>
      <c r="H150" s="108">
        <v>0.8</v>
      </c>
      <c r="I150" s="23">
        <f>H148*H150-I149</f>
        <v>1500000</v>
      </c>
      <c r="J150" s="42">
        <v>2</v>
      </c>
      <c r="K150" s="15"/>
      <c r="L150" s="24"/>
      <c r="M150" s="30"/>
      <c r="N150" s="43"/>
      <c r="O150" s="81"/>
      <c r="P150" s="81">
        <f t="shared" si="16"/>
        <v>1500000</v>
      </c>
      <c r="Q150" s="81"/>
      <c r="R150" s="163"/>
    </row>
    <row r="151" spans="1:19" s="26" customFormat="1" ht="12.2" customHeight="1" outlineLevel="1" x14ac:dyDescent="0.2">
      <c r="A151" s="46"/>
      <c r="B151" s="310"/>
      <c r="C151" s="15"/>
      <c r="D151" s="29"/>
      <c r="E151" s="15"/>
      <c r="F151" s="15"/>
      <c r="G151" s="15"/>
      <c r="H151" s="108">
        <v>1</v>
      </c>
      <c r="I151" s="23">
        <f>H148-I149-I150</f>
        <v>400000</v>
      </c>
      <c r="J151" s="42">
        <v>3</v>
      </c>
      <c r="K151" s="15"/>
      <c r="L151" s="24"/>
      <c r="M151" s="30"/>
      <c r="N151" s="43"/>
      <c r="O151" s="81"/>
      <c r="P151" s="81">
        <f t="shared" si="16"/>
        <v>400000</v>
      </c>
      <c r="Q151" s="81"/>
      <c r="R151" s="163"/>
    </row>
    <row r="152" spans="1:19" s="26" customFormat="1" ht="12.2" customHeight="1" x14ac:dyDescent="0.2">
      <c r="A152" s="46"/>
      <c r="B152" s="310"/>
      <c r="C152" s="15"/>
      <c r="D152" s="29"/>
      <c r="E152" s="15"/>
      <c r="F152" s="15"/>
      <c r="G152" s="15"/>
      <c r="H152" s="16"/>
      <c r="I152" s="23"/>
      <c r="J152" s="42"/>
      <c r="K152" s="15"/>
      <c r="L152" s="24"/>
      <c r="M152" s="30"/>
      <c r="N152" s="43"/>
      <c r="O152" s="81"/>
      <c r="P152" s="81"/>
      <c r="Q152" s="81"/>
      <c r="R152" s="163"/>
    </row>
    <row r="153" spans="1:19" s="8" customFormat="1" ht="12.2" customHeight="1" x14ac:dyDescent="0.2">
      <c r="A153" s="48"/>
      <c r="B153" s="48"/>
      <c r="C153" s="48"/>
      <c r="D153" s="48"/>
      <c r="E153" s="48"/>
      <c r="F153" s="48"/>
      <c r="G153" s="48"/>
      <c r="H153" s="41">
        <f>H6+H13+H20+H33+H38+H45+H49+H53+H58+H61+H65+H70+H86+H77+H90+H104+H116+H119+H135+H83+H99+H28+H142+H148+H112+H108</f>
        <v>26941524.539999999</v>
      </c>
      <c r="I153" s="41">
        <f>SUMPRODUCT((Date_AF_FRAFU&lt;&gt;"")*MontantAF_FRAFU)</f>
        <v>19034184.800000001</v>
      </c>
      <c r="J153" s="49"/>
      <c r="K153" s="50"/>
      <c r="L153" s="41">
        <f>L6+L13+L20+L33+L38+L45+L49+L53+L58+L61+L65+L70+L86+L77+L90+L104+L116+L119+L135+L83+L99+L28+L142+L148+L112+L108</f>
        <v>18793761.34</v>
      </c>
      <c r="M153" s="86"/>
      <c r="N153" s="79"/>
      <c r="O153" s="41">
        <f>O6+O13+O20+O33+O38+O45+O49+O53+O58+O61+O65+O70+O86+O77+O90+O104+O116+O119+O135+O83+O99+O28+O142+O148+O112+O108</f>
        <v>712517.91999999993</v>
      </c>
      <c r="P153" s="41">
        <f>P6+P13+P20+P33+P38+P45+P49+P53+P58+P61+P65+P70+P86+P77+P90+P104+P116+P119+P135+P83+P99+P28+P142+P148+P112+P108</f>
        <v>7397110.4580000006</v>
      </c>
      <c r="Q153" s="82"/>
      <c r="R153" s="164">
        <f>H153-(L153+O153+P153)</f>
        <v>38134.822000000626</v>
      </c>
    </row>
    <row r="154" spans="1:19" ht="12.2" customHeight="1" x14ac:dyDescent="0.2">
      <c r="A154" s="75"/>
      <c r="B154" s="75"/>
      <c r="C154" s="76"/>
      <c r="D154" s="76"/>
      <c r="E154" s="76"/>
      <c r="F154" s="76"/>
      <c r="G154" s="76"/>
      <c r="H154" s="76"/>
      <c r="I154" s="76"/>
      <c r="J154" s="75"/>
      <c r="K154" s="76"/>
      <c r="L154" s="76"/>
      <c r="M154" s="87"/>
      <c r="N154" s="80"/>
      <c r="O154" s="921">
        <f>SUM(O153:P153)</f>
        <v>8109628.3780000005</v>
      </c>
      <c r="P154" s="922"/>
    </row>
    <row r="155" spans="1:19" s="6" customFormat="1" ht="12.75" thickBot="1" x14ac:dyDescent="0.25">
      <c r="C155" s="1"/>
      <c r="D155" s="1"/>
      <c r="E155" s="1"/>
      <c r="F155" s="1"/>
      <c r="G155" s="1"/>
      <c r="H155" s="47"/>
      <c r="I155" s="47"/>
      <c r="J155" s="525"/>
      <c r="K155" s="47"/>
      <c r="L155" s="47"/>
      <c r="M155" s="83"/>
      <c r="N155" s="77"/>
      <c r="O155" s="1"/>
      <c r="P155" s="1"/>
      <c r="Q155" s="1"/>
      <c r="R155" s="161"/>
      <c r="S155" s="1"/>
    </row>
    <row r="156" spans="1:19" ht="12.75" thickBot="1" x14ac:dyDescent="0.25">
      <c r="I156" s="748" t="s">
        <v>219</v>
      </c>
      <c r="J156" s="741"/>
      <c r="K156" s="742"/>
      <c r="L156" s="752" t="s">
        <v>221</v>
      </c>
    </row>
    <row r="157" spans="1:19" x14ac:dyDescent="0.2">
      <c r="H157" s="768">
        <v>2006</v>
      </c>
      <c r="I157" s="749">
        <f>SUMPRODUCT((YEAR($H$173:$H$262)=H157)*$I$173:$I$262)</f>
        <v>1558057.8</v>
      </c>
      <c r="J157" s="525"/>
      <c r="K157" s="47"/>
      <c r="L157" s="749">
        <f t="shared" ref="L157:L166" si="17">SUMPRODUCT((YEAR($H$173:$H$262)=H157)*$L$173:$L$262)</f>
        <v>135000</v>
      </c>
    </row>
    <row r="158" spans="1:19" x14ac:dyDescent="0.2">
      <c r="A158" s="1"/>
      <c r="H158" s="769">
        <v>2007</v>
      </c>
      <c r="I158" s="749">
        <f t="shared" ref="I158:I165" si="18">SUMPRODUCT((YEAR($H$173:$H$262)=H158)*$I$173:$I$262)</f>
        <v>170100</v>
      </c>
      <c r="J158" s="525"/>
      <c r="K158" s="47"/>
      <c r="L158" s="749">
        <f t="shared" si="17"/>
        <v>1593157.8</v>
      </c>
    </row>
    <row r="159" spans="1:19" x14ac:dyDescent="0.2">
      <c r="H159" s="769">
        <v>2010</v>
      </c>
      <c r="I159" s="749">
        <f t="shared" si="18"/>
        <v>63180</v>
      </c>
      <c r="J159" s="525"/>
      <c r="K159" s="47"/>
      <c r="L159" s="749">
        <f t="shared" si="17"/>
        <v>63180</v>
      </c>
    </row>
    <row r="160" spans="1:19" x14ac:dyDescent="0.2">
      <c r="H160" s="754">
        <v>2011</v>
      </c>
      <c r="I160" s="749">
        <f t="shared" si="18"/>
        <v>1113274</v>
      </c>
      <c r="J160" s="525"/>
      <c r="K160" s="47"/>
      <c r="L160" s="749">
        <f t="shared" si="17"/>
        <v>964320</v>
      </c>
    </row>
    <row r="161" spans="8:12" x14ac:dyDescent="0.2">
      <c r="H161" s="754">
        <v>2012</v>
      </c>
      <c r="I161" s="749">
        <f t="shared" si="18"/>
        <v>1260319.3</v>
      </c>
      <c r="J161" s="525"/>
      <c r="K161" s="47"/>
      <c r="L161" s="749">
        <f t="shared" si="17"/>
        <v>1285783.17</v>
      </c>
    </row>
    <row r="162" spans="8:12" x14ac:dyDescent="0.2">
      <c r="H162" s="754">
        <v>2013</v>
      </c>
      <c r="I162" s="749">
        <f t="shared" si="18"/>
        <v>2866858.28</v>
      </c>
      <c r="J162" s="525"/>
      <c r="K162" s="47"/>
      <c r="L162" s="749">
        <f t="shared" si="17"/>
        <v>655454.87</v>
      </c>
    </row>
    <row r="163" spans="8:12" x14ac:dyDescent="0.2">
      <c r="H163" s="754">
        <v>2014</v>
      </c>
      <c r="I163" s="749">
        <f t="shared" si="18"/>
        <v>2269922.3799999994</v>
      </c>
      <c r="J163" s="525"/>
      <c r="K163" s="47"/>
      <c r="L163" s="749">
        <f t="shared" si="17"/>
        <v>4460611.76</v>
      </c>
    </row>
    <row r="164" spans="8:12" x14ac:dyDescent="0.2">
      <c r="H164" s="754">
        <v>2015</v>
      </c>
      <c r="I164" s="749">
        <f t="shared" si="18"/>
        <v>3264503.62</v>
      </c>
      <c r="J164" s="525"/>
      <c r="K164" s="47"/>
      <c r="L164" s="749">
        <f t="shared" si="17"/>
        <v>1769182.02</v>
      </c>
    </row>
    <row r="165" spans="8:12" x14ac:dyDescent="0.2">
      <c r="H165" s="754">
        <v>2016</v>
      </c>
      <c r="I165" s="749">
        <f t="shared" si="18"/>
        <v>3128172.4920000001</v>
      </c>
      <c r="J165" s="525"/>
      <c r="K165" s="47"/>
      <c r="L165" s="749">
        <f t="shared" si="17"/>
        <v>3898075.0300000003</v>
      </c>
    </row>
    <row r="166" spans="8:12" x14ac:dyDescent="0.2">
      <c r="H166" s="754">
        <v>2017</v>
      </c>
      <c r="I166" s="749">
        <f>SUMPRODUCT((YEAR($H$173:$H$262)=H166)*$I$173:$I$262)</f>
        <v>1630791.08</v>
      </c>
      <c r="J166" s="525"/>
      <c r="K166" s="47"/>
      <c r="L166" s="749">
        <f t="shared" si="17"/>
        <v>2215954.2799999998</v>
      </c>
    </row>
    <row r="167" spans="8:12" ht="12.75" thickBot="1" x14ac:dyDescent="0.25">
      <c r="H167" s="754">
        <v>2018</v>
      </c>
      <c r="I167" s="749">
        <f>SUMPRODUCT((YEAR($H$173:$H$274)=H167)*$I$173:$I$274)</f>
        <v>1325881.7780000002</v>
      </c>
      <c r="J167" s="525"/>
      <c r="K167" s="47"/>
      <c r="L167" s="749">
        <f>SUMPRODUCT((YEAR($H$173:$H$274)=H167)*$L$173:$L$274)</f>
        <v>1554322.41</v>
      </c>
    </row>
    <row r="168" spans="8:12" ht="12.75" thickBot="1" x14ac:dyDescent="0.25">
      <c r="H168" s="756">
        <v>2019</v>
      </c>
      <c r="I168" s="750">
        <f>SUMPRODUCT((YEAR($H$173:$H$286)=H168)*$I$173:$I$286)</f>
        <v>136252.47999999998</v>
      </c>
      <c r="J168" s="757"/>
      <c r="K168" s="758"/>
      <c r="L168" s="759">
        <f>SUMPRODUCT((YEAR($H$173:$H$286)=H168)*$L$173:$L$286)</f>
        <v>198720</v>
      </c>
    </row>
    <row r="169" spans="8:12" ht="12.75" thickBot="1" x14ac:dyDescent="0.25">
      <c r="I169" s="908">
        <f>SUM(I157:I168)</f>
        <v>18787313.210000001</v>
      </c>
      <c r="J169" s="746"/>
      <c r="K169" s="747"/>
      <c r="L169" s="908">
        <f>SUM(L157:L168)</f>
        <v>18793761.34</v>
      </c>
    </row>
    <row r="170" spans="8:12" x14ac:dyDescent="0.2">
      <c r="I170" s="91">
        <f>I169-I287</f>
        <v>0</v>
      </c>
      <c r="L170" s="91">
        <f>L169-L287</f>
        <v>0</v>
      </c>
    </row>
    <row r="171" spans="8:12" x14ac:dyDescent="0.2">
      <c r="I171" s="91"/>
    </row>
    <row r="172" spans="8:12" x14ac:dyDescent="0.2">
      <c r="I172" s="371" t="s">
        <v>219</v>
      </c>
      <c r="L172" s="372" t="s">
        <v>221</v>
      </c>
    </row>
    <row r="173" spans="8:12" hidden="1" outlineLevel="1" x14ac:dyDescent="0.2">
      <c r="H173" s="380">
        <v>38961</v>
      </c>
      <c r="I173" s="369">
        <f t="shared" ref="I173:I204" si="19">SUMPRODUCT((DateAF&lt;&gt;"")*(MONTH(DateAF)=MONTH(H173))*(YEAR(DateAF)=YEAR(H173))*MontantAF)</f>
        <v>1558057.8</v>
      </c>
      <c r="L173" s="369">
        <f t="shared" ref="L173:L191" si="20">SUMPRODUCT((DatePmt&lt;&gt;"")*(DatePmt&lt;&gt;"en attente")*(MONTH(DatePmt)=MONTH(H173))*(YEAR(DatePmt)=YEAR(H173))*(ISNUMBER(MontantPaye)),MontantPaye)</f>
        <v>0</v>
      </c>
    </row>
    <row r="174" spans="8:12" hidden="1" outlineLevel="1" x14ac:dyDescent="0.2">
      <c r="H174" s="380">
        <v>38991</v>
      </c>
      <c r="I174" s="369">
        <f t="shared" si="19"/>
        <v>0</v>
      </c>
      <c r="L174" s="369">
        <f t="shared" si="20"/>
        <v>135000</v>
      </c>
    </row>
    <row r="175" spans="8:12" hidden="1" outlineLevel="1" x14ac:dyDescent="0.2">
      <c r="H175" s="380">
        <v>39203</v>
      </c>
      <c r="I175" s="369">
        <f t="shared" si="19"/>
        <v>170100</v>
      </c>
      <c r="L175" s="369">
        <f t="shared" si="20"/>
        <v>1423057.8</v>
      </c>
    </row>
    <row r="176" spans="8:12" ht="15" hidden="1" customHeight="1" outlineLevel="1" x14ac:dyDescent="0.2">
      <c r="H176" s="380">
        <v>39234</v>
      </c>
      <c r="I176" s="369">
        <f t="shared" si="19"/>
        <v>0</v>
      </c>
      <c r="L176" s="369">
        <f t="shared" si="20"/>
        <v>170100</v>
      </c>
    </row>
    <row r="177" spans="8:12" ht="12.2" hidden="1" customHeight="1" outlineLevel="1" x14ac:dyDescent="0.2">
      <c r="H177" s="380">
        <v>40269</v>
      </c>
      <c r="I177" s="369">
        <f t="shared" si="19"/>
        <v>63180</v>
      </c>
      <c r="L177" s="369">
        <f t="shared" si="20"/>
        <v>0</v>
      </c>
    </row>
    <row r="178" spans="8:12" ht="12.95" hidden="1" customHeight="1" outlineLevel="1" x14ac:dyDescent="0.2">
      <c r="H178" s="380">
        <v>40360</v>
      </c>
      <c r="I178" s="369">
        <f t="shared" si="19"/>
        <v>0</v>
      </c>
      <c r="L178" s="369">
        <f t="shared" si="20"/>
        <v>63180</v>
      </c>
    </row>
    <row r="179" spans="8:12" hidden="1" outlineLevel="1" x14ac:dyDescent="0.2">
      <c r="H179" s="368">
        <v>40544</v>
      </c>
      <c r="I179" s="369">
        <f t="shared" si="19"/>
        <v>375720</v>
      </c>
      <c r="L179" s="369">
        <f t="shared" si="20"/>
        <v>0</v>
      </c>
    </row>
    <row r="180" spans="8:12" hidden="1" outlineLevel="1" x14ac:dyDescent="0.2">
      <c r="H180" s="368">
        <v>40575</v>
      </c>
      <c r="I180" s="369">
        <f t="shared" si="19"/>
        <v>0</v>
      </c>
      <c r="L180" s="369">
        <f t="shared" si="20"/>
        <v>0</v>
      </c>
    </row>
    <row r="181" spans="8:12" hidden="1" outlineLevel="1" x14ac:dyDescent="0.2">
      <c r="H181" s="368">
        <v>40603</v>
      </c>
      <c r="I181" s="369">
        <f t="shared" si="19"/>
        <v>77760</v>
      </c>
      <c r="L181" s="369">
        <f t="shared" si="20"/>
        <v>0</v>
      </c>
    </row>
    <row r="182" spans="8:12" hidden="1" outlineLevel="1" x14ac:dyDescent="0.2">
      <c r="H182" s="368">
        <v>40634</v>
      </c>
      <c r="I182" s="369">
        <f t="shared" si="19"/>
        <v>400167</v>
      </c>
      <c r="L182" s="369">
        <f t="shared" si="20"/>
        <v>280800</v>
      </c>
    </row>
    <row r="183" spans="8:12" hidden="1" outlineLevel="1" x14ac:dyDescent="0.2">
      <c r="H183" s="368">
        <v>40664</v>
      </c>
      <c r="I183" s="369">
        <f t="shared" si="19"/>
        <v>0</v>
      </c>
      <c r="L183" s="369">
        <f t="shared" si="20"/>
        <v>0</v>
      </c>
    </row>
    <row r="184" spans="8:12" hidden="1" outlineLevel="1" x14ac:dyDescent="0.2">
      <c r="H184" s="368">
        <v>40695</v>
      </c>
      <c r="I184" s="369">
        <f t="shared" si="19"/>
        <v>0</v>
      </c>
      <c r="L184" s="369">
        <f t="shared" si="20"/>
        <v>77760</v>
      </c>
    </row>
    <row r="185" spans="8:12" hidden="1" outlineLevel="1" x14ac:dyDescent="0.2">
      <c r="H185" s="368">
        <v>40725</v>
      </c>
      <c r="I185" s="369">
        <f t="shared" si="19"/>
        <v>0</v>
      </c>
      <c r="L185" s="369">
        <f t="shared" si="20"/>
        <v>0</v>
      </c>
    </row>
    <row r="186" spans="8:12" hidden="1" outlineLevel="1" x14ac:dyDescent="0.2">
      <c r="H186" s="368">
        <v>40756</v>
      </c>
      <c r="I186" s="369">
        <f t="shared" si="19"/>
        <v>0</v>
      </c>
      <c r="L186" s="369">
        <f t="shared" si="20"/>
        <v>0</v>
      </c>
    </row>
    <row r="187" spans="8:12" hidden="1" outlineLevel="1" x14ac:dyDescent="0.2">
      <c r="H187" s="368">
        <v>40787</v>
      </c>
      <c r="I187" s="369">
        <f t="shared" si="19"/>
        <v>0</v>
      </c>
      <c r="L187" s="369">
        <f t="shared" si="20"/>
        <v>400167</v>
      </c>
    </row>
    <row r="188" spans="8:12" hidden="1" outlineLevel="1" x14ac:dyDescent="0.2">
      <c r="H188" s="368">
        <v>40817</v>
      </c>
      <c r="I188" s="369">
        <f t="shared" si="19"/>
        <v>110673</v>
      </c>
      <c r="L188" s="369">
        <f t="shared" si="20"/>
        <v>0</v>
      </c>
    </row>
    <row r="189" spans="8:12" hidden="1" outlineLevel="1" x14ac:dyDescent="0.2">
      <c r="H189" s="368">
        <v>40848</v>
      </c>
      <c r="I189" s="369">
        <f t="shared" si="19"/>
        <v>0</v>
      </c>
      <c r="L189" s="369">
        <f t="shared" si="20"/>
        <v>205593</v>
      </c>
    </row>
    <row r="190" spans="8:12" hidden="1" outlineLevel="1" x14ac:dyDescent="0.2">
      <c r="H190" s="368">
        <v>40878</v>
      </c>
      <c r="I190" s="369">
        <f t="shared" si="19"/>
        <v>148954</v>
      </c>
      <c r="L190" s="369">
        <f t="shared" si="20"/>
        <v>0</v>
      </c>
    </row>
    <row r="191" spans="8:12" hidden="1" outlineLevel="1" x14ac:dyDescent="0.2">
      <c r="H191" s="368">
        <v>40909</v>
      </c>
      <c r="I191" s="369">
        <f t="shared" si="19"/>
        <v>0</v>
      </c>
      <c r="L191" s="369">
        <f t="shared" si="20"/>
        <v>0</v>
      </c>
    </row>
    <row r="192" spans="8:12" hidden="1" outlineLevel="1" x14ac:dyDescent="0.2">
      <c r="H192" s="368">
        <v>40940</v>
      </c>
      <c r="I192" s="369">
        <f t="shared" si="19"/>
        <v>731010</v>
      </c>
      <c r="L192" s="369">
        <f t="shared" ref="L192:L222" si="21">SUMPRODUCT((DatePmt&lt;&gt;"")*(DatePmt&lt;&gt;"en attente")*(MONTH(DatePmt)=MONTH(H192))*(YEAR(DatePmt)=YEAR(H192))*(ISNUMBER(MontantPaye)),MontantPaye)</f>
        <v>0</v>
      </c>
    </row>
    <row r="193" spans="8:12" hidden="1" outlineLevel="1" x14ac:dyDescent="0.2">
      <c r="H193" s="368">
        <v>40969</v>
      </c>
      <c r="I193" s="369">
        <f t="shared" si="19"/>
        <v>0</v>
      </c>
      <c r="L193" s="369">
        <f t="shared" si="21"/>
        <v>148954</v>
      </c>
    </row>
    <row r="194" spans="8:12" hidden="1" outlineLevel="1" x14ac:dyDescent="0.2">
      <c r="H194" s="368">
        <v>41000</v>
      </c>
      <c r="I194" s="369">
        <f t="shared" si="19"/>
        <v>0</v>
      </c>
      <c r="L194" s="369">
        <f t="shared" si="21"/>
        <v>0</v>
      </c>
    </row>
    <row r="195" spans="8:12" hidden="1" outlineLevel="1" x14ac:dyDescent="0.2">
      <c r="H195" s="368">
        <v>41030</v>
      </c>
      <c r="I195" s="369">
        <f t="shared" si="19"/>
        <v>0</v>
      </c>
      <c r="L195" s="369">
        <f t="shared" si="21"/>
        <v>0</v>
      </c>
    </row>
    <row r="196" spans="8:12" hidden="1" outlineLevel="1" x14ac:dyDescent="0.2">
      <c r="H196" s="368">
        <v>41061</v>
      </c>
      <c r="I196" s="369">
        <f t="shared" si="19"/>
        <v>45966.39</v>
      </c>
      <c r="L196" s="369">
        <f t="shared" si="21"/>
        <v>632190</v>
      </c>
    </row>
    <row r="197" spans="8:12" hidden="1" outlineLevel="1" x14ac:dyDescent="0.2">
      <c r="H197" s="368">
        <v>41091</v>
      </c>
      <c r="I197" s="369">
        <f t="shared" si="19"/>
        <v>0</v>
      </c>
      <c r="L197" s="369">
        <f t="shared" si="21"/>
        <v>0</v>
      </c>
    </row>
    <row r="198" spans="8:12" hidden="1" outlineLevel="1" x14ac:dyDescent="0.2">
      <c r="H198" s="368">
        <v>41122</v>
      </c>
      <c r="I198" s="369">
        <f t="shared" si="19"/>
        <v>289504.73</v>
      </c>
      <c r="L198" s="369">
        <f t="shared" si="21"/>
        <v>0</v>
      </c>
    </row>
    <row r="199" spans="8:12" hidden="1" outlineLevel="1" x14ac:dyDescent="0.2">
      <c r="H199" s="368">
        <v>41153</v>
      </c>
      <c r="I199" s="369">
        <f t="shared" si="19"/>
        <v>0</v>
      </c>
      <c r="L199" s="369">
        <f t="shared" si="21"/>
        <v>45966.39</v>
      </c>
    </row>
    <row r="200" spans="8:12" hidden="1" outlineLevel="1" x14ac:dyDescent="0.2">
      <c r="H200" s="368">
        <v>41183</v>
      </c>
      <c r="I200" s="369">
        <f t="shared" si="19"/>
        <v>193838.18</v>
      </c>
      <c r="L200" s="369">
        <f t="shared" si="21"/>
        <v>218455.73</v>
      </c>
    </row>
    <row r="201" spans="8:12" hidden="1" outlineLevel="1" x14ac:dyDescent="0.2">
      <c r="H201" s="368">
        <v>41214</v>
      </c>
      <c r="I201" s="369">
        <f t="shared" si="19"/>
        <v>0</v>
      </c>
      <c r="L201" s="369">
        <f t="shared" si="21"/>
        <v>70348.05</v>
      </c>
    </row>
    <row r="202" spans="8:12" hidden="1" outlineLevel="1" x14ac:dyDescent="0.2">
      <c r="H202" s="368">
        <v>41244</v>
      </c>
      <c r="I202" s="369">
        <f t="shared" si="19"/>
        <v>0</v>
      </c>
      <c r="L202" s="369">
        <f t="shared" si="21"/>
        <v>169869</v>
      </c>
    </row>
    <row r="203" spans="8:12" hidden="1" outlineLevel="1" x14ac:dyDescent="0.2">
      <c r="H203" s="368">
        <v>41275</v>
      </c>
      <c r="I203" s="369">
        <f t="shared" si="19"/>
        <v>0</v>
      </c>
      <c r="L203" s="369">
        <f t="shared" si="21"/>
        <v>0</v>
      </c>
    </row>
    <row r="204" spans="8:12" hidden="1" outlineLevel="1" x14ac:dyDescent="0.2">
      <c r="H204" s="368">
        <v>41306</v>
      </c>
      <c r="I204" s="369">
        <f t="shared" si="19"/>
        <v>0</v>
      </c>
      <c r="L204" s="369">
        <f t="shared" si="21"/>
        <v>0</v>
      </c>
    </row>
    <row r="205" spans="8:12" hidden="1" outlineLevel="1" x14ac:dyDescent="0.2">
      <c r="H205" s="368">
        <v>41334</v>
      </c>
      <c r="I205" s="369">
        <f t="shared" ref="I205:I236" si="22">SUMPRODUCT((DateAF&lt;&gt;"")*(MONTH(DateAF)=MONTH(H205))*(YEAR(DateAF)=YEAR(H205))*MontantAF)</f>
        <v>187064.11000000002</v>
      </c>
      <c r="L205" s="369">
        <f t="shared" si="21"/>
        <v>0</v>
      </c>
    </row>
    <row r="206" spans="8:12" hidden="1" outlineLevel="1" x14ac:dyDescent="0.2">
      <c r="H206" s="368">
        <v>41365</v>
      </c>
      <c r="I206" s="369">
        <f t="shared" si="22"/>
        <v>40785.4</v>
      </c>
      <c r="L206" s="369">
        <f t="shared" si="21"/>
        <v>73440</v>
      </c>
    </row>
    <row r="207" spans="8:12" hidden="1" outlineLevel="1" x14ac:dyDescent="0.2">
      <c r="H207" s="368">
        <v>41395</v>
      </c>
      <c r="I207" s="369">
        <f t="shared" si="22"/>
        <v>41989.59</v>
      </c>
      <c r="L207" s="369">
        <f t="shared" si="21"/>
        <v>0</v>
      </c>
    </row>
    <row r="208" spans="8:12" hidden="1" outlineLevel="1" x14ac:dyDescent="0.2">
      <c r="H208" s="368">
        <v>41426</v>
      </c>
      <c r="I208" s="369">
        <f t="shared" si="22"/>
        <v>0</v>
      </c>
      <c r="L208" s="369">
        <f t="shared" si="21"/>
        <v>141937.73000000001</v>
      </c>
    </row>
    <row r="209" spans="8:12" hidden="1" outlineLevel="1" x14ac:dyDescent="0.2">
      <c r="H209" s="368">
        <v>41456</v>
      </c>
      <c r="I209" s="369">
        <f t="shared" si="22"/>
        <v>258660</v>
      </c>
      <c r="L209" s="369">
        <f t="shared" si="21"/>
        <v>0</v>
      </c>
    </row>
    <row r="210" spans="8:12" hidden="1" outlineLevel="1" x14ac:dyDescent="0.2">
      <c r="H210" s="368">
        <v>41487</v>
      </c>
      <c r="I210" s="369">
        <f t="shared" si="22"/>
        <v>0</v>
      </c>
      <c r="L210" s="369">
        <f t="shared" si="21"/>
        <v>45126.38</v>
      </c>
    </row>
    <row r="211" spans="8:12" hidden="1" outlineLevel="1" x14ac:dyDescent="0.2">
      <c r="H211" s="368">
        <v>41518</v>
      </c>
      <c r="I211" s="369">
        <f t="shared" si="22"/>
        <v>0</v>
      </c>
      <c r="L211" s="369">
        <f t="shared" si="21"/>
        <v>0</v>
      </c>
    </row>
    <row r="212" spans="8:12" hidden="1" outlineLevel="1" x14ac:dyDescent="0.2">
      <c r="H212" s="368">
        <v>41548</v>
      </c>
      <c r="I212" s="369">
        <f t="shared" si="22"/>
        <v>427679.27</v>
      </c>
      <c r="L212" s="369">
        <f t="shared" si="21"/>
        <v>341434.99</v>
      </c>
    </row>
    <row r="213" spans="8:12" hidden="1" outlineLevel="1" x14ac:dyDescent="0.2">
      <c r="H213" s="368">
        <v>41579</v>
      </c>
      <c r="I213" s="369">
        <f t="shared" si="22"/>
        <v>1910679.91</v>
      </c>
      <c r="L213" s="369">
        <f t="shared" si="21"/>
        <v>0</v>
      </c>
    </row>
    <row r="214" spans="8:12" hidden="1" outlineLevel="1" x14ac:dyDescent="0.2">
      <c r="H214" s="368">
        <v>41609</v>
      </c>
      <c r="I214" s="369">
        <f t="shared" si="22"/>
        <v>0</v>
      </c>
      <c r="L214" s="369">
        <f t="shared" si="21"/>
        <v>53515.77</v>
      </c>
    </row>
    <row r="215" spans="8:12" hidden="1" outlineLevel="1" x14ac:dyDescent="0.2">
      <c r="H215" s="368">
        <v>41640</v>
      </c>
      <c r="I215" s="369">
        <f t="shared" si="22"/>
        <v>51300</v>
      </c>
      <c r="L215" s="369">
        <f t="shared" si="21"/>
        <v>100365.94</v>
      </c>
    </row>
    <row r="216" spans="8:12" hidden="1" outlineLevel="1" x14ac:dyDescent="0.2">
      <c r="H216" s="368">
        <v>41671</v>
      </c>
      <c r="I216" s="369">
        <f t="shared" si="22"/>
        <v>415351.74</v>
      </c>
      <c r="L216" s="369">
        <f t="shared" si="21"/>
        <v>273797.56</v>
      </c>
    </row>
    <row r="217" spans="8:12" hidden="1" outlineLevel="1" x14ac:dyDescent="0.2">
      <c r="H217" s="368">
        <v>41699</v>
      </c>
      <c r="I217" s="369">
        <f t="shared" si="22"/>
        <v>1013388.83</v>
      </c>
      <c r="L217" s="369">
        <f t="shared" si="21"/>
        <v>0</v>
      </c>
    </row>
    <row r="218" spans="8:12" hidden="1" outlineLevel="1" x14ac:dyDescent="0.2">
      <c r="H218" s="368">
        <v>41730</v>
      </c>
      <c r="I218" s="369">
        <f t="shared" si="22"/>
        <v>433480.41</v>
      </c>
      <c r="L218" s="369">
        <f t="shared" si="21"/>
        <v>626409.25</v>
      </c>
    </row>
    <row r="219" spans="8:12" hidden="1" outlineLevel="1" x14ac:dyDescent="0.2">
      <c r="H219" s="368">
        <v>41760</v>
      </c>
      <c r="I219" s="369">
        <f t="shared" si="22"/>
        <v>0</v>
      </c>
      <c r="L219" s="369">
        <f t="shared" si="21"/>
        <v>853631.32</v>
      </c>
    </row>
    <row r="220" spans="8:12" hidden="1" outlineLevel="1" x14ac:dyDescent="0.2">
      <c r="H220" s="368">
        <v>41791</v>
      </c>
      <c r="I220" s="369">
        <f t="shared" si="22"/>
        <v>0</v>
      </c>
      <c r="L220" s="369">
        <f t="shared" si="21"/>
        <v>2234161.09</v>
      </c>
    </row>
    <row r="221" spans="8:12" hidden="1" outlineLevel="1" x14ac:dyDescent="0.2">
      <c r="H221" s="368">
        <v>41821</v>
      </c>
      <c r="I221" s="369">
        <f t="shared" si="22"/>
        <v>0</v>
      </c>
      <c r="L221" s="369">
        <f t="shared" si="21"/>
        <v>109999.23</v>
      </c>
    </row>
    <row r="222" spans="8:12" hidden="1" outlineLevel="1" x14ac:dyDescent="0.2">
      <c r="H222" s="368">
        <v>41852</v>
      </c>
      <c r="I222" s="369">
        <f t="shared" si="22"/>
        <v>212197.24</v>
      </c>
      <c r="L222" s="369">
        <f t="shared" si="21"/>
        <v>0</v>
      </c>
    </row>
    <row r="223" spans="8:12" hidden="1" outlineLevel="1" x14ac:dyDescent="0.2">
      <c r="H223" s="368">
        <v>41883</v>
      </c>
      <c r="I223" s="369">
        <f t="shared" si="22"/>
        <v>0</v>
      </c>
      <c r="L223" s="369">
        <f t="shared" ref="L223:L274" si="23">SUMPRODUCT((DatePmt&lt;&gt;"")*(DatePmt&lt;&gt;"en attente")*(MONTH(DatePmt)=MONTH(H223))*(YEAR(DatePmt)=YEAR(H223))*(ISNUMBER(MontantPaye)),MontantPaye)</f>
        <v>0</v>
      </c>
    </row>
    <row r="224" spans="8:12" hidden="1" outlineLevel="1" x14ac:dyDescent="0.2">
      <c r="H224" s="368">
        <v>41913</v>
      </c>
      <c r="I224" s="369">
        <f t="shared" si="22"/>
        <v>34483.07</v>
      </c>
      <c r="L224" s="369">
        <f t="shared" si="23"/>
        <v>212197.24</v>
      </c>
    </row>
    <row r="225" spans="8:12" hidden="1" outlineLevel="1" x14ac:dyDescent="0.2">
      <c r="H225" s="368">
        <v>41944</v>
      </c>
      <c r="I225" s="369">
        <f t="shared" si="22"/>
        <v>109721.09</v>
      </c>
      <c r="L225" s="369">
        <f t="shared" si="23"/>
        <v>0</v>
      </c>
    </row>
    <row r="226" spans="8:12" hidden="1" outlineLevel="1" x14ac:dyDescent="0.2">
      <c r="H226" s="368">
        <v>41974</v>
      </c>
      <c r="I226" s="369">
        <f t="shared" si="22"/>
        <v>0</v>
      </c>
      <c r="L226" s="369">
        <f t="shared" si="23"/>
        <v>50050.13</v>
      </c>
    </row>
    <row r="227" spans="8:12" hidden="1" outlineLevel="1" x14ac:dyDescent="0.2">
      <c r="H227" s="368">
        <v>42005</v>
      </c>
      <c r="I227" s="369">
        <f t="shared" si="22"/>
        <v>218936.63</v>
      </c>
      <c r="L227" s="369">
        <f t="shared" si="23"/>
        <v>34483.07</v>
      </c>
    </row>
    <row r="228" spans="8:12" hidden="1" outlineLevel="1" x14ac:dyDescent="0.2">
      <c r="H228" s="368">
        <v>42036</v>
      </c>
      <c r="I228" s="369">
        <f t="shared" si="22"/>
        <v>85278.36</v>
      </c>
      <c r="L228" s="369">
        <f t="shared" si="23"/>
        <v>0</v>
      </c>
    </row>
    <row r="229" spans="8:12" hidden="1" outlineLevel="1" x14ac:dyDescent="0.2">
      <c r="H229" s="368">
        <v>42064</v>
      </c>
      <c r="I229" s="369">
        <f t="shared" si="22"/>
        <v>0</v>
      </c>
      <c r="L229" s="369">
        <f t="shared" si="23"/>
        <v>218936.63</v>
      </c>
    </row>
    <row r="230" spans="8:12" hidden="1" outlineLevel="1" x14ac:dyDescent="0.2">
      <c r="H230" s="368">
        <v>42095</v>
      </c>
      <c r="I230" s="369">
        <f t="shared" si="22"/>
        <v>0</v>
      </c>
      <c r="L230" s="369">
        <f t="shared" si="23"/>
        <v>109721.09</v>
      </c>
    </row>
    <row r="231" spans="8:12" hidden="1" outlineLevel="1" x14ac:dyDescent="0.2">
      <c r="H231" s="368">
        <v>42125</v>
      </c>
      <c r="I231" s="369">
        <f t="shared" si="22"/>
        <v>0</v>
      </c>
      <c r="L231" s="369">
        <f t="shared" si="23"/>
        <v>0</v>
      </c>
    </row>
    <row r="232" spans="8:12" hidden="1" outlineLevel="1" x14ac:dyDescent="0.2">
      <c r="H232" s="368">
        <v>42156</v>
      </c>
      <c r="I232" s="369">
        <f t="shared" si="22"/>
        <v>0</v>
      </c>
      <c r="L232" s="369">
        <f t="shared" si="23"/>
        <v>0</v>
      </c>
    </row>
    <row r="233" spans="8:12" hidden="1" outlineLevel="1" x14ac:dyDescent="0.2">
      <c r="H233" s="368">
        <v>42186</v>
      </c>
      <c r="I233" s="369">
        <f t="shared" si="22"/>
        <v>132000</v>
      </c>
      <c r="L233" s="369">
        <f t="shared" si="23"/>
        <v>0</v>
      </c>
    </row>
    <row r="234" spans="8:12" hidden="1" outlineLevel="1" x14ac:dyDescent="0.2">
      <c r="H234" s="368">
        <v>42217</v>
      </c>
      <c r="I234" s="369">
        <f t="shared" si="22"/>
        <v>612508.69999999995</v>
      </c>
      <c r="L234" s="369">
        <f t="shared" si="23"/>
        <v>0</v>
      </c>
    </row>
    <row r="235" spans="8:12" hidden="1" outlineLevel="1" x14ac:dyDescent="0.2">
      <c r="H235" s="368">
        <v>42248</v>
      </c>
      <c r="I235" s="369">
        <f t="shared" si="22"/>
        <v>798731.84000000008</v>
      </c>
      <c r="L235" s="369">
        <f t="shared" si="23"/>
        <v>0</v>
      </c>
    </row>
    <row r="236" spans="8:12" hidden="1" outlineLevel="1" x14ac:dyDescent="0.2">
      <c r="H236" s="368">
        <v>42278</v>
      </c>
      <c r="I236" s="369">
        <f t="shared" si="22"/>
        <v>8025.44</v>
      </c>
      <c r="L236" s="369">
        <f t="shared" si="23"/>
        <v>740603.36</v>
      </c>
    </row>
    <row r="237" spans="8:12" hidden="1" outlineLevel="1" x14ac:dyDescent="0.2">
      <c r="H237" s="368">
        <v>42309</v>
      </c>
      <c r="I237" s="369">
        <f t="shared" ref="I237:I274" si="24">SUMPRODUCT((DateAF&lt;&gt;"")*(MONTH(DateAF)=MONTH(H237))*(YEAR(DateAF)=YEAR(H237))*MontantAF)</f>
        <v>1276587.01</v>
      </c>
      <c r="L237" s="369">
        <f t="shared" si="23"/>
        <v>665437.87</v>
      </c>
    </row>
    <row r="238" spans="8:12" hidden="1" outlineLevel="1" x14ac:dyDescent="0.2">
      <c r="H238" s="368">
        <v>42339</v>
      </c>
      <c r="I238" s="369">
        <f t="shared" si="24"/>
        <v>132435.64000000001</v>
      </c>
      <c r="L238" s="369">
        <f t="shared" si="23"/>
        <v>0</v>
      </c>
    </row>
    <row r="239" spans="8:12" hidden="1" outlineLevel="1" x14ac:dyDescent="0.2">
      <c r="H239" s="368">
        <v>42370</v>
      </c>
      <c r="I239" s="369">
        <f t="shared" si="24"/>
        <v>747740.59</v>
      </c>
      <c r="L239" s="369">
        <f t="shared" si="23"/>
        <v>1125520</v>
      </c>
    </row>
    <row r="240" spans="8:12" hidden="1" outlineLevel="1" x14ac:dyDescent="0.2">
      <c r="H240" s="368">
        <v>42401</v>
      </c>
      <c r="I240" s="369">
        <f t="shared" si="24"/>
        <v>382280.8</v>
      </c>
      <c r="L240" s="369">
        <f t="shared" si="23"/>
        <v>151067.01</v>
      </c>
    </row>
    <row r="241" spans="8:12" hidden="1" outlineLevel="1" x14ac:dyDescent="0.2">
      <c r="H241" s="368">
        <v>42430</v>
      </c>
      <c r="I241" s="369">
        <f t="shared" si="24"/>
        <v>0</v>
      </c>
      <c r="L241" s="369">
        <f t="shared" si="23"/>
        <v>1223278.3599999999</v>
      </c>
    </row>
    <row r="242" spans="8:12" hidden="1" outlineLevel="1" x14ac:dyDescent="0.2">
      <c r="H242" s="368">
        <v>42461</v>
      </c>
      <c r="I242" s="369">
        <f t="shared" si="24"/>
        <v>12206.74</v>
      </c>
      <c r="L242" s="369">
        <f t="shared" si="23"/>
        <v>266776.44</v>
      </c>
    </row>
    <row r="243" spans="8:12" hidden="1" outlineLevel="1" x14ac:dyDescent="0.2">
      <c r="H243" s="368">
        <v>42491</v>
      </c>
      <c r="I243" s="369">
        <f t="shared" si="24"/>
        <v>67421.97</v>
      </c>
      <c r="L243" s="369">
        <f t="shared" si="23"/>
        <v>0</v>
      </c>
    </row>
    <row r="244" spans="8:12" hidden="1" outlineLevel="1" x14ac:dyDescent="0.2">
      <c r="H244" s="368">
        <v>42522</v>
      </c>
      <c r="I244" s="369">
        <f t="shared" si="24"/>
        <v>819294.5</v>
      </c>
      <c r="L244" s="369">
        <f t="shared" si="23"/>
        <v>0</v>
      </c>
    </row>
    <row r="245" spans="8:12" hidden="1" outlineLevel="1" x14ac:dyDescent="0.2">
      <c r="H245" s="368">
        <v>42552</v>
      </c>
      <c r="I245" s="369">
        <f t="shared" si="24"/>
        <v>0</v>
      </c>
      <c r="L245" s="369">
        <f t="shared" si="23"/>
        <v>897923.21000000008</v>
      </c>
    </row>
    <row r="246" spans="8:12" hidden="1" outlineLevel="1" x14ac:dyDescent="0.2">
      <c r="H246" s="368">
        <v>42583</v>
      </c>
      <c r="I246" s="369">
        <f t="shared" si="24"/>
        <v>118555.58</v>
      </c>
      <c r="L246" s="369">
        <f t="shared" si="23"/>
        <v>0</v>
      </c>
    </row>
    <row r="247" spans="8:12" hidden="1" outlineLevel="1" x14ac:dyDescent="0.2">
      <c r="H247" s="368">
        <v>42614</v>
      </c>
      <c r="I247" s="369">
        <f t="shared" si="24"/>
        <v>114954.43</v>
      </c>
      <c r="L247" s="369">
        <f t="shared" si="23"/>
        <v>0</v>
      </c>
    </row>
    <row r="248" spans="8:12" hidden="1" outlineLevel="1" x14ac:dyDescent="0.2">
      <c r="H248" s="368">
        <v>42644</v>
      </c>
      <c r="I248" s="369">
        <f t="shared" si="24"/>
        <v>0</v>
      </c>
      <c r="L248" s="369">
        <f t="shared" si="23"/>
        <v>233510.01</v>
      </c>
    </row>
    <row r="249" spans="8:12" hidden="1" outlineLevel="1" x14ac:dyDescent="0.2">
      <c r="H249" s="368">
        <v>42675</v>
      </c>
      <c r="I249" s="369">
        <f t="shared" si="24"/>
        <v>793853.57199999993</v>
      </c>
      <c r="L249" s="369">
        <f t="shared" si="23"/>
        <v>0</v>
      </c>
    </row>
    <row r="250" spans="8:12" hidden="1" outlineLevel="1" x14ac:dyDescent="0.2">
      <c r="H250" s="368">
        <v>42705</v>
      </c>
      <c r="I250" s="369">
        <f t="shared" si="24"/>
        <v>71864.31</v>
      </c>
      <c r="L250" s="369">
        <f t="shared" si="23"/>
        <v>0</v>
      </c>
    </row>
    <row r="251" spans="8:12" hidden="1" outlineLevel="1" x14ac:dyDescent="0.2">
      <c r="H251" s="368">
        <v>42736</v>
      </c>
      <c r="I251" s="369">
        <f t="shared" si="24"/>
        <v>253424.69</v>
      </c>
      <c r="L251" s="369">
        <f t="shared" si="23"/>
        <v>793853.57000000007</v>
      </c>
    </row>
    <row r="252" spans="8:12" hidden="1" outlineLevel="1" x14ac:dyDescent="0.2">
      <c r="H252" s="368">
        <v>42767</v>
      </c>
      <c r="I252" s="369">
        <f t="shared" si="24"/>
        <v>129139.31</v>
      </c>
      <c r="L252" s="369">
        <f t="shared" si="23"/>
        <v>159864.31</v>
      </c>
    </row>
    <row r="253" spans="8:12" hidden="1" outlineLevel="1" x14ac:dyDescent="0.2">
      <c r="H253" s="368">
        <v>42795</v>
      </c>
      <c r="I253" s="369">
        <f t="shared" si="24"/>
        <v>32119.929999999993</v>
      </c>
      <c r="L253" s="369">
        <f t="shared" si="23"/>
        <v>165424.69</v>
      </c>
    </row>
    <row r="254" spans="8:12" hidden="1" outlineLevel="1" x14ac:dyDescent="0.2">
      <c r="H254" s="368">
        <v>42826</v>
      </c>
      <c r="I254" s="369">
        <f t="shared" si="24"/>
        <v>0</v>
      </c>
      <c r="L254" s="369">
        <f t="shared" si="23"/>
        <v>161259.14000000001</v>
      </c>
    </row>
    <row r="255" spans="8:12" hidden="1" outlineLevel="1" x14ac:dyDescent="0.2">
      <c r="H255" s="368">
        <v>42856</v>
      </c>
      <c r="I255" s="369">
        <f t="shared" si="24"/>
        <v>0</v>
      </c>
      <c r="L255" s="369">
        <f t="shared" si="23"/>
        <v>0</v>
      </c>
    </row>
    <row r="256" spans="8:12" hidden="1" outlineLevel="1" x14ac:dyDescent="0.2">
      <c r="H256" s="368">
        <v>42887</v>
      </c>
      <c r="I256" s="369">
        <f t="shared" si="24"/>
        <v>259092.98</v>
      </c>
      <c r="L256" s="369">
        <f t="shared" si="23"/>
        <v>0</v>
      </c>
    </row>
    <row r="257" spans="8:12" hidden="1" outlineLevel="1" x14ac:dyDescent="0.2">
      <c r="H257" s="368">
        <v>42917</v>
      </c>
      <c r="I257" s="369">
        <f t="shared" si="24"/>
        <v>295815.45</v>
      </c>
      <c r="L257" s="369">
        <f t="shared" si="23"/>
        <v>125208.48</v>
      </c>
    </row>
    <row r="258" spans="8:12" hidden="1" outlineLevel="1" x14ac:dyDescent="0.2">
      <c r="H258" s="368">
        <v>42948</v>
      </c>
      <c r="I258" s="369">
        <f t="shared" si="24"/>
        <v>344644.14</v>
      </c>
      <c r="L258" s="369">
        <f t="shared" si="23"/>
        <v>0</v>
      </c>
    </row>
    <row r="259" spans="8:12" hidden="1" outlineLevel="1" x14ac:dyDescent="0.2">
      <c r="H259" s="368">
        <v>42979</v>
      </c>
      <c r="I259" s="369">
        <f t="shared" si="24"/>
        <v>76673.78</v>
      </c>
      <c r="L259" s="369">
        <f t="shared" si="23"/>
        <v>415205.44</v>
      </c>
    </row>
    <row r="260" spans="8:12" hidden="1" outlineLevel="1" x14ac:dyDescent="0.2">
      <c r="H260" s="368">
        <v>43009</v>
      </c>
      <c r="I260" s="369">
        <f t="shared" si="24"/>
        <v>0</v>
      </c>
      <c r="L260" s="369">
        <f t="shared" si="23"/>
        <v>225254.15000000002</v>
      </c>
    </row>
    <row r="261" spans="8:12" hidden="1" outlineLevel="1" x14ac:dyDescent="0.2">
      <c r="H261" s="368">
        <v>43040</v>
      </c>
      <c r="I261" s="369">
        <f t="shared" si="24"/>
        <v>81445.3</v>
      </c>
      <c r="L261" s="369">
        <f t="shared" si="23"/>
        <v>0</v>
      </c>
    </row>
    <row r="262" spans="8:12" hidden="1" outlineLevel="1" x14ac:dyDescent="0.2">
      <c r="H262" s="368">
        <v>43070</v>
      </c>
      <c r="I262" s="369">
        <f t="shared" si="24"/>
        <v>158435.5</v>
      </c>
      <c r="L262" s="369">
        <f t="shared" si="23"/>
        <v>169884.5</v>
      </c>
    </row>
    <row r="263" spans="8:12" hidden="1" outlineLevel="1" x14ac:dyDescent="0.2">
      <c r="H263" s="368">
        <v>43101</v>
      </c>
      <c r="I263" s="369">
        <f t="shared" si="24"/>
        <v>0</v>
      </c>
      <c r="L263" s="369">
        <f t="shared" si="23"/>
        <v>81445.3</v>
      </c>
    </row>
    <row r="264" spans="8:12" hidden="1" outlineLevel="1" x14ac:dyDescent="0.2">
      <c r="H264" s="368">
        <v>43132</v>
      </c>
      <c r="I264" s="369">
        <f t="shared" si="24"/>
        <v>0</v>
      </c>
      <c r="L264" s="369">
        <f t="shared" si="23"/>
        <v>0</v>
      </c>
    </row>
    <row r="265" spans="8:12" hidden="1" outlineLevel="1" x14ac:dyDescent="0.2">
      <c r="H265" s="368">
        <v>43160</v>
      </c>
      <c r="I265" s="369">
        <f t="shared" si="24"/>
        <v>136265.43999999994</v>
      </c>
      <c r="L265" s="369">
        <f t="shared" si="23"/>
        <v>0</v>
      </c>
    </row>
    <row r="266" spans="8:12" hidden="1" outlineLevel="1" x14ac:dyDescent="0.2">
      <c r="H266" s="368">
        <v>43191</v>
      </c>
      <c r="I266" s="369">
        <f t="shared" si="24"/>
        <v>0</v>
      </c>
      <c r="L266" s="369">
        <f t="shared" si="23"/>
        <v>158435.5</v>
      </c>
    </row>
    <row r="267" spans="8:12" hidden="1" outlineLevel="1" x14ac:dyDescent="0.2">
      <c r="H267" s="368">
        <v>43221</v>
      </c>
      <c r="I267" s="369">
        <f t="shared" si="24"/>
        <v>456640.33799999999</v>
      </c>
      <c r="L267" s="369">
        <f t="shared" si="23"/>
        <v>0</v>
      </c>
    </row>
    <row r="268" spans="8:12" hidden="1" outlineLevel="1" x14ac:dyDescent="0.2">
      <c r="H268" s="368">
        <v>43252</v>
      </c>
      <c r="I268" s="369">
        <f t="shared" si="24"/>
        <v>270744.06</v>
      </c>
      <c r="L268" s="369">
        <f t="shared" si="23"/>
        <v>0</v>
      </c>
    </row>
    <row r="269" spans="8:12" hidden="1" outlineLevel="1" x14ac:dyDescent="0.2">
      <c r="H269" s="368">
        <v>43282</v>
      </c>
      <c r="I269" s="369">
        <f t="shared" si="24"/>
        <v>0</v>
      </c>
      <c r="L269" s="369">
        <f t="shared" si="23"/>
        <v>517615.65</v>
      </c>
    </row>
    <row r="270" spans="8:12" hidden="1" outlineLevel="1" x14ac:dyDescent="0.2">
      <c r="H270" s="368">
        <v>43313</v>
      </c>
      <c r="I270" s="369">
        <f t="shared" si="24"/>
        <v>56578.880000000005</v>
      </c>
      <c r="L270" s="369">
        <f t="shared" si="23"/>
        <v>0</v>
      </c>
    </row>
    <row r="271" spans="8:12" hidden="1" outlineLevel="1" x14ac:dyDescent="0.2">
      <c r="H271" s="368">
        <v>43344</v>
      </c>
      <c r="I271" s="369">
        <f t="shared" si="24"/>
        <v>0</v>
      </c>
      <c r="L271" s="369">
        <f t="shared" si="23"/>
        <v>196020</v>
      </c>
    </row>
    <row r="272" spans="8:12" hidden="1" outlineLevel="1" x14ac:dyDescent="0.2">
      <c r="H272" s="368">
        <v>43374</v>
      </c>
      <c r="I272" s="369">
        <f t="shared" si="24"/>
        <v>146932.96</v>
      </c>
      <c r="L272" s="369">
        <f t="shared" si="23"/>
        <v>56578.879999999997</v>
      </c>
    </row>
    <row r="273" spans="8:12" hidden="1" outlineLevel="1" x14ac:dyDescent="0.2">
      <c r="H273" s="368">
        <v>43405</v>
      </c>
      <c r="I273" s="369">
        <f t="shared" si="24"/>
        <v>0</v>
      </c>
      <c r="L273" s="369">
        <f t="shared" si="23"/>
        <v>407553.3</v>
      </c>
    </row>
    <row r="274" spans="8:12" hidden="1" outlineLevel="1" x14ac:dyDescent="0.2">
      <c r="H274" s="368">
        <v>43435</v>
      </c>
      <c r="I274" s="369">
        <f t="shared" si="24"/>
        <v>258720.1</v>
      </c>
      <c r="L274" s="369">
        <f t="shared" si="23"/>
        <v>136673.78</v>
      </c>
    </row>
    <row r="275" spans="8:12" collapsed="1" x14ac:dyDescent="0.2">
      <c r="H275" s="368">
        <v>43466</v>
      </c>
      <c r="I275" s="369">
        <f t="shared" ref="I275:I286" si="25">SUMPRODUCT((DateAF&lt;&gt;"")*(MONTH(DateAF)=MONTH(H275))*(YEAR(DateAF)=YEAR(H275))*MontantAF)</f>
        <v>0</v>
      </c>
      <c r="L275" s="369">
        <f t="shared" ref="L275:L286" si="26">SUMPRODUCT((DatePmt&lt;&gt;"")*(DatePmt&lt;&gt;"en attente")*(MONTH(DatePmt)=MONTH(H275))*(YEAR(DatePmt)=YEAR(H275))*(ISNUMBER(MontantPaye)),MontantPaye)</f>
        <v>0</v>
      </c>
    </row>
    <row r="276" spans="8:12" x14ac:dyDescent="0.2">
      <c r="H276" s="368">
        <v>43497</v>
      </c>
      <c r="I276" s="369">
        <f t="shared" si="25"/>
        <v>0</v>
      </c>
      <c r="L276" s="369">
        <f t="shared" si="26"/>
        <v>0</v>
      </c>
    </row>
    <row r="277" spans="8:12" x14ac:dyDescent="0.2">
      <c r="H277" s="368">
        <v>43525</v>
      </c>
      <c r="I277" s="369">
        <f t="shared" si="25"/>
        <v>0</v>
      </c>
      <c r="L277" s="369">
        <f t="shared" si="26"/>
        <v>0</v>
      </c>
    </row>
    <row r="278" spans="8:12" x14ac:dyDescent="0.2">
      <c r="H278" s="368">
        <v>43556</v>
      </c>
      <c r="I278" s="369">
        <f t="shared" si="25"/>
        <v>136252.47999999998</v>
      </c>
      <c r="L278" s="369">
        <f t="shared" si="26"/>
        <v>198720</v>
      </c>
    </row>
    <row r="279" spans="8:12" x14ac:dyDescent="0.2">
      <c r="H279" s="368">
        <v>43586</v>
      </c>
      <c r="I279" s="369">
        <f t="shared" si="25"/>
        <v>0</v>
      </c>
      <c r="L279" s="369">
        <f t="shared" si="26"/>
        <v>0</v>
      </c>
    </row>
    <row r="280" spans="8:12" x14ac:dyDescent="0.2">
      <c r="H280" s="368">
        <v>43617</v>
      </c>
      <c r="I280" s="369">
        <f t="shared" si="25"/>
        <v>0</v>
      </c>
      <c r="L280" s="369">
        <f t="shared" si="26"/>
        <v>0</v>
      </c>
    </row>
    <row r="281" spans="8:12" x14ac:dyDescent="0.2">
      <c r="H281" s="368">
        <v>43647</v>
      </c>
      <c r="I281" s="369">
        <f t="shared" si="25"/>
        <v>0</v>
      </c>
      <c r="L281" s="369">
        <f t="shared" si="26"/>
        <v>0</v>
      </c>
    </row>
    <row r="282" spans="8:12" x14ac:dyDescent="0.2">
      <c r="H282" s="368">
        <v>43678</v>
      </c>
      <c r="I282" s="369">
        <f t="shared" si="25"/>
        <v>0</v>
      </c>
      <c r="L282" s="369">
        <f t="shared" si="26"/>
        <v>0</v>
      </c>
    </row>
    <row r="283" spans="8:12" x14ac:dyDescent="0.2">
      <c r="H283" s="368">
        <v>43709</v>
      </c>
      <c r="I283" s="369">
        <f t="shared" si="25"/>
        <v>0</v>
      </c>
      <c r="L283" s="369">
        <f t="shared" si="26"/>
        <v>0</v>
      </c>
    </row>
    <row r="284" spans="8:12" x14ac:dyDescent="0.2">
      <c r="H284" s="368">
        <v>43739</v>
      </c>
      <c r="I284" s="369">
        <f t="shared" si="25"/>
        <v>0</v>
      </c>
      <c r="L284" s="369">
        <f t="shared" si="26"/>
        <v>0</v>
      </c>
    </row>
    <row r="285" spans="8:12" x14ac:dyDescent="0.2">
      <c r="H285" s="368">
        <v>43770</v>
      </c>
      <c r="I285" s="369">
        <f t="shared" si="25"/>
        <v>0</v>
      </c>
      <c r="L285" s="369">
        <f t="shared" si="26"/>
        <v>0</v>
      </c>
    </row>
    <row r="286" spans="8:12" x14ac:dyDescent="0.2">
      <c r="H286" s="368">
        <v>43800</v>
      </c>
      <c r="I286" s="369">
        <f t="shared" si="25"/>
        <v>0</v>
      </c>
      <c r="L286" s="369">
        <f t="shared" si="26"/>
        <v>0</v>
      </c>
    </row>
    <row r="287" spans="8:12" x14ac:dyDescent="0.2">
      <c r="I287" s="373">
        <f>SUM(I173:I286)</f>
        <v>18787313.210000005</v>
      </c>
      <c r="J287" s="369"/>
      <c r="K287" s="369"/>
      <c r="L287" s="374">
        <f>SUM(L173:L286)</f>
        <v>18793761.34</v>
      </c>
    </row>
    <row r="288" spans="8:12" x14ac:dyDescent="0.2">
      <c r="I288" s="91">
        <f>I287-I153</f>
        <v>-246871.58999999613</v>
      </c>
      <c r="L288" s="91">
        <f>L287-L153</f>
        <v>0</v>
      </c>
    </row>
  </sheetData>
  <autoFilter ref="A5:R154"/>
  <mergeCells count="11">
    <mergeCell ref="O154:P154"/>
    <mergeCell ref="A2:O2"/>
    <mergeCell ref="I4:N4"/>
    <mergeCell ref="O4:P4"/>
    <mergeCell ref="J68:J69"/>
    <mergeCell ref="K68:K69"/>
    <mergeCell ref="L68:L69"/>
    <mergeCell ref="M68:M69"/>
    <mergeCell ref="O68:O69"/>
    <mergeCell ref="J97:J98"/>
    <mergeCell ref="K97:K98"/>
  </mergeCells>
  <pageMargins left="0.7" right="0.7" top="0.75" bottom="0.75" header="0.3" footer="0.3"/>
  <pageSetup paperSize="9" scale="29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66CC"/>
    <outlinePr summaryBelow="0"/>
  </sheetPr>
  <dimension ref="A1:T78"/>
  <sheetViews>
    <sheetView topLeftCell="A19" zoomScale="70" zoomScaleNormal="70" workbookViewId="0">
      <selection activeCell="A38" sqref="A38"/>
    </sheetView>
  </sheetViews>
  <sheetFormatPr baseColWidth="10" defaultColWidth="11.42578125" defaultRowHeight="12" outlineLevelRow="1" outlineLevelCol="1" x14ac:dyDescent="0.2"/>
  <cols>
    <col min="1" max="1" width="27.7109375" style="6" customWidth="1"/>
    <col min="2" max="2" width="17.42578125" style="1" customWidth="1" outlineLevel="1"/>
    <col min="3" max="3" width="14.28515625" style="1" customWidth="1"/>
    <col min="4" max="5" width="15.140625" style="1" customWidth="1"/>
    <col min="6" max="6" width="11.5703125" style="181" customWidth="1"/>
    <col min="7" max="7" width="16.140625" style="1" customWidth="1"/>
    <col min="8" max="8" width="13" style="1" customWidth="1"/>
    <col min="9" max="9" width="17.5703125" style="1" customWidth="1"/>
    <col min="10" max="10" width="16" style="1" customWidth="1"/>
    <col min="11" max="11" width="4.140625" style="6" bestFit="1" customWidth="1"/>
    <col min="12" max="12" width="10.42578125" style="1" bestFit="1" customWidth="1"/>
    <col min="13" max="13" width="16" style="1" customWidth="1"/>
    <col min="14" max="14" width="10.42578125" style="83" bestFit="1" customWidth="1"/>
    <col min="15" max="15" width="18.5703125" style="77" bestFit="1" customWidth="1"/>
    <col min="16" max="16" width="17.5703125" style="1" customWidth="1"/>
    <col min="17" max="18" width="18.7109375" style="1" customWidth="1"/>
    <col min="19" max="19" width="11.42578125" style="166"/>
    <col min="20" max="16384" width="11.42578125" style="1"/>
  </cols>
  <sheetData>
    <row r="1" spans="1:20" x14ac:dyDescent="0.2">
      <c r="J1" s="91"/>
    </row>
    <row r="2" spans="1:20" x14ac:dyDescent="0.2">
      <c r="A2" s="923" t="s">
        <v>335</v>
      </c>
      <c r="B2" s="923"/>
      <c r="C2" s="923"/>
      <c r="D2" s="923"/>
      <c r="E2" s="923"/>
      <c r="F2" s="923"/>
      <c r="G2" s="923"/>
      <c r="H2" s="923"/>
      <c r="I2" s="923"/>
      <c r="J2" s="923"/>
      <c r="K2" s="923"/>
      <c r="L2" s="923"/>
      <c r="M2" s="923"/>
      <c r="N2" s="923"/>
      <c r="O2" s="923"/>
      <c r="P2" s="923"/>
      <c r="Q2" s="9">
        <f ca="1">TODAY()</f>
        <v>43593</v>
      </c>
      <c r="R2" s="9"/>
    </row>
    <row r="3" spans="1:20" x14ac:dyDescent="0.2">
      <c r="P3" s="91"/>
    </row>
    <row r="4" spans="1:20" s="2" customFormat="1" ht="24" customHeight="1" x14ac:dyDescent="0.2">
      <c r="A4" s="940" t="s">
        <v>2</v>
      </c>
      <c r="B4" s="928" t="s">
        <v>0</v>
      </c>
      <c r="C4" s="928" t="s">
        <v>21</v>
      </c>
      <c r="D4" s="940" t="s">
        <v>341</v>
      </c>
      <c r="E4" s="571" t="s">
        <v>239</v>
      </c>
      <c r="F4" s="171" t="s">
        <v>110</v>
      </c>
      <c r="G4" s="940" t="s">
        <v>385</v>
      </c>
      <c r="H4" s="571" t="s">
        <v>111</v>
      </c>
      <c r="I4" s="928" t="s">
        <v>12</v>
      </c>
      <c r="J4" s="924" t="s">
        <v>4</v>
      </c>
      <c r="K4" s="925"/>
      <c r="L4" s="925"/>
      <c r="M4" s="925"/>
      <c r="N4" s="925"/>
      <c r="O4" s="926"/>
      <c r="P4" s="927" t="s">
        <v>13</v>
      </c>
      <c r="Q4" s="928"/>
      <c r="R4" s="3" t="s">
        <v>107</v>
      </c>
      <c r="S4" s="167"/>
      <c r="T4" s="63"/>
    </row>
    <row r="5" spans="1:20" s="13" customFormat="1" ht="13.5" customHeight="1" x14ac:dyDescent="0.2">
      <c r="A5" s="941"/>
      <c r="B5" s="942"/>
      <c r="C5" s="942"/>
      <c r="D5" s="941"/>
      <c r="E5" s="572"/>
      <c r="F5" s="172"/>
      <c r="G5" s="941"/>
      <c r="H5" s="572"/>
      <c r="I5" s="942"/>
      <c r="J5" s="10" t="s">
        <v>1</v>
      </c>
      <c r="K5" s="11" t="s">
        <v>3</v>
      </c>
      <c r="L5" s="11" t="s">
        <v>15</v>
      </c>
      <c r="M5" s="12" t="s">
        <v>14</v>
      </c>
      <c r="N5" s="84" t="s">
        <v>15</v>
      </c>
      <c r="O5" s="78" t="s">
        <v>18</v>
      </c>
      <c r="P5" s="3" t="s">
        <v>20</v>
      </c>
      <c r="Q5" s="3" t="s">
        <v>19</v>
      </c>
      <c r="R5" s="3"/>
      <c r="S5" s="168"/>
    </row>
    <row r="6" spans="1:20" s="575" customFormat="1" ht="15.95" customHeight="1" x14ac:dyDescent="0.2">
      <c r="A6" s="119" t="s">
        <v>336</v>
      </c>
      <c r="B6" s="120" t="s">
        <v>344</v>
      </c>
      <c r="C6" s="601">
        <v>43005</v>
      </c>
      <c r="D6" s="596">
        <f>DATE(YEAR(C6),MONTH(C6)+12,DAY(C6))</f>
        <v>43370</v>
      </c>
      <c r="E6" s="596">
        <v>43328</v>
      </c>
      <c r="F6" s="173"/>
      <c r="G6" s="596">
        <f>DATE(YEAR(C6)+2,MONTH(C6),DAY(C6))</f>
        <v>43735</v>
      </c>
      <c r="H6" s="596"/>
      <c r="I6" s="597">
        <v>18200</v>
      </c>
      <c r="J6" s="598"/>
      <c r="K6" s="610"/>
      <c r="L6" s="595"/>
      <c r="M6" s="600">
        <f>SUM(M7:M9)</f>
        <v>3640</v>
      </c>
      <c r="N6" s="601"/>
      <c r="O6" s="602"/>
      <c r="P6" s="597">
        <f>SUM(P7:P9)</f>
        <v>0</v>
      </c>
      <c r="Q6" s="597">
        <f>SUM(Q7:Q9)</f>
        <v>14560</v>
      </c>
      <c r="R6" s="597"/>
      <c r="S6" s="574">
        <f>I6-(M6+P6+Q6)</f>
        <v>0</v>
      </c>
    </row>
    <row r="7" spans="1:20" s="221" customFormat="1" ht="15.95" customHeight="1" outlineLevel="1" x14ac:dyDescent="0.2">
      <c r="A7" s="46"/>
      <c r="B7" s="576"/>
      <c r="C7" s="577"/>
      <c r="D7" s="577"/>
      <c r="E7" s="577"/>
      <c r="F7" s="174"/>
      <c r="G7" s="577"/>
      <c r="H7" s="577"/>
      <c r="I7" s="578">
        <v>0.2</v>
      </c>
      <c r="J7" s="579">
        <f>+I6*I7</f>
        <v>3640</v>
      </c>
      <c r="K7" s="218">
        <v>1</v>
      </c>
      <c r="L7" s="573">
        <v>43333</v>
      </c>
      <c r="M7" s="579">
        <v>3640</v>
      </c>
      <c r="N7" s="573">
        <v>43385</v>
      </c>
      <c r="O7" s="581"/>
      <c r="P7" s="582" t="str">
        <f>IF(M7="en attente",J7,"")</f>
        <v/>
      </c>
      <c r="Q7" s="582">
        <f>IF(L7="",J7-M7,0)</f>
        <v>0</v>
      </c>
      <c r="R7" s="582"/>
      <c r="S7" s="574"/>
    </row>
    <row r="8" spans="1:20" s="221" customFormat="1" ht="15.95" customHeight="1" outlineLevel="1" x14ac:dyDescent="0.2">
      <c r="A8" s="46"/>
      <c r="B8" s="576"/>
      <c r="C8" s="577"/>
      <c r="D8" s="577"/>
      <c r="E8" s="577"/>
      <c r="F8" s="174"/>
      <c r="G8" s="577"/>
      <c r="H8" s="577"/>
      <c r="I8" s="578">
        <v>0.8</v>
      </c>
      <c r="J8" s="579">
        <f>+I6*I8-J7</f>
        <v>10920</v>
      </c>
      <c r="K8" s="218">
        <v>2</v>
      </c>
      <c r="L8" s="577"/>
      <c r="M8" s="580"/>
      <c r="N8" s="612"/>
      <c r="O8" s="581"/>
      <c r="P8" s="582" t="str">
        <f t="shared" ref="P8:P9" si="0">IF(M8="en attente",J8,"")</f>
        <v/>
      </c>
      <c r="Q8" s="582">
        <f>IF(L8="",J8-M8,0)</f>
        <v>10920</v>
      </c>
      <c r="R8" s="582"/>
      <c r="S8" s="574"/>
    </row>
    <row r="9" spans="1:20" s="221" customFormat="1" ht="15.95" customHeight="1" outlineLevel="1" x14ac:dyDescent="0.2">
      <c r="A9" s="46"/>
      <c r="B9" s="576"/>
      <c r="C9" s="577"/>
      <c r="D9" s="577"/>
      <c r="E9" s="577"/>
      <c r="F9" s="174"/>
      <c r="G9" s="577"/>
      <c r="H9" s="577"/>
      <c r="I9" s="578">
        <v>1</v>
      </c>
      <c r="J9" s="579">
        <f>+I6-J7-J8</f>
        <v>3640</v>
      </c>
      <c r="K9" s="218">
        <v>3</v>
      </c>
      <c r="L9" s="577"/>
      <c r="M9" s="580"/>
      <c r="N9" s="612"/>
      <c r="O9" s="581"/>
      <c r="P9" s="582" t="str">
        <f t="shared" si="0"/>
        <v/>
      </c>
      <c r="Q9" s="582">
        <f>IF(L9="",J9-M9,0)</f>
        <v>3640</v>
      </c>
      <c r="R9" s="582"/>
      <c r="S9" s="574"/>
    </row>
    <row r="10" spans="1:20" s="221" customFormat="1" ht="15.95" customHeight="1" x14ac:dyDescent="0.2">
      <c r="A10" s="119" t="s">
        <v>337</v>
      </c>
      <c r="B10" s="595" t="s">
        <v>339</v>
      </c>
      <c r="C10" s="596">
        <v>43005</v>
      </c>
      <c r="D10" s="596">
        <f>DATE(YEAR(C10),MONTH(C10)+12,DAY(C10))</f>
        <v>43370</v>
      </c>
      <c r="E10" s="596">
        <v>43328</v>
      </c>
      <c r="F10" s="261"/>
      <c r="G10" s="596">
        <f>DATE(YEAR(C10)+2,MONTH(C10),DAY(C10))</f>
        <v>43735</v>
      </c>
      <c r="H10" s="604"/>
      <c r="I10" s="597">
        <v>47320</v>
      </c>
      <c r="J10" s="605"/>
      <c r="K10" s="606"/>
      <c r="L10" s="604"/>
      <c r="M10" s="600">
        <f>SUM(M11:M13)</f>
        <v>9464</v>
      </c>
      <c r="N10" s="607"/>
      <c r="O10" s="608"/>
      <c r="P10" s="603">
        <f>SUM(P11:P13)</f>
        <v>0</v>
      </c>
      <c r="Q10" s="603">
        <f>SUM(Q11:Q13)</f>
        <v>37856</v>
      </c>
      <c r="R10" s="609"/>
      <c r="S10" s="574">
        <f>I10-(M10+P10+Q10)</f>
        <v>0</v>
      </c>
    </row>
    <row r="11" spans="1:20" s="221" customFormat="1" ht="15.95" customHeight="1" outlineLevel="1" x14ac:dyDescent="0.2">
      <c r="A11" s="46"/>
      <c r="B11" s="697"/>
      <c r="C11" s="698"/>
      <c r="D11" s="698"/>
      <c r="E11" s="698"/>
      <c r="F11" s="174"/>
      <c r="G11" s="698"/>
      <c r="H11" s="577"/>
      <c r="I11" s="701">
        <v>0.2</v>
      </c>
      <c r="J11" s="579">
        <f>+I10*20%</f>
        <v>9464</v>
      </c>
      <c r="K11" s="218">
        <v>1</v>
      </c>
      <c r="L11" s="577">
        <v>43333</v>
      </c>
      <c r="M11" s="580">
        <v>9464</v>
      </c>
      <c r="N11" s="612">
        <v>43385</v>
      </c>
      <c r="O11" s="581"/>
      <c r="P11" s="582" t="str">
        <f>IF(M11="en attente",J11,"")</f>
        <v/>
      </c>
      <c r="Q11" s="582"/>
      <c r="R11" s="582"/>
      <c r="S11" s="574"/>
    </row>
    <row r="12" spans="1:20" s="221" customFormat="1" ht="15.95" customHeight="1" outlineLevel="1" x14ac:dyDescent="0.2">
      <c r="A12" s="46"/>
      <c r="B12" s="697"/>
      <c r="C12" s="698"/>
      <c r="D12" s="698"/>
      <c r="E12" s="698"/>
      <c r="F12" s="174"/>
      <c r="G12" s="698"/>
      <c r="H12" s="577"/>
      <c r="I12" s="701">
        <v>0.8</v>
      </c>
      <c r="J12" s="579">
        <f>+I10*I12-J11</f>
        <v>28392</v>
      </c>
      <c r="K12" s="218">
        <v>2</v>
      </c>
      <c r="L12" s="577"/>
      <c r="M12" s="699"/>
      <c r="N12" s="612"/>
      <c r="O12" s="581"/>
      <c r="P12" s="582" t="str">
        <f t="shared" ref="P12:P13" si="1">IF(M12="en attente",J12,"")</f>
        <v/>
      </c>
      <c r="Q12" s="582">
        <f>IF(L12="",J12-M12,0)</f>
        <v>28392</v>
      </c>
      <c r="R12" s="582"/>
      <c r="S12" s="574"/>
    </row>
    <row r="13" spans="1:20" s="221" customFormat="1" ht="15.95" customHeight="1" outlineLevel="1" x14ac:dyDescent="0.2">
      <c r="A13" s="46"/>
      <c r="B13" s="583"/>
      <c r="C13" s="584"/>
      <c r="D13" s="584"/>
      <c r="E13" s="584"/>
      <c r="F13" s="176"/>
      <c r="G13" s="584"/>
      <c r="H13" s="584"/>
      <c r="I13" s="701">
        <v>1</v>
      </c>
      <c r="J13" s="702">
        <f>+I10-J11-J12</f>
        <v>9464</v>
      </c>
      <c r="K13" s="700">
        <v>3</v>
      </c>
      <c r="L13" s="577"/>
      <c r="M13" s="580"/>
      <c r="N13" s="573"/>
      <c r="O13" s="581"/>
      <c r="P13" s="582" t="str">
        <f t="shared" si="1"/>
        <v/>
      </c>
      <c r="Q13" s="582">
        <f>IF(L13="",J13-M13,0)</f>
        <v>9464</v>
      </c>
      <c r="R13" s="582"/>
      <c r="S13" s="574"/>
    </row>
    <row r="14" spans="1:20" s="575" customFormat="1" ht="15.95" customHeight="1" x14ac:dyDescent="0.2">
      <c r="A14" s="119" t="s">
        <v>338</v>
      </c>
      <c r="B14" s="595" t="s">
        <v>340</v>
      </c>
      <c r="C14" s="596">
        <v>43005</v>
      </c>
      <c r="D14" s="596">
        <f>DATE(YEAR(C14),MONTH(C14)+12,DAY(C14))</f>
        <v>43370</v>
      </c>
      <c r="E14" s="596">
        <v>43368</v>
      </c>
      <c r="F14" s="173"/>
      <c r="G14" s="596">
        <f>DATE(YEAR(C14)+2,MONTH(C14),DAY(C14))</f>
        <v>43735</v>
      </c>
      <c r="H14" s="596"/>
      <c r="I14" s="597">
        <v>10920</v>
      </c>
      <c r="J14" s="598"/>
      <c r="K14" s="599"/>
      <c r="L14" s="596"/>
      <c r="M14" s="600">
        <f>SUM(M15:M17)</f>
        <v>2184</v>
      </c>
      <c r="N14" s="601"/>
      <c r="O14" s="602"/>
      <c r="P14" s="603">
        <f>SUM(P15:P17)</f>
        <v>0</v>
      </c>
      <c r="Q14" s="603">
        <f>SUM(Q15:Q17)</f>
        <v>8736</v>
      </c>
      <c r="R14" s="603"/>
      <c r="S14" s="574">
        <f>I14-(M14+P14+Q14)</f>
        <v>0</v>
      </c>
    </row>
    <row r="15" spans="1:20" s="575" customFormat="1" ht="15.95" customHeight="1" outlineLevel="1" x14ac:dyDescent="0.2">
      <c r="A15" s="46"/>
      <c r="B15" s="697"/>
      <c r="C15" s="698"/>
      <c r="D15" s="698"/>
      <c r="E15" s="698"/>
      <c r="F15" s="178"/>
      <c r="G15" s="698"/>
      <c r="H15" s="698"/>
      <c r="I15" s="723">
        <v>0.2</v>
      </c>
      <c r="J15" s="579">
        <f>+I14*I15</f>
        <v>2184</v>
      </c>
      <c r="K15" s="218">
        <v>1</v>
      </c>
      <c r="L15" s="577">
        <v>43370</v>
      </c>
      <c r="M15" s="580">
        <v>2184</v>
      </c>
      <c r="N15" s="612">
        <v>43420</v>
      </c>
      <c r="O15" s="721"/>
      <c r="P15" s="582" t="str">
        <f>IF(M15="en attente",J15,"")</f>
        <v/>
      </c>
      <c r="Q15" s="722"/>
      <c r="R15" s="722"/>
      <c r="S15" s="574"/>
    </row>
    <row r="16" spans="1:20" s="575" customFormat="1" ht="15.95" customHeight="1" outlineLevel="1" x14ac:dyDescent="0.2">
      <c r="A16" s="46"/>
      <c r="B16" s="697"/>
      <c r="C16" s="698"/>
      <c r="D16" s="698"/>
      <c r="E16" s="698"/>
      <c r="F16" s="178"/>
      <c r="G16" s="698"/>
      <c r="H16" s="698"/>
      <c r="I16" s="723">
        <v>0.8</v>
      </c>
      <c r="J16" s="579">
        <f>+I14*I16-J15</f>
        <v>6552</v>
      </c>
      <c r="K16" s="218">
        <v>2</v>
      </c>
      <c r="L16" s="698"/>
      <c r="M16" s="699"/>
      <c r="N16" s="720"/>
      <c r="O16" s="721"/>
      <c r="P16" s="582" t="str">
        <f t="shared" ref="P16:P17" si="2">IF(M16="en attente",J16,"")</f>
        <v/>
      </c>
      <c r="Q16" s="582">
        <f>IF(L16="",J16-M16,0)</f>
        <v>6552</v>
      </c>
      <c r="R16" s="722"/>
      <c r="S16" s="574"/>
    </row>
    <row r="17" spans="1:19" s="221" customFormat="1" ht="15.95" customHeight="1" outlineLevel="1" x14ac:dyDescent="0.2">
      <c r="A17" s="46"/>
      <c r="B17" s="576"/>
      <c r="C17" s="577"/>
      <c r="D17" s="577"/>
      <c r="E17" s="577"/>
      <c r="F17" s="174"/>
      <c r="G17" s="577"/>
      <c r="H17" s="577"/>
      <c r="I17" s="701">
        <v>1</v>
      </c>
      <c r="J17" s="579">
        <f>+I14-J15-J16</f>
        <v>2184</v>
      </c>
      <c r="K17" s="218">
        <v>3</v>
      </c>
      <c r="L17" s="577"/>
      <c r="M17" s="580"/>
      <c r="N17" s="573"/>
      <c r="O17" s="581"/>
      <c r="P17" s="582" t="str">
        <f t="shared" si="2"/>
        <v/>
      </c>
      <c r="Q17" s="582">
        <f>IF(L17="",J17-M17,0)</f>
        <v>2184</v>
      </c>
      <c r="R17" s="582"/>
      <c r="S17" s="574"/>
    </row>
    <row r="18" spans="1:19" s="575" customFormat="1" ht="15.95" customHeight="1" x14ac:dyDescent="0.2">
      <c r="A18" s="119" t="s">
        <v>342</v>
      </c>
      <c r="B18" s="595" t="s">
        <v>343</v>
      </c>
      <c r="C18" s="596">
        <v>43032</v>
      </c>
      <c r="D18" s="596">
        <f>DATE(YEAR(C18),MONTH(C18)+12,DAY(C18))</f>
        <v>43397</v>
      </c>
      <c r="E18" s="596">
        <v>43362</v>
      </c>
      <c r="F18" s="173"/>
      <c r="G18" s="596">
        <f>DATE(YEAR(C18)+2,MONTH(C18),DAY(C18))</f>
        <v>43762</v>
      </c>
      <c r="H18" s="596"/>
      <c r="I18" s="597">
        <v>281250</v>
      </c>
      <c r="J18" s="598"/>
      <c r="K18" s="599"/>
      <c r="L18" s="596"/>
      <c r="M18" s="600">
        <f>SUM(M19:M21)</f>
        <v>56250</v>
      </c>
      <c r="N18" s="601"/>
      <c r="O18" s="602"/>
      <c r="P18" s="603">
        <f>SUM(P19:P21)</f>
        <v>0</v>
      </c>
      <c r="Q18" s="603">
        <f>SUM(Q19:Q21)</f>
        <v>225000</v>
      </c>
      <c r="R18" s="603"/>
      <c r="S18" s="574">
        <f>I18-(M18+P18+Q18)</f>
        <v>0</v>
      </c>
    </row>
    <row r="19" spans="1:19" s="575" customFormat="1" ht="15.95" customHeight="1" outlineLevel="1" x14ac:dyDescent="0.2">
      <c r="A19" s="46"/>
      <c r="B19" s="697"/>
      <c r="C19" s="698"/>
      <c r="D19" s="698"/>
      <c r="E19" s="698"/>
      <c r="F19" s="178"/>
      <c r="G19" s="698"/>
      <c r="H19" s="698"/>
      <c r="I19" s="723">
        <v>0.2</v>
      </c>
      <c r="J19" s="579">
        <f>+I18*I19</f>
        <v>56250</v>
      </c>
      <c r="K19" s="218">
        <v>1</v>
      </c>
      <c r="L19" s="577">
        <v>43370</v>
      </c>
      <c r="M19" s="580">
        <v>56250</v>
      </c>
      <c r="N19" s="612">
        <v>43420</v>
      </c>
      <c r="O19" s="721"/>
      <c r="P19" s="582" t="str">
        <f>IF(M19="en attente",J19,"")</f>
        <v/>
      </c>
      <c r="Q19" s="722"/>
      <c r="R19" s="722"/>
      <c r="S19" s="574"/>
    </row>
    <row r="20" spans="1:19" s="575" customFormat="1" ht="15.95" customHeight="1" outlineLevel="1" x14ac:dyDescent="0.2">
      <c r="A20" s="46"/>
      <c r="B20" s="697"/>
      <c r="C20" s="698"/>
      <c r="D20" s="698"/>
      <c r="E20" s="698"/>
      <c r="F20" s="178"/>
      <c r="G20" s="698"/>
      <c r="H20" s="698"/>
      <c r="I20" s="723">
        <v>0.8</v>
      </c>
      <c r="J20" s="579">
        <f>+I18*I20-J19</f>
        <v>168750</v>
      </c>
      <c r="K20" s="218">
        <v>2</v>
      </c>
      <c r="L20" s="698"/>
      <c r="M20" s="699"/>
      <c r="N20" s="720"/>
      <c r="O20" s="721"/>
      <c r="P20" s="582" t="str">
        <f t="shared" ref="P20:P21" si="3">IF(M20="en attente",J20,"")</f>
        <v/>
      </c>
      <c r="Q20" s="582">
        <f>IF(L20="",J20-M20,0)</f>
        <v>168750</v>
      </c>
      <c r="R20" s="722"/>
      <c r="S20" s="574"/>
    </row>
    <row r="21" spans="1:19" s="221" customFormat="1" ht="15.95" customHeight="1" outlineLevel="1" x14ac:dyDescent="0.2">
      <c r="A21" s="46"/>
      <c r="B21" s="576"/>
      <c r="C21" s="577"/>
      <c r="D21" s="577"/>
      <c r="E21" s="577"/>
      <c r="F21" s="174"/>
      <c r="G21" s="577"/>
      <c r="H21" s="577"/>
      <c r="I21" s="701">
        <v>1</v>
      </c>
      <c r="J21" s="579">
        <f>+I18-J19-J20</f>
        <v>56250</v>
      </c>
      <c r="K21" s="218">
        <v>3</v>
      </c>
      <c r="L21" s="577"/>
      <c r="M21" s="580"/>
      <c r="N21" s="611"/>
      <c r="O21" s="581"/>
      <c r="P21" s="582" t="str">
        <f t="shared" si="3"/>
        <v/>
      </c>
      <c r="Q21" s="582">
        <f>IF(L21="",J21-M21,0)</f>
        <v>56250</v>
      </c>
      <c r="R21" s="582"/>
      <c r="S21" s="574"/>
    </row>
    <row r="22" spans="1:19" s="575" customFormat="1" ht="15.95" customHeight="1" x14ac:dyDescent="0.2">
      <c r="A22" s="119" t="s">
        <v>345</v>
      </c>
      <c r="B22" s="595" t="s">
        <v>347</v>
      </c>
      <c r="C22" s="596">
        <v>43039</v>
      </c>
      <c r="D22" s="596">
        <f>DATE(YEAR(C22),MONTH(C22)+12,DAY(C22))</f>
        <v>43404</v>
      </c>
      <c r="E22" s="596">
        <v>43355</v>
      </c>
      <c r="F22" s="173"/>
      <c r="G22" s="596">
        <f>DATE(YEAR(C22)+2,MONTH(C22),DAY(C22))</f>
        <v>43769</v>
      </c>
      <c r="H22" s="596"/>
      <c r="I22" s="597">
        <v>462500</v>
      </c>
      <c r="J22" s="598"/>
      <c r="K22" s="599"/>
      <c r="L22" s="596"/>
      <c r="M22" s="600">
        <f>SUM(M23:M25)</f>
        <v>92500</v>
      </c>
      <c r="N22" s="601"/>
      <c r="O22" s="602"/>
      <c r="P22" s="603">
        <f>SUM(P23:P25)</f>
        <v>0</v>
      </c>
      <c r="Q22" s="603">
        <f>SUM(Q23:Q25)</f>
        <v>370000</v>
      </c>
      <c r="R22" s="603"/>
      <c r="S22" s="574">
        <f>I22-(M22+P22+Q22)</f>
        <v>0</v>
      </c>
    </row>
    <row r="23" spans="1:19" s="575" customFormat="1" ht="15.95" customHeight="1" outlineLevel="1" x14ac:dyDescent="0.2">
      <c r="A23" s="46"/>
      <c r="B23" s="697"/>
      <c r="C23" s="698"/>
      <c r="D23" s="698"/>
      <c r="E23" s="698"/>
      <c r="F23" s="178"/>
      <c r="G23" s="698"/>
      <c r="H23" s="698"/>
      <c r="I23" s="723">
        <v>0.2</v>
      </c>
      <c r="J23" s="579">
        <f>+I22*I23</f>
        <v>92500</v>
      </c>
      <c r="K23" s="218">
        <v>1</v>
      </c>
      <c r="L23" s="577">
        <v>43370</v>
      </c>
      <c r="M23" s="580">
        <v>92500</v>
      </c>
      <c r="N23" s="612">
        <v>43420</v>
      </c>
      <c r="O23" s="721"/>
      <c r="P23" s="582" t="str">
        <f>IF(M23="en attente",J23,"")</f>
        <v/>
      </c>
      <c r="Q23" s="722"/>
      <c r="R23" s="722"/>
      <c r="S23" s="574"/>
    </row>
    <row r="24" spans="1:19" s="575" customFormat="1" ht="15.95" customHeight="1" outlineLevel="1" x14ac:dyDescent="0.2">
      <c r="A24" s="46"/>
      <c r="B24" s="697"/>
      <c r="C24" s="698"/>
      <c r="D24" s="698"/>
      <c r="E24" s="698"/>
      <c r="F24" s="178"/>
      <c r="G24" s="698"/>
      <c r="H24" s="698"/>
      <c r="I24" s="723">
        <v>0.8</v>
      </c>
      <c r="J24" s="579">
        <f>+I22*I24-J23</f>
        <v>277500</v>
      </c>
      <c r="K24" s="218">
        <v>2</v>
      </c>
      <c r="L24" s="698"/>
      <c r="M24" s="699"/>
      <c r="N24" s="720"/>
      <c r="O24" s="721"/>
      <c r="P24" s="582" t="str">
        <f>IF(M24="en attente",J24,"")</f>
        <v/>
      </c>
      <c r="Q24" s="582">
        <f>IF(L24="",J24-M24,0)</f>
        <v>277500</v>
      </c>
      <c r="R24" s="722"/>
      <c r="S24" s="574"/>
    </row>
    <row r="25" spans="1:19" s="575" customFormat="1" ht="15.95" customHeight="1" outlineLevel="1" x14ac:dyDescent="0.2">
      <c r="A25" s="46"/>
      <c r="B25" s="697"/>
      <c r="C25" s="698"/>
      <c r="D25" s="698"/>
      <c r="E25" s="698"/>
      <c r="F25" s="178"/>
      <c r="G25" s="698"/>
      <c r="H25" s="698"/>
      <c r="I25" s="723">
        <v>1</v>
      </c>
      <c r="J25" s="579">
        <f>+I22-J23-J24</f>
        <v>92500</v>
      </c>
      <c r="K25" s="218">
        <v>3</v>
      </c>
      <c r="L25" s="698"/>
      <c r="M25" s="699"/>
      <c r="N25" s="720"/>
      <c r="O25" s="721"/>
      <c r="P25" s="582" t="str">
        <f>IF(M25="en attente",J25,"")</f>
        <v/>
      </c>
      <c r="Q25" s="582">
        <f>IF(L25="",J25-M25,0)</f>
        <v>92500</v>
      </c>
      <c r="R25" s="722"/>
      <c r="S25" s="574"/>
    </row>
    <row r="26" spans="1:19" s="575" customFormat="1" ht="15.95" customHeight="1" x14ac:dyDescent="0.2">
      <c r="A26" s="119" t="s">
        <v>346</v>
      </c>
      <c r="B26" s="595" t="s">
        <v>348</v>
      </c>
      <c r="C26" s="712">
        <v>43039</v>
      </c>
      <c r="D26" s="601">
        <f>DATE(YEAR(C26),MONTH(C26)+12,DAY(C26))</f>
        <v>43404</v>
      </c>
      <c r="E26" s="596">
        <v>43388</v>
      </c>
      <c r="F26" s="715"/>
      <c r="G26" s="601">
        <f>DATE(YEAR(C26)+2,MONTH(C26),DAY(C26))</f>
        <v>43769</v>
      </c>
      <c r="H26" s="596"/>
      <c r="I26" s="597">
        <v>401760</v>
      </c>
      <c r="J26" s="598"/>
      <c r="K26" s="599"/>
      <c r="L26" s="596"/>
      <c r="M26" s="600">
        <f>SUM(M27:M29)</f>
        <v>80352</v>
      </c>
      <c r="N26" s="601"/>
      <c r="O26" s="602"/>
      <c r="P26" s="603">
        <f>SUM(P27:P29)</f>
        <v>0</v>
      </c>
      <c r="Q26" s="603">
        <f>SUM(Q27:Q29)</f>
        <v>321408</v>
      </c>
      <c r="R26" s="603"/>
      <c r="S26" s="574">
        <f>I26-(M26+P26+Q26)</f>
        <v>0</v>
      </c>
    </row>
    <row r="27" spans="1:19" s="575" customFormat="1" ht="15.95" customHeight="1" outlineLevel="1" x14ac:dyDescent="0.2">
      <c r="A27" s="46"/>
      <c r="B27" s="697"/>
      <c r="C27" s="726"/>
      <c r="D27" s="720"/>
      <c r="E27" s="698"/>
      <c r="F27" s="628"/>
      <c r="G27" s="720"/>
      <c r="H27" s="698"/>
      <c r="I27" s="723">
        <v>0.2</v>
      </c>
      <c r="J27" s="579">
        <f>I26*I27</f>
        <v>80352</v>
      </c>
      <c r="K27" s="218">
        <v>1</v>
      </c>
      <c r="L27" s="577">
        <v>43391</v>
      </c>
      <c r="M27" s="580">
        <v>80352</v>
      </c>
      <c r="N27" s="612">
        <v>43448</v>
      </c>
      <c r="O27" s="721"/>
      <c r="P27" s="582" t="str">
        <f>IF(M27="en attente",J27,"")</f>
        <v/>
      </c>
      <c r="Q27" s="582">
        <f>IF(L27="",J27-M27,0)</f>
        <v>0</v>
      </c>
      <c r="R27" s="722"/>
      <c r="S27" s="574"/>
    </row>
    <row r="28" spans="1:19" s="575" customFormat="1" ht="15.95" customHeight="1" outlineLevel="1" x14ac:dyDescent="0.2">
      <c r="A28" s="46"/>
      <c r="B28" s="697"/>
      <c r="C28" s="726"/>
      <c r="D28" s="720"/>
      <c r="E28" s="698"/>
      <c r="F28" s="628"/>
      <c r="G28" s="720"/>
      <c r="H28" s="698"/>
      <c r="I28" s="723">
        <v>0.8</v>
      </c>
      <c r="J28" s="579">
        <f>I26*I28-J27</f>
        <v>241056</v>
      </c>
      <c r="K28" s="218">
        <v>2</v>
      </c>
      <c r="L28" s="698"/>
      <c r="M28" s="699"/>
      <c r="N28" s="720"/>
      <c r="O28" s="721"/>
      <c r="P28" s="582" t="str">
        <f>IF(M28="en attente",J28,"")</f>
        <v/>
      </c>
      <c r="Q28" s="582">
        <f>IF(L28="",J28-M28,0)</f>
        <v>241056</v>
      </c>
      <c r="R28" s="722"/>
      <c r="S28" s="574"/>
    </row>
    <row r="29" spans="1:19" s="221" customFormat="1" ht="15.95" customHeight="1" outlineLevel="1" x14ac:dyDescent="0.2">
      <c r="A29" s="46"/>
      <c r="B29" s="576"/>
      <c r="C29" s="713"/>
      <c r="D29" s="714"/>
      <c r="E29" s="724"/>
      <c r="F29" s="548"/>
      <c r="G29" s="714"/>
      <c r="H29" s="577"/>
      <c r="I29" s="723">
        <v>1</v>
      </c>
      <c r="J29" s="579">
        <f>I26-J27-J28</f>
        <v>80352</v>
      </c>
      <c r="K29" s="218">
        <v>3</v>
      </c>
      <c r="L29" s="577"/>
      <c r="M29" s="580"/>
      <c r="N29" s="612"/>
      <c r="O29" s="581"/>
      <c r="P29" s="582" t="str">
        <f t="shared" ref="P29" si="4">IF(M29="en attente",J29,"")</f>
        <v/>
      </c>
      <c r="Q29" s="582">
        <f>IF(L29="",J29-M29,0)</f>
        <v>80352</v>
      </c>
      <c r="R29" s="582"/>
      <c r="S29" s="574"/>
    </row>
    <row r="30" spans="1:19" s="575" customFormat="1" ht="15.95" customHeight="1" x14ac:dyDescent="0.2">
      <c r="A30" s="119" t="s">
        <v>379</v>
      </c>
      <c r="B30" s="595" t="s">
        <v>380</v>
      </c>
      <c r="C30" s="712">
        <v>43334</v>
      </c>
      <c r="D30" s="601">
        <f>DATE(YEAR(C30),MONTH(C30)+12,DAY(C30))</f>
        <v>43699</v>
      </c>
      <c r="E30" s="596"/>
      <c r="F30" s="715"/>
      <c r="G30" s="601">
        <f>DATE(YEAR(C30)+2,MONTH(C30),DAY(C30))</f>
        <v>44065</v>
      </c>
      <c r="H30" s="596"/>
      <c r="I30" s="597">
        <f>524564.45+131141.11</f>
        <v>655705.55999999994</v>
      </c>
      <c r="J30" s="598"/>
      <c r="K30" s="599"/>
      <c r="L30" s="596"/>
      <c r="M30" s="600">
        <f>SUM(M31)</f>
        <v>0</v>
      </c>
      <c r="N30" s="601"/>
      <c r="O30" s="602"/>
      <c r="P30" s="603">
        <f>SUM(P31:P33)</f>
        <v>0</v>
      </c>
      <c r="Q30" s="603">
        <f>SUM(Q31:Q33)</f>
        <v>655705.55999999994</v>
      </c>
      <c r="R30" s="603"/>
      <c r="S30" s="574">
        <f t="shared" ref="S30" si="5">I30-(M30+P30+Q30)</f>
        <v>0</v>
      </c>
    </row>
    <row r="31" spans="1:19" s="575" customFormat="1" ht="15.95" customHeight="1" outlineLevel="1" x14ac:dyDescent="0.2">
      <c r="A31" s="46"/>
      <c r="B31" s="697"/>
      <c r="C31" s="726"/>
      <c r="D31" s="841" t="s">
        <v>328</v>
      </c>
      <c r="E31" s="698"/>
      <c r="F31" s="628"/>
      <c r="G31" s="720"/>
      <c r="H31" s="698"/>
      <c r="I31" s="723">
        <v>0.2</v>
      </c>
      <c r="J31" s="579">
        <f>I30*I31</f>
        <v>131141.11199999999</v>
      </c>
      <c r="K31" s="218">
        <v>1</v>
      </c>
      <c r="L31" s="577"/>
      <c r="M31" s="580"/>
      <c r="N31" s="612"/>
      <c r="O31" s="721"/>
      <c r="P31" s="582" t="str">
        <f t="shared" ref="P31:P33" si="6">IF(M31="en attente",J31,"")</f>
        <v/>
      </c>
      <c r="Q31" s="582">
        <f>IF(L31="",J31-M31,0)</f>
        <v>131141.11199999999</v>
      </c>
      <c r="R31" s="722"/>
      <c r="S31" s="574"/>
    </row>
    <row r="32" spans="1:19" s="575" customFormat="1" ht="15.95" customHeight="1" outlineLevel="1" x14ac:dyDescent="0.2">
      <c r="A32" s="46"/>
      <c r="B32" s="697"/>
      <c r="C32" s="726"/>
      <c r="D32" s="720"/>
      <c r="E32" s="698"/>
      <c r="F32" s="628"/>
      <c r="G32" s="720"/>
      <c r="H32" s="698"/>
      <c r="I32" s="723">
        <v>0.8</v>
      </c>
      <c r="J32" s="579">
        <f>I30*I32-J31</f>
        <v>393423.33600000001</v>
      </c>
      <c r="K32" s="218">
        <v>2</v>
      </c>
      <c r="L32" s="698"/>
      <c r="M32" s="699"/>
      <c r="N32" s="720"/>
      <c r="O32" s="721"/>
      <c r="P32" s="582" t="str">
        <f>IF(M32="en attente",J32,"")</f>
        <v/>
      </c>
      <c r="Q32" s="582">
        <f t="shared" ref="Q32:Q33" si="7">IF(L32="",J32-M32,0)</f>
        <v>393423.33600000001</v>
      </c>
      <c r="R32" s="722"/>
      <c r="S32" s="574"/>
    </row>
    <row r="33" spans="1:19" s="221" customFormat="1" ht="15.95" customHeight="1" outlineLevel="1" x14ac:dyDescent="0.2">
      <c r="A33" s="118"/>
      <c r="B33" s="585"/>
      <c r="C33" s="762"/>
      <c r="D33" s="714"/>
      <c r="E33" s="763"/>
      <c r="F33" s="564"/>
      <c r="G33" s="714"/>
      <c r="H33" s="587"/>
      <c r="I33" s="764">
        <v>1</v>
      </c>
      <c r="J33" s="589">
        <f>I30-J31-J32</f>
        <v>131141.11199999996</v>
      </c>
      <c r="K33" s="566">
        <v>3</v>
      </c>
      <c r="L33" s="587"/>
      <c r="M33" s="590"/>
      <c r="N33" s="591"/>
      <c r="O33" s="592"/>
      <c r="P33" s="582" t="str">
        <f t="shared" si="6"/>
        <v/>
      </c>
      <c r="Q33" s="582">
        <f t="shared" si="7"/>
        <v>131141.11199999996</v>
      </c>
      <c r="R33" s="593"/>
      <c r="S33" s="574"/>
    </row>
    <row r="34" spans="1:19" s="575" customFormat="1" ht="15.95" customHeight="1" x14ac:dyDescent="0.2">
      <c r="A34" s="119" t="s">
        <v>395</v>
      </c>
      <c r="B34" s="595" t="s">
        <v>396</v>
      </c>
      <c r="C34" s="712">
        <v>43335</v>
      </c>
      <c r="D34" s="601">
        <f>DATE(YEAR(C34),MONTH(C34)+12,DAY(C34))</f>
        <v>43700</v>
      </c>
      <c r="E34" s="596"/>
      <c r="F34" s="715"/>
      <c r="G34" s="601">
        <f>DATE(YEAR(C34)+2,MONTH(C34),DAY(C34))</f>
        <v>44066</v>
      </c>
      <c r="H34" s="596"/>
      <c r="I34" s="597">
        <v>136000</v>
      </c>
      <c r="J34" s="598"/>
      <c r="K34" s="599"/>
      <c r="L34" s="596"/>
      <c r="M34" s="600">
        <f>SUM(M35:M37)</f>
        <v>0</v>
      </c>
      <c r="N34" s="601"/>
      <c r="O34" s="602"/>
      <c r="P34" s="603">
        <f>SUM(P35:P37)</f>
        <v>0</v>
      </c>
      <c r="Q34" s="603">
        <f>SUM(Q35:Q37)</f>
        <v>136000</v>
      </c>
      <c r="R34" s="603"/>
      <c r="S34" s="574">
        <f>I34-(M34+P34+Q34)</f>
        <v>0</v>
      </c>
    </row>
    <row r="35" spans="1:19" s="575" customFormat="1" ht="15.95" customHeight="1" outlineLevel="1" x14ac:dyDescent="0.2">
      <c r="A35" s="46"/>
      <c r="B35" s="697"/>
      <c r="C35" s="726"/>
      <c r="D35" s="841" t="s">
        <v>328</v>
      </c>
      <c r="E35" s="698"/>
      <c r="F35" s="628"/>
      <c r="G35" s="720"/>
      <c r="H35" s="698"/>
      <c r="I35" s="723">
        <v>0.2</v>
      </c>
      <c r="J35" s="579">
        <f>I34*I35</f>
        <v>27200</v>
      </c>
      <c r="K35" s="218">
        <v>1</v>
      </c>
      <c r="L35" s="577"/>
      <c r="M35" s="580"/>
      <c r="N35" s="612"/>
      <c r="O35" s="721"/>
      <c r="P35" s="582" t="str">
        <f>IF(M35="en attente",J35,"")</f>
        <v/>
      </c>
      <c r="Q35" s="582">
        <f>IF(L35="",J35-M35,0)</f>
        <v>27200</v>
      </c>
      <c r="R35" s="722"/>
      <c r="S35" s="574"/>
    </row>
    <row r="36" spans="1:19" s="575" customFormat="1" ht="15.95" customHeight="1" outlineLevel="1" x14ac:dyDescent="0.2">
      <c r="A36" s="46"/>
      <c r="B36" s="697"/>
      <c r="C36" s="726"/>
      <c r="D36" s="720"/>
      <c r="E36" s="698"/>
      <c r="F36" s="628"/>
      <c r="G36" s="720"/>
      <c r="H36" s="698"/>
      <c r="I36" s="723">
        <v>0.8</v>
      </c>
      <c r="J36" s="579">
        <f>I34*I36-J35</f>
        <v>81600</v>
      </c>
      <c r="K36" s="218">
        <v>2</v>
      </c>
      <c r="L36" s="698"/>
      <c r="M36" s="699"/>
      <c r="N36" s="720"/>
      <c r="O36" s="721"/>
      <c r="P36" s="582" t="str">
        <f>IF(M36="en attente",J36,"")</f>
        <v/>
      </c>
      <c r="Q36" s="582">
        <f>IF(L36="",J36-M36,0)</f>
        <v>81600</v>
      </c>
      <c r="R36" s="722"/>
      <c r="S36" s="574"/>
    </row>
    <row r="37" spans="1:19" s="221" customFormat="1" ht="15.95" customHeight="1" outlineLevel="1" x14ac:dyDescent="0.2">
      <c r="A37" s="118"/>
      <c r="B37" s="585"/>
      <c r="C37" s="762"/>
      <c r="D37" s="714"/>
      <c r="E37" s="763"/>
      <c r="F37" s="564"/>
      <c r="G37" s="714"/>
      <c r="H37" s="587"/>
      <c r="I37" s="764">
        <v>1</v>
      </c>
      <c r="J37" s="589">
        <f>I34-J35-J36</f>
        <v>27200</v>
      </c>
      <c r="K37" s="566">
        <v>3</v>
      </c>
      <c r="L37" s="587"/>
      <c r="M37" s="590"/>
      <c r="N37" s="591"/>
      <c r="O37" s="592"/>
      <c r="P37" s="582" t="str">
        <f>IF(M37="en attente",J37,"")</f>
        <v/>
      </c>
      <c r="Q37" s="593">
        <f>IF(L37="",J37-M37,0)</f>
        <v>27200</v>
      </c>
      <c r="R37" s="593"/>
      <c r="S37" s="574"/>
    </row>
    <row r="38" spans="1:19" s="575" customFormat="1" ht="15.95" customHeight="1" x14ac:dyDescent="0.2">
      <c r="A38" s="119" t="s">
        <v>414</v>
      </c>
      <c r="B38" s="595" t="s">
        <v>397</v>
      </c>
      <c r="C38" s="712">
        <v>43335</v>
      </c>
      <c r="D38" s="601">
        <f>DATE(YEAR(C38),MONTH(C38)+12,DAY(C38))</f>
        <v>43700</v>
      </c>
      <c r="E38" s="596"/>
      <c r="F38" s="715"/>
      <c r="G38" s="601">
        <f>DATE(YEAR(C38)+2,MONTH(C38),DAY(C38))</f>
        <v>44066</v>
      </c>
      <c r="H38" s="596"/>
      <c r="I38" s="597">
        <v>150000</v>
      </c>
      <c r="J38" s="598"/>
      <c r="K38" s="599"/>
      <c r="L38" s="596"/>
      <c r="M38" s="600">
        <f>SUM(M39:M41)</f>
        <v>0</v>
      </c>
      <c r="N38" s="601"/>
      <c r="O38" s="602"/>
      <c r="P38" s="603">
        <f>SUM(P39:P41)</f>
        <v>0</v>
      </c>
      <c r="Q38" s="603">
        <f>SUM(Q39:Q41)</f>
        <v>150000</v>
      </c>
      <c r="R38" s="603"/>
      <c r="S38" s="574">
        <f>I38-(M38+P38+Q38)</f>
        <v>0</v>
      </c>
    </row>
    <row r="39" spans="1:19" s="575" customFormat="1" ht="15.95" customHeight="1" outlineLevel="1" x14ac:dyDescent="0.2">
      <c r="A39" s="46"/>
      <c r="B39" s="697"/>
      <c r="C39" s="726"/>
      <c r="D39" s="841" t="s">
        <v>328</v>
      </c>
      <c r="E39" s="698"/>
      <c r="F39" s="628"/>
      <c r="G39" s="720"/>
      <c r="H39" s="698"/>
      <c r="I39" s="723">
        <v>0.2</v>
      </c>
      <c r="J39" s="579">
        <f>I38*I39</f>
        <v>30000</v>
      </c>
      <c r="K39" s="218">
        <v>1</v>
      </c>
      <c r="L39" s="577"/>
      <c r="M39" s="580"/>
      <c r="N39" s="612"/>
      <c r="O39" s="721"/>
      <c r="P39" s="582" t="str">
        <f>IF(M39="en attente",J39,"")</f>
        <v/>
      </c>
      <c r="Q39" s="582">
        <f>IF(L39="",J39-M39,0)</f>
        <v>30000</v>
      </c>
      <c r="R39" s="722"/>
      <c r="S39" s="574"/>
    </row>
    <row r="40" spans="1:19" s="575" customFormat="1" ht="15.95" customHeight="1" outlineLevel="1" x14ac:dyDescent="0.2">
      <c r="A40" s="46"/>
      <c r="B40" s="697"/>
      <c r="C40" s="726"/>
      <c r="D40" s="720"/>
      <c r="E40" s="698"/>
      <c r="F40" s="628"/>
      <c r="G40" s="720"/>
      <c r="H40" s="698"/>
      <c r="I40" s="723">
        <v>0.8</v>
      </c>
      <c r="J40" s="579">
        <f>I38*I40-J39</f>
        <v>90000</v>
      </c>
      <c r="K40" s="218">
        <v>2</v>
      </c>
      <c r="L40" s="698"/>
      <c r="M40" s="699"/>
      <c r="N40" s="720"/>
      <c r="O40" s="721"/>
      <c r="P40" s="582" t="str">
        <f>IF(M40="en attente",J40,"")</f>
        <v/>
      </c>
      <c r="Q40" s="582">
        <f>IF(L40="",J40-M40,0)</f>
        <v>90000</v>
      </c>
      <c r="R40" s="722"/>
      <c r="S40" s="574"/>
    </row>
    <row r="41" spans="1:19" s="221" customFormat="1" ht="15.95" customHeight="1" outlineLevel="1" x14ac:dyDescent="0.2">
      <c r="A41" s="118"/>
      <c r="B41" s="585"/>
      <c r="C41" s="762"/>
      <c r="D41" s="714"/>
      <c r="E41" s="763"/>
      <c r="F41" s="564"/>
      <c r="G41" s="714"/>
      <c r="H41" s="587"/>
      <c r="I41" s="764">
        <v>1</v>
      </c>
      <c r="J41" s="589">
        <f>I38-J39-J40</f>
        <v>30000</v>
      </c>
      <c r="K41" s="566">
        <v>3</v>
      </c>
      <c r="L41" s="587"/>
      <c r="M41" s="590"/>
      <c r="N41" s="591"/>
      <c r="O41" s="592"/>
      <c r="P41" s="582" t="str">
        <f>IF(M41="en attente",J41,"")</f>
        <v/>
      </c>
      <c r="Q41" s="593">
        <f>IF(L41="",J41-M41,0)</f>
        <v>30000</v>
      </c>
      <c r="R41" s="593"/>
      <c r="S41" s="574"/>
    </row>
    <row r="42" spans="1:19" s="575" customFormat="1" ht="15.95" customHeight="1" x14ac:dyDescent="0.2">
      <c r="A42" s="119" t="s">
        <v>398</v>
      </c>
      <c r="B42" s="595" t="s">
        <v>399</v>
      </c>
      <c r="C42" s="712">
        <v>43335</v>
      </c>
      <c r="D42" s="601">
        <f>DATE(YEAR(C42),MONTH(C42)+12,DAY(C42))</f>
        <v>43700</v>
      </c>
      <c r="E42" s="596"/>
      <c r="F42" s="715"/>
      <c r="G42" s="601">
        <f>DATE(YEAR(C42)+2,MONTH(C42),DAY(C42))</f>
        <v>44066</v>
      </c>
      <c r="H42" s="596"/>
      <c r="I42" s="597">
        <v>115000</v>
      </c>
      <c r="J42" s="598"/>
      <c r="K42" s="599"/>
      <c r="L42" s="596"/>
      <c r="M42" s="600">
        <f>SUM(M43:M45)</f>
        <v>0</v>
      </c>
      <c r="N42" s="601"/>
      <c r="O42" s="602"/>
      <c r="P42" s="603">
        <f>SUM(P43:P45)</f>
        <v>0</v>
      </c>
      <c r="Q42" s="603">
        <f>SUM(Q43:Q45)</f>
        <v>115000</v>
      </c>
      <c r="R42" s="603"/>
      <c r="S42" s="574">
        <f>I42-(M42+P42+Q42)</f>
        <v>0</v>
      </c>
    </row>
    <row r="43" spans="1:19" s="575" customFormat="1" ht="15.95" customHeight="1" outlineLevel="1" x14ac:dyDescent="0.2">
      <c r="A43" s="46"/>
      <c r="B43" s="697"/>
      <c r="C43" s="726"/>
      <c r="D43" s="841" t="s">
        <v>328</v>
      </c>
      <c r="E43" s="698"/>
      <c r="F43" s="628"/>
      <c r="G43" s="720"/>
      <c r="H43" s="698"/>
      <c r="I43" s="723">
        <v>0.2</v>
      </c>
      <c r="J43" s="579">
        <f>I42*I43</f>
        <v>23000</v>
      </c>
      <c r="K43" s="218">
        <v>1</v>
      </c>
      <c r="L43" s="577"/>
      <c r="M43" s="580"/>
      <c r="N43" s="612"/>
      <c r="O43" s="721"/>
      <c r="P43" s="582" t="str">
        <f>IF(M43="en attente",J43,"")</f>
        <v/>
      </c>
      <c r="Q43" s="582">
        <f>IF(L43="",J43-M43,0)</f>
        <v>23000</v>
      </c>
      <c r="R43" s="722"/>
      <c r="S43" s="574"/>
    </row>
    <row r="44" spans="1:19" s="575" customFormat="1" ht="15.95" customHeight="1" outlineLevel="1" x14ac:dyDescent="0.2">
      <c r="A44" s="46"/>
      <c r="B44" s="697"/>
      <c r="C44" s="726"/>
      <c r="D44" s="720"/>
      <c r="E44" s="698"/>
      <c r="F44" s="628"/>
      <c r="G44" s="720"/>
      <c r="H44" s="698"/>
      <c r="I44" s="723">
        <v>0.8</v>
      </c>
      <c r="J44" s="579">
        <f>I42*I44-J43</f>
        <v>69000</v>
      </c>
      <c r="K44" s="218">
        <v>2</v>
      </c>
      <c r="L44" s="698"/>
      <c r="M44" s="699"/>
      <c r="N44" s="720"/>
      <c r="O44" s="721"/>
      <c r="P44" s="582" t="str">
        <f>IF(M44="en attente",J44,"")</f>
        <v/>
      </c>
      <c r="Q44" s="582">
        <f>IF(L44="",J44-M44,0)</f>
        <v>69000</v>
      </c>
      <c r="R44" s="722"/>
      <c r="S44" s="574"/>
    </row>
    <row r="45" spans="1:19" s="221" customFormat="1" ht="15.95" customHeight="1" outlineLevel="1" x14ac:dyDescent="0.2">
      <c r="A45" s="118"/>
      <c r="B45" s="585"/>
      <c r="C45" s="762"/>
      <c r="D45" s="714"/>
      <c r="E45" s="763"/>
      <c r="F45" s="564"/>
      <c r="G45" s="714"/>
      <c r="H45" s="587"/>
      <c r="I45" s="764">
        <v>1</v>
      </c>
      <c r="J45" s="589">
        <f>I42-J43-J44</f>
        <v>23000</v>
      </c>
      <c r="K45" s="566">
        <v>3</v>
      </c>
      <c r="L45" s="587"/>
      <c r="M45" s="590"/>
      <c r="N45" s="591"/>
      <c r="O45" s="592"/>
      <c r="P45" s="716" t="str">
        <f>IF(M45="en attente",J45,"")</f>
        <v/>
      </c>
      <c r="Q45" s="593">
        <f>IF(L45="",J45-M45,0)</f>
        <v>23000</v>
      </c>
      <c r="R45" s="593"/>
      <c r="S45" s="574"/>
    </row>
    <row r="46" spans="1:19" s="221" customFormat="1" ht="15.95" customHeight="1" x14ac:dyDescent="0.2">
      <c r="A46" s="46"/>
      <c r="B46" s="576"/>
      <c r="C46" s="584"/>
      <c r="D46" s="577"/>
      <c r="E46" s="577"/>
      <c r="F46" s="174"/>
      <c r="G46" s="577"/>
      <c r="H46" s="577"/>
      <c r="I46" s="578"/>
      <c r="J46" s="579"/>
      <c r="K46" s="218"/>
      <c r="L46" s="577"/>
      <c r="M46" s="580"/>
      <c r="N46" s="612"/>
      <c r="O46" s="581"/>
      <c r="P46" s="582"/>
      <c r="Q46" s="582"/>
      <c r="R46" s="582"/>
      <c r="S46" s="574"/>
    </row>
    <row r="47" spans="1:19" s="221" customFormat="1" ht="15.95" customHeight="1" x14ac:dyDescent="0.2">
      <c r="A47" s="46"/>
      <c r="B47" s="576"/>
      <c r="C47" s="584"/>
      <c r="D47" s="577"/>
      <c r="E47" s="577"/>
      <c r="F47" s="174"/>
      <c r="G47" s="577"/>
      <c r="H47" s="577"/>
      <c r="I47" s="578"/>
      <c r="J47" s="579"/>
      <c r="K47" s="218"/>
      <c r="L47" s="577"/>
      <c r="M47" s="580"/>
      <c r="N47" s="612"/>
      <c r="O47" s="581"/>
      <c r="P47" s="581"/>
      <c r="Q47" s="581"/>
      <c r="R47" s="582"/>
      <c r="S47" s="574"/>
    </row>
    <row r="48" spans="1:19" s="221" customFormat="1" ht="15.95" customHeight="1" x14ac:dyDescent="0.2">
      <c r="A48" s="118"/>
      <c r="B48" s="585"/>
      <c r="C48" s="586"/>
      <c r="D48" s="587"/>
      <c r="E48" s="587"/>
      <c r="F48" s="175"/>
      <c r="G48" s="587"/>
      <c r="H48" s="587"/>
      <c r="I48" s="588"/>
      <c r="J48" s="589"/>
      <c r="K48" s="566"/>
      <c r="L48" s="587"/>
      <c r="M48" s="590"/>
      <c r="N48" s="591"/>
      <c r="O48" s="592"/>
      <c r="P48" s="593"/>
      <c r="Q48" s="593"/>
      <c r="R48" s="593"/>
      <c r="S48" s="574"/>
    </row>
    <row r="49" spans="1:19" s="8" customFormat="1" x14ac:dyDescent="0.2">
      <c r="A49" s="48"/>
      <c r="B49" s="48"/>
      <c r="C49" s="48"/>
      <c r="D49" s="48"/>
      <c r="E49" s="48"/>
      <c r="F49" s="179"/>
      <c r="G49" s="48"/>
      <c r="H49" s="48"/>
      <c r="I49" s="41">
        <f>I6+I14+I10+I18+I22+I26+I30+I34+I38+I42</f>
        <v>2278655.56</v>
      </c>
      <c r="J49" s="41">
        <f>SUMPRODUCT((DateAF_LBU_rehab&lt;&gt;"")*(MontantAF_LBU_rehab))</f>
        <v>244390</v>
      </c>
      <c r="K49" s="49"/>
      <c r="L49" s="50"/>
      <c r="M49" s="41">
        <f>M6+M10+M14+M18+M22+M26+M30</f>
        <v>244390</v>
      </c>
      <c r="N49" s="86"/>
      <c r="O49" s="79"/>
      <c r="P49" s="82">
        <f>P6+P14+P10+P18+P22+P26+P30</f>
        <v>0</v>
      </c>
      <c r="Q49" s="82">
        <f>Q6+Q14+Q10+Q18+Q22+Q26+Q30+Q34+Q38+Q42</f>
        <v>2034265.56</v>
      </c>
      <c r="R49" s="82"/>
      <c r="S49" s="166">
        <f>I49-(M49+P49+Q49)</f>
        <v>0</v>
      </c>
    </row>
    <row r="50" spans="1:19" x14ac:dyDescent="0.2">
      <c r="A50" s="75"/>
      <c r="B50" s="76"/>
      <c r="C50" s="76"/>
      <c r="D50" s="76"/>
      <c r="E50" s="76"/>
      <c r="F50" s="180"/>
      <c r="G50" s="76"/>
      <c r="H50" s="76"/>
      <c r="I50" s="76"/>
      <c r="J50" s="76"/>
      <c r="K50" s="75"/>
      <c r="L50" s="76"/>
      <c r="M50" s="76"/>
      <c r="N50" s="87"/>
      <c r="O50" s="80"/>
      <c r="P50" s="921">
        <f>SUM(P49:Q49)</f>
        <v>2034265.56</v>
      </c>
      <c r="Q50" s="922"/>
    </row>
    <row r="51" spans="1:19" x14ac:dyDescent="0.2">
      <c r="J51" s="594"/>
    </row>
    <row r="52" spans="1:19" ht="12.75" thickBot="1" x14ac:dyDescent="0.25"/>
    <row r="53" spans="1:19" x14ac:dyDescent="0.2">
      <c r="J53" s="740" t="s">
        <v>219</v>
      </c>
      <c r="K53" s="913"/>
      <c r="L53" s="914"/>
      <c r="M53" s="743" t="s">
        <v>221</v>
      </c>
    </row>
    <row r="54" spans="1:19" ht="12.75" thickBot="1" x14ac:dyDescent="0.25">
      <c r="I54" s="1">
        <v>2018</v>
      </c>
      <c r="J54" s="744">
        <f>SUMPRODUCT((YEAR($I$60:$I$76)=I54)*$J$60:$J$76)</f>
        <v>244390</v>
      </c>
      <c r="K54" s="915"/>
      <c r="L54" s="916"/>
      <c r="M54" s="745">
        <f>SUMPRODUCT((YEAR($I$60:$I$76)=I54)*$M$60:$M$76)</f>
        <v>244390</v>
      </c>
    </row>
    <row r="55" spans="1:19" ht="12.75" thickBot="1" x14ac:dyDescent="0.25">
      <c r="I55" s="910">
        <v>2019</v>
      </c>
      <c r="J55" s="911">
        <f>SUMPRODUCT((YEAR($I$60:$I$76)=I55)*$J$60:$J$76)</f>
        <v>0</v>
      </c>
      <c r="K55" s="917"/>
      <c r="L55" s="918"/>
      <c r="M55" s="912">
        <f>SUMPRODUCT((YEAR($I$60:$I$76)=I55)*$M$60:$M$76)</f>
        <v>0</v>
      </c>
    </row>
    <row r="56" spans="1:19" ht="12.75" thickBot="1" x14ac:dyDescent="0.25">
      <c r="J56" s="766">
        <f>SUM(J54:J55)</f>
        <v>244390</v>
      </c>
      <c r="K56" s="919"/>
      <c r="L56" s="920"/>
      <c r="M56" s="767">
        <f>SUM(M54:M55)</f>
        <v>244390</v>
      </c>
    </row>
    <row r="57" spans="1:19" x14ac:dyDescent="0.2">
      <c r="J57" s="91">
        <f>J56-J49</f>
        <v>0</v>
      </c>
      <c r="M57" s="91">
        <f>M56-M49</f>
        <v>0</v>
      </c>
    </row>
    <row r="58" spans="1:19" x14ac:dyDescent="0.2">
      <c r="J58" s="91"/>
    </row>
    <row r="59" spans="1:19" x14ac:dyDescent="0.2">
      <c r="J59" s="371" t="s">
        <v>219</v>
      </c>
      <c r="M59" s="372" t="s">
        <v>221</v>
      </c>
    </row>
    <row r="60" spans="1:19" x14ac:dyDescent="0.2">
      <c r="I60" s="368">
        <v>43313</v>
      </c>
      <c r="J60" s="369">
        <f t="shared" ref="J60:J76" si="8">SUMPRODUCT((DateAF_LBU_rehab&lt;&gt;"")*(MONTH(DateAF_LBU_rehab)=MONTH(I60))*(YEAR(DateAF_LBU_rehab)=YEAR(I60))*MontantAF_LBU_rehab)</f>
        <v>13104</v>
      </c>
      <c r="M60" s="369">
        <f t="shared" ref="M60:M76" si="9">SUMPRODUCT((DatePmtRehab&lt;&gt;"")*(DatePmtRehab&lt;&gt;"en attente")*(MONTH(DatePmtRehab)=MONTH(I60))*(YEAR(DatePmtRehab)=YEAR(I60))*(ISNUMBER(MontantPayeRehab)),MontantPayeRehab)</f>
        <v>0</v>
      </c>
    </row>
    <row r="61" spans="1:19" x14ac:dyDescent="0.2">
      <c r="I61" s="368">
        <v>43344</v>
      </c>
      <c r="J61" s="369">
        <f t="shared" si="8"/>
        <v>150934</v>
      </c>
      <c r="M61" s="369">
        <f t="shared" si="9"/>
        <v>0</v>
      </c>
    </row>
    <row r="62" spans="1:19" x14ac:dyDescent="0.2">
      <c r="I62" s="368">
        <v>43374</v>
      </c>
      <c r="J62" s="369">
        <f t="shared" si="8"/>
        <v>80352</v>
      </c>
      <c r="M62" s="369">
        <f t="shared" si="9"/>
        <v>13104</v>
      </c>
    </row>
    <row r="63" spans="1:19" x14ac:dyDescent="0.2">
      <c r="I63" s="368">
        <v>43405</v>
      </c>
      <c r="J63" s="369">
        <f t="shared" si="8"/>
        <v>0</v>
      </c>
      <c r="M63" s="369">
        <f t="shared" si="9"/>
        <v>150934</v>
      </c>
    </row>
    <row r="64" spans="1:19" x14ac:dyDescent="0.2">
      <c r="I64" s="368">
        <v>43435</v>
      </c>
      <c r="J64" s="369">
        <f t="shared" si="8"/>
        <v>0</v>
      </c>
      <c r="M64" s="369">
        <f t="shared" si="9"/>
        <v>80352</v>
      </c>
    </row>
    <row r="65" spans="9:13" x14ac:dyDescent="0.2">
      <c r="I65" s="368">
        <v>43466</v>
      </c>
      <c r="J65" s="369">
        <f t="shared" si="8"/>
        <v>0</v>
      </c>
      <c r="M65" s="369">
        <f t="shared" si="9"/>
        <v>0</v>
      </c>
    </row>
    <row r="66" spans="9:13" x14ac:dyDescent="0.2">
      <c r="I66" s="368">
        <v>43497</v>
      </c>
      <c r="J66" s="369">
        <f t="shared" si="8"/>
        <v>0</v>
      </c>
      <c r="M66" s="369">
        <f t="shared" si="9"/>
        <v>0</v>
      </c>
    </row>
    <row r="67" spans="9:13" x14ac:dyDescent="0.2">
      <c r="I67" s="368">
        <v>43525</v>
      </c>
      <c r="J67" s="369">
        <f t="shared" si="8"/>
        <v>0</v>
      </c>
      <c r="M67" s="369">
        <f t="shared" si="9"/>
        <v>0</v>
      </c>
    </row>
    <row r="68" spans="9:13" x14ac:dyDescent="0.2">
      <c r="I68" s="368">
        <v>43556</v>
      </c>
      <c r="J68" s="369">
        <f t="shared" si="8"/>
        <v>0</v>
      </c>
      <c r="M68" s="369">
        <f t="shared" si="9"/>
        <v>0</v>
      </c>
    </row>
    <row r="69" spans="9:13" x14ac:dyDescent="0.2">
      <c r="I69" s="368">
        <v>43586</v>
      </c>
      <c r="J69" s="369">
        <f t="shared" si="8"/>
        <v>0</v>
      </c>
      <c r="M69" s="369">
        <f t="shared" si="9"/>
        <v>0</v>
      </c>
    </row>
    <row r="70" spans="9:13" x14ac:dyDescent="0.2">
      <c r="I70" s="368">
        <v>43617</v>
      </c>
      <c r="J70" s="369">
        <f t="shared" si="8"/>
        <v>0</v>
      </c>
      <c r="M70" s="369">
        <f t="shared" si="9"/>
        <v>0</v>
      </c>
    </row>
    <row r="71" spans="9:13" x14ac:dyDescent="0.2">
      <c r="I71" s="368">
        <v>43647</v>
      </c>
      <c r="J71" s="369">
        <f t="shared" si="8"/>
        <v>0</v>
      </c>
      <c r="M71" s="369">
        <f t="shared" si="9"/>
        <v>0</v>
      </c>
    </row>
    <row r="72" spans="9:13" x14ac:dyDescent="0.2">
      <c r="I72" s="368">
        <v>43678</v>
      </c>
      <c r="J72" s="369">
        <f t="shared" si="8"/>
        <v>0</v>
      </c>
      <c r="M72" s="369">
        <f t="shared" si="9"/>
        <v>0</v>
      </c>
    </row>
    <row r="73" spans="9:13" x14ac:dyDescent="0.2">
      <c r="I73" s="368">
        <v>43709</v>
      </c>
      <c r="J73" s="369">
        <f t="shared" si="8"/>
        <v>0</v>
      </c>
      <c r="M73" s="369">
        <f t="shared" si="9"/>
        <v>0</v>
      </c>
    </row>
    <row r="74" spans="9:13" x14ac:dyDescent="0.2">
      <c r="I74" s="368">
        <v>43739</v>
      </c>
      <c r="J74" s="369">
        <f t="shared" si="8"/>
        <v>0</v>
      </c>
      <c r="M74" s="369">
        <f t="shared" si="9"/>
        <v>0</v>
      </c>
    </row>
    <row r="75" spans="9:13" x14ac:dyDescent="0.2">
      <c r="I75" s="368">
        <v>43770</v>
      </c>
      <c r="J75" s="369">
        <f t="shared" si="8"/>
        <v>0</v>
      </c>
      <c r="M75" s="369">
        <f t="shared" si="9"/>
        <v>0</v>
      </c>
    </row>
    <row r="76" spans="9:13" x14ac:dyDescent="0.2">
      <c r="I76" s="368">
        <v>43800</v>
      </c>
      <c r="J76" s="369">
        <f t="shared" si="8"/>
        <v>0</v>
      </c>
      <c r="M76" s="369">
        <f t="shared" si="9"/>
        <v>0</v>
      </c>
    </row>
    <row r="77" spans="9:13" x14ac:dyDescent="0.2">
      <c r="J77" s="373">
        <f>SUM(J60:J76)</f>
        <v>244390</v>
      </c>
      <c r="K77" s="369"/>
      <c r="L77" s="369"/>
      <c r="M77" s="374">
        <f>SUM(M60:M76)</f>
        <v>244390</v>
      </c>
    </row>
    <row r="78" spans="9:13" x14ac:dyDescent="0.2">
      <c r="J78" s="91">
        <f>J77-K50</f>
        <v>244390</v>
      </c>
      <c r="M78" s="91">
        <f>M77-N50</f>
        <v>244390</v>
      </c>
    </row>
  </sheetData>
  <mergeCells count="10">
    <mergeCell ref="P50:Q50"/>
    <mergeCell ref="A2:P2"/>
    <mergeCell ref="A4:A5"/>
    <mergeCell ref="B4:B5"/>
    <mergeCell ref="C4:C5"/>
    <mergeCell ref="D4:D5"/>
    <mergeCell ref="G4:G5"/>
    <mergeCell ref="I4:I5"/>
    <mergeCell ref="J4:O4"/>
    <mergeCell ref="P4:Q4"/>
  </mergeCells>
  <conditionalFormatting sqref="F6">
    <cfRule type="cellIs" dxfId="107" priority="102" operator="greaterThan">
      <formula>$D$6</formula>
    </cfRule>
  </conditionalFormatting>
  <conditionalFormatting sqref="F14:F16">
    <cfRule type="cellIs" dxfId="106" priority="101" operator="greaterThan">
      <formula>$D$14</formula>
    </cfRule>
  </conditionalFormatting>
  <conditionalFormatting sqref="H6">
    <cfRule type="cellIs" dxfId="105" priority="71" operator="greaterThan">
      <formula>$G$6</formula>
    </cfRule>
  </conditionalFormatting>
  <conditionalFormatting sqref="H14:H16">
    <cfRule type="cellIs" dxfId="104" priority="70" operator="greaterThan">
      <formula>G14</formula>
    </cfRule>
  </conditionalFormatting>
  <conditionalFormatting sqref="F18:F20">
    <cfRule type="cellIs" dxfId="103" priority="18" operator="greaterThan">
      <formula>$D$14</formula>
    </cfRule>
  </conditionalFormatting>
  <conditionalFormatting sqref="H18:H20">
    <cfRule type="cellIs" dxfId="102" priority="17" operator="greaterThan">
      <formula>G18</formula>
    </cfRule>
  </conditionalFormatting>
  <conditionalFormatting sqref="F22:F25">
    <cfRule type="cellIs" dxfId="101" priority="16" operator="greaterThan">
      <formula>$D$14</formula>
    </cfRule>
  </conditionalFormatting>
  <conditionalFormatting sqref="H22:H25">
    <cfRule type="cellIs" dxfId="100" priority="15" operator="greaterThan">
      <formula>G22</formula>
    </cfRule>
  </conditionalFormatting>
  <conditionalFormatting sqref="F26:F28">
    <cfRule type="cellIs" dxfId="99" priority="14" operator="greaterThan">
      <formula>$D$14</formula>
    </cfRule>
  </conditionalFormatting>
  <conditionalFormatting sqref="H26:H28">
    <cfRule type="cellIs" dxfId="98" priority="13" operator="greaterThan">
      <formula>G26</formula>
    </cfRule>
  </conditionalFormatting>
  <conditionalFormatting sqref="F34:F36">
    <cfRule type="cellIs" dxfId="97" priority="8" operator="greaterThan">
      <formula>$D$14</formula>
    </cfRule>
  </conditionalFormatting>
  <conditionalFormatting sqref="H34:H36">
    <cfRule type="cellIs" dxfId="96" priority="7" operator="greaterThan">
      <formula>G34</formula>
    </cfRule>
  </conditionalFormatting>
  <conditionalFormatting sqref="H38:H40">
    <cfRule type="cellIs" dxfId="95" priority="5" operator="greaterThan">
      <formula>G38</formula>
    </cfRule>
  </conditionalFormatting>
  <conditionalFormatting sqref="F38:F40">
    <cfRule type="cellIs" dxfId="94" priority="6" operator="greaterThan">
      <formula>$D$14</formula>
    </cfRule>
  </conditionalFormatting>
  <conditionalFormatting sqref="H42:H44">
    <cfRule type="cellIs" dxfId="93" priority="3" operator="greaterThan">
      <formula>G42</formula>
    </cfRule>
  </conditionalFormatting>
  <conditionalFormatting sqref="H30:H32">
    <cfRule type="cellIs" dxfId="92" priority="1" operator="greaterThan">
      <formula>G30</formula>
    </cfRule>
  </conditionalFormatting>
  <conditionalFormatting sqref="F42:F44">
    <cfRule type="cellIs" dxfId="91" priority="4" operator="greaterThan">
      <formula>$D$14</formula>
    </cfRule>
  </conditionalFormatting>
  <conditionalFormatting sqref="F30:F32">
    <cfRule type="cellIs" dxfId="90" priority="2" operator="greaterThan">
      <formula>$D$14</formula>
    </cfRule>
  </conditionalFormatting>
  <pageMargins left="0.11811023622047245" right="0.11811023622047245" top="0.74803149606299213" bottom="0.74803149606299213" header="0.31496062992125984" footer="0.31496062992125984"/>
  <pageSetup paperSize="8" scale="70" orientation="landscape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rgb="FF00B050"/>
    <outlinePr summaryBelow="0"/>
  </sheetPr>
  <dimension ref="A1:T552"/>
  <sheetViews>
    <sheetView zoomScaleNormal="100" zoomScaleSheetLayoutView="100" workbookViewId="0">
      <pane xSplit="2" ySplit="5" topLeftCell="F137" activePane="bottomRight" state="frozen"/>
      <selection pane="topRight" activeCell="C1" sqref="C1"/>
      <selection pane="bottomLeft" activeCell="A6" sqref="A6"/>
      <selection pane="bottomRight" activeCell="A184" sqref="A184"/>
    </sheetView>
  </sheetViews>
  <sheetFormatPr baseColWidth="10" defaultColWidth="11.42578125" defaultRowHeight="12" outlineLevelRow="1" outlineLevelCol="1" x14ac:dyDescent="0.2"/>
  <cols>
    <col min="1" max="1" width="33.28515625" style="6" customWidth="1"/>
    <col min="2" max="2" width="17.42578125" style="1" customWidth="1" outlineLevel="1"/>
    <col min="3" max="3" width="14.28515625" style="1" customWidth="1"/>
    <col min="4" max="5" width="15.140625" style="1" customWidth="1"/>
    <col min="6" max="6" width="13.42578125" style="181" customWidth="1"/>
    <col min="7" max="7" width="16.140625" style="1" customWidth="1"/>
    <col min="8" max="8" width="13" style="1" customWidth="1"/>
    <col min="9" max="9" width="17.5703125" style="1" customWidth="1"/>
    <col min="10" max="10" width="16" style="1" customWidth="1"/>
    <col min="11" max="11" width="4.140625" style="6" bestFit="1" customWidth="1"/>
    <col min="12" max="12" width="10.42578125" style="1" bestFit="1" customWidth="1"/>
    <col min="13" max="13" width="16" style="1" customWidth="1"/>
    <col min="14" max="14" width="14.85546875" style="83" customWidth="1"/>
    <col min="15" max="15" width="18.5703125" style="77" bestFit="1" customWidth="1"/>
    <col min="16" max="16" width="17.5703125" style="1" customWidth="1"/>
    <col min="17" max="18" width="18.7109375" style="1" customWidth="1"/>
    <col min="19" max="19" width="11.42578125" style="166"/>
    <col min="20" max="16384" width="11.42578125" style="1"/>
  </cols>
  <sheetData>
    <row r="1" spans="1:20" x14ac:dyDescent="0.2">
      <c r="J1" s="91">
        <f>J538</f>
        <v>25983371.969999999</v>
      </c>
    </row>
    <row r="2" spans="1:20" x14ac:dyDescent="0.2">
      <c r="A2" s="923" t="s">
        <v>109</v>
      </c>
      <c r="B2" s="923"/>
      <c r="C2" s="923"/>
      <c r="D2" s="923"/>
      <c r="E2" s="923"/>
      <c r="F2" s="923"/>
      <c r="G2" s="923"/>
      <c r="H2" s="923"/>
      <c r="I2" s="923"/>
      <c r="J2" s="923"/>
      <c r="K2" s="923"/>
      <c r="L2" s="923"/>
      <c r="M2" s="923"/>
      <c r="N2" s="923"/>
      <c r="O2" s="923"/>
      <c r="P2" s="923"/>
      <c r="Q2" s="9">
        <f ca="1">TODAY()</f>
        <v>43593</v>
      </c>
      <c r="R2" s="9"/>
    </row>
    <row r="3" spans="1:20" x14ac:dyDescent="0.2">
      <c r="P3" s="91"/>
    </row>
    <row r="4" spans="1:20" s="2" customFormat="1" ht="24" customHeight="1" x14ac:dyDescent="0.2">
      <c r="A4" s="940" t="s">
        <v>2</v>
      </c>
      <c r="B4" s="928" t="s">
        <v>0</v>
      </c>
      <c r="C4" s="928" t="s">
        <v>21</v>
      </c>
      <c r="D4" s="940" t="s">
        <v>134</v>
      </c>
      <c r="E4" s="381" t="s">
        <v>239</v>
      </c>
      <c r="F4" s="171" t="s">
        <v>110</v>
      </c>
      <c r="G4" s="940" t="s">
        <v>115</v>
      </c>
      <c r="H4" s="114" t="s">
        <v>111</v>
      </c>
      <c r="I4" s="928" t="s">
        <v>12</v>
      </c>
      <c r="J4" s="924" t="s">
        <v>4</v>
      </c>
      <c r="K4" s="925"/>
      <c r="L4" s="925"/>
      <c r="M4" s="925"/>
      <c r="N4" s="925"/>
      <c r="O4" s="926"/>
      <c r="P4" s="927" t="s">
        <v>13</v>
      </c>
      <c r="Q4" s="928"/>
      <c r="R4" s="3" t="s">
        <v>107</v>
      </c>
      <c r="S4" s="167"/>
      <c r="T4" s="63"/>
    </row>
    <row r="5" spans="1:20" s="13" customFormat="1" x14ac:dyDescent="0.2">
      <c r="A5" s="941"/>
      <c r="B5" s="942"/>
      <c r="C5" s="942"/>
      <c r="D5" s="941"/>
      <c r="E5" s="382"/>
      <c r="F5" s="172"/>
      <c r="G5" s="941"/>
      <c r="H5" s="115"/>
      <c r="I5" s="942"/>
      <c r="J5" s="10" t="s">
        <v>1</v>
      </c>
      <c r="K5" s="11" t="s">
        <v>3</v>
      </c>
      <c r="L5" s="11" t="s">
        <v>15</v>
      </c>
      <c r="M5" s="12" t="s">
        <v>14</v>
      </c>
      <c r="N5" s="84" t="s">
        <v>15</v>
      </c>
      <c r="O5" s="78" t="s">
        <v>18</v>
      </c>
      <c r="P5" s="3" t="s">
        <v>20</v>
      </c>
      <c r="Q5" s="3" t="s">
        <v>19</v>
      </c>
      <c r="R5" s="3"/>
      <c r="S5" s="168"/>
    </row>
    <row r="6" spans="1:20" s="8" customFormat="1" collapsed="1" x14ac:dyDescent="0.2">
      <c r="A6" s="325" t="s">
        <v>39</v>
      </c>
      <c r="B6" s="398"/>
      <c r="C6" s="331">
        <v>40389</v>
      </c>
      <c r="D6" s="326">
        <f>DATE(YEAR(C6),MONTH(C6)+18,DAY(C6))</f>
        <v>40938</v>
      </c>
      <c r="E6" s="326"/>
      <c r="F6" s="424">
        <v>40499</v>
      </c>
      <c r="G6" s="326">
        <f>DATE(YEAR(C6)+4,MONTH(C6),DAY(C6))</f>
        <v>41850</v>
      </c>
      <c r="H6" s="326">
        <v>40910</v>
      </c>
      <c r="I6" s="327">
        <v>832014</v>
      </c>
      <c r="J6" s="328"/>
      <c r="K6" s="400"/>
      <c r="L6" s="332"/>
      <c r="M6" s="330">
        <f>SUM(M7:M12)</f>
        <v>832014</v>
      </c>
      <c r="N6" s="331"/>
      <c r="O6" s="425"/>
      <c r="P6" s="327">
        <f>SUM(P7:P12)</f>
        <v>0</v>
      </c>
      <c r="Q6" s="327">
        <f>SUM(Q7:Q12)</f>
        <v>0</v>
      </c>
      <c r="R6" s="327"/>
      <c r="S6" s="163">
        <f>I6-(M6+P6+Q6)</f>
        <v>0</v>
      </c>
    </row>
    <row r="7" spans="1:20" s="26" customFormat="1" hidden="1" outlineLevel="1" x14ac:dyDescent="0.2">
      <c r="A7" s="334" t="s">
        <v>39</v>
      </c>
      <c r="B7" s="353"/>
      <c r="C7" s="347"/>
      <c r="D7" s="347"/>
      <c r="E7" s="347"/>
      <c r="F7" s="426"/>
      <c r="G7" s="347"/>
      <c r="H7" s="347"/>
      <c r="I7" s="348">
        <f>J7/$I$6</f>
        <v>0.3</v>
      </c>
      <c r="J7" s="404">
        <v>249604.2</v>
      </c>
      <c r="K7" s="350">
        <v>1</v>
      </c>
      <c r="L7" s="352">
        <v>40519</v>
      </c>
      <c r="M7" s="349">
        <v>249604.2</v>
      </c>
      <c r="N7" s="352">
        <v>40632</v>
      </c>
      <c r="O7" s="410">
        <f t="shared" ref="O7:O12" si="0">IF(N7="",$Q$2-L7,N7-L7)</f>
        <v>113</v>
      </c>
      <c r="P7" s="354" t="str">
        <f t="shared" ref="P7:P12" si="1">IF(M7="en attente",J7,"")</f>
        <v/>
      </c>
      <c r="Q7" s="354">
        <f t="shared" ref="Q7:Q12" si="2">IF(L7="",J7-M7,0)</f>
        <v>0</v>
      </c>
      <c r="R7" s="354"/>
      <c r="S7" s="163"/>
    </row>
    <row r="8" spans="1:20" s="26" customFormat="1" hidden="1" outlineLevel="1" x14ac:dyDescent="0.2">
      <c r="A8" s="334" t="s">
        <v>39</v>
      </c>
      <c r="B8" s="353"/>
      <c r="C8" s="347"/>
      <c r="D8" s="347"/>
      <c r="E8" s="347"/>
      <c r="F8" s="426"/>
      <c r="G8" s="347"/>
      <c r="H8" s="347"/>
      <c r="I8" s="348">
        <f>J8/$I$6+I7</f>
        <v>0.41229999735581369</v>
      </c>
      <c r="J8" s="349">
        <v>93435.17</v>
      </c>
      <c r="K8" s="350">
        <v>2</v>
      </c>
      <c r="L8" s="347">
        <v>40711</v>
      </c>
      <c r="M8" s="349">
        <v>93435.17</v>
      </c>
      <c r="N8" s="352">
        <v>40779</v>
      </c>
      <c r="O8" s="410">
        <f t="shared" si="0"/>
        <v>68</v>
      </c>
      <c r="P8" s="354" t="str">
        <f t="shared" si="1"/>
        <v/>
      </c>
      <c r="Q8" s="354">
        <f t="shared" si="2"/>
        <v>0</v>
      </c>
      <c r="R8" s="354"/>
      <c r="S8" s="163"/>
    </row>
    <row r="9" spans="1:20" s="26" customFormat="1" hidden="1" outlineLevel="1" x14ac:dyDescent="0.2">
      <c r="A9" s="334" t="s">
        <v>39</v>
      </c>
      <c r="B9" s="353"/>
      <c r="C9" s="347"/>
      <c r="D9" s="347"/>
      <c r="E9" s="347"/>
      <c r="F9" s="426"/>
      <c r="G9" s="347"/>
      <c r="H9" s="347"/>
      <c r="I9" s="348">
        <f>J9/$I$6+I8</f>
        <v>0.60449999639429142</v>
      </c>
      <c r="J9" s="349">
        <v>159913.09</v>
      </c>
      <c r="K9" s="350">
        <v>3</v>
      </c>
      <c r="L9" s="347">
        <v>40799</v>
      </c>
      <c r="M9" s="351">
        <v>159913.09</v>
      </c>
      <c r="N9" s="352">
        <v>40969</v>
      </c>
      <c r="O9" s="410">
        <f t="shared" si="0"/>
        <v>170</v>
      </c>
      <c r="P9" s="354" t="str">
        <f t="shared" si="1"/>
        <v/>
      </c>
      <c r="Q9" s="354">
        <f t="shared" si="2"/>
        <v>0</v>
      </c>
      <c r="R9" s="354"/>
      <c r="S9" s="163"/>
    </row>
    <row r="10" spans="1:20" s="26" customFormat="1" hidden="1" outlineLevel="1" x14ac:dyDescent="0.2">
      <c r="A10" s="334" t="s">
        <v>39</v>
      </c>
      <c r="B10" s="353"/>
      <c r="C10" s="347"/>
      <c r="D10" s="347"/>
      <c r="E10" s="347"/>
      <c r="F10" s="426"/>
      <c r="G10" s="347"/>
      <c r="H10" s="347"/>
      <c r="I10" s="348">
        <f>J10/$I$6+I9</f>
        <v>0.66970000504799199</v>
      </c>
      <c r="J10" s="349">
        <v>54247.319999999992</v>
      </c>
      <c r="K10" s="350">
        <v>4</v>
      </c>
      <c r="L10" s="347">
        <v>40826</v>
      </c>
      <c r="M10" s="351">
        <v>54247.319999999992</v>
      </c>
      <c r="N10" s="352">
        <v>40969</v>
      </c>
      <c r="O10" s="410">
        <f t="shared" si="0"/>
        <v>143</v>
      </c>
      <c r="P10" s="354" t="str">
        <f t="shared" si="1"/>
        <v/>
      </c>
      <c r="Q10" s="354">
        <f t="shared" si="2"/>
        <v>0</v>
      </c>
      <c r="R10" s="354"/>
      <c r="S10" s="163"/>
    </row>
    <row r="11" spans="1:20" s="26" customFormat="1" hidden="1" outlineLevel="1" x14ac:dyDescent="0.2">
      <c r="A11" s="334" t="s">
        <v>39</v>
      </c>
      <c r="B11" s="353"/>
      <c r="C11" s="347"/>
      <c r="D11" s="347"/>
      <c r="E11" s="347"/>
      <c r="F11" s="426"/>
      <c r="G11" s="347"/>
      <c r="H11" s="347"/>
      <c r="I11" s="348">
        <f>J11/$I$6+I10</f>
        <v>0.8</v>
      </c>
      <c r="J11" s="349">
        <v>108411.42</v>
      </c>
      <c r="K11" s="350">
        <v>5</v>
      </c>
      <c r="L11" s="347">
        <v>40947</v>
      </c>
      <c r="M11" s="351">
        <v>108411.42</v>
      </c>
      <c r="N11" s="352">
        <v>40994</v>
      </c>
      <c r="O11" s="410">
        <f t="shared" si="0"/>
        <v>47</v>
      </c>
      <c r="P11" s="354" t="str">
        <f t="shared" si="1"/>
        <v/>
      </c>
      <c r="Q11" s="354">
        <f t="shared" si="2"/>
        <v>0</v>
      </c>
      <c r="R11" s="354"/>
      <c r="S11" s="163"/>
    </row>
    <row r="12" spans="1:20" s="26" customFormat="1" hidden="1" outlineLevel="1" x14ac:dyDescent="0.2">
      <c r="A12" s="356" t="s">
        <v>39</v>
      </c>
      <c r="B12" s="363"/>
      <c r="C12" s="358"/>
      <c r="D12" s="358"/>
      <c r="E12" s="358"/>
      <c r="F12" s="427"/>
      <c r="G12" s="358"/>
      <c r="H12" s="358"/>
      <c r="I12" s="428">
        <f>J12/$I$6+I11</f>
        <v>1</v>
      </c>
      <c r="J12" s="359">
        <v>166402.79999999999</v>
      </c>
      <c r="K12" s="360">
        <v>5</v>
      </c>
      <c r="L12" s="358">
        <v>42179</v>
      </c>
      <c r="M12" s="361">
        <v>166402.79999999999</v>
      </c>
      <c r="N12" s="362">
        <v>42254</v>
      </c>
      <c r="O12" s="429">
        <f t="shared" si="0"/>
        <v>75</v>
      </c>
      <c r="P12" s="437" t="str">
        <f t="shared" si="1"/>
        <v/>
      </c>
      <c r="Q12" s="364">
        <f t="shared" si="2"/>
        <v>0</v>
      </c>
      <c r="R12" s="364"/>
      <c r="S12" s="163"/>
    </row>
    <row r="13" spans="1:20" s="26" customFormat="1" collapsed="1" x14ac:dyDescent="0.2">
      <c r="A13" s="402" t="s">
        <v>40</v>
      </c>
      <c r="B13" s="353"/>
      <c r="C13" s="347">
        <v>40361</v>
      </c>
      <c r="D13" s="347"/>
      <c r="E13" s="347"/>
      <c r="F13" s="426"/>
      <c r="G13" s="347"/>
      <c r="H13" s="347"/>
      <c r="I13" s="409">
        <v>1425198</v>
      </c>
      <c r="J13" s="349"/>
      <c r="K13" s="350"/>
      <c r="L13" s="347"/>
      <c r="M13" s="407">
        <f>SUM(M14:M22)</f>
        <v>1425198</v>
      </c>
      <c r="N13" s="352"/>
      <c r="O13" s="410"/>
      <c r="P13" s="354">
        <f>+IF(L13="",0,J13-M13)</f>
        <v>0</v>
      </c>
      <c r="Q13" s="354">
        <f>SUM(Q14:Q22)</f>
        <v>0</v>
      </c>
      <c r="R13" s="354"/>
      <c r="S13" s="163"/>
    </row>
    <row r="14" spans="1:20" s="26" customFormat="1" hidden="1" outlineLevel="1" x14ac:dyDescent="0.2">
      <c r="A14" s="334" t="s">
        <v>40</v>
      </c>
      <c r="B14" s="422"/>
      <c r="C14" s="412"/>
      <c r="D14" s="412"/>
      <c r="E14" s="412"/>
      <c r="F14" s="423"/>
      <c r="G14" s="412"/>
      <c r="H14" s="412"/>
      <c r="I14" s="438"/>
      <c r="J14" s="404">
        <v>427559.4</v>
      </c>
      <c r="K14" s="350">
        <v>1</v>
      </c>
      <c r="L14" s="347">
        <v>40484</v>
      </c>
      <c r="M14" s="351">
        <v>427559.4</v>
      </c>
      <c r="N14" s="352">
        <v>40613</v>
      </c>
      <c r="O14" s="410">
        <f t="shared" ref="O14:O22" si="3">IF(N14="",$Q$2-L14,N14-L14)</f>
        <v>129</v>
      </c>
      <c r="P14" s="354">
        <f t="shared" ref="P14:P22" si="4">+IF(L14="",0,J14-M14)</f>
        <v>0</v>
      </c>
      <c r="Q14" s="354">
        <f t="shared" ref="Q14:Q22" si="5">IF(L14="",J14-M14,0)</f>
        <v>0</v>
      </c>
      <c r="R14" s="354"/>
      <c r="S14" s="163"/>
    </row>
    <row r="15" spans="1:20" hidden="1" outlineLevel="1" x14ac:dyDescent="0.2">
      <c r="A15" s="334" t="s">
        <v>40</v>
      </c>
      <c r="B15" s="335"/>
      <c r="C15" s="347"/>
      <c r="D15" s="347"/>
      <c r="E15" s="347"/>
      <c r="F15" s="426"/>
      <c r="G15" s="347"/>
      <c r="H15" s="347"/>
      <c r="I15" s="355"/>
      <c r="J15" s="349">
        <v>94205.59</v>
      </c>
      <c r="K15" s="350">
        <v>2</v>
      </c>
      <c r="L15" s="347">
        <v>40763</v>
      </c>
      <c r="M15" s="351">
        <v>94205.59</v>
      </c>
      <c r="N15" s="352">
        <v>40828</v>
      </c>
      <c r="O15" s="410">
        <f t="shared" si="3"/>
        <v>65</v>
      </c>
      <c r="P15" s="354">
        <f t="shared" si="4"/>
        <v>0</v>
      </c>
      <c r="Q15" s="354">
        <f t="shared" si="5"/>
        <v>0</v>
      </c>
      <c r="R15" s="354"/>
      <c r="S15" s="163"/>
    </row>
    <row r="16" spans="1:20" hidden="1" outlineLevel="1" x14ac:dyDescent="0.2">
      <c r="A16" s="334" t="s">
        <v>40</v>
      </c>
      <c r="B16" s="353"/>
      <c r="C16" s="347"/>
      <c r="D16" s="347"/>
      <c r="E16" s="347"/>
      <c r="F16" s="426"/>
      <c r="G16" s="347"/>
      <c r="H16" s="347"/>
      <c r="I16" s="355"/>
      <c r="J16" s="349">
        <v>65131.54</v>
      </c>
      <c r="K16" s="350">
        <v>3</v>
      </c>
      <c r="L16" s="347">
        <v>40800</v>
      </c>
      <c r="M16" s="351">
        <v>65131.54</v>
      </c>
      <c r="N16" s="352">
        <v>40868</v>
      </c>
      <c r="O16" s="410">
        <f t="shared" si="3"/>
        <v>68</v>
      </c>
      <c r="P16" s="354">
        <f t="shared" si="4"/>
        <v>0</v>
      </c>
      <c r="Q16" s="354">
        <f t="shared" si="5"/>
        <v>0</v>
      </c>
      <c r="R16" s="354"/>
      <c r="S16" s="163"/>
    </row>
    <row r="17" spans="1:19" hidden="1" outlineLevel="1" x14ac:dyDescent="0.2">
      <c r="A17" s="334" t="s">
        <v>40</v>
      </c>
      <c r="B17" s="353"/>
      <c r="C17" s="347"/>
      <c r="D17" s="347"/>
      <c r="E17" s="347"/>
      <c r="F17" s="426"/>
      <c r="G17" s="347"/>
      <c r="H17" s="347"/>
      <c r="I17" s="355"/>
      <c r="J17" s="349">
        <v>151213.51</v>
      </c>
      <c r="K17" s="350">
        <v>4</v>
      </c>
      <c r="L17" s="347">
        <v>40826</v>
      </c>
      <c r="M17" s="351">
        <v>151213.51</v>
      </c>
      <c r="N17" s="352">
        <v>40871</v>
      </c>
      <c r="O17" s="410">
        <f t="shared" si="3"/>
        <v>45</v>
      </c>
      <c r="P17" s="354">
        <f t="shared" si="4"/>
        <v>0</v>
      </c>
      <c r="Q17" s="354">
        <f t="shared" si="5"/>
        <v>0</v>
      </c>
      <c r="R17" s="354"/>
      <c r="S17" s="163"/>
    </row>
    <row r="18" spans="1:19" hidden="1" outlineLevel="1" x14ac:dyDescent="0.2">
      <c r="A18" s="334" t="s">
        <v>40</v>
      </c>
      <c r="B18" s="353"/>
      <c r="C18" s="347"/>
      <c r="D18" s="347"/>
      <c r="E18" s="347"/>
      <c r="F18" s="426"/>
      <c r="G18" s="347"/>
      <c r="H18" s="347"/>
      <c r="I18" s="355"/>
      <c r="J18" s="349">
        <v>97483.55</v>
      </c>
      <c r="K18" s="350">
        <v>5</v>
      </c>
      <c r="L18" s="347">
        <v>40883</v>
      </c>
      <c r="M18" s="351">
        <v>97483.55</v>
      </c>
      <c r="N18" s="352">
        <v>40995</v>
      </c>
      <c r="O18" s="410">
        <f t="shared" si="3"/>
        <v>112</v>
      </c>
      <c r="P18" s="354">
        <f t="shared" si="4"/>
        <v>0</v>
      </c>
      <c r="Q18" s="354">
        <f t="shared" si="5"/>
        <v>0</v>
      </c>
      <c r="R18" s="354"/>
      <c r="S18" s="163"/>
    </row>
    <row r="19" spans="1:19" hidden="1" outlineLevel="1" x14ac:dyDescent="0.2">
      <c r="A19" s="334" t="s">
        <v>40</v>
      </c>
      <c r="B19" s="353"/>
      <c r="C19" s="347"/>
      <c r="D19" s="347"/>
      <c r="E19" s="347"/>
      <c r="F19" s="426"/>
      <c r="G19" s="347"/>
      <c r="H19" s="347"/>
      <c r="I19" s="355"/>
      <c r="J19" s="349">
        <v>99193.78</v>
      </c>
      <c r="K19" s="350">
        <v>6</v>
      </c>
      <c r="L19" s="347">
        <v>40945</v>
      </c>
      <c r="M19" s="351">
        <v>99193.78</v>
      </c>
      <c r="N19" s="352">
        <v>41023</v>
      </c>
      <c r="O19" s="410">
        <f t="shared" si="3"/>
        <v>78</v>
      </c>
      <c r="P19" s="354">
        <f t="shared" si="4"/>
        <v>0</v>
      </c>
      <c r="Q19" s="354">
        <f t="shared" si="5"/>
        <v>0</v>
      </c>
      <c r="R19" s="354"/>
      <c r="S19" s="163"/>
    </row>
    <row r="20" spans="1:19" hidden="1" outlineLevel="1" x14ac:dyDescent="0.2">
      <c r="A20" s="334" t="s">
        <v>40</v>
      </c>
      <c r="B20" s="353"/>
      <c r="C20" s="347"/>
      <c r="D20" s="347"/>
      <c r="E20" s="347"/>
      <c r="F20" s="426"/>
      <c r="G20" s="347"/>
      <c r="H20" s="347"/>
      <c r="I20" s="355"/>
      <c r="J20" s="349">
        <v>129693.01999999999</v>
      </c>
      <c r="K20" s="350">
        <v>7</v>
      </c>
      <c r="L20" s="347">
        <v>41038</v>
      </c>
      <c r="M20" s="351">
        <v>129693.01999999999</v>
      </c>
      <c r="N20" s="352">
        <v>41093</v>
      </c>
      <c r="O20" s="410">
        <f t="shared" si="3"/>
        <v>55</v>
      </c>
      <c r="P20" s="354">
        <f t="shared" si="4"/>
        <v>0</v>
      </c>
      <c r="Q20" s="354">
        <f t="shared" si="5"/>
        <v>0</v>
      </c>
      <c r="R20" s="354"/>
      <c r="S20" s="163"/>
    </row>
    <row r="21" spans="1:19" hidden="1" outlineLevel="1" x14ac:dyDescent="0.2">
      <c r="A21" s="334" t="s">
        <v>40</v>
      </c>
      <c r="B21" s="353"/>
      <c r="C21" s="347"/>
      <c r="D21" s="347"/>
      <c r="E21" s="347"/>
      <c r="F21" s="426"/>
      <c r="G21" s="347"/>
      <c r="H21" s="347"/>
      <c r="I21" s="355"/>
      <c r="J21" s="349">
        <v>75678.009999999995</v>
      </c>
      <c r="K21" s="350">
        <v>8</v>
      </c>
      <c r="L21" s="347">
        <v>41129</v>
      </c>
      <c r="M21" s="351">
        <v>75678.009999999995</v>
      </c>
      <c r="N21" s="352">
        <v>41185</v>
      </c>
      <c r="O21" s="410">
        <f t="shared" si="3"/>
        <v>56</v>
      </c>
      <c r="P21" s="354">
        <f t="shared" si="4"/>
        <v>0</v>
      </c>
      <c r="Q21" s="354">
        <f t="shared" si="5"/>
        <v>0</v>
      </c>
      <c r="R21" s="354"/>
      <c r="S21" s="163"/>
    </row>
    <row r="22" spans="1:19" hidden="1" outlineLevel="1" x14ac:dyDescent="0.2">
      <c r="A22" s="334" t="s">
        <v>40</v>
      </c>
      <c r="B22" s="353"/>
      <c r="C22" s="347"/>
      <c r="D22" s="347"/>
      <c r="E22" s="347"/>
      <c r="F22" s="426"/>
      <c r="G22" s="347"/>
      <c r="H22" s="347"/>
      <c r="I22" s="355"/>
      <c r="J22" s="349">
        <v>285039.59999999998</v>
      </c>
      <c r="K22" s="350">
        <v>9</v>
      </c>
      <c r="L22" s="347">
        <v>41969</v>
      </c>
      <c r="M22" s="351">
        <v>285039.59999999998</v>
      </c>
      <c r="N22" s="352">
        <v>42153</v>
      </c>
      <c r="O22" s="410">
        <f t="shared" si="3"/>
        <v>184</v>
      </c>
      <c r="P22" s="354">
        <f t="shared" si="4"/>
        <v>0</v>
      </c>
      <c r="Q22" s="354">
        <f t="shared" si="5"/>
        <v>0</v>
      </c>
      <c r="R22" s="354"/>
      <c r="S22" s="163"/>
    </row>
    <row r="23" spans="1:19" s="107" customFormat="1" collapsed="1" x14ac:dyDescent="0.2">
      <c r="A23" s="325" t="s">
        <v>41</v>
      </c>
      <c r="B23" s="332"/>
      <c r="C23" s="326">
        <v>39818</v>
      </c>
      <c r="D23" s="326">
        <f>DATE(YEAR(C23),MONTH(C23)+18,DAY(C23))</f>
        <v>40364</v>
      </c>
      <c r="E23" s="326"/>
      <c r="F23" s="424">
        <v>39986</v>
      </c>
      <c r="G23" s="326">
        <f>DATE(YEAR(C23)+4,MONTH(C23),DAY(C23))</f>
        <v>41279</v>
      </c>
      <c r="H23" s="326">
        <v>40749</v>
      </c>
      <c r="I23" s="327">
        <v>2766905</v>
      </c>
      <c r="J23" s="328"/>
      <c r="K23" s="329"/>
      <c r="L23" s="326"/>
      <c r="M23" s="330">
        <f>SUM(M24:M33)</f>
        <v>2766905</v>
      </c>
      <c r="N23" s="331"/>
      <c r="O23" s="425"/>
      <c r="P23" s="333">
        <f>SUM(P24:P33)</f>
        <v>0</v>
      </c>
      <c r="Q23" s="333">
        <f>SUM(Q24:Q33)</f>
        <v>0</v>
      </c>
      <c r="R23" s="333"/>
      <c r="S23" s="163">
        <f>I23-(M23+P23+Q23)</f>
        <v>0</v>
      </c>
    </row>
    <row r="24" spans="1:19" s="26" customFormat="1" hidden="1" outlineLevel="1" x14ac:dyDescent="0.2">
      <c r="A24" s="334" t="s">
        <v>41</v>
      </c>
      <c r="B24" s="353"/>
      <c r="C24" s="347"/>
      <c r="D24" s="347"/>
      <c r="E24" s="347"/>
      <c r="F24" s="426"/>
      <c r="G24" s="347"/>
      <c r="H24" s="347"/>
      <c r="I24" s="348">
        <f>J24/$I$23</f>
        <v>0.3</v>
      </c>
      <c r="J24" s="349">
        <v>830071.5</v>
      </c>
      <c r="K24" s="350">
        <v>1</v>
      </c>
      <c r="L24" s="347">
        <v>40483</v>
      </c>
      <c r="M24" s="351">
        <v>830071.5</v>
      </c>
      <c r="N24" s="352">
        <v>40038</v>
      </c>
      <c r="O24" s="410"/>
      <c r="P24" s="354" t="str">
        <f t="shared" ref="P24:P33" si="6">IF(M24="en attente",J24,"")</f>
        <v/>
      </c>
      <c r="Q24" s="354">
        <f t="shared" ref="Q24:Q33" si="7">IF(L24="",J24-M24,0)</f>
        <v>0</v>
      </c>
      <c r="R24" s="354"/>
      <c r="S24" s="163"/>
    </row>
    <row r="25" spans="1:19" s="26" customFormat="1" hidden="1" outlineLevel="1" x14ac:dyDescent="0.2">
      <c r="A25" s="334" t="s">
        <v>41</v>
      </c>
      <c r="B25" s="353"/>
      <c r="C25" s="347"/>
      <c r="D25" s="347"/>
      <c r="E25" s="347"/>
      <c r="F25" s="426"/>
      <c r="G25" s="347"/>
      <c r="H25" s="347"/>
      <c r="I25" s="348">
        <f>J25/$I$23+I24</f>
        <v>0.32679999855434139</v>
      </c>
      <c r="J25" s="349">
        <v>74153.05</v>
      </c>
      <c r="K25" s="350">
        <v>2</v>
      </c>
      <c r="L25" s="347">
        <v>40483</v>
      </c>
      <c r="M25" s="351">
        <v>74153.05</v>
      </c>
      <c r="N25" s="352">
        <v>40315</v>
      </c>
      <c r="O25" s="410"/>
      <c r="P25" s="354" t="str">
        <f t="shared" si="6"/>
        <v/>
      </c>
      <c r="Q25" s="354">
        <f t="shared" si="7"/>
        <v>0</v>
      </c>
      <c r="R25" s="354"/>
      <c r="S25" s="163"/>
    </row>
    <row r="26" spans="1:19" s="26" customFormat="1" hidden="1" outlineLevel="1" x14ac:dyDescent="0.2">
      <c r="A26" s="334" t="s">
        <v>41</v>
      </c>
      <c r="B26" s="422"/>
      <c r="C26" s="412"/>
      <c r="D26" s="412"/>
      <c r="E26" s="412"/>
      <c r="F26" s="423"/>
      <c r="G26" s="412"/>
      <c r="H26" s="412"/>
      <c r="I26" s="348">
        <f t="shared" ref="I26:I33" si="8">J26/$I$23+I25</f>
        <v>0.35899999819292672</v>
      </c>
      <c r="J26" s="349">
        <v>89094.34</v>
      </c>
      <c r="K26" s="350">
        <v>3</v>
      </c>
      <c r="L26" s="347">
        <v>40483</v>
      </c>
      <c r="M26" s="351">
        <v>89094.34</v>
      </c>
      <c r="N26" s="352">
        <v>40347</v>
      </c>
      <c r="O26" s="410"/>
      <c r="P26" s="354" t="str">
        <f t="shared" si="6"/>
        <v/>
      </c>
      <c r="Q26" s="354">
        <f t="shared" si="7"/>
        <v>0</v>
      </c>
      <c r="R26" s="354"/>
      <c r="S26" s="163"/>
    </row>
    <row r="27" spans="1:19" s="26" customFormat="1" hidden="1" outlineLevel="1" x14ac:dyDescent="0.2">
      <c r="A27" s="334" t="s">
        <v>41</v>
      </c>
      <c r="B27" s="422"/>
      <c r="C27" s="412"/>
      <c r="D27" s="412"/>
      <c r="E27" s="412"/>
      <c r="F27" s="423"/>
      <c r="G27" s="412"/>
      <c r="H27" s="412"/>
      <c r="I27" s="348">
        <f t="shared" si="8"/>
        <v>0.41320000144565855</v>
      </c>
      <c r="J27" s="349">
        <v>149966.26</v>
      </c>
      <c r="K27" s="350">
        <v>4</v>
      </c>
      <c r="L27" s="347">
        <v>40483</v>
      </c>
      <c r="M27" s="351">
        <v>149966.26</v>
      </c>
      <c r="N27" s="352">
        <v>40366</v>
      </c>
      <c r="O27" s="410"/>
      <c r="P27" s="354" t="str">
        <f t="shared" si="6"/>
        <v/>
      </c>
      <c r="Q27" s="354">
        <f t="shared" si="7"/>
        <v>0</v>
      </c>
      <c r="R27" s="354"/>
      <c r="S27" s="163"/>
    </row>
    <row r="28" spans="1:19" s="26" customFormat="1" hidden="1" outlineLevel="1" x14ac:dyDescent="0.2">
      <c r="A28" s="334" t="s">
        <v>41</v>
      </c>
      <c r="B28" s="422"/>
      <c r="C28" s="412"/>
      <c r="D28" s="412"/>
      <c r="E28" s="412"/>
      <c r="F28" s="423"/>
      <c r="G28" s="412"/>
      <c r="H28" s="412"/>
      <c r="I28" s="348">
        <f t="shared" si="8"/>
        <v>0.4773000012649512</v>
      </c>
      <c r="J28" s="349">
        <v>177358.61000000002</v>
      </c>
      <c r="K28" s="350">
        <v>5</v>
      </c>
      <c r="L28" s="347">
        <v>40483</v>
      </c>
      <c r="M28" s="351">
        <v>177358.61000000002</v>
      </c>
      <c r="N28" s="352">
        <v>40396</v>
      </c>
      <c r="O28" s="410"/>
      <c r="P28" s="354" t="str">
        <f t="shared" si="6"/>
        <v/>
      </c>
      <c r="Q28" s="354">
        <f t="shared" si="7"/>
        <v>0</v>
      </c>
      <c r="R28" s="354"/>
      <c r="S28" s="163"/>
    </row>
    <row r="29" spans="1:19" s="26" customFormat="1" hidden="1" outlineLevel="1" x14ac:dyDescent="0.2">
      <c r="A29" s="334" t="s">
        <v>41</v>
      </c>
      <c r="B29" s="422"/>
      <c r="C29" s="412"/>
      <c r="D29" s="412"/>
      <c r="E29" s="412"/>
      <c r="F29" s="423"/>
      <c r="G29" s="412"/>
      <c r="H29" s="412"/>
      <c r="I29" s="348">
        <f t="shared" si="8"/>
        <v>0.61120000144565845</v>
      </c>
      <c r="J29" s="349">
        <v>370488.57999999996</v>
      </c>
      <c r="K29" s="350">
        <v>6</v>
      </c>
      <c r="L29" s="347">
        <v>40483</v>
      </c>
      <c r="M29" s="351">
        <v>370488.57999999996</v>
      </c>
      <c r="N29" s="352">
        <v>40497</v>
      </c>
      <c r="O29" s="410"/>
      <c r="P29" s="354" t="str">
        <f t="shared" si="6"/>
        <v/>
      </c>
      <c r="Q29" s="354">
        <f t="shared" si="7"/>
        <v>0</v>
      </c>
      <c r="R29" s="354"/>
      <c r="S29" s="163"/>
    </row>
    <row r="30" spans="1:19" s="26" customFormat="1" hidden="1" outlineLevel="1" x14ac:dyDescent="0.2">
      <c r="A30" s="334" t="s">
        <v>41</v>
      </c>
      <c r="B30" s="422"/>
      <c r="C30" s="412"/>
      <c r="D30" s="412"/>
      <c r="E30" s="412"/>
      <c r="F30" s="423"/>
      <c r="G30" s="412"/>
      <c r="H30" s="412"/>
      <c r="I30" s="348">
        <f t="shared" si="8"/>
        <v>0.68710000162636575</v>
      </c>
      <c r="J30" s="349">
        <v>210008.09</v>
      </c>
      <c r="K30" s="350">
        <v>7</v>
      </c>
      <c r="L30" s="347">
        <v>40483</v>
      </c>
      <c r="M30" s="351">
        <v>210008.09</v>
      </c>
      <c r="N30" s="352">
        <v>40528</v>
      </c>
      <c r="O30" s="410"/>
      <c r="P30" s="354" t="str">
        <f t="shared" si="6"/>
        <v/>
      </c>
      <c r="Q30" s="354">
        <f t="shared" si="7"/>
        <v>0</v>
      </c>
      <c r="R30" s="354"/>
      <c r="S30" s="163"/>
    </row>
    <row r="31" spans="1:19" s="26" customFormat="1" hidden="1" outlineLevel="1" x14ac:dyDescent="0.2">
      <c r="A31" s="334" t="s">
        <v>41</v>
      </c>
      <c r="B31" s="422"/>
      <c r="C31" s="412"/>
      <c r="D31" s="412"/>
      <c r="E31" s="412"/>
      <c r="F31" s="423"/>
      <c r="G31" s="412"/>
      <c r="H31" s="412"/>
      <c r="I31" s="348">
        <f t="shared" si="8"/>
        <v>0.78140000108424379</v>
      </c>
      <c r="J31" s="349">
        <v>260919.13999999998</v>
      </c>
      <c r="K31" s="350">
        <v>8</v>
      </c>
      <c r="L31" s="347">
        <v>40591</v>
      </c>
      <c r="M31" s="351">
        <v>260919.13999999998</v>
      </c>
      <c r="N31" s="352">
        <v>40687</v>
      </c>
      <c r="O31" s="410">
        <f>IF(N31="",$Q$2-L31,N31-L31)</f>
        <v>96</v>
      </c>
      <c r="P31" s="354" t="str">
        <f t="shared" si="6"/>
        <v/>
      </c>
      <c r="Q31" s="354">
        <f t="shared" si="7"/>
        <v>0</v>
      </c>
      <c r="R31" s="354"/>
      <c r="S31" s="163"/>
    </row>
    <row r="32" spans="1:19" s="26" customFormat="1" hidden="1" outlineLevel="1" x14ac:dyDescent="0.2">
      <c r="A32" s="334" t="s">
        <v>41</v>
      </c>
      <c r="B32" s="422"/>
      <c r="C32" s="412"/>
      <c r="D32" s="412"/>
      <c r="E32" s="412"/>
      <c r="F32" s="423"/>
      <c r="G32" s="412"/>
      <c r="H32" s="412"/>
      <c r="I32" s="348">
        <f t="shared" si="8"/>
        <v>0.79999999999999982</v>
      </c>
      <c r="J32" s="349">
        <v>51464.43</v>
      </c>
      <c r="K32" s="350">
        <v>9</v>
      </c>
      <c r="L32" s="347">
        <v>40641</v>
      </c>
      <c r="M32" s="351">
        <v>51464.43</v>
      </c>
      <c r="N32" s="352">
        <v>40716</v>
      </c>
      <c r="O32" s="410">
        <f>IF(N32="",$Q$2-L32,N32-L32)</f>
        <v>75</v>
      </c>
      <c r="P32" s="354" t="str">
        <f t="shared" si="6"/>
        <v/>
      </c>
      <c r="Q32" s="354">
        <f t="shared" si="7"/>
        <v>0</v>
      </c>
      <c r="R32" s="354"/>
      <c r="S32" s="163"/>
    </row>
    <row r="33" spans="1:19" s="26" customFormat="1" hidden="1" outlineLevel="1" x14ac:dyDescent="0.2">
      <c r="A33" s="334" t="s">
        <v>41</v>
      </c>
      <c r="B33" s="422"/>
      <c r="C33" s="412"/>
      <c r="D33" s="412"/>
      <c r="E33" s="412"/>
      <c r="F33" s="423"/>
      <c r="G33" s="412"/>
      <c r="H33" s="412"/>
      <c r="I33" s="348">
        <f t="shared" si="8"/>
        <v>0.99999999999999978</v>
      </c>
      <c r="J33" s="349">
        <v>553381</v>
      </c>
      <c r="K33" s="350">
        <v>10</v>
      </c>
      <c r="L33" s="347">
        <v>42149</v>
      </c>
      <c r="M33" s="351">
        <v>553381</v>
      </c>
      <c r="N33" s="352">
        <v>42222</v>
      </c>
      <c r="O33" s="410">
        <f>IF(N33="",$Q$2-L33,N33-L33)</f>
        <v>73</v>
      </c>
      <c r="P33" s="354" t="str">
        <f t="shared" si="6"/>
        <v/>
      </c>
      <c r="Q33" s="354">
        <f t="shared" si="7"/>
        <v>0</v>
      </c>
      <c r="R33" s="354"/>
      <c r="S33" s="163"/>
    </row>
    <row r="34" spans="1:19" s="107" customFormat="1" collapsed="1" x14ac:dyDescent="0.2">
      <c r="A34" s="325" t="s">
        <v>45</v>
      </c>
      <c r="B34" s="332"/>
      <c r="C34" s="326">
        <v>40491</v>
      </c>
      <c r="D34" s="326">
        <f>DATE(YEAR(C34),MONTH(C34)+18,DAY(C34))</f>
        <v>41038</v>
      </c>
      <c r="E34" s="326"/>
      <c r="F34" s="424">
        <v>40945</v>
      </c>
      <c r="G34" s="326">
        <f>DATE(YEAR(C34)+4,MONTH(C34),DAY(C34))</f>
        <v>41952</v>
      </c>
      <c r="H34" s="326">
        <v>41670</v>
      </c>
      <c r="I34" s="327">
        <v>1269605</v>
      </c>
      <c r="J34" s="328"/>
      <c r="K34" s="329"/>
      <c r="L34" s="326"/>
      <c r="M34" s="330">
        <f>SUM(M35:M43)</f>
        <v>1269605</v>
      </c>
      <c r="N34" s="331"/>
      <c r="O34" s="425"/>
      <c r="P34" s="333">
        <f>SUM(P35:P43)</f>
        <v>0</v>
      </c>
      <c r="Q34" s="333">
        <f>SUM(Q35:Q43)</f>
        <v>0</v>
      </c>
      <c r="R34" s="333"/>
      <c r="S34" s="163">
        <f>I34-(M34+P34+Q34)</f>
        <v>0</v>
      </c>
    </row>
    <row r="35" spans="1:19" s="26" customFormat="1" hidden="1" outlineLevel="1" x14ac:dyDescent="0.2">
      <c r="A35" s="334" t="s">
        <v>45</v>
      </c>
      <c r="B35" s="353"/>
      <c r="C35" s="347"/>
      <c r="D35" s="347"/>
      <c r="E35" s="347"/>
      <c r="F35" s="426"/>
      <c r="G35" s="347"/>
      <c r="H35" s="347"/>
      <c r="I35" s="348">
        <f>J35/$I$34</f>
        <v>0.3</v>
      </c>
      <c r="J35" s="349">
        <v>380881.5</v>
      </c>
      <c r="K35" s="350">
        <v>1</v>
      </c>
      <c r="L35" s="347">
        <v>40966</v>
      </c>
      <c r="M35" s="351">
        <v>380881.5</v>
      </c>
      <c r="N35" s="352">
        <v>41092</v>
      </c>
      <c r="O35" s="410">
        <f t="shared" ref="O35:O43" si="9">IF(N35="",$Q$2-L35,N35-L35)</f>
        <v>126</v>
      </c>
      <c r="P35" s="354" t="str">
        <f t="shared" ref="P35:P43" si="10">IF(M35="en attente",J35,"")</f>
        <v/>
      </c>
      <c r="Q35" s="354">
        <f t="shared" ref="Q35:Q43" si="11">IF(L35="",J35-M35,0)</f>
        <v>0</v>
      </c>
      <c r="R35" s="354"/>
      <c r="S35" s="163"/>
    </row>
    <row r="36" spans="1:19" s="26" customFormat="1" hidden="1" outlineLevel="1" x14ac:dyDescent="0.2">
      <c r="A36" s="334" t="s">
        <v>45</v>
      </c>
      <c r="B36" s="353"/>
      <c r="C36" s="347"/>
      <c r="D36" s="347"/>
      <c r="E36" s="347"/>
      <c r="F36" s="426"/>
      <c r="G36" s="347"/>
      <c r="H36" s="347"/>
      <c r="I36" s="348">
        <f t="shared" ref="I36:I43" si="12">J36/$I$34+I35</f>
        <v>0.33439999842470691</v>
      </c>
      <c r="J36" s="349">
        <v>43674.409999999996</v>
      </c>
      <c r="K36" s="350">
        <v>2</v>
      </c>
      <c r="L36" s="347">
        <v>41211</v>
      </c>
      <c r="M36" s="351">
        <v>43674.409999999996</v>
      </c>
      <c r="N36" s="352">
        <v>41243</v>
      </c>
      <c r="O36" s="410">
        <f t="shared" si="9"/>
        <v>32</v>
      </c>
      <c r="P36" s="354" t="str">
        <f t="shared" si="10"/>
        <v/>
      </c>
      <c r="Q36" s="354">
        <f t="shared" si="11"/>
        <v>0</v>
      </c>
      <c r="R36" s="354"/>
      <c r="S36" s="163"/>
    </row>
    <row r="37" spans="1:19" s="26" customFormat="1" hidden="1" outlineLevel="1" x14ac:dyDescent="0.2">
      <c r="A37" s="334" t="s">
        <v>45</v>
      </c>
      <c r="B37" s="353"/>
      <c r="C37" s="347"/>
      <c r="D37" s="347"/>
      <c r="E37" s="347"/>
      <c r="F37" s="426"/>
      <c r="G37" s="347"/>
      <c r="H37" s="347"/>
      <c r="I37" s="348">
        <f t="shared" si="12"/>
        <v>0.40370000118146987</v>
      </c>
      <c r="J37" s="349">
        <v>87983.63</v>
      </c>
      <c r="K37" s="350">
        <v>3</v>
      </c>
      <c r="L37" s="347">
        <v>41240</v>
      </c>
      <c r="M37" s="351">
        <v>87983.63</v>
      </c>
      <c r="N37" s="352">
        <v>41391</v>
      </c>
      <c r="O37" s="410">
        <f t="shared" si="9"/>
        <v>151</v>
      </c>
      <c r="P37" s="354" t="str">
        <f t="shared" si="10"/>
        <v/>
      </c>
      <c r="Q37" s="354">
        <f t="shared" si="11"/>
        <v>0</v>
      </c>
      <c r="R37" s="354"/>
      <c r="S37" s="163"/>
    </row>
    <row r="38" spans="1:19" s="26" customFormat="1" hidden="1" outlineLevel="1" x14ac:dyDescent="0.2">
      <c r="A38" s="334" t="s">
        <v>45</v>
      </c>
      <c r="B38" s="353"/>
      <c r="C38" s="347"/>
      <c r="D38" s="347"/>
      <c r="E38" s="347"/>
      <c r="F38" s="426"/>
      <c r="G38" s="347"/>
      <c r="H38" s="347"/>
      <c r="I38" s="348">
        <f t="shared" si="12"/>
        <v>0.47900000393823278</v>
      </c>
      <c r="J38" s="349">
        <v>95601.26</v>
      </c>
      <c r="K38" s="350">
        <v>4</v>
      </c>
      <c r="L38" s="347">
        <v>41313</v>
      </c>
      <c r="M38" s="351">
        <v>95601.26</v>
      </c>
      <c r="N38" s="352">
        <v>41416</v>
      </c>
      <c r="O38" s="410">
        <f t="shared" si="9"/>
        <v>103</v>
      </c>
      <c r="P38" s="354" t="str">
        <f t="shared" si="10"/>
        <v/>
      </c>
      <c r="Q38" s="354">
        <f t="shared" si="11"/>
        <v>0</v>
      </c>
      <c r="R38" s="354"/>
      <c r="S38" s="163"/>
    </row>
    <row r="39" spans="1:19" s="26" customFormat="1" hidden="1" outlineLevel="1" x14ac:dyDescent="0.2">
      <c r="A39" s="334" t="s">
        <v>45</v>
      </c>
      <c r="B39" s="353"/>
      <c r="C39" s="347"/>
      <c r="D39" s="347"/>
      <c r="E39" s="347"/>
      <c r="F39" s="426"/>
      <c r="G39" s="347"/>
      <c r="H39" s="347"/>
      <c r="I39" s="348">
        <f t="shared" si="12"/>
        <v>0.54780000078764657</v>
      </c>
      <c r="J39" s="349">
        <v>87348.819999999992</v>
      </c>
      <c r="K39" s="350">
        <v>5</v>
      </c>
      <c r="L39" s="347">
        <v>41360</v>
      </c>
      <c r="M39" s="351">
        <v>87348.819999999992</v>
      </c>
      <c r="N39" s="352">
        <v>41430</v>
      </c>
      <c r="O39" s="410">
        <f t="shared" si="9"/>
        <v>70</v>
      </c>
      <c r="P39" s="354" t="str">
        <f t="shared" si="10"/>
        <v/>
      </c>
      <c r="Q39" s="354">
        <f t="shared" si="11"/>
        <v>0</v>
      </c>
      <c r="R39" s="354"/>
      <c r="S39" s="163"/>
    </row>
    <row r="40" spans="1:19" s="26" customFormat="1" hidden="1" outlineLevel="1" x14ac:dyDescent="0.2">
      <c r="A40" s="334" t="s">
        <v>45</v>
      </c>
      <c r="B40" s="353"/>
      <c r="C40" s="347"/>
      <c r="D40" s="347"/>
      <c r="E40" s="347"/>
      <c r="F40" s="426"/>
      <c r="G40" s="347"/>
      <c r="H40" s="347"/>
      <c r="I40" s="348">
        <f t="shared" si="12"/>
        <v>0.61859999763706042</v>
      </c>
      <c r="J40" s="349">
        <v>89888.03</v>
      </c>
      <c r="K40" s="350">
        <v>6</v>
      </c>
      <c r="L40" s="347">
        <v>41422</v>
      </c>
      <c r="M40" s="351">
        <v>89888.03</v>
      </c>
      <c r="N40" s="352">
        <v>41473</v>
      </c>
      <c r="O40" s="410">
        <f t="shared" si="9"/>
        <v>51</v>
      </c>
      <c r="P40" s="354" t="str">
        <f t="shared" si="10"/>
        <v/>
      </c>
      <c r="Q40" s="354">
        <f t="shared" si="11"/>
        <v>0</v>
      </c>
      <c r="R40" s="354"/>
      <c r="S40" s="163"/>
    </row>
    <row r="41" spans="1:19" s="26" customFormat="1" hidden="1" outlineLevel="1" x14ac:dyDescent="0.2">
      <c r="A41" s="334" t="s">
        <v>45</v>
      </c>
      <c r="B41" s="353"/>
      <c r="C41" s="347"/>
      <c r="D41" s="347"/>
      <c r="E41" s="347"/>
      <c r="F41" s="426"/>
      <c r="G41" s="347"/>
      <c r="H41" s="347"/>
      <c r="I41" s="348">
        <f t="shared" si="12"/>
        <v>0.7272000031505863</v>
      </c>
      <c r="J41" s="349">
        <v>137879.11000000002</v>
      </c>
      <c r="K41" s="350">
        <v>7</v>
      </c>
      <c r="L41" s="347">
        <v>41466</v>
      </c>
      <c r="M41" s="351">
        <v>137879.11000000002</v>
      </c>
      <c r="N41" s="352">
        <v>41533</v>
      </c>
      <c r="O41" s="410">
        <f t="shared" si="9"/>
        <v>67</v>
      </c>
      <c r="P41" s="354" t="str">
        <f t="shared" si="10"/>
        <v/>
      </c>
      <c r="Q41" s="354">
        <f t="shared" si="11"/>
        <v>0</v>
      </c>
      <c r="R41" s="354"/>
      <c r="S41" s="163"/>
    </row>
    <row r="42" spans="1:19" s="26" customFormat="1" hidden="1" outlineLevel="1" x14ac:dyDescent="0.2">
      <c r="A42" s="334" t="s">
        <v>45</v>
      </c>
      <c r="B42" s="353"/>
      <c r="C42" s="347"/>
      <c r="D42" s="347"/>
      <c r="E42" s="347"/>
      <c r="F42" s="426"/>
      <c r="G42" s="347"/>
      <c r="H42" s="347"/>
      <c r="I42" s="348">
        <f t="shared" si="12"/>
        <v>0.8</v>
      </c>
      <c r="J42" s="349">
        <v>92427.24</v>
      </c>
      <c r="K42" s="350">
        <v>8</v>
      </c>
      <c r="L42" s="347">
        <v>41547</v>
      </c>
      <c r="M42" s="351">
        <v>92427.24</v>
      </c>
      <c r="N42" s="352">
        <v>41584</v>
      </c>
      <c r="O42" s="410">
        <f t="shared" si="9"/>
        <v>37</v>
      </c>
      <c r="P42" s="354" t="str">
        <f t="shared" si="10"/>
        <v/>
      </c>
      <c r="Q42" s="354">
        <f t="shared" si="11"/>
        <v>0</v>
      </c>
      <c r="R42" s="354"/>
      <c r="S42" s="163"/>
    </row>
    <row r="43" spans="1:19" s="26" customFormat="1" hidden="1" outlineLevel="1" x14ac:dyDescent="0.2">
      <c r="A43" s="334" t="s">
        <v>45</v>
      </c>
      <c r="B43" s="353"/>
      <c r="C43" s="347"/>
      <c r="D43" s="347"/>
      <c r="E43" s="347"/>
      <c r="F43" s="426"/>
      <c r="G43" s="347"/>
      <c r="H43" s="347"/>
      <c r="I43" s="348">
        <f t="shared" si="12"/>
        <v>1</v>
      </c>
      <c r="J43" s="349">
        <v>253921</v>
      </c>
      <c r="K43" s="350">
        <v>9</v>
      </c>
      <c r="L43" s="347">
        <v>42262</v>
      </c>
      <c r="M43" s="351">
        <v>253921</v>
      </c>
      <c r="N43" s="352">
        <v>42325</v>
      </c>
      <c r="O43" s="410">
        <f t="shared" si="9"/>
        <v>63</v>
      </c>
      <c r="P43" s="354" t="str">
        <f t="shared" si="10"/>
        <v/>
      </c>
      <c r="Q43" s="354">
        <f t="shared" si="11"/>
        <v>0</v>
      </c>
      <c r="R43" s="354"/>
      <c r="S43" s="163"/>
    </row>
    <row r="44" spans="1:19" s="107" customFormat="1" collapsed="1" x14ac:dyDescent="0.2">
      <c r="A44" s="325" t="s">
        <v>46</v>
      </c>
      <c r="B44" s="332" t="s">
        <v>234</v>
      </c>
      <c r="C44" s="326">
        <v>40491</v>
      </c>
      <c r="D44" s="326">
        <f>DATE(YEAR(C44),MONTH(C44)+18,DAY(C44))</f>
        <v>41038</v>
      </c>
      <c r="E44" s="326">
        <v>40721</v>
      </c>
      <c r="F44" s="424">
        <v>40721</v>
      </c>
      <c r="G44" s="326">
        <f>DATE(YEAR(C44)+4,MONTH(C44),DAY(C44))</f>
        <v>41952</v>
      </c>
      <c r="H44" s="326">
        <v>41479</v>
      </c>
      <c r="I44" s="327">
        <v>1173028</v>
      </c>
      <c r="J44" s="328"/>
      <c r="K44" s="329"/>
      <c r="L44" s="326"/>
      <c r="M44" s="330">
        <f>SUM(M45:M53)</f>
        <v>1173028</v>
      </c>
      <c r="N44" s="331"/>
      <c r="O44" s="425"/>
      <c r="P44" s="333">
        <f>SUM(P45:P53)</f>
        <v>0</v>
      </c>
      <c r="Q44" s="333">
        <f>SUM(Q45:Q53)</f>
        <v>0</v>
      </c>
      <c r="R44" s="333"/>
      <c r="S44" s="166">
        <f>I44-(M44+P44+Q44)</f>
        <v>0</v>
      </c>
    </row>
    <row r="45" spans="1:19" s="26" customFormat="1" hidden="1" outlineLevel="1" x14ac:dyDescent="0.2">
      <c r="A45" s="334" t="s">
        <v>46</v>
      </c>
      <c r="B45" s="353"/>
      <c r="C45" s="412" t="s">
        <v>224</v>
      </c>
      <c r="D45" s="347"/>
      <c r="E45" s="347"/>
      <c r="F45" s="426"/>
      <c r="G45" s="347"/>
      <c r="H45" s="347"/>
      <c r="I45" s="348">
        <f>J45/$I$44</f>
        <v>0.30000000000000004</v>
      </c>
      <c r="J45" s="349">
        <v>351908.4</v>
      </c>
      <c r="K45" s="350">
        <v>1</v>
      </c>
      <c r="L45" s="347">
        <v>40756</v>
      </c>
      <c r="M45" s="351">
        <v>351908.4</v>
      </c>
      <c r="N45" s="352">
        <v>40836</v>
      </c>
      <c r="O45" s="410">
        <f t="shared" ref="O45:O53" si="13">IF(N45="",$Q$2-L45,N45-L45)</f>
        <v>80</v>
      </c>
      <c r="P45" s="354" t="str">
        <f t="shared" ref="P45:P53" si="14">IF(M45="en attente",J45,"")</f>
        <v/>
      </c>
      <c r="Q45" s="354">
        <f t="shared" ref="Q45:Q53" si="15">IF(L45="",J45-M45,0)</f>
        <v>0</v>
      </c>
      <c r="R45" s="354"/>
      <c r="S45" s="163"/>
    </row>
    <row r="46" spans="1:19" s="26" customFormat="1" hidden="1" outlineLevel="1" x14ac:dyDescent="0.2">
      <c r="A46" s="334" t="s">
        <v>46</v>
      </c>
      <c r="B46" s="353"/>
      <c r="C46" s="347"/>
      <c r="D46" s="347"/>
      <c r="E46" s="347"/>
      <c r="F46" s="426"/>
      <c r="G46" s="347"/>
      <c r="H46" s="347"/>
      <c r="I46" s="348">
        <f t="shared" ref="I46:I53" si="16">J46/$I$44+I45</f>
        <v>0.36240000238698483</v>
      </c>
      <c r="J46" s="349">
        <v>73196.95</v>
      </c>
      <c r="K46" s="350">
        <v>2</v>
      </c>
      <c r="L46" s="347">
        <v>41038</v>
      </c>
      <c r="M46" s="351">
        <v>73196.95</v>
      </c>
      <c r="N46" s="352">
        <v>41142</v>
      </c>
      <c r="O46" s="410">
        <f t="shared" si="13"/>
        <v>104</v>
      </c>
      <c r="P46" s="354" t="str">
        <f t="shared" si="14"/>
        <v/>
      </c>
      <c r="Q46" s="354">
        <f t="shared" si="15"/>
        <v>0</v>
      </c>
      <c r="R46" s="354"/>
      <c r="S46" s="163"/>
    </row>
    <row r="47" spans="1:19" s="26" customFormat="1" hidden="1" outlineLevel="1" x14ac:dyDescent="0.2">
      <c r="A47" s="334" t="s">
        <v>46</v>
      </c>
      <c r="B47" s="353"/>
      <c r="C47" s="347"/>
      <c r="D47" s="347"/>
      <c r="E47" s="347"/>
      <c r="F47" s="426"/>
      <c r="G47" s="347"/>
      <c r="H47" s="347"/>
      <c r="I47" s="348">
        <f t="shared" si="16"/>
        <v>0.42009999761301525</v>
      </c>
      <c r="J47" s="349">
        <v>67683.709999999992</v>
      </c>
      <c r="K47" s="350">
        <v>3</v>
      </c>
      <c r="L47" s="347">
        <v>41072</v>
      </c>
      <c r="M47" s="351">
        <v>67683.709999999992</v>
      </c>
      <c r="N47" s="352">
        <v>41142</v>
      </c>
      <c r="O47" s="410">
        <f t="shared" si="13"/>
        <v>70</v>
      </c>
      <c r="P47" s="354" t="str">
        <f t="shared" si="14"/>
        <v/>
      </c>
      <c r="Q47" s="354">
        <f t="shared" si="15"/>
        <v>0</v>
      </c>
      <c r="R47" s="354"/>
      <c r="S47" s="163"/>
    </row>
    <row r="48" spans="1:19" s="26" customFormat="1" hidden="1" outlineLevel="1" x14ac:dyDescent="0.2">
      <c r="A48" s="334" t="s">
        <v>46</v>
      </c>
      <c r="B48" s="353"/>
      <c r="C48" s="347"/>
      <c r="D48" s="347"/>
      <c r="E48" s="347"/>
      <c r="F48" s="426"/>
      <c r="G48" s="347"/>
      <c r="H48" s="347"/>
      <c r="I48" s="348">
        <f t="shared" si="16"/>
        <v>0.50420000204598703</v>
      </c>
      <c r="J48" s="349">
        <v>98651.66</v>
      </c>
      <c r="K48" s="350">
        <v>4</v>
      </c>
      <c r="L48" s="347">
        <v>41129</v>
      </c>
      <c r="M48" s="351">
        <v>98651.66</v>
      </c>
      <c r="N48" s="352">
        <v>41170</v>
      </c>
      <c r="O48" s="410">
        <f t="shared" si="13"/>
        <v>41</v>
      </c>
      <c r="P48" s="354" t="str">
        <f t="shared" si="14"/>
        <v/>
      </c>
      <c r="Q48" s="354">
        <f t="shared" si="15"/>
        <v>0</v>
      </c>
      <c r="R48" s="354"/>
      <c r="S48" s="163"/>
    </row>
    <row r="49" spans="1:19" s="26" customFormat="1" hidden="1" outlineLevel="1" x14ac:dyDescent="0.2">
      <c r="A49" s="334" t="s">
        <v>46</v>
      </c>
      <c r="B49" s="353"/>
      <c r="C49" s="347"/>
      <c r="D49" s="347"/>
      <c r="E49" s="347"/>
      <c r="F49" s="426"/>
      <c r="G49" s="347"/>
      <c r="H49" s="347"/>
      <c r="I49" s="348">
        <f t="shared" si="16"/>
        <v>0.57100000170498921</v>
      </c>
      <c r="J49" s="349">
        <v>78358.26999999999</v>
      </c>
      <c r="K49" s="350">
        <v>5</v>
      </c>
      <c r="L49" s="347">
        <v>41190</v>
      </c>
      <c r="M49" s="351">
        <v>78358.26999999999</v>
      </c>
      <c r="N49" s="352">
        <v>41219</v>
      </c>
      <c r="O49" s="410">
        <f t="shared" si="13"/>
        <v>29</v>
      </c>
      <c r="P49" s="354" t="str">
        <f t="shared" si="14"/>
        <v/>
      </c>
      <c r="Q49" s="354">
        <f t="shared" si="15"/>
        <v>0</v>
      </c>
      <c r="R49" s="354"/>
      <c r="S49" s="163"/>
    </row>
    <row r="50" spans="1:19" s="26" customFormat="1" hidden="1" outlineLevel="1" x14ac:dyDescent="0.2">
      <c r="A50" s="334" t="s">
        <v>46</v>
      </c>
      <c r="B50" s="353"/>
      <c r="C50" s="347"/>
      <c r="D50" s="347"/>
      <c r="E50" s="347"/>
      <c r="F50" s="426"/>
      <c r="G50" s="347"/>
      <c r="H50" s="347"/>
      <c r="I50" s="348">
        <f t="shared" si="16"/>
        <v>0.6235000017049892</v>
      </c>
      <c r="J50" s="349">
        <v>61583.969999999994</v>
      </c>
      <c r="K50" s="350">
        <v>6</v>
      </c>
      <c r="L50" s="347">
        <v>41360</v>
      </c>
      <c r="M50" s="351">
        <v>61583.969999999994</v>
      </c>
      <c r="N50" s="352">
        <v>41430</v>
      </c>
      <c r="O50" s="410">
        <f t="shared" si="13"/>
        <v>70</v>
      </c>
      <c r="P50" s="354" t="str">
        <f t="shared" si="14"/>
        <v/>
      </c>
      <c r="Q50" s="354">
        <f t="shared" si="15"/>
        <v>0</v>
      </c>
      <c r="R50" s="354"/>
      <c r="S50" s="163"/>
    </row>
    <row r="51" spans="1:19" s="26" customFormat="1" hidden="1" outlineLevel="1" x14ac:dyDescent="0.2">
      <c r="A51" s="334" t="s">
        <v>46</v>
      </c>
      <c r="B51" s="353"/>
      <c r="C51" s="347"/>
      <c r="D51" s="347"/>
      <c r="E51" s="347"/>
      <c r="F51" s="426"/>
      <c r="G51" s="347"/>
      <c r="H51" s="347"/>
      <c r="I51" s="348">
        <f t="shared" si="16"/>
        <v>0.7225999976130153</v>
      </c>
      <c r="J51" s="349">
        <v>116247.06999999999</v>
      </c>
      <c r="K51" s="350">
        <v>7</v>
      </c>
      <c r="L51" s="347">
        <v>41305</v>
      </c>
      <c r="M51" s="351">
        <v>116247.06999999999</v>
      </c>
      <c r="N51" s="352">
        <v>41444</v>
      </c>
      <c r="O51" s="410">
        <f t="shared" si="13"/>
        <v>139</v>
      </c>
      <c r="P51" s="354" t="str">
        <f t="shared" si="14"/>
        <v/>
      </c>
      <c r="Q51" s="354">
        <f t="shared" si="15"/>
        <v>0</v>
      </c>
      <c r="R51" s="354"/>
      <c r="S51" s="163"/>
    </row>
    <row r="52" spans="1:19" s="26" customFormat="1" hidden="1" outlineLevel="1" x14ac:dyDescent="0.2">
      <c r="A52" s="334" t="s">
        <v>46</v>
      </c>
      <c r="B52" s="353"/>
      <c r="C52" s="347"/>
      <c r="D52" s="347"/>
      <c r="E52" s="347"/>
      <c r="F52" s="426"/>
      <c r="G52" s="347"/>
      <c r="H52" s="347"/>
      <c r="I52" s="348">
        <f t="shared" si="16"/>
        <v>0.8</v>
      </c>
      <c r="J52" s="349">
        <v>90792.37</v>
      </c>
      <c r="K52" s="350">
        <v>8</v>
      </c>
      <c r="L52" s="347">
        <v>41463</v>
      </c>
      <c r="M52" s="351">
        <v>90792.37</v>
      </c>
      <c r="N52" s="352">
        <v>41505</v>
      </c>
      <c r="O52" s="410">
        <f t="shared" si="13"/>
        <v>42</v>
      </c>
      <c r="P52" s="354" t="str">
        <f t="shared" si="14"/>
        <v/>
      </c>
      <c r="Q52" s="354">
        <f t="shared" si="15"/>
        <v>0</v>
      </c>
      <c r="R52" s="354"/>
      <c r="S52" s="163"/>
    </row>
    <row r="53" spans="1:19" s="26" customFormat="1" hidden="1" outlineLevel="1" x14ac:dyDescent="0.2">
      <c r="A53" s="356" t="s">
        <v>46</v>
      </c>
      <c r="B53" s="363"/>
      <c r="C53" s="358"/>
      <c r="D53" s="358"/>
      <c r="E53" s="358"/>
      <c r="F53" s="427"/>
      <c r="G53" s="358"/>
      <c r="H53" s="358"/>
      <c r="I53" s="428">
        <f t="shared" si="16"/>
        <v>1</v>
      </c>
      <c r="J53" s="359">
        <v>234605.6</v>
      </c>
      <c r="K53" s="360">
        <v>9</v>
      </c>
      <c r="L53" s="358">
        <v>42166</v>
      </c>
      <c r="M53" s="361">
        <v>234605.6</v>
      </c>
      <c r="N53" s="362">
        <v>42614</v>
      </c>
      <c r="O53" s="410">
        <f t="shared" si="13"/>
        <v>448</v>
      </c>
      <c r="P53" s="364" t="str">
        <f t="shared" si="14"/>
        <v/>
      </c>
      <c r="Q53" s="364">
        <f t="shared" si="15"/>
        <v>0</v>
      </c>
      <c r="R53" s="364"/>
      <c r="S53" s="163"/>
    </row>
    <row r="54" spans="1:19" s="107" customFormat="1" collapsed="1" x14ac:dyDescent="0.2">
      <c r="A54" s="402" t="s">
        <v>44</v>
      </c>
      <c r="B54" s="406" t="s">
        <v>236</v>
      </c>
      <c r="C54" s="414">
        <v>40730</v>
      </c>
      <c r="D54" s="326">
        <f>DATE(YEAR(C54),MONTH(C54)+18,DAY(C54))</f>
        <v>41280</v>
      </c>
      <c r="E54" s="414">
        <v>40889</v>
      </c>
      <c r="F54" s="419">
        <v>40939</v>
      </c>
      <c r="G54" s="326">
        <f>DATE(YEAR(C54)+4,MONTH(C54),DAY(C54))</f>
        <v>42191</v>
      </c>
      <c r="H54" s="326">
        <v>41689</v>
      </c>
      <c r="I54" s="409">
        <v>119398</v>
      </c>
      <c r="J54" s="404"/>
      <c r="K54" s="415"/>
      <c r="L54" s="414"/>
      <c r="M54" s="407">
        <f>SUM(M55:M61)</f>
        <v>119398</v>
      </c>
      <c r="N54" s="420"/>
      <c r="O54" s="421"/>
      <c r="P54" s="416">
        <f>SUM(P55:P61)</f>
        <v>0</v>
      </c>
      <c r="Q54" s="416">
        <f>SUM(Q55:Q61)</f>
        <v>0</v>
      </c>
      <c r="R54" s="416"/>
      <c r="S54" s="163">
        <f>I54-(M54+P54+Q54)</f>
        <v>0</v>
      </c>
    </row>
    <row r="55" spans="1:19" s="31" customFormat="1" hidden="1" outlineLevel="1" x14ac:dyDescent="0.2">
      <c r="A55" s="334" t="s">
        <v>44</v>
      </c>
      <c r="B55" s="422"/>
      <c r="C55" s="412" t="s">
        <v>224</v>
      </c>
      <c r="D55" s="412"/>
      <c r="E55" s="412"/>
      <c r="F55" s="423"/>
      <c r="G55" s="412"/>
      <c r="H55" s="412"/>
      <c r="I55" s="348">
        <f>J55/I54</f>
        <v>0.3</v>
      </c>
      <c r="J55" s="349">
        <v>35819.4</v>
      </c>
      <c r="K55" s="350">
        <v>1</v>
      </c>
      <c r="L55" s="347">
        <v>40953</v>
      </c>
      <c r="M55" s="351">
        <v>35819.4</v>
      </c>
      <c r="N55" s="352">
        <v>41023</v>
      </c>
      <c r="O55" s="410">
        <f t="shared" ref="O55:O61" si="17">IF(N55="",$Q$2-L55,N55-L55)</f>
        <v>70</v>
      </c>
      <c r="P55" s="354" t="str">
        <f t="shared" ref="P55:P61" si="18">IF(M55="en attente",J55,"")</f>
        <v/>
      </c>
      <c r="Q55" s="354">
        <f t="shared" ref="Q55:Q61" si="19">IF(L55="",J55-M55,0)</f>
        <v>0</v>
      </c>
      <c r="R55" s="354"/>
      <c r="S55" s="169"/>
    </row>
    <row r="56" spans="1:19" s="31" customFormat="1" hidden="1" outlineLevel="1" x14ac:dyDescent="0.2">
      <c r="A56" s="334" t="s">
        <v>44</v>
      </c>
      <c r="B56" s="422"/>
      <c r="C56" s="412"/>
      <c r="D56" s="412"/>
      <c r="E56" s="412"/>
      <c r="F56" s="423"/>
      <c r="G56" s="412"/>
      <c r="H56" s="412"/>
      <c r="I56" s="348">
        <f t="shared" ref="I56:I61" si="20">J56/$I$54+I55</f>
        <v>0.36399998324930061</v>
      </c>
      <c r="J56" s="349">
        <v>7641.4699999999993</v>
      </c>
      <c r="K56" s="350">
        <v>2</v>
      </c>
      <c r="L56" s="347">
        <v>41227</v>
      </c>
      <c r="M56" s="351">
        <v>7641.4699999999993</v>
      </c>
      <c r="N56" s="352">
        <v>41317</v>
      </c>
      <c r="O56" s="410">
        <f t="shared" si="17"/>
        <v>90</v>
      </c>
      <c r="P56" s="354" t="str">
        <f t="shared" si="18"/>
        <v/>
      </c>
      <c r="Q56" s="354">
        <f t="shared" si="19"/>
        <v>0</v>
      </c>
      <c r="R56" s="354"/>
      <c r="S56" s="169"/>
    </row>
    <row r="57" spans="1:19" s="31" customFormat="1" hidden="1" outlineLevel="1" x14ac:dyDescent="0.2">
      <c r="A57" s="334" t="s">
        <v>44</v>
      </c>
      <c r="B57" s="422"/>
      <c r="C57" s="412"/>
      <c r="D57" s="412"/>
      <c r="E57" s="412"/>
      <c r="F57" s="423"/>
      <c r="G57" s="412"/>
      <c r="H57" s="412"/>
      <c r="I57" s="348">
        <f t="shared" si="20"/>
        <v>0.49319996984874115</v>
      </c>
      <c r="J57" s="349">
        <v>15426.220000000001</v>
      </c>
      <c r="K57" s="350">
        <v>3</v>
      </c>
      <c r="L57" s="347">
        <v>41348</v>
      </c>
      <c r="M57" s="351">
        <v>15426.220000000001</v>
      </c>
      <c r="N57" s="352">
        <v>41416</v>
      </c>
      <c r="O57" s="410">
        <f t="shared" si="17"/>
        <v>68</v>
      </c>
      <c r="P57" s="354" t="str">
        <f t="shared" si="18"/>
        <v/>
      </c>
      <c r="Q57" s="354">
        <f t="shared" si="19"/>
        <v>0</v>
      </c>
      <c r="R57" s="354"/>
      <c r="S57" s="169"/>
    </row>
    <row r="58" spans="1:19" s="31" customFormat="1" hidden="1" outlineLevel="1" x14ac:dyDescent="0.2">
      <c r="A58" s="334" t="s">
        <v>44</v>
      </c>
      <c r="B58" s="422"/>
      <c r="C58" s="412"/>
      <c r="D58" s="412"/>
      <c r="E58" s="412"/>
      <c r="F58" s="423"/>
      <c r="G58" s="412"/>
      <c r="H58" s="412"/>
      <c r="I58" s="348">
        <f t="shared" si="20"/>
        <v>0.63489999832493005</v>
      </c>
      <c r="J58" s="349">
        <v>16918.7</v>
      </c>
      <c r="K58" s="350">
        <v>4</v>
      </c>
      <c r="L58" s="347">
        <v>41463</v>
      </c>
      <c r="M58" s="351">
        <v>16918.7</v>
      </c>
      <c r="N58" s="352">
        <v>41522</v>
      </c>
      <c r="O58" s="410">
        <f t="shared" si="17"/>
        <v>59</v>
      </c>
      <c r="P58" s="354" t="str">
        <f t="shared" si="18"/>
        <v/>
      </c>
      <c r="Q58" s="354">
        <f t="shared" si="19"/>
        <v>0</v>
      </c>
      <c r="R58" s="354"/>
      <c r="S58" s="169"/>
    </row>
    <row r="59" spans="1:19" s="31" customFormat="1" hidden="1" outlineLevel="1" x14ac:dyDescent="0.2">
      <c r="A59" s="334" t="s">
        <v>44</v>
      </c>
      <c r="B59" s="422"/>
      <c r="C59" s="412"/>
      <c r="D59" s="412"/>
      <c r="E59" s="412"/>
      <c r="F59" s="423"/>
      <c r="G59" s="412"/>
      <c r="H59" s="412"/>
      <c r="I59" s="348">
        <f t="shared" si="20"/>
        <v>0.72769996147339144</v>
      </c>
      <c r="J59" s="349">
        <v>11080.130000000001</v>
      </c>
      <c r="K59" s="350">
        <v>5</v>
      </c>
      <c r="L59" s="347">
        <v>41547</v>
      </c>
      <c r="M59" s="351">
        <v>11080.130000000001</v>
      </c>
      <c r="N59" s="352">
        <v>41582</v>
      </c>
      <c r="O59" s="410">
        <f t="shared" si="17"/>
        <v>35</v>
      </c>
      <c r="P59" s="354" t="str">
        <f t="shared" si="18"/>
        <v/>
      </c>
      <c r="Q59" s="354">
        <f t="shared" si="19"/>
        <v>0</v>
      </c>
      <c r="R59" s="354"/>
      <c r="S59" s="169"/>
    </row>
    <row r="60" spans="1:19" s="31" customFormat="1" hidden="1" outlineLevel="1" x14ac:dyDescent="0.2">
      <c r="A60" s="334" t="s">
        <v>44</v>
      </c>
      <c r="B60" s="422"/>
      <c r="C60" s="412"/>
      <c r="D60" s="412"/>
      <c r="E60" s="412"/>
      <c r="F60" s="423"/>
      <c r="G60" s="412"/>
      <c r="H60" s="412"/>
      <c r="I60" s="348">
        <f t="shared" si="20"/>
        <v>0.79999999999999993</v>
      </c>
      <c r="J60" s="349">
        <v>8632.48</v>
      </c>
      <c r="K60" s="350">
        <v>6</v>
      </c>
      <c r="L60" s="347">
        <v>41697</v>
      </c>
      <c r="M60" s="351">
        <v>8632.48</v>
      </c>
      <c r="N60" s="352">
        <v>41859</v>
      </c>
      <c r="O60" s="410">
        <f t="shared" si="17"/>
        <v>162</v>
      </c>
      <c r="P60" s="354" t="str">
        <f t="shared" si="18"/>
        <v/>
      </c>
      <c r="Q60" s="354">
        <f t="shared" si="19"/>
        <v>0</v>
      </c>
      <c r="R60" s="354"/>
      <c r="S60" s="169"/>
    </row>
    <row r="61" spans="1:19" s="31" customFormat="1" hidden="1" outlineLevel="1" x14ac:dyDescent="0.2">
      <c r="A61" s="334" t="s">
        <v>44</v>
      </c>
      <c r="B61" s="422"/>
      <c r="C61" s="412"/>
      <c r="D61" s="412"/>
      <c r="E61" s="412"/>
      <c r="F61" s="423"/>
      <c r="G61" s="412"/>
      <c r="H61" s="412"/>
      <c r="I61" s="348">
        <f t="shared" si="20"/>
        <v>0.99999999999999989</v>
      </c>
      <c r="J61" s="349">
        <f>I54-SUM(J55:J60)</f>
        <v>23879.599999999991</v>
      </c>
      <c r="K61" s="350">
        <v>7</v>
      </c>
      <c r="L61" s="347">
        <v>42423</v>
      </c>
      <c r="M61" s="351">
        <v>23879.599999999999</v>
      </c>
      <c r="N61" s="352">
        <v>42520</v>
      </c>
      <c r="O61" s="410">
        <f t="shared" si="17"/>
        <v>97</v>
      </c>
      <c r="P61" s="354" t="str">
        <f t="shared" si="18"/>
        <v/>
      </c>
      <c r="Q61" s="354">
        <f t="shared" si="19"/>
        <v>0</v>
      </c>
      <c r="R61" s="354"/>
      <c r="S61" s="169"/>
    </row>
    <row r="62" spans="1:19" s="8" customFormat="1" collapsed="1" x14ac:dyDescent="0.2">
      <c r="A62" s="325" t="s">
        <v>44</v>
      </c>
      <c r="B62" s="398" t="s">
        <v>237</v>
      </c>
      <c r="C62" s="326">
        <v>40722</v>
      </c>
      <c r="D62" s="326">
        <f>DATE(YEAR(C62),MONTH(C62)+18,DAY(C62))</f>
        <v>41271</v>
      </c>
      <c r="E62" s="326">
        <v>40889</v>
      </c>
      <c r="F62" s="424">
        <v>40939</v>
      </c>
      <c r="G62" s="326">
        <f>DATE(YEAR(C62)+4,MONTH(C62),DAY(C62))</f>
        <v>42183</v>
      </c>
      <c r="H62" s="326">
        <v>41689</v>
      </c>
      <c r="I62" s="327">
        <v>380000</v>
      </c>
      <c r="J62" s="328"/>
      <c r="K62" s="329"/>
      <c r="L62" s="332"/>
      <c r="M62" s="330">
        <f>SUM(M63:M69)</f>
        <v>380000</v>
      </c>
      <c r="N62" s="331"/>
      <c r="O62" s="425"/>
      <c r="P62" s="333">
        <f>SUM(P63:P69)</f>
        <v>0</v>
      </c>
      <c r="Q62" s="333">
        <f>SUM(Q63:Q69)</f>
        <v>0</v>
      </c>
      <c r="R62" s="333"/>
      <c r="S62" s="166">
        <f>I62-(M62+P62+Q62)</f>
        <v>0</v>
      </c>
    </row>
    <row r="63" spans="1:19" s="26" customFormat="1" hidden="1" outlineLevel="1" x14ac:dyDescent="0.2">
      <c r="A63" s="334" t="s">
        <v>44</v>
      </c>
      <c r="B63" s="353"/>
      <c r="C63" s="412" t="s">
        <v>224</v>
      </c>
      <c r="D63" s="347"/>
      <c r="E63" s="347"/>
      <c r="F63" s="426"/>
      <c r="G63" s="347"/>
      <c r="H63" s="347"/>
      <c r="I63" s="348">
        <f>J63/$I$62</f>
        <v>0.3</v>
      </c>
      <c r="J63" s="349">
        <v>114000</v>
      </c>
      <c r="K63" s="350">
        <v>1</v>
      </c>
      <c r="L63" s="347">
        <v>40953</v>
      </c>
      <c r="M63" s="351">
        <v>114000</v>
      </c>
      <c r="N63" s="352">
        <v>41023</v>
      </c>
      <c r="O63" s="410">
        <f t="shared" ref="O63:O69" si="21">IF(N63="",$Q$2-L63,N63-L63)</f>
        <v>70</v>
      </c>
      <c r="P63" s="354" t="str">
        <f t="shared" ref="P63:P69" si="22">IF(M63="en attente",J63,"")</f>
        <v/>
      </c>
      <c r="Q63" s="354">
        <f t="shared" ref="Q63:Q69" si="23">IF(L63="",J63-M63,0)</f>
        <v>0</v>
      </c>
      <c r="R63" s="354"/>
      <c r="S63" s="163"/>
    </row>
    <row r="64" spans="1:19" s="26" customFormat="1" hidden="1" outlineLevel="1" x14ac:dyDescent="0.2">
      <c r="A64" s="334" t="s">
        <v>44</v>
      </c>
      <c r="B64" s="353"/>
      <c r="C64" s="347"/>
      <c r="D64" s="347"/>
      <c r="E64" s="347"/>
      <c r="F64" s="426"/>
      <c r="G64" s="347"/>
      <c r="H64" s="347"/>
      <c r="I64" s="348">
        <f t="shared" ref="I64:I69" si="24">J64/$I$62+I63</f>
        <v>0.36399999999999999</v>
      </c>
      <c r="J64" s="349">
        <v>24320</v>
      </c>
      <c r="K64" s="350">
        <v>2</v>
      </c>
      <c r="L64" s="347">
        <v>41227</v>
      </c>
      <c r="M64" s="351">
        <v>24320</v>
      </c>
      <c r="N64" s="352">
        <v>41317</v>
      </c>
      <c r="O64" s="410">
        <f t="shared" si="21"/>
        <v>90</v>
      </c>
      <c r="P64" s="354" t="str">
        <f t="shared" si="22"/>
        <v/>
      </c>
      <c r="Q64" s="354">
        <f t="shared" si="23"/>
        <v>0</v>
      </c>
      <c r="R64" s="354"/>
      <c r="S64" s="163"/>
    </row>
    <row r="65" spans="1:19" s="26" customFormat="1" hidden="1" outlineLevel="1" x14ac:dyDescent="0.2">
      <c r="A65" s="334" t="s">
        <v>44</v>
      </c>
      <c r="B65" s="353"/>
      <c r="C65" s="347"/>
      <c r="D65" s="347"/>
      <c r="E65" s="347"/>
      <c r="F65" s="426"/>
      <c r="G65" s="347"/>
      <c r="H65" s="347"/>
      <c r="I65" s="348">
        <f t="shared" si="24"/>
        <v>0.49670000000000003</v>
      </c>
      <c r="J65" s="349">
        <v>50426</v>
      </c>
      <c r="K65" s="350">
        <v>3</v>
      </c>
      <c r="L65" s="347">
        <v>41348</v>
      </c>
      <c r="M65" s="351">
        <v>50426</v>
      </c>
      <c r="N65" s="352">
        <v>41416</v>
      </c>
      <c r="O65" s="410">
        <f t="shared" si="21"/>
        <v>68</v>
      </c>
      <c r="P65" s="354" t="str">
        <f t="shared" si="22"/>
        <v/>
      </c>
      <c r="Q65" s="354">
        <f t="shared" si="23"/>
        <v>0</v>
      </c>
      <c r="R65" s="354"/>
      <c r="S65" s="163"/>
    </row>
    <row r="66" spans="1:19" s="26" customFormat="1" hidden="1" outlineLevel="1" x14ac:dyDescent="0.2">
      <c r="A66" s="334" t="s">
        <v>44</v>
      </c>
      <c r="B66" s="353"/>
      <c r="C66" s="347"/>
      <c r="D66" s="347"/>
      <c r="E66" s="347"/>
      <c r="F66" s="426"/>
      <c r="G66" s="347"/>
      <c r="H66" s="347"/>
      <c r="I66" s="348">
        <f t="shared" si="24"/>
        <v>0.63929999999999998</v>
      </c>
      <c r="J66" s="349">
        <v>54188</v>
      </c>
      <c r="K66" s="350">
        <v>4</v>
      </c>
      <c r="L66" s="347">
        <v>41463</v>
      </c>
      <c r="M66" s="351">
        <v>54188</v>
      </c>
      <c r="N66" s="352">
        <v>41522</v>
      </c>
      <c r="O66" s="410">
        <f t="shared" si="21"/>
        <v>59</v>
      </c>
      <c r="P66" s="354" t="str">
        <f t="shared" si="22"/>
        <v/>
      </c>
      <c r="Q66" s="354">
        <f t="shared" si="23"/>
        <v>0</v>
      </c>
      <c r="R66" s="354"/>
      <c r="S66" s="163"/>
    </row>
    <row r="67" spans="1:19" s="26" customFormat="1" hidden="1" outlineLevel="1" x14ac:dyDescent="0.2">
      <c r="A67" s="334" t="s">
        <v>44</v>
      </c>
      <c r="B67" s="353"/>
      <c r="C67" s="347"/>
      <c r="D67" s="347"/>
      <c r="E67" s="347"/>
      <c r="F67" s="426"/>
      <c r="G67" s="347"/>
      <c r="H67" s="347"/>
      <c r="I67" s="348">
        <f t="shared" si="24"/>
        <v>0.73280000000000001</v>
      </c>
      <c r="J67" s="349">
        <v>35530</v>
      </c>
      <c r="K67" s="350">
        <v>5</v>
      </c>
      <c r="L67" s="347">
        <v>41547</v>
      </c>
      <c r="M67" s="351">
        <v>35530</v>
      </c>
      <c r="N67" s="352">
        <v>41582</v>
      </c>
      <c r="O67" s="410">
        <f t="shared" si="21"/>
        <v>35</v>
      </c>
      <c r="P67" s="354" t="str">
        <f t="shared" si="22"/>
        <v/>
      </c>
      <c r="Q67" s="354">
        <f t="shared" si="23"/>
        <v>0</v>
      </c>
      <c r="R67" s="354"/>
      <c r="S67" s="163"/>
    </row>
    <row r="68" spans="1:19" s="26" customFormat="1" hidden="1" outlineLevel="1" x14ac:dyDescent="0.2">
      <c r="A68" s="334" t="s">
        <v>44</v>
      </c>
      <c r="B68" s="353"/>
      <c r="C68" s="347"/>
      <c r="D68" s="347"/>
      <c r="E68" s="347"/>
      <c r="F68" s="426"/>
      <c r="G68" s="347"/>
      <c r="H68" s="347"/>
      <c r="I68" s="348">
        <f t="shared" si="24"/>
        <v>0.8</v>
      </c>
      <c r="J68" s="349">
        <v>25536</v>
      </c>
      <c r="K68" s="350">
        <v>6</v>
      </c>
      <c r="L68" s="347">
        <v>41697</v>
      </c>
      <c r="M68" s="351">
        <v>25536</v>
      </c>
      <c r="N68" s="352">
        <v>41859</v>
      </c>
      <c r="O68" s="410">
        <f t="shared" si="21"/>
        <v>162</v>
      </c>
      <c r="P68" s="354" t="str">
        <f t="shared" si="22"/>
        <v/>
      </c>
      <c r="Q68" s="354">
        <f t="shared" si="23"/>
        <v>0</v>
      </c>
      <c r="R68" s="354"/>
      <c r="S68" s="163"/>
    </row>
    <row r="69" spans="1:19" s="26" customFormat="1" hidden="1" outlineLevel="1" x14ac:dyDescent="0.2">
      <c r="A69" s="356" t="s">
        <v>44</v>
      </c>
      <c r="B69" s="363"/>
      <c r="C69" s="358"/>
      <c r="D69" s="358"/>
      <c r="E69" s="358"/>
      <c r="F69" s="427"/>
      <c r="G69" s="358"/>
      <c r="H69" s="358"/>
      <c r="I69" s="428">
        <f t="shared" si="24"/>
        <v>1</v>
      </c>
      <c r="J69" s="359">
        <v>76000</v>
      </c>
      <c r="K69" s="360">
        <v>7</v>
      </c>
      <c r="L69" s="358">
        <v>42423</v>
      </c>
      <c r="M69" s="361">
        <v>76000</v>
      </c>
      <c r="N69" s="362">
        <v>42520</v>
      </c>
      <c r="O69" s="429">
        <f t="shared" si="21"/>
        <v>97</v>
      </c>
      <c r="P69" s="364" t="str">
        <f t="shared" si="22"/>
        <v/>
      </c>
      <c r="Q69" s="364">
        <f t="shared" si="23"/>
        <v>0</v>
      </c>
      <c r="R69" s="364"/>
      <c r="S69" s="163"/>
    </row>
    <row r="70" spans="1:19" s="107" customFormat="1" collapsed="1" x14ac:dyDescent="0.2">
      <c r="A70" s="402" t="s">
        <v>47</v>
      </c>
      <c r="B70" s="406" t="s">
        <v>235</v>
      </c>
      <c r="C70" s="414">
        <v>40884</v>
      </c>
      <c r="D70" s="326">
        <f>DATE(YEAR(C70),MONTH(C70)+18,DAY(C70))</f>
        <v>41432</v>
      </c>
      <c r="E70" s="414">
        <v>40903</v>
      </c>
      <c r="F70" s="419">
        <v>40970</v>
      </c>
      <c r="G70" s="326">
        <f>DATE(YEAR(C70)+4,MONTH(C70),DAY(C70))</f>
        <v>42345</v>
      </c>
      <c r="H70" s="326">
        <v>41627</v>
      </c>
      <c r="I70" s="409">
        <v>620464</v>
      </c>
      <c r="J70" s="404"/>
      <c r="K70" s="415"/>
      <c r="L70" s="414"/>
      <c r="M70" s="407">
        <f>SUM(M71:M77)</f>
        <v>620464</v>
      </c>
      <c r="N70" s="420"/>
      <c r="O70" s="421"/>
      <c r="P70" s="416">
        <f>SUM(P71:P77)</f>
        <v>0</v>
      </c>
      <c r="Q70" s="416">
        <f>SUM(Q71:Q77)</f>
        <v>0</v>
      </c>
      <c r="R70" s="416"/>
      <c r="S70" s="166">
        <f>I70-(M70+P70+Q70)</f>
        <v>0</v>
      </c>
    </row>
    <row r="71" spans="1:19" s="26" customFormat="1" hidden="1" outlineLevel="1" x14ac:dyDescent="0.2">
      <c r="A71" s="334" t="s">
        <v>47</v>
      </c>
      <c r="B71" s="353"/>
      <c r="C71" s="412" t="s">
        <v>224</v>
      </c>
      <c r="D71" s="347"/>
      <c r="E71" s="347"/>
      <c r="F71" s="426"/>
      <c r="G71" s="347"/>
      <c r="H71" s="347"/>
      <c r="I71" s="348">
        <f>J71/$I$70</f>
        <v>0.30000000000000004</v>
      </c>
      <c r="J71" s="349">
        <v>186139.2</v>
      </c>
      <c r="K71" s="350">
        <v>1</v>
      </c>
      <c r="L71" s="347">
        <v>41003</v>
      </c>
      <c r="M71" s="351">
        <v>186139.2</v>
      </c>
      <c r="N71" s="352">
        <v>41065</v>
      </c>
      <c r="O71" s="410">
        <f t="shared" ref="O71:O77" si="25">IF(N71="",$Q$2-L71,N71-L71)</f>
        <v>62</v>
      </c>
      <c r="P71" s="354" t="str">
        <f t="shared" ref="P71:P77" si="26">IF(M71="en attente",J71,"")</f>
        <v/>
      </c>
      <c r="Q71" s="354">
        <f t="shared" ref="Q71:Q77" si="27">IF(L71="",J71-M71,0)</f>
        <v>0</v>
      </c>
      <c r="R71" s="354"/>
      <c r="S71" s="163"/>
    </row>
    <row r="72" spans="1:19" s="26" customFormat="1" hidden="1" outlineLevel="1" x14ac:dyDescent="0.2">
      <c r="A72" s="334" t="s">
        <v>47</v>
      </c>
      <c r="B72" s="353"/>
      <c r="C72" s="347"/>
      <c r="D72" s="347"/>
      <c r="E72" s="347"/>
      <c r="F72" s="426"/>
      <c r="G72" s="347"/>
      <c r="H72" s="347"/>
      <c r="I72" s="348">
        <f t="shared" ref="I72:I77" si="28">J72/$I$70+I71</f>
        <v>0.37989999419789067</v>
      </c>
      <c r="J72" s="349">
        <v>49575.07</v>
      </c>
      <c r="K72" s="350">
        <v>2</v>
      </c>
      <c r="L72" s="347">
        <v>41235</v>
      </c>
      <c r="M72" s="351">
        <v>49575.07</v>
      </c>
      <c r="N72" s="352">
        <v>41317</v>
      </c>
      <c r="O72" s="410">
        <f t="shared" si="25"/>
        <v>82</v>
      </c>
      <c r="P72" s="354" t="str">
        <f t="shared" si="26"/>
        <v/>
      </c>
      <c r="Q72" s="354">
        <f t="shared" si="27"/>
        <v>0</v>
      </c>
      <c r="R72" s="354"/>
      <c r="S72" s="163"/>
    </row>
    <row r="73" spans="1:19" s="26" customFormat="1" hidden="1" outlineLevel="1" x14ac:dyDescent="0.2">
      <c r="A73" s="334" t="s">
        <v>47</v>
      </c>
      <c r="B73" s="353"/>
      <c r="C73" s="347"/>
      <c r="D73" s="347"/>
      <c r="E73" s="347"/>
      <c r="F73" s="426"/>
      <c r="G73" s="347"/>
      <c r="H73" s="347"/>
      <c r="I73" s="348">
        <f t="shared" si="28"/>
        <v>0.52579999806596356</v>
      </c>
      <c r="J73" s="349">
        <v>90525.7</v>
      </c>
      <c r="K73" s="350">
        <v>3</v>
      </c>
      <c r="L73" s="347">
        <v>41313</v>
      </c>
      <c r="M73" s="351">
        <v>90525.7</v>
      </c>
      <c r="N73" s="352">
        <v>41388</v>
      </c>
      <c r="O73" s="410">
        <f t="shared" si="25"/>
        <v>75</v>
      </c>
      <c r="P73" s="354" t="str">
        <f t="shared" si="26"/>
        <v/>
      </c>
      <c r="Q73" s="354">
        <f t="shared" si="27"/>
        <v>0</v>
      </c>
      <c r="R73" s="354"/>
      <c r="S73" s="163"/>
    </row>
    <row r="74" spans="1:19" s="26" customFormat="1" hidden="1" outlineLevel="1" x14ac:dyDescent="0.2">
      <c r="A74" s="334" t="s">
        <v>47</v>
      </c>
      <c r="B74" s="353"/>
      <c r="C74" s="347"/>
      <c r="D74" s="347"/>
      <c r="E74" s="347"/>
      <c r="F74" s="426"/>
      <c r="G74" s="347"/>
      <c r="H74" s="347"/>
      <c r="I74" s="348">
        <f t="shared" si="28"/>
        <v>0.59159999613192715</v>
      </c>
      <c r="J74" s="349">
        <v>40826.53</v>
      </c>
      <c r="K74" s="350">
        <v>4</v>
      </c>
      <c r="L74" s="347">
        <v>41361</v>
      </c>
      <c r="M74" s="351">
        <v>40826.53</v>
      </c>
      <c r="N74" s="352">
        <v>41416</v>
      </c>
      <c r="O74" s="410">
        <f t="shared" si="25"/>
        <v>55</v>
      </c>
      <c r="P74" s="354" t="str">
        <f t="shared" si="26"/>
        <v/>
      </c>
      <c r="Q74" s="354">
        <f t="shared" si="27"/>
        <v>0</v>
      </c>
      <c r="R74" s="354"/>
      <c r="S74" s="163"/>
    </row>
    <row r="75" spans="1:19" s="26" customFormat="1" hidden="1" outlineLevel="1" x14ac:dyDescent="0.2">
      <c r="A75" s="334" t="s">
        <v>47</v>
      </c>
      <c r="B75" s="353"/>
      <c r="C75" s="347"/>
      <c r="D75" s="347"/>
      <c r="E75" s="347"/>
      <c r="F75" s="426"/>
      <c r="G75" s="347"/>
      <c r="H75" s="347"/>
      <c r="I75" s="348">
        <f t="shared" si="28"/>
        <v>0.69980000451275182</v>
      </c>
      <c r="J75" s="349">
        <v>67134.209999999992</v>
      </c>
      <c r="K75" s="350">
        <v>5</v>
      </c>
      <c r="L75" s="347">
        <v>41423</v>
      </c>
      <c r="M75" s="351">
        <v>67134.209999999992</v>
      </c>
      <c r="N75" s="352">
        <v>41473</v>
      </c>
      <c r="O75" s="410">
        <f t="shared" si="25"/>
        <v>50</v>
      </c>
      <c r="P75" s="354" t="str">
        <f t="shared" si="26"/>
        <v/>
      </c>
      <c r="Q75" s="354">
        <f t="shared" si="27"/>
        <v>0</v>
      </c>
      <c r="R75" s="354"/>
      <c r="S75" s="163"/>
    </row>
    <row r="76" spans="1:19" s="26" customFormat="1" hidden="1" outlineLevel="1" x14ac:dyDescent="0.2">
      <c r="A76" s="334" t="s">
        <v>47</v>
      </c>
      <c r="B76" s="353"/>
      <c r="C76" s="347"/>
      <c r="D76" s="347"/>
      <c r="E76" s="347"/>
      <c r="F76" s="426"/>
      <c r="G76" s="347"/>
      <c r="H76" s="347"/>
      <c r="I76" s="348">
        <f t="shared" si="28"/>
        <v>0.8</v>
      </c>
      <c r="J76" s="349">
        <v>62170.490000000005</v>
      </c>
      <c r="K76" s="350">
        <v>6</v>
      </c>
      <c r="L76" s="347">
        <v>41463</v>
      </c>
      <c r="M76" s="351">
        <v>62170.490000000005</v>
      </c>
      <c r="N76" s="352">
        <v>41522</v>
      </c>
      <c r="O76" s="410">
        <f t="shared" si="25"/>
        <v>59</v>
      </c>
      <c r="P76" s="354" t="str">
        <f t="shared" si="26"/>
        <v/>
      </c>
      <c r="Q76" s="354">
        <f t="shared" si="27"/>
        <v>0</v>
      </c>
      <c r="R76" s="354"/>
      <c r="S76" s="163"/>
    </row>
    <row r="77" spans="1:19" s="26" customFormat="1" hidden="1" outlineLevel="1" x14ac:dyDescent="0.2">
      <c r="A77" s="334" t="s">
        <v>47</v>
      </c>
      <c r="B77" s="353"/>
      <c r="C77" s="347"/>
      <c r="D77" s="347"/>
      <c r="E77" s="347"/>
      <c r="F77" s="426"/>
      <c r="G77" s="347"/>
      <c r="H77" s="347"/>
      <c r="I77" s="348">
        <f t="shared" si="28"/>
        <v>1</v>
      </c>
      <c r="J77" s="349">
        <v>124092.8</v>
      </c>
      <c r="K77" s="350">
        <v>7</v>
      </c>
      <c r="L77" s="347">
        <v>42318</v>
      </c>
      <c r="M77" s="351">
        <v>124092.8</v>
      </c>
      <c r="N77" s="352">
        <v>42558</v>
      </c>
      <c r="O77" s="410">
        <f t="shared" si="25"/>
        <v>240</v>
      </c>
      <c r="P77" s="354" t="str">
        <f t="shared" si="26"/>
        <v/>
      </c>
      <c r="Q77" s="354">
        <f t="shared" si="27"/>
        <v>0</v>
      </c>
      <c r="R77" s="354"/>
      <c r="S77" s="163"/>
    </row>
    <row r="78" spans="1:19" s="107" customFormat="1" collapsed="1" x14ac:dyDescent="0.2">
      <c r="A78" s="325" t="s">
        <v>49</v>
      </c>
      <c r="B78" s="332"/>
      <c r="C78" s="326">
        <v>40848</v>
      </c>
      <c r="D78" s="326">
        <f>DATE(YEAR(C78),MONTH(C78)+18,DAY(C78))</f>
        <v>41395</v>
      </c>
      <c r="E78" s="326"/>
      <c r="F78" s="424">
        <v>40924</v>
      </c>
      <c r="G78" s="326">
        <f>DATE(YEAR(C78)+4,MONTH(C78),DAY(C78))</f>
        <v>42309</v>
      </c>
      <c r="H78" s="326">
        <v>41429</v>
      </c>
      <c r="I78" s="327">
        <v>355000</v>
      </c>
      <c r="J78" s="328"/>
      <c r="K78" s="329"/>
      <c r="L78" s="326"/>
      <c r="M78" s="330">
        <f>SUM(M79:M83)</f>
        <v>355000</v>
      </c>
      <c r="N78" s="331"/>
      <c r="O78" s="425"/>
      <c r="P78" s="333">
        <f>SUM(P79:P83)</f>
        <v>0</v>
      </c>
      <c r="Q78" s="333">
        <f>SUM(Q79:Q83)</f>
        <v>0</v>
      </c>
      <c r="R78" s="333"/>
      <c r="S78" s="166">
        <f>I78-(M78+P78+Q78)</f>
        <v>0</v>
      </c>
    </row>
    <row r="79" spans="1:19" s="26" customFormat="1" hidden="1" outlineLevel="1" x14ac:dyDescent="0.2">
      <c r="A79" s="334" t="s">
        <v>49</v>
      </c>
      <c r="B79" s="353"/>
      <c r="C79" s="347"/>
      <c r="D79" s="347"/>
      <c r="E79" s="347"/>
      <c r="F79" s="426"/>
      <c r="G79" s="347"/>
      <c r="H79" s="347"/>
      <c r="I79" s="348">
        <f>J79/$I$78</f>
        <v>0.3</v>
      </c>
      <c r="J79" s="349">
        <v>106500</v>
      </c>
      <c r="K79" s="350">
        <v>1</v>
      </c>
      <c r="L79" s="347">
        <v>41052</v>
      </c>
      <c r="M79" s="351">
        <v>106500</v>
      </c>
      <c r="N79" s="352">
        <v>41102</v>
      </c>
      <c r="O79" s="410">
        <f>IF(N79="",$Q$2-L79,N79-L79)</f>
        <v>50</v>
      </c>
      <c r="P79" s="354" t="str">
        <f>IF(M79="en attente",J79,"")</f>
        <v/>
      </c>
      <c r="Q79" s="354">
        <f>IF(L79="",J79-M79,0)</f>
        <v>0</v>
      </c>
      <c r="R79" s="354"/>
      <c r="S79" s="163"/>
    </row>
    <row r="80" spans="1:19" s="26" customFormat="1" hidden="1" outlineLevel="1" x14ac:dyDescent="0.2">
      <c r="A80" s="334" t="s">
        <v>49</v>
      </c>
      <c r="B80" s="353"/>
      <c r="C80" s="347"/>
      <c r="D80" s="347"/>
      <c r="E80" s="347"/>
      <c r="F80" s="426"/>
      <c r="G80" s="347"/>
      <c r="H80" s="347"/>
      <c r="I80" s="348">
        <f>J80/$I$78+I79</f>
        <v>0.55659999999999998</v>
      </c>
      <c r="J80" s="349">
        <v>91093</v>
      </c>
      <c r="K80" s="350">
        <v>2</v>
      </c>
      <c r="L80" s="347">
        <v>41200</v>
      </c>
      <c r="M80" s="351">
        <v>91093</v>
      </c>
      <c r="N80" s="352">
        <v>41243</v>
      </c>
      <c r="O80" s="410">
        <f>IF(N80="",$Q$2-L80,N80-L80)</f>
        <v>43</v>
      </c>
      <c r="P80" s="354" t="str">
        <f>IF(M80="en attente",J80,"")</f>
        <v/>
      </c>
      <c r="Q80" s="354">
        <f>IF(L80="",J80-M80,0)</f>
        <v>0</v>
      </c>
      <c r="R80" s="354"/>
      <c r="S80" s="163"/>
    </row>
    <row r="81" spans="1:19" s="26" customFormat="1" hidden="1" outlineLevel="1" x14ac:dyDescent="0.2">
      <c r="A81" s="334" t="s">
        <v>49</v>
      </c>
      <c r="B81" s="353"/>
      <c r="C81" s="347"/>
      <c r="D81" s="347"/>
      <c r="E81" s="347"/>
      <c r="F81" s="426"/>
      <c r="G81" s="347"/>
      <c r="H81" s="347"/>
      <c r="I81" s="348">
        <f>J81/$I$78+I80</f>
        <v>0.65239999999999998</v>
      </c>
      <c r="J81" s="349">
        <v>34009</v>
      </c>
      <c r="K81" s="350">
        <v>3</v>
      </c>
      <c r="L81" s="347">
        <v>41362</v>
      </c>
      <c r="M81" s="351">
        <v>34009</v>
      </c>
      <c r="N81" s="352">
        <v>41444</v>
      </c>
      <c r="O81" s="410">
        <f>IF(N81="",$Q$2-L81,N81-L81)</f>
        <v>82</v>
      </c>
      <c r="P81" s="354" t="str">
        <f>IF(M81="en attente",J81,"")</f>
        <v/>
      </c>
      <c r="Q81" s="354">
        <f>IF(L81="",J81-M81,0)</f>
        <v>0</v>
      </c>
      <c r="R81" s="354"/>
      <c r="S81" s="163"/>
    </row>
    <row r="82" spans="1:19" s="26" customFormat="1" hidden="1" outlineLevel="1" x14ac:dyDescent="0.2">
      <c r="A82" s="334" t="s">
        <v>49</v>
      </c>
      <c r="B82" s="353"/>
      <c r="C82" s="347"/>
      <c r="D82" s="347"/>
      <c r="E82" s="347"/>
      <c r="F82" s="426"/>
      <c r="G82" s="347"/>
      <c r="H82" s="347"/>
      <c r="I82" s="348">
        <f>J82/$I$78+I81</f>
        <v>0.8</v>
      </c>
      <c r="J82" s="349">
        <v>52398</v>
      </c>
      <c r="K82" s="350">
        <v>4</v>
      </c>
      <c r="L82" s="347">
        <v>41466</v>
      </c>
      <c r="M82" s="351">
        <v>52398</v>
      </c>
      <c r="N82" s="352">
        <v>41522</v>
      </c>
      <c r="O82" s="410">
        <f>IF(N82="",$Q$2-L82,N82-L82)</f>
        <v>56</v>
      </c>
      <c r="P82" s="354" t="str">
        <f>IF(M82="en attente",J82,"")</f>
        <v/>
      </c>
      <c r="Q82" s="354">
        <f>IF(L82="",J82-M82,0)</f>
        <v>0</v>
      </c>
      <c r="R82" s="354"/>
      <c r="S82" s="163"/>
    </row>
    <row r="83" spans="1:19" s="26" customFormat="1" hidden="1" outlineLevel="1" x14ac:dyDescent="0.2">
      <c r="A83" s="356" t="s">
        <v>49</v>
      </c>
      <c r="B83" s="363"/>
      <c r="C83" s="358"/>
      <c r="D83" s="358"/>
      <c r="E83" s="358"/>
      <c r="F83" s="427"/>
      <c r="G83" s="358"/>
      <c r="H83" s="358"/>
      <c r="I83" s="428">
        <f>J83/$I$78+I82</f>
        <v>1</v>
      </c>
      <c r="J83" s="359">
        <v>71000</v>
      </c>
      <c r="K83" s="360">
        <v>5</v>
      </c>
      <c r="L83" s="358">
        <v>42271</v>
      </c>
      <c r="M83" s="361">
        <v>71000</v>
      </c>
      <c r="N83" s="362">
        <v>42325</v>
      </c>
      <c r="O83" s="429">
        <f>IF(N83="",$Q$2-L83,N83-L83)</f>
        <v>54</v>
      </c>
      <c r="P83" s="364" t="str">
        <f>IF(M83="en attente",J83,"")</f>
        <v/>
      </c>
      <c r="Q83" s="364">
        <f>IF(L83="",J83-M83,0)</f>
        <v>0</v>
      </c>
      <c r="R83" s="364"/>
      <c r="S83" s="163"/>
    </row>
    <row r="84" spans="1:19" s="107" customFormat="1" collapsed="1" x14ac:dyDescent="0.2">
      <c r="A84" s="402" t="s">
        <v>144</v>
      </c>
      <c r="B84" s="406"/>
      <c r="C84" s="414">
        <v>40848</v>
      </c>
      <c r="D84" s="326">
        <f>DATE(YEAR(C84),MONTH(C84)+18,DAY(C84))</f>
        <v>41395</v>
      </c>
      <c r="E84" s="414"/>
      <c r="F84" s="419">
        <v>40910</v>
      </c>
      <c r="G84" s="326">
        <f>DATE(YEAR(C84)+4,MONTH(C84),DAY(C84))</f>
        <v>42309</v>
      </c>
      <c r="H84" s="326">
        <v>41606</v>
      </c>
      <c r="I84" s="409">
        <v>300000</v>
      </c>
      <c r="J84" s="404"/>
      <c r="K84" s="415"/>
      <c r="L84" s="414"/>
      <c r="M84" s="407">
        <f>SUM(M85:M88)</f>
        <v>300000</v>
      </c>
      <c r="N84" s="420"/>
      <c r="O84" s="430"/>
      <c r="P84" s="416">
        <f>SUM(P85:P88)</f>
        <v>0</v>
      </c>
      <c r="Q84" s="416">
        <f>SUM(Q85:Q88)</f>
        <v>0</v>
      </c>
      <c r="R84" s="416"/>
      <c r="S84" s="166">
        <f>I84-(M84+P84+Q84)</f>
        <v>0</v>
      </c>
    </row>
    <row r="85" spans="1:19" s="26" customFormat="1" hidden="1" outlineLevel="1" x14ac:dyDescent="0.2">
      <c r="A85" s="334" t="s">
        <v>144</v>
      </c>
      <c r="B85" s="353"/>
      <c r="C85" s="347"/>
      <c r="D85" s="347"/>
      <c r="E85" s="347"/>
      <c r="F85" s="426"/>
      <c r="G85" s="347"/>
      <c r="H85" s="347"/>
      <c r="I85" s="348">
        <f>J85/$I$84</f>
        <v>0.3</v>
      </c>
      <c r="J85" s="349">
        <v>90000</v>
      </c>
      <c r="K85" s="350">
        <v>1</v>
      </c>
      <c r="L85" s="347">
        <v>41038</v>
      </c>
      <c r="M85" s="351">
        <v>90000</v>
      </c>
      <c r="N85" s="352">
        <v>41102</v>
      </c>
      <c r="O85" s="410">
        <f>IF(N85="",$Q$2-L85,N85-L85)</f>
        <v>64</v>
      </c>
      <c r="P85" s="354" t="str">
        <f>IF(M85="en attente",J85,"")</f>
        <v/>
      </c>
      <c r="Q85" s="354">
        <f>IF(L85="",J85-M85,0)</f>
        <v>0</v>
      </c>
      <c r="R85" s="354"/>
      <c r="S85" s="163"/>
    </row>
    <row r="86" spans="1:19" s="26" customFormat="1" hidden="1" outlineLevel="1" x14ac:dyDescent="0.2">
      <c r="A86" s="334" t="s">
        <v>144</v>
      </c>
      <c r="B86" s="353"/>
      <c r="C86" s="347"/>
      <c r="D86" s="347"/>
      <c r="E86" s="347"/>
      <c r="F86" s="426"/>
      <c r="G86" s="347"/>
      <c r="H86" s="347"/>
      <c r="I86" s="348">
        <f>J86/$I$84+I85</f>
        <v>0.60060000000000002</v>
      </c>
      <c r="J86" s="349">
        <v>90180</v>
      </c>
      <c r="K86" s="350">
        <v>2</v>
      </c>
      <c r="L86" s="347">
        <v>41240</v>
      </c>
      <c r="M86" s="351">
        <v>90180</v>
      </c>
      <c r="N86" s="352">
        <v>41416</v>
      </c>
      <c r="O86" s="410">
        <f>IF(N86="",$Q$2-L86,N86-L86)</f>
        <v>176</v>
      </c>
      <c r="P86" s="354" t="str">
        <f>IF(M86="en attente",J86,"")</f>
        <v/>
      </c>
      <c r="Q86" s="354">
        <f>IF(L86="",J86-M86,0)</f>
        <v>0</v>
      </c>
      <c r="R86" s="354"/>
      <c r="S86" s="163"/>
    </row>
    <row r="87" spans="1:19" s="26" customFormat="1" hidden="1" outlineLevel="1" x14ac:dyDescent="0.2">
      <c r="A87" s="334" t="s">
        <v>144</v>
      </c>
      <c r="B87" s="353"/>
      <c r="C87" s="347"/>
      <c r="D87" s="347"/>
      <c r="E87" s="347"/>
      <c r="F87" s="426"/>
      <c r="G87" s="347"/>
      <c r="H87" s="347"/>
      <c r="I87" s="348">
        <f>J87/$I$84+I86</f>
        <v>0.8</v>
      </c>
      <c r="J87" s="349">
        <v>59820</v>
      </c>
      <c r="K87" s="350">
        <v>3</v>
      </c>
      <c r="L87" s="347">
        <v>41423</v>
      </c>
      <c r="M87" s="351">
        <v>59820</v>
      </c>
      <c r="N87" s="352">
        <v>41505</v>
      </c>
      <c r="O87" s="410">
        <f>IF(N87="",$Q$2-L87,N87-L87)</f>
        <v>82</v>
      </c>
      <c r="P87" s="354" t="str">
        <f>IF(M87="en attente",J87,"")</f>
        <v/>
      </c>
      <c r="Q87" s="354">
        <f>IF(L87="",J87-M87,0)</f>
        <v>0</v>
      </c>
      <c r="R87" s="354"/>
      <c r="S87" s="163"/>
    </row>
    <row r="88" spans="1:19" s="26" customFormat="1" hidden="1" outlineLevel="1" x14ac:dyDescent="0.2">
      <c r="A88" s="334" t="s">
        <v>144</v>
      </c>
      <c r="B88" s="353"/>
      <c r="C88" s="347"/>
      <c r="D88" s="347"/>
      <c r="E88" s="347"/>
      <c r="F88" s="426"/>
      <c r="G88" s="347"/>
      <c r="H88" s="347"/>
      <c r="I88" s="348">
        <f>J88/$I$84+I87</f>
        <v>1</v>
      </c>
      <c r="J88" s="349">
        <v>60000</v>
      </c>
      <c r="K88" s="350">
        <v>4</v>
      </c>
      <c r="L88" s="347">
        <v>42278</v>
      </c>
      <c r="M88" s="351">
        <v>60000</v>
      </c>
      <c r="N88" s="352">
        <v>42325</v>
      </c>
      <c r="O88" s="410">
        <f>IF(N88="",$Q$2-L88,N88-L88)</f>
        <v>47</v>
      </c>
      <c r="P88" s="354" t="str">
        <f>IF(M88="en attente",J88,"")</f>
        <v/>
      </c>
      <c r="Q88" s="354">
        <f>IF(L88="",J88-M88,0)</f>
        <v>0</v>
      </c>
      <c r="R88" s="354"/>
      <c r="S88" s="163"/>
    </row>
    <row r="89" spans="1:19" s="107" customFormat="1" collapsed="1" x14ac:dyDescent="0.2">
      <c r="A89" s="325" t="s">
        <v>145</v>
      </c>
      <c r="B89" s="332"/>
      <c r="C89" s="326">
        <v>40848</v>
      </c>
      <c r="D89" s="326">
        <f>DATE(YEAR(C89),MONTH(C89)+18,DAY(C89))</f>
        <v>41395</v>
      </c>
      <c r="E89" s="326"/>
      <c r="F89" s="424">
        <v>40910</v>
      </c>
      <c r="G89" s="326">
        <f>DATE(YEAR(C89)+4,MONTH(C89),DAY(C89))</f>
        <v>42309</v>
      </c>
      <c r="H89" s="326">
        <v>41606</v>
      </c>
      <c r="I89" s="327">
        <v>100000</v>
      </c>
      <c r="J89" s="328"/>
      <c r="K89" s="329"/>
      <c r="L89" s="326"/>
      <c r="M89" s="330">
        <f>SUM(M90:M93)</f>
        <v>100000</v>
      </c>
      <c r="N89" s="331"/>
      <c r="O89" s="425"/>
      <c r="P89" s="333">
        <f>SUM(P90:P93)</f>
        <v>0</v>
      </c>
      <c r="Q89" s="333">
        <f>SUM(Q90:Q93)</f>
        <v>0</v>
      </c>
      <c r="R89" s="333"/>
      <c r="S89" s="166">
        <f>I89-(M89+P89+Q89)</f>
        <v>0</v>
      </c>
    </row>
    <row r="90" spans="1:19" s="26" customFormat="1" hidden="1" outlineLevel="1" x14ac:dyDescent="0.2">
      <c r="A90" s="334" t="s">
        <v>145</v>
      </c>
      <c r="B90" s="353"/>
      <c r="C90" s="347"/>
      <c r="D90" s="347"/>
      <c r="E90" s="347"/>
      <c r="F90" s="426"/>
      <c r="G90" s="347"/>
      <c r="H90" s="347"/>
      <c r="I90" s="348">
        <f>J90/$I$89</f>
        <v>0.3</v>
      </c>
      <c r="J90" s="349">
        <v>30000</v>
      </c>
      <c r="K90" s="350">
        <v>1</v>
      </c>
      <c r="L90" s="347">
        <v>41038</v>
      </c>
      <c r="M90" s="351">
        <v>30000</v>
      </c>
      <c r="N90" s="352">
        <v>41102</v>
      </c>
      <c r="O90" s="410">
        <f>IF(N90="",$Q$2-L90,N90-L90)</f>
        <v>64</v>
      </c>
      <c r="P90" s="354" t="str">
        <f>IF(M90="en attente",J90,"")</f>
        <v/>
      </c>
      <c r="Q90" s="354">
        <f>IF(L90="",J90-M90,0)</f>
        <v>0</v>
      </c>
      <c r="R90" s="354"/>
      <c r="S90" s="163"/>
    </row>
    <row r="91" spans="1:19" s="26" customFormat="1" hidden="1" outlineLevel="1" x14ac:dyDescent="0.2">
      <c r="A91" s="334" t="s">
        <v>145</v>
      </c>
      <c r="B91" s="353"/>
      <c r="C91" s="347"/>
      <c r="D91" s="347"/>
      <c r="E91" s="347"/>
      <c r="F91" s="426"/>
      <c r="G91" s="347"/>
      <c r="H91" s="347"/>
      <c r="I91" s="348">
        <f>J91/$I$89+I90</f>
        <v>0.60099999999999998</v>
      </c>
      <c r="J91" s="349">
        <v>30100</v>
      </c>
      <c r="K91" s="350">
        <v>2</v>
      </c>
      <c r="L91" s="347">
        <v>41240</v>
      </c>
      <c r="M91" s="351">
        <v>30100</v>
      </c>
      <c r="N91" s="352">
        <v>41416</v>
      </c>
      <c r="O91" s="410">
        <f>IF(N91="",$Q$2-L91,N91-L91)</f>
        <v>176</v>
      </c>
      <c r="P91" s="354" t="str">
        <f>IF(M91="en attente",J91,"")</f>
        <v/>
      </c>
      <c r="Q91" s="354">
        <f>IF(L91="",J91-M91,0)</f>
        <v>0</v>
      </c>
      <c r="R91" s="354"/>
      <c r="S91" s="163"/>
    </row>
    <row r="92" spans="1:19" s="26" customFormat="1" hidden="1" outlineLevel="1" x14ac:dyDescent="0.2">
      <c r="A92" s="334" t="s">
        <v>145</v>
      </c>
      <c r="B92" s="353"/>
      <c r="C92" s="347"/>
      <c r="D92" s="347"/>
      <c r="E92" s="347"/>
      <c r="F92" s="426"/>
      <c r="G92" s="347"/>
      <c r="H92" s="347"/>
      <c r="I92" s="348">
        <f>J92/$I$89+I91</f>
        <v>0.8</v>
      </c>
      <c r="J92" s="349">
        <v>19900</v>
      </c>
      <c r="K92" s="350">
        <v>3</v>
      </c>
      <c r="L92" s="347">
        <v>41423</v>
      </c>
      <c r="M92" s="351">
        <v>19900</v>
      </c>
      <c r="N92" s="352">
        <v>41505</v>
      </c>
      <c r="O92" s="410">
        <f>IF(N92="",$Q$2-L92,N92-L92)</f>
        <v>82</v>
      </c>
      <c r="P92" s="354" t="str">
        <f>IF(M92="en attente",J92,"")</f>
        <v/>
      </c>
      <c r="Q92" s="354">
        <f>IF(L92="",J92-M92,0)</f>
        <v>0</v>
      </c>
      <c r="R92" s="354"/>
      <c r="S92" s="163"/>
    </row>
    <row r="93" spans="1:19" s="26" customFormat="1" hidden="1" outlineLevel="1" x14ac:dyDescent="0.2">
      <c r="A93" s="356" t="s">
        <v>145</v>
      </c>
      <c r="B93" s="363"/>
      <c r="C93" s="358"/>
      <c r="D93" s="358"/>
      <c r="E93" s="358"/>
      <c r="F93" s="427"/>
      <c r="G93" s="358"/>
      <c r="H93" s="358"/>
      <c r="I93" s="428">
        <f>J93/$I$89+I92</f>
        <v>1</v>
      </c>
      <c r="J93" s="359">
        <v>20000</v>
      </c>
      <c r="K93" s="360">
        <v>4</v>
      </c>
      <c r="L93" s="358">
        <v>42278</v>
      </c>
      <c r="M93" s="361">
        <v>20000</v>
      </c>
      <c r="N93" s="362">
        <v>42312</v>
      </c>
      <c r="O93" s="429">
        <f>IF(N93="",$Q$2-L93,N93-L93)</f>
        <v>34</v>
      </c>
      <c r="P93" s="364" t="str">
        <f>IF(M93="en attente",J93,"")</f>
        <v/>
      </c>
      <c r="Q93" s="364">
        <f>IF(L93="",J93-M93,0)</f>
        <v>0</v>
      </c>
      <c r="R93" s="364"/>
      <c r="S93" s="163"/>
    </row>
    <row r="94" spans="1:19" s="8" customFormat="1" collapsed="1" x14ac:dyDescent="0.2">
      <c r="A94" s="325" t="s">
        <v>42</v>
      </c>
      <c r="B94" s="332" t="s">
        <v>193</v>
      </c>
      <c r="C94" s="326">
        <v>41081</v>
      </c>
      <c r="D94" s="326">
        <f>DATE(YEAR(C94),MONTH(C94)+18,DAY(C94))</f>
        <v>41629</v>
      </c>
      <c r="E94" s="326">
        <v>41253</v>
      </c>
      <c r="F94" s="424">
        <v>41309</v>
      </c>
      <c r="G94" s="326">
        <f>DATE(YEAR(C94)+4,MONTH(C94),DAY(C94))</f>
        <v>42542</v>
      </c>
      <c r="H94" s="326">
        <v>41992</v>
      </c>
      <c r="I94" s="327">
        <v>60000</v>
      </c>
      <c r="J94" s="328"/>
      <c r="K94" s="329"/>
      <c r="L94" s="332"/>
      <c r="M94" s="330">
        <f>SUM(M95:M97)</f>
        <v>60000</v>
      </c>
      <c r="N94" s="331"/>
      <c r="O94" s="425"/>
      <c r="P94" s="333">
        <f>SUM(P95:P97)</f>
        <v>0</v>
      </c>
      <c r="Q94" s="333">
        <f>SUM(Q95:Q97)</f>
        <v>0</v>
      </c>
      <c r="R94" s="333"/>
      <c r="S94" s="166">
        <f>I94-(M94+P94+Q94)</f>
        <v>0</v>
      </c>
    </row>
    <row r="95" spans="1:19" s="26" customFormat="1" hidden="1" outlineLevel="1" x14ac:dyDescent="0.2">
      <c r="A95" s="334" t="s">
        <v>42</v>
      </c>
      <c r="B95" s="353"/>
      <c r="C95" s="412" t="s">
        <v>224</v>
      </c>
      <c r="D95" s="347"/>
      <c r="E95" s="347"/>
      <c r="F95" s="426"/>
      <c r="G95" s="347"/>
      <c r="H95" s="347"/>
      <c r="I95" s="348">
        <f>J95/I94</f>
        <v>0.3</v>
      </c>
      <c r="J95" s="349">
        <v>18000</v>
      </c>
      <c r="K95" s="350">
        <v>1</v>
      </c>
      <c r="L95" s="347">
        <v>41313</v>
      </c>
      <c r="M95" s="351">
        <v>18000</v>
      </c>
      <c r="N95" s="352">
        <v>41388</v>
      </c>
      <c r="O95" s="410">
        <f>IF(N95="",$Q$2-L95,N95-L95)</f>
        <v>75</v>
      </c>
      <c r="P95" s="416" t="str">
        <f>IF(M95="en attente",J95,"")</f>
        <v/>
      </c>
      <c r="Q95" s="354">
        <f>IF(L95="",J95-M95,0)</f>
        <v>0</v>
      </c>
      <c r="R95" s="457" t="s">
        <v>290</v>
      </c>
      <c r="S95" s="163"/>
    </row>
    <row r="96" spans="1:19" s="26" customFormat="1" hidden="1" outlineLevel="1" x14ac:dyDescent="0.2">
      <c r="A96" s="334" t="s">
        <v>42</v>
      </c>
      <c r="B96" s="353"/>
      <c r="C96" s="412"/>
      <c r="D96" s="347"/>
      <c r="E96" s="347"/>
      <c r="F96" s="426"/>
      <c r="G96" s="347"/>
      <c r="H96" s="347"/>
      <c r="I96" s="348">
        <v>0.8</v>
      </c>
      <c r="J96" s="349">
        <f>I94*I96-J95</f>
        <v>30000</v>
      </c>
      <c r="K96" s="350">
        <v>2</v>
      </c>
      <c r="L96" s="347">
        <v>42803</v>
      </c>
      <c r="M96" s="351">
        <v>30000</v>
      </c>
      <c r="N96" s="352">
        <v>42886</v>
      </c>
      <c r="O96" s="410">
        <f>IF(N96="",$Q$2-L96,N96-L96)</f>
        <v>83</v>
      </c>
      <c r="P96" s="354" t="str">
        <f>IF(M96="en attente",J96,"")</f>
        <v/>
      </c>
      <c r="Q96" s="354">
        <f>IF(L96="",J96-M96,0)</f>
        <v>0</v>
      </c>
      <c r="R96" s="457"/>
      <c r="S96" s="163"/>
    </row>
    <row r="97" spans="1:19" s="26" customFormat="1" hidden="1" outlineLevel="1" x14ac:dyDescent="0.2">
      <c r="A97" s="334" t="s">
        <v>42</v>
      </c>
      <c r="B97" s="353"/>
      <c r="C97" s="347"/>
      <c r="D97" s="347"/>
      <c r="E97" s="347"/>
      <c r="F97" s="426"/>
      <c r="G97" s="347"/>
      <c r="H97" s="347"/>
      <c r="I97" s="348">
        <v>1</v>
      </c>
      <c r="J97" s="349">
        <f>I94-J95-J96</f>
        <v>12000</v>
      </c>
      <c r="K97" s="350">
        <v>3</v>
      </c>
      <c r="L97" s="347">
        <v>43077</v>
      </c>
      <c r="M97" s="351">
        <v>12000</v>
      </c>
      <c r="N97" s="352">
        <v>43186</v>
      </c>
      <c r="O97" s="410"/>
      <c r="P97" s="416" t="str">
        <f>IF(M97="en attente",J97,"")</f>
        <v/>
      </c>
      <c r="Q97" s="354">
        <f>IF(L97="",J97-M97,0)</f>
        <v>0</v>
      </c>
      <c r="R97" s="457"/>
      <c r="S97" s="163"/>
    </row>
    <row r="98" spans="1:19" s="107" customFormat="1" x14ac:dyDescent="0.2">
      <c r="A98" s="325" t="s">
        <v>42</v>
      </c>
      <c r="B98" s="332" t="s">
        <v>192</v>
      </c>
      <c r="C98" s="326">
        <v>41053</v>
      </c>
      <c r="D98" s="326">
        <f>DATE(YEAR(C98),MONTH(C98)+18,DAY(C98))</f>
        <v>41602</v>
      </c>
      <c r="E98" s="326">
        <v>41253</v>
      </c>
      <c r="F98" s="424">
        <v>41309</v>
      </c>
      <c r="G98" s="326">
        <f>DATE(YEAR(C98)+4,MONTH(C98),DAY(C98))</f>
        <v>42514</v>
      </c>
      <c r="H98" s="326">
        <v>41992</v>
      </c>
      <c r="I98" s="327">
        <v>1</v>
      </c>
      <c r="J98" s="328"/>
      <c r="K98" s="329"/>
      <c r="L98" s="326"/>
      <c r="M98" s="330">
        <f>SUM(M99)</f>
        <v>0</v>
      </c>
      <c r="N98" s="331"/>
      <c r="O98" s="425"/>
      <c r="P98" s="333">
        <f>SUM(P99)</f>
        <v>0</v>
      </c>
      <c r="Q98" s="333">
        <f>SUM(Q99)</f>
        <v>0</v>
      </c>
      <c r="R98" s="333"/>
      <c r="S98" s="163">
        <f>I98-(M98+P98+Q98)</f>
        <v>1</v>
      </c>
    </row>
    <row r="99" spans="1:19" s="31" customFormat="1" x14ac:dyDescent="0.2">
      <c r="A99" s="334" t="s">
        <v>42</v>
      </c>
      <c r="B99" s="422"/>
      <c r="C99" s="412" t="s">
        <v>224</v>
      </c>
      <c r="D99" s="412"/>
      <c r="E99" s="412"/>
      <c r="F99" s="423"/>
      <c r="G99" s="412"/>
      <c r="H99" s="412"/>
      <c r="I99" s="438"/>
      <c r="J99" s="349">
        <v>1</v>
      </c>
      <c r="K99" s="350">
        <v>1</v>
      </c>
      <c r="L99" s="347">
        <v>43077</v>
      </c>
      <c r="M99" s="351" t="s">
        <v>392</v>
      </c>
      <c r="N99" s="352"/>
      <c r="O99" s="410"/>
      <c r="P99" s="416" t="str">
        <f>IF(M99="en attente",J99,"")</f>
        <v/>
      </c>
      <c r="Q99" s="354">
        <f>IF(L99="",J99-M99,0)</f>
        <v>0</v>
      </c>
      <c r="R99" s="354"/>
      <c r="S99" s="169"/>
    </row>
    <row r="100" spans="1:19" s="107" customFormat="1" collapsed="1" x14ac:dyDescent="0.2">
      <c r="A100" s="325" t="s">
        <v>8</v>
      </c>
      <c r="B100" s="332" t="s">
        <v>238</v>
      </c>
      <c r="C100" s="326">
        <v>41177</v>
      </c>
      <c r="D100" s="326">
        <f>DATE(YEAR(C100),MONTH(C100)+18,DAY(C100))</f>
        <v>41723</v>
      </c>
      <c r="E100" s="326">
        <v>41256</v>
      </c>
      <c r="F100" s="424">
        <v>41295</v>
      </c>
      <c r="G100" s="326">
        <f>DATE(YEAR(C100)+4,MONTH(C100),DAY(C100))</f>
        <v>42638</v>
      </c>
      <c r="H100" s="326">
        <v>42326</v>
      </c>
      <c r="I100" s="327">
        <v>558000</v>
      </c>
      <c r="J100" s="328"/>
      <c r="K100" s="329"/>
      <c r="L100" s="326"/>
      <c r="M100" s="330">
        <f>SUM(M101:M107)</f>
        <v>558000</v>
      </c>
      <c r="N100" s="331"/>
      <c r="O100" s="425"/>
      <c r="P100" s="333">
        <f>SUM(P101:P107)</f>
        <v>0</v>
      </c>
      <c r="Q100" s="333">
        <f>SUM(Q101:Q107)</f>
        <v>0</v>
      </c>
      <c r="R100" s="333"/>
      <c r="S100" s="166">
        <f>I100-(M100+P100+Q100)</f>
        <v>0</v>
      </c>
    </row>
    <row r="101" spans="1:19" s="26" customFormat="1" hidden="1" outlineLevel="1" x14ac:dyDescent="0.2">
      <c r="A101" s="334" t="s">
        <v>8</v>
      </c>
      <c r="B101" s="353"/>
      <c r="C101" s="412" t="s">
        <v>224</v>
      </c>
      <c r="D101" s="347"/>
      <c r="E101" s="347"/>
      <c r="F101" s="426"/>
      <c r="G101" s="347"/>
      <c r="H101" s="347"/>
      <c r="I101" s="348">
        <f>J101/$I$100</f>
        <v>0.3</v>
      </c>
      <c r="J101" s="349">
        <v>167400</v>
      </c>
      <c r="K101" s="350">
        <v>1</v>
      </c>
      <c r="L101" s="347">
        <v>41281</v>
      </c>
      <c r="M101" s="351">
        <v>167400</v>
      </c>
      <c r="N101" s="352">
        <v>41415</v>
      </c>
      <c r="O101" s="410">
        <f t="shared" ref="O101:O130" si="29">IF(N101="",$Q$2-L101,N101-L101)</f>
        <v>134</v>
      </c>
      <c r="P101" s="416" t="str">
        <f t="shared" ref="P101:P107" si="30">IF(M101="en attente",J101,"")</f>
        <v/>
      </c>
      <c r="Q101" s="354">
        <f t="shared" ref="Q101:Q112" si="31">IF(L101="",J101-M101,0)</f>
        <v>0</v>
      </c>
      <c r="R101" s="354"/>
      <c r="S101" s="163"/>
    </row>
    <row r="102" spans="1:19" s="26" customFormat="1" hidden="1" outlineLevel="1" x14ac:dyDescent="0.2">
      <c r="A102" s="334" t="s">
        <v>8</v>
      </c>
      <c r="B102" s="353"/>
      <c r="C102" s="347"/>
      <c r="D102" s="347"/>
      <c r="E102" s="347"/>
      <c r="F102" s="426"/>
      <c r="G102" s="347"/>
      <c r="H102" s="347"/>
      <c r="I102" s="348">
        <f t="shared" ref="I102:I107" si="32">J102/$I$100+I101</f>
        <v>0.35589999999999999</v>
      </c>
      <c r="J102" s="349">
        <v>31192.2</v>
      </c>
      <c r="K102" s="350">
        <v>2</v>
      </c>
      <c r="L102" s="347">
        <v>41281</v>
      </c>
      <c r="M102" s="351">
        <v>31192.2</v>
      </c>
      <c r="N102" s="352">
        <v>41745</v>
      </c>
      <c r="O102" s="410">
        <f t="shared" si="29"/>
        <v>464</v>
      </c>
      <c r="P102" s="416" t="str">
        <f t="shared" si="30"/>
        <v/>
      </c>
      <c r="Q102" s="354">
        <f t="shared" si="31"/>
        <v>0</v>
      </c>
      <c r="R102" s="354"/>
      <c r="S102" s="163"/>
    </row>
    <row r="103" spans="1:19" s="26" customFormat="1" hidden="1" outlineLevel="1" x14ac:dyDescent="0.2">
      <c r="A103" s="334" t="s">
        <v>8</v>
      </c>
      <c r="B103" s="353"/>
      <c r="C103" s="347"/>
      <c r="D103" s="347"/>
      <c r="E103" s="347"/>
      <c r="F103" s="426"/>
      <c r="G103" s="347"/>
      <c r="H103" s="347"/>
      <c r="I103" s="348">
        <f t="shared" si="32"/>
        <v>0.4375</v>
      </c>
      <c r="J103" s="349">
        <v>45532.800000000003</v>
      </c>
      <c r="K103" s="350">
        <v>3</v>
      </c>
      <c r="L103" s="347">
        <v>41702</v>
      </c>
      <c r="M103" s="351">
        <v>45532.800000000003</v>
      </c>
      <c r="N103" s="352">
        <v>41745</v>
      </c>
      <c r="O103" s="410">
        <f t="shared" si="29"/>
        <v>43</v>
      </c>
      <c r="P103" s="416" t="str">
        <f t="shared" si="30"/>
        <v/>
      </c>
      <c r="Q103" s="354">
        <f t="shared" si="31"/>
        <v>0</v>
      </c>
      <c r="R103" s="354"/>
      <c r="S103" s="163"/>
    </row>
    <row r="104" spans="1:19" s="26" customFormat="1" hidden="1" outlineLevel="1" x14ac:dyDescent="0.2">
      <c r="A104" s="334" t="s">
        <v>8</v>
      </c>
      <c r="B104" s="353"/>
      <c r="C104" s="347"/>
      <c r="D104" s="347"/>
      <c r="E104" s="347"/>
      <c r="F104" s="426"/>
      <c r="G104" s="347"/>
      <c r="H104" s="347"/>
      <c r="I104" s="348">
        <f t="shared" si="32"/>
        <v>0.50639999999999996</v>
      </c>
      <c r="J104" s="349">
        <v>38446.199999999997</v>
      </c>
      <c r="K104" s="350">
        <v>4</v>
      </c>
      <c r="L104" s="347">
        <v>41778</v>
      </c>
      <c r="M104" s="351">
        <v>38446.199999999997</v>
      </c>
      <c r="N104" s="352">
        <v>41863</v>
      </c>
      <c r="O104" s="410">
        <f t="shared" si="29"/>
        <v>85</v>
      </c>
      <c r="P104" s="416" t="str">
        <f t="shared" si="30"/>
        <v/>
      </c>
      <c r="Q104" s="354">
        <f t="shared" si="31"/>
        <v>0</v>
      </c>
      <c r="R104" s="354"/>
      <c r="S104" s="163"/>
    </row>
    <row r="105" spans="1:19" s="26" customFormat="1" hidden="1" outlineLevel="1" x14ac:dyDescent="0.2">
      <c r="A105" s="334" t="s">
        <v>8</v>
      </c>
      <c r="B105" s="353"/>
      <c r="C105" s="347"/>
      <c r="D105" s="347"/>
      <c r="E105" s="347"/>
      <c r="F105" s="426"/>
      <c r="G105" s="347"/>
      <c r="H105" s="347"/>
      <c r="I105" s="348">
        <f t="shared" si="32"/>
        <v>0.57089999999999996</v>
      </c>
      <c r="J105" s="349">
        <v>35991</v>
      </c>
      <c r="K105" s="350">
        <v>5</v>
      </c>
      <c r="L105" s="347">
        <v>41865</v>
      </c>
      <c r="M105" s="351">
        <v>35991</v>
      </c>
      <c r="N105" s="352">
        <v>41921</v>
      </c>
      <c r="O105" s="410">
        <f t="shared" si="29"/>
        <v>56</v>
      </c>
      <c r="P105" s="416" t="str">
        <f t="shared" si="30"/>
        <v/>
      </c>
      <c r="Q105" s="354">
        <f t="shared" si="31"/>
        <v>0</v>
      </c>
      <c r="R105" s="354"/>
      <c r="S105" s="163"/>
    </row>
    <row r="106" spans="1:19" s="26" customFormat="1" hidden="1" outlineLevel="1" x14ac:dyDescent="0.2">
      <c r="A106" s="334" t="s">
        <v>8</v>
      </c>
      <c r="B106" s="353"/>
      <c r="C106" s="347"/>
      <c r="D106" s="347"/>
      <c r="E106" s="347"/>
      <c r="F106" s="426"/>
      <c r="G106" s="347"/>
      <c r="H106" s="347"/>
      <c r="I106" s="551">
        <f t="shared" si="32"/>
        <v>0.78709999999999991</v>
      </c>
      <c r="J106" s="349">
        <v>120639.6</v>
      </c>
      <c r="K106" s="350">
        <v>6</v>
      </c>
      <c r="L106" s="347">
        <v>42221</v>
      </c>
      <c r="M106" s="351">
        <v>120639.6</v>
      </c>
      <c r="N106" s="352">
        <v>42303</v>
      </c>
      <c r="O106" s="410">
        <f t="shared" si="29"/>
        <v>82</v>
      </c>
      <c r="P106" s="416" t="str">
        <f t="shared" si="30"/>
        <v/>
      </c>
      <c r="Q106" s="354">
        <f t="shared" si="31"/>
        <v>0</v>
      </c>
      <c r="R106" s="354" t="s">
        <v>141</v>
      </c>
      <c r="S106" s="163"/>
    </row>
    <row r="107" spans="1:19" s="26" customFormat="1" hidden="1" outlineLevel="1" x14ac:dyDescent="0.2">
      <c r="A107" s="356" t="s">
        <v>8</v>
      </c>
      <c r="B107" s="363"/>
      <c r="C107" s="358"/>
      <c r="D107" s="358"/>
      <c r="E107" s="358"/>
      <c r="F107" s="427"/>
      <c r="G107" s="358"/>
      <c r="H107" s="358"/>
      <c r="I107" s="348">
        <f t="shared" si="32"/>
        <v>0.99999999999999989</v>
      </c>
      <c r="J107" s="359">
        <v>118798.2</v>
      </c>
      <c r="K107" s="360">
        <v>6</v>
      </c>
      <c r="L107" s="358">
        <v>42696</v>
      </c>
      <c r="M107" s="361">
        <v>118798.2</v>
      </c>
      <c r="N107" s="362">
        <v>42920</v>
      </c>
      <c r="O107" s="429">
        <f t="shared" si="29"/>
        <v>224</v>
      </c>
      <c r="P107" s="416" t="str">
        <f t="shared" si="30"/>
        <v/>
      </c>
      <c r="Q107" s="364">
        <f t="shared" si="31"/>
        <v>0</v>
      </c>
      <c r="R107" s="364"/>
      <c r="S107" s="163"/>
    </row>
    <row r="108" spans="1:19" s="107" customFormat="1" collapsed="1" x14ac:dyDescent="0.2">
      <c r="A108" s="402" t="s">
        <v>48</v>
      </c>
      <c r="B108" s="406" t="s">
        <v>194</v>
      </c>
      <c r="C108" s="414">
        <v>41170</v>
      </c>
      <c r="D108" s="326">
        <f>DATE(YEAR(C108),MONTH(C108)+18,DAY(C108))</f>
        <v>41716</v>
      </c>
      <c r="E108" s="414">
        <v>41253</v>
      </c>
      <c r="F108" s="419">
        <v>41309</v>
      </c>
      <c r="G108" s="614">
        <v>43360</v>
      </c>
      <c r="H108" s="326">
        <v>42788</v>
      </c>
      <c r="I108" s="328">
        <v>254997</v>
      </c>
      <c r="J108" s="404"/>
      <c r="K108" s="415"/>
      <c r="L108" s="414"/>
      <c r="M108" s="416">
        <f>SUM(M109:M114)</f>
        <v>254997</v>
      </c>
      <c r="N108" s="420"/>
      <c r="O108" s="430"/>
      <c r="P108" s="417">
        <f>SUM(P109:P114)</f>
        <v>0</v>
      </c>
      <c r="Q108" s="416">
        <f>SUM(Q109:Q114)</f>
        <v>0</v>
      </c>
      <c r="R108" s="416"/>
      <c r="S108" s="166">
        <f>I108-(M108+P108+Q108)</f>
        <v>0</v>
      </c>
    </row>
    <row r="109" spans="1:19" s="26" customFormat="1" hidden="1" outlineLevel="1" x14ac:dyDescent="0.2">
      <c r="A109" s="334" t="s">
        <v>48</v>
      </c>
      <c r="B109" s="353"/>
      <c r="C109" s="412" t="s">
        <v>224</v>
      </c>
      <c r="D109" s="347"/>
      <c r="E109" s="347"/>
      <c r="F109" s="426"/>
      <c r="G109" s="412" t="s">
        <v>258</v>
      </c>
      <c r="H109" s="347"/>
      <c r="I109" s="348">
        <f>J109/$I$108</f>
        <v>0.30000000000000004</v>
      </c>
      <c r="J109" s="349">
        <v>76499.100000000006</v>
      </c>
      <c r="K109" s="350">
        <v>1</v>
      </c>
      <c r="L109" s="347">
        <v>41313</v>
      </c>
      <c r="M109" s="351">
        <v>76499.100000000006</v>
      </c>
      <c r="N109" s="352">
        <v>41388</v>
      </c>
      <c r="O109" s="410">
        <f t="shared" si="29"/>
        <v>75</v>
      </c>
      <c r="P109" s="416" t="str">
        <f>IF(M109="en attente",J109,"")</f>
        <v/>
      </c>
      <c r="Q109" s="354">
        <f t="shared" si="31"/>
        <v>0</v>
      </c>
      <c r="R109" s="354"/>
      <c r="S109" s="166"/>
    </row>
    <row r="110" spans="1:19" s="26" customFormat="1" hidden="1" outlineLevel="1" x14ac:dyDescent="0.2">
      <c r="A110" s="334" t="s">
        <v>48</v>
      </c>
      <c r="B110" s="353"/>
      <c r="C110" s="347"/>
      <c r="D110" s="347"/>
      <c r="E110" s="347"/>
      <c r="F110" s="426"/>
      <c r="G110" s="347"/>
      <c r="H110" s="347"/>
      <c r="I110" s="348">
        <f>J110/$I$108+I109</f>
        <v>0.4772000062745837</v>
      </c>
      <c r="J110" s="349">
        <v>45185.47</v>
      </c>
      <c r="K110" s="350">
        <v>2</v>
      </c>
      <c r="L110" s="347">
        <v>41913</v>
      </c>
      <c r="M110" s="351">
        <v>45185.47</v>
      </c>
      <c r="N110" s="352">
        <v>41941</v>
      </c>
      <c r="O110" s="410">
        <f t="shared" si="29"/>
        <v>28</v>
      </c>
      <c r="P110" s="416" t="str">
        <f>IF(M110="en attente",J110,"")</f>
        <v/>
      </c>
      <c r="Q110" s="354">
        <f t="shared" si="31"/>
        <v>0</v>
      </c>
      <c r="R110" s="354"/>
      <c r="S110" s="166"/>
    </row>
    <row r="111" spans="1:19" s="26" customFormat="1" hidden="1" outlineLevel="1" x14ac:dyDescent="0.2">
      <c r="A111" s="334" t="s">
        <v>48</v>
      </c>
      <c r="B111" s="353"/>
      <c r="C111" s="347"/>
      <c r="D111" s="347"/>
      <c r="E111" s="347"/>
      <c r="F111" s="426"/>
      <c r="G111" s="347"/>
      <c r="H111" s="347"/>
      <c r="I111" s="435">
        <f>J111/$I$108+I110</f>
        <v>0.67169998078408777</v>
      </c>
      <c r="J111" s="349">
        <v>49596.91</v>
      </c>
      <c r="K111" s="350">
        <v>3</v>
      </c>
      <c r="L111" s="347">
        <v>42221</v>
      </c>
      <c r="M111" s="351">
        <v>49596.91</v>
      </c>
      <c r="N111" s="352">
        <v>42278</v>
      </c>
      <c r="O111" s="410">
        <f t="shared" si="29"/>
        <v>57</v>
      </c>
      <c r="P111" s="416" t="str">
        <f>IF(M111="en attente",J111,"")</f>
        <v/>
      </c>
      <c r="Q111" s="354">
        <f t="shared" si="31"/>
        <v>0</v>
      </c>
      <c r="R111" s="354"/>
      <c r="S111" s="166" t="s">
        <v>261</v>
      </c>
    </row>
    <row r="112" spans="1:19" s="26" customFormat="1" hidden="1" outlineLevel="1" x14ac:dyDescent="0.2">
      <c r="A112" s="334" t="s">
        <v>48</v>
      </c>
      <c r="B112" s="353"/>
      <c r="C112" s="347"/>
      <c r="D112" s="347"/>
      <c r="E112" s="347"/>
      <c r="F112" s="426"/>
      <c r="G112" s="347"/>
      <c r="H112" s="347"/>
      <c r="I112" s="551">
        <f>J112/$I$108+I111</f>
        <v>0.75013227606599309</v>
      </c>
      <c r="J112" s="349">
        <v>20000</v>
      </c>
      <c r="K112" s="929">
        <v>4</v>
      </c>
      <c r="L112" s="943">
        <v>43011</v>
      </c>
      <c r="M112" s="945">
        <v>83715.520000000004</v>
      </c>
      <c r="N112" s="352"/>
      <c r="O112" s="410"/>
      <c r="P112" s="416" t="str">
        <f>IF(M112="en attente",J112,"")</f>
        <v/>
      </c>
      <c r="Q112" s="354">
        <f t="shared" si="31"/>
        <v>0</v>
      </c>
      <c r="R112" s="354"/>
      <c r="S112" s="166"/>
    </row>
    <row r="113" spans="1:19" s="26" customFormat="1" ht="12" hidden="1" customHeight="1" outlineLevel="1" x14ac:dyDescent="0.2">
      <c r="A113" s="334" t="s">
        <v>48</v>
      </c>
      <c r="B113" s="353"/>
      <c r="C113" s="347"/>
      <c r="D113" s="347"/>
      <c r="E113" s="347"/>
      <c r="F113" s="426"/>
      <c r="G113" s="347"/>
      <c r="H113" s="347"/>
      <c r="I113" s="348">
        <f>J113/$I$108+I112</f>
        <v>0.80000000000000016</v>
      </c>
      <c r="J113" s="349">
        <f>I108*0.8-SUM(J109:J112)</f>
        <v>12716.119999999995</v>
      </c>
      <c r="K113" s="929"/>
      <c r="L113" s="944"/>
      <c r="M113" s="944"/>
      <c r="N113" s="352">
        <v>43059</v>
      </c>
      <c r="O113" s="410"/>
      <c r="P113" s="615"/>
      <c r="Q113" s="354"/>
      <c r="R113" s="354"/>
      <c r="S113" s="166"/>
    </row>
    <row r="114" spans="1:19" s="26" customFormat="1" ht="12" hidden="1" customHeight="1" outlineLevel="1" x14ac:dyDescent="0.2">
      <c r="A114" s="334" t="s">
        <v>48</v>
      </c>
      <c r="B114" s="353"/>
      <c r="C114" s="347"/>
      <c r="D114" s="347"/>
      <c r="E114" s="347"/>
      <c r="F114" s="426"/>
      <c r="G114" s="347"/>
      <c r="H114" s="347"/>
      <c r="I114" s="348">
        <f>J114/$I$108+I113</f>
        <v>1.0000000000000002</v>
      </c>
      <c r="J114" s="349">
        <f>0.2*I108</f>
        <v>50999.4</v>
      </c>
      <c r="K114" s="930"/>
      <c r="L114" s="935"/>
      <c r="M114" s="935"/>
      <c r="N114" s="352"/>
      <c r="O114" s="410"/>
      <c r="P114" s="613"/>
      <c r="Q114" s="354"/>
      <c r="R114" s="354"/>
      <c r="S114" s="166"/>
    </row>
    <row r="115" spans="1:19" s="107" customFormat="1" collapsed="1" x14ac:dyDescent="0.2">
      <c r="A115" s="325" t="s">
        <v>50</v>
      </c>
      <c r="B115" s="332" t="s">
        <v>195</v>
      </c>
      <c r="C115" s="326">
        <v>41094</v>
      </c>
      <c r="D115" s="326">
        <f>DATE(YEAR(C115),MONTH(C115)+18,DAY(C115))</f>
        <v>41643</v>
      </c>
      <c r="E115" s="326">
        <v>41271</v>
      </c>
      <c r="F115" s="424">
        <v>41428</v>
      </c>
      <c r="G115" s="326">
        <f>DATE(YEAR(C115)+4,MONTH(C115),DAY(C115))</f>
        <v>42555</v>
      </c>
      <c r="H115" s="326">
        <v>42332</v>
      </c>
      <c r="I115" s="327">
        <v>995000</v>
      </c>
      <c r="J115" s="328"/>
      <c r="K115" s="329"/>
      <c r="L115" s="326"/>
      <c r="M115" s="330">
        <f>SUM(M116:M122)</f>
        <v>995000</v>
      </c>
      <c r="N115" s="331"/>
      <c r="O115" s="425"/>
      <c r="P115" s="333">
        <f>SUM(P116:P122)</f>
        <v>0</v>
      </c>
      <c r="Q115" s="333">
        <f>SUM(Q116:Q122)</f>
        <v>0</v>
      </c>
      <c r="R115" s="333"/>
      <c r="S115" s="166">
        <f>I115-(M115+P115+Q115)</f>
        <v>0</v>
      </c>
    </row>
    <row r="116" spans="1:19" s="26" customFormat="1" hidden="1" outlineLevel="1" x14ac:dyDescent="0.2">
      <c r="A116" s="334" t="s">
        <v>50</v>
      </c>
      <c r="B116" s="353"/>
      <c r="C116" s="412" t="s">
        <v>224</v>
      </c>
      <c r="D116" s="347"/>
      <c r="E116" s="347"/>
      <c r="F116" s="426"/>
      <c r="G116" s="347"/>
      <c r="H116" s="347"/>
      <c r="I116" s="348">
        <f>J116/$I$115</f>
        <v>0.3</v>
      </c>
      <c r="J116" s="349">
        <v>298500</v>
      </c>
      <c r="K116" s="350">
        <v>1</v>
      </c>
      <c r="L116" s="347">
        <v>41463</v>
      </c>
      <c r="M116" s="351">
        <v>298500</v>
      </c>
      <c r="N116" s="352">
        <v>41533</v>
      </c>
      <c r="O116" s="410">
        <f t="shared" si="29"/>
        <v>70</v>
      </c>
      <c r="P116" s="416" t="str">
        <f t="shared" ref="P116:P122" si="33">IF(M116="en attente",J116,"")</f>
        <v/>
      </c>
      <c r="Q116" s="354">
        <f>IF(L116="",J116-M116,0)</f>
        <v>0</v>
      </c>
      <c r="R116" s="457"/>
      <c r="S116" s="163"/>
    </row>
    <row r="117" spans="1:19" s="26" customFormat="1" hidden="1" outlineLevel="1" x14ac:dyDescent="0.2">
      <c r="A117" s="334" t="s">
        <v>50</v>
      </c>
      <c r="B117" s="353"/>
      <c r="C117" s="347"/>
      <c r="D117" s="347"/>
      <c r="E117" s="347"/>
      <c r="F117" s="426"/>
      <c r="G117" s="347"/>
      <c r="H117" s="347"/>
      <c r="I117" s="348">
        <f t="shared" ref="I117:I122" si="34">J117/$I$115+I116</f>
        <v>0.36899999999999999</v>
      </c>
      <c r="J117" s="349">
        <v>68655</v>
      </c>
      <c r="K117" s="350">
        <v>2</v>
      </c>
      <c r="L117" s="347">
        <v>41717</v>
      </c>
      <c r="M117" s="351">
        <v>68655</v>
      </c>
      <c r="N117" s="352">
        <v>41744</v>
      </c>
      <c r="O117" s="410">
        <f t="shared" si="29"/>
        <v>27</v>
      </c>
      <c r="P117" s="416" t="str">
        <f t="shared" si="33"/>
        <v/>
      </c>
      <c r="Q117" s="354">
        <f t="shared" ref="Q117:Q141" si="35">IF(L117="",J117-M117,0)</f>
        <v>0</v>
      </c>
      <c r="R117" s="457"/>
      <c r="S117" s="163"/>
    </row>
    <row r="118" spans="1:19" s="26" customFormat="1" hidden="1" outlineLevel="1" x14ac:dyDescent="0.2">
      <c r="A118" s="334" t="s">
        <v>50</v>
      </c>
      <c r="B118" s="353"/>
      <c r="C118" s="347"/>
      <c r="D118" s="347"/>
      <c r="E118" s="347"/>
      <c r="F118" s="426"/>
      <c r="G118" s="347"/>
      <c r="H118" s="347"/>
      <c r="I118" s="348">
        <f t="shared" si="34"/>
        <v>0.45</v>
      </c>
      <c r="J118" s="349">
        <v>80595</v>
      </c>
      <c r="K118" s="350">
        <v>3</v>
      </c>
      <c r="L118" s="347">
        <v>41778</v>
      </c>
      <c r="M118" s="351">
        <v>80595</v>
      </c>
      <c r="N118" s="352">
        <v>41803</v>
      </c>
      <c r="O118" s="410">
        <f t="shared" si="29"/>
        <v>25</v>
      </c>
      <c r="P118" s="416" t="str">
        <f t="shared" si="33"/>
        <v/>
      </c>
      <c r="Q118" s="354">
        <f t="shared" si="35"/>
        <v>0</v>
      </c>
      <c r="R118" s="457"/>
      <c r="S118" s="163"/>
    </row>
    <row r="119" spans="1:19" s="26" customFormat="1" hidden="1" outlineLevel="1" x14ac:dyDescent="0.2">
      <c r="A119" s="334" t="s">
        <v>50</v>
      </c>
      <c r="B119" s="353"/>
      <c r="C119" s="347"/>
      <c r="D119" s="347"/>
      <c r="E119" s="347"/>
      <c r="F119" s="426"/>
      <c r="G119" s="347"/>
      <c r="H119" s="347"/>
      <c r="I119" s="348">
        <f t="shared" si="34"/>
        <v>0.53559999999999997</v>
      </c>
      <c r="J119" s="349">
        <v>85172</v>
      </c>
      <c r="K119" s="350">
        <v>4</v>
      </c>
      <c r="L119" s="347">
        <v>41855</v>
      </c>
      <c r="M119" s="351">
        <v>85172</v>
      </c>
      <c r="N119" s="352">
        <v>41884</v>
      </c>
      <c r="O119" s="410">
        <f t="shared" si="29"/>
        <v>29</v>
      </c>
      <c r="P119" s="416" t="str">
        <f t="shared" si="33"/>
        <v/>
      </c>
      <c r="Q119" s="354">
        <f t="shared" si="35"/>
        <v>0</v>
      </c>
      <c r="R119" s="354"/>
      <c r="S119" s="163"/>
    </row>
    <row r="120" spans="1:19" s="26" customFormat="1" hidden="1" outlineLevel="1" x14ac:dyDescent="0.2">
      <c r="A120" s="334" t="s">
        <v>50</v>
      </c>
      <c r="B120" s="353"/>
      <c r="C120" s="347"/>
      <c r="D120" s="347"/>
      <c r="E120" s="347"/>
      <c r="F120" s="426"/>
      <c r="G120" s="347"/>
      <c r="H120" s="347"/>
      <c r="I120" s="348">
        <f t="shared" si="34"/>
        <v>0.59460000000000002</v>
      </c>
      <c r="J120" s="349">
        <v>58705</v>
      </c>
      <c r="K120" s="350">
        <v>5</v>
      </c>
      <c r="L120" s="347">
        <v>41915</v>
      </c>
      <c r="M120" s="351">
        <v>58705</v>
      </c>
      <c r="N120" s="352">
        <v>41941</v>
      </c>
      <c r="O120" s="410">
        <f t="shared" si="29"/>
        <v>26</v>
      </c>
      <c r="P120" s="416" t="str">
        <f t="shared" si="33"/>
        <v/>
      </c>
      <c r="Q120" s="354">
        <f t="shared" si="35"/>
        <v>0</v>
      </c>
      <c r="R120" s="354"/>
      <c r="S120" s="163"/>
    </row>
    <row r="121" spans="1:19" s="26" customFormat="1" hidden="1" outlineLevel="1" x14ac:dyDescent="0.2">
      <c r="A121" s="334" t="s">
        <v>50</v>
      </c>
      <c r="B121" s="353"/>
      <c r="C121" s="347"/>
      <c r="D121" s="347"/>
      <c r="E121" s="347"/>
      <c r="F121" s="426"/>
      <c r="G121" s="347"/>
      <c r="H121" s="347"/>
      <c r="I121" s="348">
        <f t="shared" si="34"/>
        <v>0.8</v>
      </c>
      <c r="J121" s="349">
        <v>204373</v>
      </c>
      <c r="K121" s="350">
        <v>6</v>
      </c>
      <c r="L121" s="347">
        <v>42278</v>
      </c>
      <c r="M121" s="351">
        <v>204373</v>
      </c>
      <c r="N121" s="352">
        <v>42325</v>
      </c>
      <c r="O121" s="410">
        <f t="shared" si="29"/>
        <v>47</v>
      </c>
      <c r="P121" s="416" t="str">
        <f t="shared" si="33"/>
        <v/>
      </c>
      <c r="Q121" s="354">
        <f t="shared" si="35"/>
        <v>0</v>
      </c>
      <c r="R121" s="354"/>
      <c r="S121" s="163"/>
    </row>
    <row r="122" spans="1:19" s="26" customFormat="1" hidden="1" outlineLevel="1" x14ac:dyDescent="0.2">
      <c r="A122" s="334" t="s">
        <v>50</v>
      </c>
      <c r="B122" s="353"/>
      <c r="C122" s="347"/>
      <c r="D122" s="347"/>
      <c r="E122" s="347"/>
      <c r="F122" s="426"/>
      <c r="G122" s="347"/>
      <c r="H122" s="347"/>
      <c r="I122" s="348">
        <f t="shared" si="34"/>
        <v>1</v>
      </c>
      <c r="J122" s="349">
        <v>199000</v>
      </c>
      <c r="K122" s="350">
        <v>7</v>
      </c>
      <c r="L122" s="347">
        <v>42985</v>
      </c>
      <c r="M122" s="351">
        <v>199000</v>
      </c>
      <c r="N122" s="352">
        <v>43018</v>
      </c>
      <c r="O122" s="410">
        <f t="shared" si="29"/>
        <v>33</v>
      </c>
      <c r="P122" s="416" t="str">
        <f t="shared" si="33"/>
        <v/>
      </c>
      <c r="Q122" s="354">
        <f t="shared" si="35"/>
        <v>0</v>
      </c>
      <c r="R122" s="354"/>
      <c r="S122" s="163"/>
    </row>
    <row r="123" spans="1:19" s="107" customFormat="1" collapsed="1" x14ac:dyDescent="0.2">
      <c r="A123" s="325" t="s">
        <v>53</v>
      </c>
      <c r="B123" s="332" t="s">
        <v>196</v>
      </c>
      <c r="C123" s="326">
        <v>41094</v>
      </c>
      <c r="D123" s="326">
        <f>DATE(YEAR(C123),MONTH(C123)+18,DAY(C123))</f>
        <v>41643</v>
      </c>
      <c r="E123" s="326">
        <v>41253</v>
      </c>
      <c r="F123" s="424">
        <v>41309</v>
      </c>
      <c r="G123" s="326">
        <f>DATE(YEAR(C123)+4,MONTH(C123),DAY(C123))</f>
        <v>42555</v>
      </c>
      <c r="H123" s="326">
        <v>42144</v>
      </c>
      <c r="I123" s="327">
        <v>663000</v>
      </c>
      <c r="J123" s="328"/>
      <c r="K123" s="329"/>
      <c r="L123" s="326"/>
      <c r="M123" s="330">
        <f>SUM(M124:M130)</f>
        <v>663000</v>
      </c>
      <c r="N123" s="331"/>
      <c r="O123" s="425"/>
      <c r="P123" s="333">
        <f>SUM(P124:P130)</f>
        <v>0</v>
      </c>
      <c r="Q123" s="333">
        <f>SUM(Q124:Q130)</f>
        <v>0</v>
      </c>
      <c r="R123" s="333"/>
      <c r="S123" s="166">
        <f>I123-(M123+P123+Q123)</f>
        <v>0</v>
      </c>
    </row>
    <row r="124" spans="1:19" s="26" customFormat="1" hidden="1" outlineLevel="1" x14ac:dyDescent="0.2">
      <c r="A124" s="334" t="s">
        <v>53</v>
      </c>
      <c r="B124" s="353"/>
      <c r="C124" s="412" t="s">
        <v>224</v>
      </c>
      <c r="D124" s="347"/>
      <c r="E124" s="347"/>
      <c r="F124" s="426"/>
      <c r="G124" s="347"/>
      <c r="H124" s="347"/>
      <c r="I124" s="348">
        <f>J124/$I$123</f>
        <v>0.3</v>
      </c>
      <c r="J124" s="349">
        <v>198900</v>
      </c>
      <c r="K124" s="350">
        <v>1</v>
      </c>
      <c r="L124" s="347">
        <v>41361</v>
      </c>
      <c r="M124" s="351">
        <v>198900</v>
      </c>
      <c r="N124" s="352">
        <v>41428</v>
      </c>
      <c r="O124" s="410">
        <f t="shared" si="29"/>
        <v>67</v>
      </c>
      <c r="P124" s="416" t="str">
        <f t="shared" ref="P124:P130" si="36">IF(M124="en attente",J124,"")</f>
        <v/>
      </c>
      <c r="Q124" s="354">
        <f t="shared" ref="Q124:Q133" si="37">IF(L124="",J124-M124,0)</f>
        <v>0</v>
      </c>
      <c r="R124" s="457"/>
      <c r="S124" s="163"/>
    </row>
    <row r="125" spans="1:19" s="26" customFormat="1" hidden="1" outlineLevel="1" x14ac:dyDescent="0.2">
      <c r="A125" s="334" t="s">
        <v>53</v>
      </c>
      <c r="B125" s="353"/>
      <c r="C125" s="347"/>
      <c r="D125" s="347"/>
      <c r="E125" s="347"/>
      <c r="F125" s="426"/>
      <c r="G125" s="347"/>
      <c r="H125" s="347"/>
      <c r="I125" s="348">
        <f t="shared" ref="I125:I130" si="38">J125/$I$123+I124</f>
        <v>0.4425</v>
      </c>
      <c r="J125" s="349">
        <v>94477.5</v>
      </c>
      <c r="K125" s="350">
        <v>2</v>
      </c>
      <c r="L125" s="347">
        <v>41582</v>
      </c>
      <c r="M125" s="351">
        <v>94477.5</v>
      </c>
      <c r="N125" s="352">
        <v>41610</v>
      </c>
      <c r="O125" s="410">
        <f t="shared" si="29"/>
        <v>28</v>
      </c>
      <c r="P125" s="416" t="str">
        <f t="shared" si="36"/>
        <v/>
      </c>
      <c r="Q125" s="354">
        <f t="shared" si="37"/>
        <v>0</v>
      </c>
      <c r="R125" s="354"/>
      <c r="S125" s="163"/>
    </row>
    <row r="126" spans="1:19" s="26" customFormat="1" hidden="1" outlineLevel="1" x14ac:dyDescent="0.2">
      <c r="A126" s="334" t="s">
        <v>53</v>
      </c>
      <c r="B126" s="353"/>
      <c r="C126" s="347"/>
      <c r="D126" s="347"/>
      <c r="E126" s="347"/>
      <c r="F126" s="426"/>
      <c r="G126" s="347"/>
      <c r="H126" s="347"/>
      <c r="I126" s="348">
        <f t="shared" si="38"/>
        <v>0.56440000000000001</v>
      </c>
      <c r="J126" s="349">
        <v>80819.7</v>
      </c>
      <c r="K126" s="350">
        <v>3</v>
      </c>
      <c r="L126" s="347">
        <v>41646</v>
      </c>
      <c r="M126" s="351">
        <v>80819.7</v>
      </c>
      <c r="N126" s="352">
        <v>41687</v>
      </c>
      <c r="O126" s="410">
        <f t="shared" si="29"/>
        <v>41</v>
      </c>
      <c r="P126" s="416" t="str">
        <f t="shared" si="36"/>
        <v/>
      </c>
      <c r="Q126" s="354">
        <f t="shared" si="37"/>
        <v>0</v>
      </c>
      <c r="R126" s="354"/>
      <c r="S126" s="163"/>
    </row>
    <row r="127" spans="1:19" s="26" customFormat="1" hidden="1" outlineLevel="1" x14ac:dyDescent="0.2">
      <c r="A127" s="334" t="s">
        <v>53</v>
      </c>
      <c r="B127" s="353"/>
      <c r="C127" s="347"/>
      <c r="D127" s="347"/>
      <c r="E127" s="347"/>
      <c r="F127" s="426"/>
      <c r="G127" s="347"/>
      <c r="H127" s="347"/>
      <c r="I127" s="348">
        <f t="shared" si="38"/>
        <v>0.64610000000000001</v>
      </c>
      <c r="J127" s="349">
        <v>54167.1</v>
      </c>
      <c r="K127" s="350">
        <v>4</v>
      </c>
      <c r="L127" s="347">
        <v>41702</v>
      </c>
      <c r="M127" s="351">
        <v>54167.1</v>
      </c>
      <c r="N127" s="352">
        <v>41736</v>
      </c>
      <c r="O127" s="410">
        <f t="shared" si="29"/>
        <v>34</v>
      </c>
      <c r="P127" s="416" t="str">
        <f t="shared" si="36"/>
        <v/>
      </c>
      <c r="Q127" s="354">
        <f t="shared" si="37"/>
        <v>0</v>
      </c>
      <c r="R127" s="354"/>
      <c r="S127" s="163"/>
    </row>
    <row r="128" spans="1:19" s="26" customFormat="1" hidden="1" outlineLevel="1" x14ac:dyDescent="0.2">
      <c r="A128" s="334" t="s">
        <v>53</v>
      </c>
      <c r="B128" s="353"/>
      <c r="C128" s="347"/>
      <c r="D128" s="347"/>
      <c r="E128" s="347"/>
      <c r="F128" s="426"/>
      <c r="G128" s="347"/>
      <c r="H128" s="347"/>
      <c r="I128" s="348">
        <f t="shared" si="38"/>
        <v>0.73929999999999996</v>
      </c>
      <c r="J128" s="349">
        <v>61791.6</v>
      </c>
      <c r="K128" s="350">
        <v>5</v>
      </c>
      <c r="L128" s="347">
        <v>41758</v>
      </c>
      <c r="M128" s="351">
        <v>61791.6</v>
      </c>
      <c r="N128" s="352">
        <v>41801</v>
      </c>
      <c r="O128" s="410">
        <f t="shared" si="29"/>
        <v>43</v>
      </c>
      <c r="P128" s="416" t="str">
        <f t="shared" si="36"/>
        <v/>
      </c>
      <c r="Q128" s="354">
        <f t="shared" si="37"/>
        <v>0</v>
      </c>
      <c r="R128" s="354"/>
      <c r="S128" s="163"/>
    </row>
    <row r="129" spans="1:19" s="26" customFormat="1" hidden="1" outlineLevel="1" x14ac:dyDescent="0.2">
      <c r="A129" s="334" t="s">
        <v>53</v>
      </c>
      <c r="B129" s="353"/>
      <c r="C129" s="347"/>
      <c r="D129" s="347"/>
      <c r="E129" s="347"/>
      <c r="F129" s="426"/>
      <c r="G129" s="347"/>
      <c r="H129" s="347"/>
      <c r="I129" s="348">
        <f t="shared" si="38"/>
        <v>0.79999999999999993</v>
      </c>
      <c r="J129" s="349">
        <v>40244.1</v>
      </c>
      <c r="K129" s="350">
        <v>6</v>
      </c>
      <c r="L129" s="347">
        <v>41807</v>
      </c>
      <c r="M129" s="351">
        <v>40244.1</v>
      </c>
      <c r="N129" s="352">
        <v>41849</v>
      </c>
      <c r="O129" s="410">
        <f t="shared" si="29"/>
        <v>42</v>
      </c>
      <c r="P129" s="416" t="str">
        <f t="shared" si="36"/>
        <v/>
      </c>
      <c r="Q129" s="354">
        <f t="shared" si="37"/>
        <v>0</v>
      </c>
      <c r="R129" s="354"/>
      <c r="S129" s="163"/>
    </row>
    <row r="130" spans="1:19" s="26" customFormat="1" hidden="1" outlineLevel="1" x14ac:dyDescent="0.2">
      <c r="A130" s="356" t="s">
        <v>53</v>
      </c>
      <c r="B130" s="363"/>
      <c r="C130" s="358"/>
      <c r="D130" s="358"/>
      <c r="E130" s="358"/>
      <c r="F130" s="427"/>
      <c r="G130" s="358"/>
      <c r="H130" s="358"/>
      <c r="I130" s="428">
        <f t="shared" si="38"/>
        <v>1</v>
      </c>
      <c r="J130" s="359">
        <v>132600</v>
      </c>
      <c r="K130" s="360">
        <v>7</v>
      </c>
      <c r="L130" s="358">
        <v>42766</v>
      </c>
      <c r="M130" s="361">
        <v>132600</v>
      </c>
      <c r="N130" s="362">
        <v>42829</v>
      </c>
      <c r="O130" s="429">
        <f t="shared" si="29"/>
        <v>63</v>
      </c>
      <c r="P130" s="416" t="str">
        <f t="shared" si="36"/>
        <v/>
      </c>
      <c r="Q130" s="364">
        <f t="shared" si="37"/>
        <v>0</v>
      </c>
      <c r="R130" s="364"/>
      <c r="S130" s="163"/>
    </row>
    <row r="131" spans="1:19" s="107" customFormat="1" collapsed="1" x14ac:dyDescent="0.2">
      <c r="A131" s="402" t="s">
        <v>54</v>
      </c>
      <c r="B131" s="406" t="s">
        <v>191</v>
      </c>
      <c r="C131" s="414">
        <v>41170</v>
      </c>
      <c r="D131" s="326">
        <f>DATE(YEAR(C131),MONTH(C131)+18,DAY(C131))</f>
        <v>41716</v>
      </c>
      <c r="E131" s="414">
        <v>41257</v>
      </c>
      <c r="F131" s="419">
        <v>41309</v>
      </c>
      <c r="G131" s="326">
        <f>DATE(YEAR(C131)+4,MONTH(C131),DAY(C131))</f>
        <v>42631</v>
      </c>
      <c r="H131" s="326">
        <v>41940</v>
      </c>
      <c r="I131" s="409">
        <v>89905</v>
      </c>
      <c r="J131" s="404"/>
      <c r="K131" s="415"/>
      <c r="L131" s="414"/>
      <c r="M131" s="407">
        <f>SUM(M132:M136)</f>
        <v>89905</v>
      </c>
      <c r="N131" s="420"/>
      <c r="O131" s="430"/>
      <c r="P131" s="417">
        <f>SUM(P132:P136)</f>
        <v>0</v>
      </c>
      <c r="Q131" s="417">
        <f>SUM(Q132:Q136)</f>
        <v>0</v>
      </c>
      <c r="R131" s="416"/>
      <c r="S131" s="166">
        <f>I131-(M131+P131+Q131)</f>
        <v>0</v>
      </c>
    </row>
    <row r="132" spans="1:19" s="26" customFormat="1" hidden="1" outlineLevel="1" x14ac:dyDescent="0.2">
      <c r="A132" s="334" t="s">
        <v>54</v>
      </c>
      <c r="B132" s="353"/>
      <c r="C132" s="412" t="s">
        <v>224</v>
      </c>
      <c r="D132" s="347"/>
      <c r="E132" s="347"/>
      <c r="F132" s="426"/>
      <c r="G132" s="347"/>
      <c r="H132" s="347"/>
      <c r="I132" s="348">
        <f>J132/$I$131</f>
        <v>0.3</v>
      </c>
      <c r="J132" s="349">
        <v>26971.5</v>
      </c>
      <c r="K132" s="350">
        <v>1</v>
      </c>
      <c r="L132" s="347">
        <v>41313</v>
      </c>
      <c r="M132" s="351">
        <v>26971.5</v>
      </c>
      <c r="N132" s="352">
        <v>41416</v>
      </c>
      <c r="O132" s="410">
        <f>IF(N132="",$Q$2-L132,N132-L132)</f>
        <v>103</v>
      </c>
      <c r="P132" s="416" t="str">
        <f>IF(M132="en attente",J132,"")</f>
        <v/>
      </c>
      <c r="Q132" s="515">
        <f t="shared" si="37"/>
        <v>0</v>
      </c>
      <c r="R132" s="457"/>
      <c r="S132" s="163"/>
    </row>
    <row r="133" spans="1:19" s="26" customFormat="1" hidden="1" outlineLevel="1" x14ac:dyDescent="0.2">
      <c r="A133" s="334" t="s">
        <v>54</v>
      </c>
      <c r="B133" s="353"/>
      <c r="C133" s="347"/>
      <c r="D133" s="347"/>
      <c r="E133" s="347"/>
      <c r="F133" s="426"/>
      <c r="G133" s="347"/>
      <c r="H133" s="347"/>
      <c r="I133" s="348">
        <f>J133/$I$131+I132</f>
        <v>0.58310005005283361</v>
      </c>
      <c r="J133" s="349">
        <v>25452.11</v>
      </c>
      <c r="K133" s="350">
        <v>2</v>
      </c>
      <c r="L133" s="347">
        <v>41645</v>
      </c>
      <c r="M133" s="351">
        <v>25452.11</v>
      </c>
      <c r="N133" s="352">
        <v>41687</v>
      </c>
      <c r="O133" s="410">
        <f>IF(N133="",$Q$2-L133,N133-L133)</f>
        <v>42</v>
      </c>
      <c r="P133" s="416" t="str">
        <f>IF(M133="en attente",J133,"")</f>
        <v/>
      </c>
      <c r="Q133" s="354">
        <f t="shared" si="37"/>
        <v>0</v>
      </c>
      <c r="R133" s="354"/>
      <c r="S133" s="163"/>
    </row>
    <row r="134" spans="1:19" s="26" customFormat="1" hidden="1" outlineLevel="1" x14ac:dyDescent="0.2">
      <c r="A134" s="334" t="s">
        <v>54</v>
      </c>
      <c r="B134" s="353"/>
      <c r="C134" s="347"/>
      <c r="D134" s="347"/>
      <c r="E134" s="347"/>
      <c r="F134" s="426"/>
      <c r="G134" s="347"/>
      <c r="H134" s="347"/>
      <c r="I134" s="348">
        <f>J134/$I$131+I133</f>
        <v>0.68970001668427794</v>
      </c>
      <c r="J134" s="349">
        <v>9583.869999999999</v>
      </c>
      <c r="K134" s="350">
        <v>3</v>
      </c>
      <c r="L134" s="347">
        <v>41703</v>
      </c>
      <c r="M134" s="351">
        <v>9583.869999999999</v>
      </c>
      <c r="N134" s="352">
        <v>41729</v>
      </c>
      <c r="O134" s="410">
        <f>IF(N134="",$Q$2-L134,N134-L134)</f>
        <v>26</v>
      </c>
      <c r="P134" s="416" t="str">
        <f>IF(M134="en attente",J134,"")</f>
        <v/>
      </c>
      <c r="Q134" s="354">
        <f t="shared" si="35"/>
        <v>0</v>
      </c>
      <c r="R134" s="354"/>
      <c r="S134" s="163"/>
    </row>
    <row r="135" spans="1:19" s="26" customFormat="1" hidden="1" outlineLevel="1" x14ac:dyDescent="0.2">
      <c r="A135" s="334" t="s">
        <v>54</v>
      </c>
      <c r="B135" s="353"/>
      <c r="C135" s="347"/>
      <c r="D135" s="347"/>
      <c r="E135" s="347"/>
      <c r="F135" s="426"/>
      <c r="G135" s="347"/>
      <c r="H135" s="347"/>
      <c r="I135" s="348">
        <f>J135/$I$131+I134</f>
        <v>0.8</v>
      </c>
      <c r="J135" s="349">
        <v>9916.52</v>
      </c>
      <c r="K135" s="350">
        <v>4</v>
      </c>
      <c r="L135" s="347">
        <v>41758</v>
      </c>
      <c r="M135" s="351">
        <v>9916.52</v>
      </c>
      <c r="N135" s="352">
        <v>41801</v>
      </c>
      <c r="O135" s="410">
        <f>IF(N135="",$Q$2-L135,N135-L135)</f>
        <v>43</v>
      </c>
      <c r="P135" s="416" t="str">
        <f>IF(M135="en attente",J135,"")</f>
        <v/>
      </c>
      <c r="Q135" s="354">
        <f t="shared" si="35"/>
        <v>0</v>
      </c>
      <c r="R135" s="354"/>
      <c r="S135" s="163"/>
    </row>
    <row r="136" spans="1:19" s="26" customFormat="1" hidden="1" outlineLevel="1" x14ac:dyDescent="0.2">
      <c r="A136" s="334" t="s">
        <v>54</v>
      </c>
      <c r="B136" s="353"/>
      <c r="C136" s="347"/>
      <c r="D136" s="347"/>
      <c r="E136" s="347"/>
      <c r="F136" s="426"/>
      <c r="G136" s="347"/>
      <c r="H136" s="347"/>
      <c r="I136" s="348">
        <f>J136/$I$131+I135</f>
        <v>1</v>
      </c>
      <c r="J136" s="349">
        <v>17981</v>
      </c>
      <c r="K136" s="350">
        <v>5</v>
      </c>
      <c r="L136" s="347">
        <v>42704</v>
      </c>
      <c r="M136" s="351">
        <v>17981</v>
      </c>
      <c r="N136" s="352">
        <v>42906</v>
      </c>
      <c r="O136" s="410">
        <f>IF(N136="",$Q$2-L136,N136-L136)</f>
        <v>202</v>
      </c>
      <c r="P136" s="416" t="str">
        <f>IF(M136="en attente",J136,"")</f>
        <v/>
      </c>
      <c r="Q136" s="354">
        <f t="shared" si="35"/>
        <v>0</v>
      </c>
      <c r="R136" s="354"/>
      <c r="S136" s="163"/>
    </row>
    <row r="137" spans="1:19" s="107" customFormat="1" collapsed="1" x14ac:dyDescent="0.2">
      <c r="A137" s="325" t="s">
        <v>55</v>
      </c>
      <c r="B137" s="332" t="s">
        <v>190</v>
      </c>
      <c r="C137" s="326">
        <v>41094</v>
      </c>
      <c r="D137" s="326">
        <f>DATE(YEAR(C137),MONTH(C137)+18,DAY(C137))</f>
        <v>41643</v>
      </c>
      <c r="E137" s="326">
        <v>41253</v>
      </c>
      <c r="F137" s="424">
        <v>41303</v>
      </c>
      <c r="G137" s="326">
        <v>43284</v>
      </c>
      <c r="H137" s="326">
        <v>42954</v>
      </c>
      <c r="I137" s="327">
        <v>790394</v>
      </c>
      <c r="J137" s="328"/>
      <c r="K137" s="329"/>
      <c r="L137" s="326"/>
      <c r="M137" s="330">
        <f>SUM(M138:M142)</f>
        <v>790394</v>
      </c>
      <c r="N137" s="331"/>
      <c r="O137" s="425"/>
      <c r="P137" s="333">
        <f>SUM(P138:P142)</f>
        <v>0</v>
      </c>
      <c r="Q137" s="333">
        <f>SUM(Q138:Q142)</f>
        <v>0</v>
      </c>
      <c r="R137" s="333"/>
      <c r="S137" s="166">
        <f>I137-(M137+P137+Q137)</f>
        <v>0</v>
      </c>
    </row>
    <row r="138" spans="1:19" s="26" customFormat="1" hidden="1" outlineLevel="1" x14ac:dyDescent="0.2">
      <c r="A138" s="334" t="s">
        <v>55</v>
      </c>
      <c r="B138" s="353"/>
      <c r="C138" s="412" t="s">
        <v>224</v>
      </c>
      <c r="D138" s="347"/>
      <c r="E138" s="347"/>
      <c r="F138" s="426"/>
      <c r="G138" s="347" t="s">
        <v>253</v>
      </c>
      <c r="H138" s="347"/>
      <c r="I138" s="348">
        <f>J138/$I$137</f>
        <v>0.3</v>
      </c>
      <c r="J138" s="349">
        <v>237118.2</v>
      </c>
      <c r="K138" s="350">
        <v>1</v>
      </c>
      <c r="L138" s="347">
        <v>41360</v>
      </c>
      <c r="M138" s="351">
        <v>237118.2</v>
      </c>
      <c r="N138" s="352">
        <v>41428</v>
      </c>
      <c r="O138" s="410">
        <f>IF(N138="",$Q$2-L138,N138-L138)</f>
        <v>68</v>
      </c>
      <c r="P138" s="416" t="str">
        <f t="shared" ref="P138:P242" si="39">IF(M138="en attente",J138,"")</f>
        <v/>
      </c>
      <c r="Q138" s="354">
        <f t="shared" si="35"/>
        <v>0</v>
      </c>
      <c r="R138" s="354"/>
      <c r="S138" s="163"/>
    </row>
    <row r="139" spans="1:19" s="26" customFormat="1" hidden="1" outlineLevel="1" x14ac:dyDescent="0.2">
      <c r="A139" s="334" t="s">
        <v>55</v>
      </c>
      <c r="B139" s="353"/>
      <c r="C139" s="347"/>
      <c r="D139" s="347"/>
      <c r="E139" s="347"/>
      <c r="F139" s="426"/>
      <c r="G139" s="347"/>
      <c r="H139" s="347"/>
      <c r="I139" s="348">
        <f>J139/$I$137+I138</f>
        <v>0.47089999418011774</v>
      </c>
      <c r="J139" s="349">
        <v>135078.33000000002</v>
      </c>
      <c r="K139" s="350">
        <v>2</v>
      </c>
      <c r="L139" s="347">
        <v>41913</v>
      </c>
      <c r="M139" s="351">
        <v>135078.33000000002</v>
      </c>
      <c r="N139" s="352">
        <v>41943</v>
      </c>
      <c r="O139" s="410">
        <f>IF(N139="",$Q$2-L139,N139-L139)</f>
        <v>30</v>
      </c>
      <c r="P139" s="416" t="str">
        <f t="shared" si="39"/>
        <v/>
      </c>
      <c r="Q139" s="354">
        <f t="shared" si="35"/>
        <v>0</v>
      </c>
      <c r="R139" s="354"/>
      <c r="S139" s="163"/>
    </row>
    <row r="140" spans="1:19" s="26" customFormat="1" hidden="1" outlineLevel="1" x14ac:dyDescent="0.2">
      <c r="A140" s="334" t="s">
        <v>55</v>
      </c>
      <c r="B140" s="353"/>
      <c r="C140" s="347"/>
      <c r="D140" s="347"/>
      <c r="E140" s="347"/>
      <c r="F140" s="426"/>
      <c r="G140" s="347"/>
      <c r="H140" s="347"/>
      <c r="I140" s="348">
        <f>J140/$I$137+I139</f>
        <v>0.696199996457463</v>
      </c>
      <c r="J140" s="349">
        <v>178075.77</v>
      </c>
      <c r="K140" s="350">
        <v>3</v>
      </c>
      <c r="L140" s="347">
        <v>42215</v>
      </c>
      <c r="M140" s="351">
        <v>178075.77</v>
      </c>
      <c r="N140" s="352">
        <v>42303</v>
      </c>
      <c r="O140" s="410">
        <f>IF(N140="",$Q$2-L140,N140-L140)</f>
        <v>88</v>
      </c>
      <c r="P140" s="416" t="str">
        <f t="shared" si="39"/>
        <v/>
      </c>
      <c r="Q140" s="354">
        <f t="shared" si="35"/>
        <v>0</v>
      </c>
      <c r="R140" s="354"/>
      <c r="S140" s="163"/>
    </row>
    <row r="141" spans="1:19" s="26" customFormat="1" hidden="1" outlineLevel="1" x14ac:dyDescent="0.2">
      <c r="A141" s="334" t="s">
        <v>55</v>
      </c>
      <c r="B141" s="353"/>
      <c r="C141" s="347"/>
      <c r="D141" s="347"/>
      <c r="E141" s="347"/>
      <c r="F141" s="426"/>
      <c r="G141" s="347"/>
      <c r="H141" s="347"/>
      <c r="I141" s="348">
        <v>0.78920000000000001</v>
      </c>
      <c r="J141" s="349">
        <v>73506.64</v>
      </c>
      <c r="K141" s="350">
        <v>4</v>
      </c>
      <c r="L141" s="347">
        <v>42383</v>
      </c>
      <c r="M141" s="351">
        <v>73506.64</v>
      </c>
      <c r="N141" s="352">
        <v>42431</v>
      </c>
      <c r="O141" s="410">
        <f>IF(N141="",$Q$2-L141,N141-L141)</f>
        <v>48</v>
      </c>
      <c r="P141" s="416" t="str">
        <f t="shared" si="39"/>
        <v/>
      </c>
      <c r="Q141" s="354">
        <f t="shared" si="35"/>
        <v>0</v>
      </c>
      <c r="R141" s="354"/>
      <c r="S141" s="163"/>
    </row>
    <row r="142" spans="1:19" s="26" customFormat="1" hidden="1" outlineLevel="1" x14ac:dyDescent="0.2">
      <c r="A142" s="356" t="s">
        <v>55</v>
      </c>
      <c r="B142" s="363"/>
      <c r="C142" s="358"/>
      <c r="D142" s="358"/>
      <c r="E142" s="358"/>
      <c r="F142" s="427"/>
      <c r="G142" s="358"/>
      <c r="H142" s="358"/>
      <c r="I142" s="428">
        <v>1</v>
      </c>
      <c r="J142" s="359">
        <f>I137-(J138+J139+J140+J141)</f>
        <v>166615.05999999994</v>
      </c>
      <c r="K142" s="350">
        <v>5</v>
      </c>
      <c r="L142" s="358">
        <v>43242</v>
      </c>
      <c r="M142" s="361">
        <v>166615.06</v>
      </c>
      <c r="N142" s="362">
        <v>43294</v>
      </c>
      <c r="O142" s="429">
        <f>IF(N142="",$Q$2-L142,N142-L142)</f>
        <v>52</v>
      </c>
      <c r="P142" s="416" t="str">
        <f t="shared" si="39"/>
        <v/>
      </c>
      <c r="Q142" s="364">
        <f>IF(L142="",J142-M142,0)</f>
        <v>0</v>
      </c>
      <c r="R142" s="364"/>
      <c r="S142" s="163"/>
    </row>
    <row r="143" spans="1:19" s="107" customFormat="1" collapsed="1" x14ac:dyDescent="0.2">
      <c r="A143" s="325" t="s">
        <v>58</v>
      </c>
      <c r="B143" s="332" t="s">
        <v>188</v>
      </c>
      <c r="C143" s="326">
        <v>41171</v>
      </c>
      <c r="D143" s="326">
        <f>DATE(YEAR(C143),MONTH(C143)+18,DAY(C143))</f>
        <v>41717</v>
      </c>
      <c r="E143" s="326">
        <v>41257</v>
      </c>
      <c r="F143" s="424">
        <v>41400</v>
      </c>
      <c r="G143" s="326">
        <f>DATE(YEAR(C143)+4,MONTH(C143),DAY(C143))</f>
        <v>42632</v>
      </c>
      <c r="H143" s="326">
        <v>41831</v>
      </c>
      <c r="I143" s="327">
        <v>177688</v>
      </c>
      <c r="J143" s="328"/>
      <c r="K143" s="329"/>
      <c r="L143" s="326"/>
      <c r="M143" s="330">
        <f>SUM(M144:M147)</f>
        <v>177688.00000000003</v>
      </c>
      <c r="N143" s="331"/>
      <c r="O143" s="425"/>
      <c r="P143" s="333">
        <f>SUM(P144:P147)</f>
        <v>0</v>
      </c>
      <c r="Q143" s="333">
        <f>SUM(Q144:Q147)</f>
        <v>0</v>
      </c>
      <c r="R143" s="333"/>
      <c r="S143" s="166">
        <f>I143-(M143+P143+Q143)</f>
        <v>0</v>
      </c>
    </row>
    <row r="144" spans="1:19" s="26" customFormat="1" hidden="1" outlineLevel="1" x14ac:dyDescent="0.2">
      <c r="A144" s="334" t="s">
        <v>58</v>
      </c>
      <c r="B144" s="353"/>
      <c r="C144" s="412" t="s">
        <v>224</v>
      </c>
      <c r="D144" s="347"/>
      <c r="E144" s="347"/>
      <c r="F144" s="426"/>
      <c r="G144" s="347"/>
      <c r="H144" s="347"/>
      <c r="I144" s="348">
        <f>J144/$I$143</f>
        <v>0.3</v>
      </c>
      <c r="J144" s="349">
        <v>53306.400000000001</v>
      </c>
      <c r="K144" s="350">
        <v>1</v>
      </c>
      <c r="L144" s="347">
        <v>41466</v>
      </c>
      <c r="M144" s="351">
        <v>53306.400000000001</v>
      </c>
      <c r="N144" s="352">
        <v>41522</v>
      </c>
      <c r="O144" s="410">
        <f>IF(N144="",$Q$2-L144,N144-L144)</f>
        <v>56</v>
      </c>
      <c r="P144" s="354" t="str">
        <f>IF(M144="en attente",J144,"")</f>
        <v/>
      </c>
      <c r="Q144" s="354">
        <f>IF(L144="",J144-M144,0)</f>
        <v>0</v>
      </c>
      <c r="R144" s="354"/>
      <c r="S144" s="163"/>
    </row>
    <row r="145" spans="1:19" s="26" customFormat="1" hidden="1" outlineLevel="1" x14ac:dyDescent="0.2">
      <c r="A145" s="334" t="s">
        <v>58</v>
      </c>
      <c r="B145" s="353"/>
      <c r="C145" s="347"/>
      <c r="D145" s="347"/>
      <c r="E145" s="347"/>
      <c r="F145" s="426"/>
      <c r="G145" s="347"/>
      <c r="H145" s="347"/>
      <c r="I145" s="348">
        <f>J145/$I$143+I144</f>
        <v>0.49159999549772637</v>
      </c>
      <c r="J145" s="349">
        <v>34045.020000000004</v>
      </c>
      <c r="K145" s="350">
        <v>2</v>
      </c>
      <c r="L145" s="347">
        <v>41717</v>
      </c>
      <c r="M145" s="351">
        <v>34045.020000000004</v>
      </c>
      <c r="N145" s="352">
        <v>41744</v>
      </c>
      <c r="O145" s="410">
        <f>IF(N145="",$Q$2-L145,N145-L145)</f>
        <v>27</v>
      </c>
      <c r="P145" s="354" t="str">
        <f>IF(M145="en attente",J145,"")</f>
        <v/>
      </c>
      <c r="Q145" s="354">
        <f>IF(L145="",J145-M145,0)</f>
        <v>0</v>
      </c>
      <c r="R145" s="354"/>
      <c r="S145" s="163"/>
    </row>
    <row r="146" spans="1:19" s="26" customFormat="1" hidden="1" outlineLevel="1" x14ac:dyDescent="0.2">
      <c r="A146" s="334" t="s">
        <v>58</v>
      </c>
      <c r="B146" s="353"/>
      <c r="C146" s="347"/>
      <c r="D146" s="347"/>
      <c r="E146" s="347"/>
      <c r="F146" s="426"/>
      <c r="G146" s="347"/>
      <c r="H146" s="347"/>
      <c r="I146" s="348">
        <f>J146/$I$143+I145</f>
        <v>0.8</v>
      </c>
      <c r="J146" s="349">
        <v>54798.98</v>
      </c>
      <c r="K146" s="350">
        <v>3</v>
      </c>
      <c r="L146" s="347">
        <v>41855</v>
      </c>
      <c r="M146" s="351">
        <v>54798.98</v>
      </c>
      <c r="N146" s="352">
        <v>41884</v>
      </c>
      <c r="O146" s="410">
        <f>IF(N146="",$Q$2-L146,N146-L146)</f>
        <v>29</v>
      </c>
      <c r="P146" s="354" t="str">
        <f>IF(M146="en attente",J146,"")</f>
        <v/>
      </c>
      <c r="Q146" s="354">
        <f>IF(L146="",J146-M146,0)</f>
        <v>0</v>
      </c>
      <c r="R146" s="354"/>
      <c r="S146" s="163"/>
    </row>
    <row r="147" spans="1:19" s="26" customFormat="1" hidden="1" outlineLevel="1" x14ac:dyDescent="0.2">
      <c r="A147" s="356" t="s">
        <v>58</v>
      </c>
      <c r="B147" s="363"/>
      <c r="C147" s="358"/>
      <c r="D147" s="358"/>
      <c r="E147" s="358"/>
      <c r="F147" s="427"/>
      <c r="G147" s="358"/>
      <c r="H147" s="358"/>
      <c r="I147" s="428">
        <f>J147/$I$143+I146</f>
        <v>1</v>
      </c>
      <c r="J147" s="359">
        <v>35537.599999999999</v>
      </c>
      <c r="K147" s="360">
        <v>4</v>
      </c>
      <c r="L147" s="358">
        <v>42411</v>
      </c>
      <c r="M147" s="361">
        <v>35537.599999999999</v>
      </c>
      <c r="N147" s="362">
        <v>42593</v>
      </c>
      <c r="O147" s="429"/>
      <c r="P147" s="364" t="str">
        <f>IF(M147="en attente",J147,"")</f>
        <v/>
      </c>
      <c r="Q147" s="364">
        <f>IF(L147="",J147-M147,0)</f>
        <v>0</v>
      </c>
      <c r="R147" s="364" t="s">
        <v>77</v>
      </c>
      <c r="S147" s="163"/>
    </row>
    <row r="148" spans="1:19" s="107" customFormat="1" collapsed="1" x14ac:dyDescent="0.2">
      <c r="A148" s="402" t="s">
        <v>9</v>
      </c>
      <c r="B148" s="406" t="s">
        <v>187</v>
      </c>
      <c r="C148" s="414">
        <v>41170</v>
      </c>
      <c r="D148" s="326">
        <f>DATE(YEAR(C148),MONTH(C148)+18,DAY(C148))</f>
        <v>41716</v>
      </c>
      <c r="E148" s="414">
        <v>41253</v>
      </c>
      <c r="F148" s="419">
        <v>41554</v>
      </c>
      <c r="G148" s="326">
        <v>43360</v>
      </c>
      <c r="H148" s="326">
        <v>42633</v>
      </c>
      <c r="I148" s="409">
        <v>264000</v>
      </c>
      <c r="J148" s="404"/>
      <c r="K148" s="415"/>
      <c r="L148" s="414"/>
      <c r="M148" s="407">
        <f>SUM(M149:M152)</f>
        <v>264000</v>
      </c>
      <c r="N148" s="420"/>
      <c r="O148" s="430"/>
      <c r="P148" s="416">
        <f>SUM(P149:P152)</f>
        <v>0</v>
      </c>
      <c r="Q148" s="416">
        <f>SUM(Q149:Q152)</f>
        <v>0</v>
      </c>
      <c r="R148" s="416"/>
      <c r="S148" s="166">
        <f>I148-(M148+P148+Q148)</f>
        <v>0</v>
      </c>
    </row>
    <row r="149" spans="1:19" s="26" customFormat="1" hidden="1" outlineLevel="1" x14ac:dyDescent="0.2">
      <c r="A149" s="334" t="s">
        <v>9</v>
      </c>
      <c r="B149" s="353"/>
      <c r="C149" s="412" t="s">
        <v>224</v>
      </c>
      <c r="D149" s="347"/>
      <c r="E149" s="347"/>
      <c r="F149" s="426"/>
      <c r="G149" s="347" t="s">
        <v>257</v>
      </c>
      <c r="H149" s="656"/>
      <c r="I149" s="348">
        <f>J149/$I$148</f>
        <v>0.3</v>
      </c>
      <c r="J149" s="349">
        <v>79200</v>
      </c>
      <c r="K149" s="350">
        <v>1</v>
      </c>
      <c r="L149" s="347">
        <v>41582</v>
      </c>
      <c r="M149" s="351">
        <v>79200</v>
      </c>
      <c r="N149" s="352">
        <v>41618</v>
      </c>
      <c r="O149" s="410">
        <f>IF(N149="",$Q$2-L149,N149-L149)</f>
        <v>36</v>
      </c>
      <c r="P149" s="416" t="str">
        <f t="shared" si="39"/>
        <v/>
      </c>
      <c r="Q149" s="354">
        <f>IF(L149="",J149-M149,0)</f>
        <v>0</v>
      </c>
      <c r="R149" s="354"/>
      <c r="S149" s="163"/>
    </row>
    <row r="150" spans="1:19" s="107" customFormat="1" hidden="1" outlineLevel="1" x14ac:dyDescent="0.2">
      <c r="A150" s="334" t="s">
        <v>9</v>
      </c>
      <c r="B150" s="406"/>
      <c r="C150" s="414"/>
      <c r="D150" s="414"/>
      <c r="E150" s="414"/>
      <c r="F150" s="419"/>
      <c r="G150" s="657"/>
      <c r="H150" s="414"/>
      <c r="I150" s="348">
        <f>J150/$I$148+I149</f>
        <v>0.61050000000000004</v>
      </c>
      <c r="J150" s="349">
        <v>81972</v>
      </c>
      <c r="K150" s="350">
        <v>2</v>
      </c>
      <c r="L150" s="347">
        <v>42178</v>
      </c>
      <c r="M150" s="351">
        <v>81972</v>
      </c>
      <c r="N150" s="352">
        <v>42237</v>
      </c>
      <c r="O150" s="410">
        <f>IF(N150="",$Q$2-L150,N150-L150)</f>
        <v>59</v>
      </c>
      <c r="P150" s="416" t="str">
        <f t="shared" si="39"/>
        <v/>
      </c>
      <c r="Q150" s="416">
        <f>IF(L150="",J150-M150,0)</f>
        <v>0</v>
      </c>
      <c r="R150" s="416"/>
      <c r="S150" s="163"/>
    </row>
    <row r="151" spans="1:19" s="26" customFormat="1" hidden="1" outlineLevel="1" x14ac:dyDescent="0.2">
      <c r="A151" s="334" t="s">
        <v>9</v>
      </c>
      <c r="B151" s="353"/>
      <c r="C151" s="347"/>
      <c r="D151" s="347"/>
      <c r="E151" s="347"/>
      <c r="F151" s="426"/>
      <c r="G151" s="412"/>
      <c r="H151" s="347"/>
      <c r="I151" s="435">
        <v>0.76859999999999995</v>
      </c>
      <c r="J151" s="349">
        <v>41738.400000000001</v>
      </c>
      <c r="K151" s="350">
        <v>3</v>
      </c>
      <c r="L151" s="347">
        <v>42376</v>
      </c>
      <c r="M151" s="351">
        <v>41738.400000000001</v>
      </c>
      <c r="N151" s="352">
        <v>42438</v>
      </c>
      <c r="O151" s="410">
        <f>IF(N151="",$Q$2-L151,N151-L151)</f>
        <v>62</v>
      </c>
      <c r="P151" s="416" t="str">
        <f t="shared" si="39"/>
        <v/>
      </c>
      <c r="Q151" s="354">
        <f>IF(L151="",J151-M151,0)</f>
        <v>0</v>
      </c>
      <c r="R151" s="354"/>
      <c r="S151" s="163"/>
    </row>
    <row r="152" spans="1:19" s="26" customFormat="1" hidden="1" outlineLevel="1" x14ac:dyDescent="0.2">
      <c r="A152" s="334" t="s">
        <v>9</v>
      </c>
      <c r="B152" s="353"/>
      <c r="C152" s="347"/>
      <c r="D152" s="347"/>
      <c r="E152" s="347"/>
      <c r="F152" s="426"/>
      <c r="G152" s="412"/>
      <c r="H152" s="347"/>
      <c r="I152" s="348">
        <v>1</v>
      </c>
      <c r="J152" s="349">
        <f>I148-(J149+J150+J151)</f>
        <v>61089.600000000006</v>
      </c>
      <c r="K152" s="350">
        <v>4</v>
      </c>
      <c r="L152" s="347">
        <v>43025</v>
      </c>
      <c r="M152" s="351">
        <v>61089.599999999999</v>
      </c>
      <c r="N152" s="352">
        <v>43252</v>
      </c>
      <c r="O152" s="410"/>
      <c r="P152" s="416" t="str">
        <f t="shared" si="39"/>
        <v/>
      </c>
      <c r="Q152" s="354">
        <f>IF(L152="",J152-M152,0)</f>
        <v>0</v>
      </c>
      <c r="R152" s="354"/>
      <c r="S152" s="163"/>
    </row>
    <row r="153" spans="1:19" s="107" customFormat="1" collapsed="1" x14ac:dyDescent="0.2">
      <c r="A153" s="325" t="s">
        <v>112</v>
      </c>
      <c r="B153" s="332" t="s">
        <v>186</v>
      </c>
      <c r="C153" s="326">
        <v>41179</v>
      </c>
      <c r="D153" s="326">
        <f>DATE(YEAR(C153),MONTH(C153)+18,DAY(C153))</f>
        <v>41725</v>
      </c>
      <c r="E153" s="326">
        <v>41253</v>
      </c>
      <c r="F153" s="424">
        <v>41452</v>
      </c>
      <c r="G153" s="326">
        <f>DATE(YEAR(C153)+4,MONTH(C153),DAY(C153))</f>
        <v>42640</v>
      </c>
      <c r="H153" s="326">
        <v>42275</v>
      </c>
      <c r="I153" s="327">
        <v>165000</v>
      </c>
      <c r="J153" s="328"/>
      <c r="K153" s="329"/>
      <c r="L153" s="326"/>
      <c r="M153" s="330">
        <f>SUM(M154:M157)</f>
        <v>165000</v>
      </c>
      <c r="N153" s="331"/>
      <c r="O153" s="425"/>
      <c r="P153" s="333">
        <f>SUM(P154:P157)</f>
        <v>0</v>
      </c>
      <c r="Q153" s="333">
        <f>SUM(Q154:Q157)</f>
        <v>0</v>
      </c>
      <c r="R153" s="333"/>
      <c r="S153" s="166">
        <f>I153-(M153+P153+Q153)</f>
        <v>0</v>
      </c>
    </row>
    <row r="154" spans="1:19" s="26" customFormat="1" hidden="1" outlineLevel="1" x14ac:dyDescent="0.2">
      <c r="A154" s="334" t="s">
        <v>112</v>
      </c>
      <c r="B154" s="353"/>
      <c r="C154" s="412" t="s">
        <v>224</v>
      </c>
      <c r="D154" s="347"/>
      <c r="E154" s="347"/>
      <c r="F154" s="426"/>
      <c r="G154" s="347"/>
      <c r="H154" s="347"/>
      <c r="I154" s="348">
        <f>J154/$I$153</f>
        <v>0.3</v>
      </c>
      <c r="J154" s="349">
        <v>49500</v>
      </c>
      <c r="K154" s="350">
        <v>1</v>
      </c>
      <c r="L154" s="347">
        <v>41485</v>
      </c>
      <c r="M154" s="351">
        <v>49500</v>
      </c>
      <c r="N154" s="352">
        <v>41551</v>
      </c>
      <c r="O154" s="410">
        <f>IF(N154="",$Q$2-L154,N154-L154)</f>
        <v>66</v>
      </c>
      <c r="P154" s="416" t="str">
        <f t="shared" si="39"/>
        <v/>
      </c>
      <c r="Q154" s="354">
        <f>IF(L154="",J154-M154,0)</f>
        <v>0</v>
      </c>
      <c r="R154" s="354"/>
      <c r="S154" s="163"/>
    </row>
    <row r="155" spans="1:19" s="26" customFormat="1" hidden="1" outlineLevel="1" x14ac:dyDescent="0.2">
      <c r="A155" s="334" t="s">
        <v>112</v>
      </c>
      <c r="B155" s="353"/>
      <c r="C155" s="347"/>
      <c r="D155" s="347"/>
      <c r="E155" s="347"/>
      <c r="F155" s="426"/>
      <c r="G155" s="347"/>
      <c r="H155" s="347"/>
      <c r="I155" s="348">
        <f>J155/$I$153+I154</f>
        <v>0.54269999999999996</v>
      </c>
      <c r="J155" s="349">
        <v>40045.5</v>
      </c>
      <c r="K155" s="350">
        <v>2</v>
      </c>
      <c r="L155" s="347">
        <v>41855</v>
      </c>
      <c r="M155" s="351">
        <v>40045.5</v>
      </c>
      <c r="N155" s="352">
        <v>41921</v>
      </c>
      <c r="O155" s="410">
        <f>IF(N155="",$Q$2-L155,N155-L155)</f>
        <v>66</v>
      </c>
      <c r="P155" s="416" t="str">
        <f t="shared" si="39"/>
        <v/>
      </c>
      <c r="Q155" s="354">
        <f>IF(L155="",J155-M155,0)</f>
        <v>0</v>
      </c>
      <c r="R155" s="354"/>
      <c r="S155" s="163"/>
    </row>
    <row r="156" spans="1:19" s="26" customFormat="1" hidden="1" outlineLevel="1" x14ac:dyDescent="0.2">
      <c r="A156" s="334" t="s">
        <v>112</v>
      </c>
      <c r="B156" s="353"/>
      <c r="C156" s="347"/>
      <c r="D156" s="347"/>
      <c r="E156" s="347"/>
      <c r="F156" s="426"/>
      <c r="G156" s="347"/>
      <c r="H156" s="347"/>
      <c r="I156" s="348">
        <f>J156/$I$153+I155</f>
        <v>0.77839999999999998</v>
      </c>
      <c r="J156" s="349">
        <v>38890.5</v>
      </c>
      <c r="K156" s="350">
        <v>3</v>
      </c>
      <c r="L156" s="347">
        <v>42221</v>
      </c>
      <c r="M156" s="351">
        <v>38890.5</v>
      </c>
      <c r="N156" s="352">
        <v>42243</v>
      </c>
      <c r="O156" s="410">
        <f>IF(N156="",$Q$2-L156,N156-L156)</f>
        <v>22</v>
      </c>
      <c r="P156" s="416" t="str">
        <f t="shared" si="39"/>
        <v/>
      </c>
      <c r="Q156" s="354">
        <f>IF(L156="",J156-M156,0)</f>
        <v>0</v>
      </c>
      <c r="R156" s="354"/>
      <c r="S156" s="163"/>
    </row>
    <row r="157" spans="1:19" s="26" customFormat="1" hidden="1" outlineLevel="1" x14ac:dyDescent="0.2">
      <c r="A157" s="356" t="s">
        <v>112</v>
      </c>
      <c r="B157" s="363"/>
      <c r="C157" s="358"/>
      <c r="D157" s="358"/>
      <c r="E157" s="358"/>
      <c r="F157" s="427"/>
      <c r="G157" s="358"/>
      <c r="H157" s="358"/>
      <c r="I157" s="428">
        <f>J157/$I$153+I156</f>
        <v>1</v>
      </c>
      <c r="J157" s="359">
        <v>36564</v>
      </c>
      <c r="K157" s="360">
        <v>4</v>
      </c>
      <c r="L157" s="358">
        <v>42656</v>
      </c>
      <c r="M157" s="361">
        <v>36564</v>
      </c>
      <c r="N157" s="362">
        <v>42859</v>
      </c>
      <c r="O157" s="429"/>
      <c r="P157" s="416" t="str">
        <f t="shared" si="39"/>
        <v/>
      </c>
      <c r="Q157" s="364">
        <f>IF(L157="",J157-M157,0)</f>
        <v>0</v>
      </c>
      <c r="R157" s="364"/>
      <c r="S157" s="163"/>
    </row>
    <row r="158" spans="1:19" s="8" customFormat="1" collapsed="1" x14ac:dyDescent="0.2">
      <c r="A158" s="325" t="s">
        <v>43</v>
      </c>
      <c r="B158" s="398" t="s">
        <v>179</v>
      </c>
      <c r="C158" s="326">
        <v>41515</v>
      </c>
      <c r="D158" s="326">
        <f>DATE(YEAR(C158),MONTH(C158)+18,DAY(C158))</f>
        <v>42064</v>
      </c>
      <c r="E158" s="326">
        <v>41712</v>
      </c>
      <c r="F158" s="424">
        <v>41835</v>
      </c>
      <c r="G158" s="326">
        <f>DATE(YEAR(C158)+4,MONTH(C158),DAY(C158))</f>
        <v>42976</v>
      </c>
      <c r="H158" s="326">
        <v>42333</v>
      </c>
      <c r="I158" s="327">
        <v>500000</v>
      </c>
      <c r="J158" s="328"/>
      <c r="K158" s="329"/>
      <c r="L158" s="332"/>
      <c r="M158" s="330">
        <f>SUM(M159:M162)</f>
        <v>500000</v>
      </c>
      <c r="N158" s="331"/>
      <c r="O158" s="425"/>
      <c r="P158" s="333">
        <f>SUM(P159:P162)</f>
        <v>0</v>
      </c>
      <c r="Q158" s="333">
        <f>SUM(Q159:Q162)</f>
        <v>0</v>
      </c>
      <c r="R158" s="333"/>
      <c r="S158" s="166">
        <f>I158-(M158+P158+Q158)</f>
        <v>0</v>
      </c>
    </row>
    <row r="159" spans="1:19" s="26" customFormat="1" hidden="1" outlineLevel="1" x14ac:dyDescent="0.2">
      <c r="A159" s="334" t="s">
        <v>43</v>
      </c>
      <c r="B159" s="353"/>
      <c r="C159" s="412" t="s">
        <v>224</v>
      </c>
      <c r="D159" s="347"/>
      <c r="E159" s="347"/>
      <c r="F159" s="426"/>
      <c r="G159" s="347"/>
      <c r="H159" s="347"/>
      <c r="I159" s="348">
        <f>J159/I158</f>
        <v>0.3</v>
      </c>
      <c r="J159" s="349">
        <v>150000</v>
      </c>
      <c r="K159" s="350">
        <v>1</v>
      </c>
      <c r="L159" s="347">
        <v>41939</v>
      </c>
      <c r="M159" s="351">
        <v>150000</v>
      </c>
      <c r="N159" s="352">
        <v>41984</v>
      </c>
      <c r="O159" s="410">
        <f>IF(N159="",$Q$2-L159,N159-L159)</f>
        <v>45</v>
      </c>
      <c r="P159" s="416" t="str">
        <f t="shared" si="39"/>
        <v/>
      </c>
      <c r="Q159" s="354">
        <f>IF(L159="",J159-M159,0)</f>
        <v>0</v>
      </c>
      <c r="R159" s="457"/>
      <c r="S159" s="163"/>
    </row>
    <row r="160" spans="1:19" s="26" customFormat="1" hidden="1" outlineLevel="1" x14ac:dyDescent="0.2">
      <c r="A160" s="334" t="s">
        <v>43</v>
      </c>
      <c r="B160" s="353"/>
      <c r="C160" s="347"/>
      <c r="D160" s="347"/>
      <c r="E160" s="347"/>
      <c r="F160" s="426"/>
      <c r="G160" s="347"/>
      <c r="H160" s="347"/>
      <c r="I160" s="348">
        <f>J160/$I$158+$I$159</f>
        <v>0.55289999999999995</v>
      </c>
      <c r="J160" s="349">
        <v>126450</v>
      </c>
      <c r="K160" s="350">
        <v>2</v>
      </c>
      <c r="L160" s="347">
        <v>42187</v>
      </c>
      <c r="M160" s="351">
        <v>126450</v>
      </c>
      <c r="N160" s="352">
        <v>42234</v>
      </c>
      <c r="O160" s="410">
        <f>IF(N160="",$Q$2-L160,N160-L160)</f>
        <v>47</v>
      </c>
      <c r="P160" s="416" t="str">
        <f t="shared" si="39"/>
        <v/>
      </c>
      <c r="Q160" s="354">
        <f>IF(L160="",J160-M160,0)</f>
        <v>0</v>
      </c>
      <c r="R160" s="354"/>
      <c r="S160" s="163"/>
    </row>
    <row r="161" spans="1:19" s="26" customFormat="1" hidden="1" outlineLevel="1" x14ac:dyDescent="0.2">
      <c r="A161" s="334" t="s">
        <v>43</v>
      </c>
      <c r="B161" s="353"/>
      <c r="C161" s="347"/>
      <c r="D161" s="347"/>
      <c r="E161" s="347"/>
      <c r="F161" s="426"/>
      <c r="G161" s="347"/>
      <c r="H161" s="347"/>
      <c r="I161" s="435">
        <v>0.74490000000000001</v>
      </c>
      <c r="J161" s="349">
        <v>96000</v>
      </c>
      <c r="K161" s="350">
        <v>3</v>
      </c>
      <c r="L161" s="347">
        <v>42314</v>
      </c>
      <c r="M161" s="351">
        <v>96000</v>
      </c>
      <c r="N161" s="352">
        <v>42341</v>
      </c>
      <c r="O161" s="410">
        <f>IF(N161="",$Q$2-L161,N161-L161)</f>
        <v>27</v>
      </c>
      <c r="P161" s="416" t="str">
        <f t="shared" si="39"/>
        <v/>
      </c>
      <c r="Q161" s="354">
        <f>IF(L161="",J161-M161,0)</f>
        <v>0</v>
      </c>
      <c r="R161" s="354"/>
      <c r="S161" s="163"/>
    </row>
    <row r="162" spans="1:19" s="26" customFormat="1" hidden="1" outlineLevel="1" x14ac:dyDescent="0.2">
      <c r="A162" s="356" t="s">
        <v>43</v>
      </c>
      <c r="B162" s="363"/>
      <c r="C162" s="358"/>
      <c r="D162" s="358"/>
      <c r="E162" s="358"/>
      <c r="F162" s="427"/>
      <c r="G162" s="358"/>
      <c r="H162" s="358"/>
      <c r="I162" s="428">
        <v>1</v>
      </c>
      <c r="J162" s="359">
        <f>I158-(J159+J160+J161)</f>
        <v>127550</v>
      </c>
      <c r="K162" s="360">
        <v>4</v>
      </c>
      <c r="L162" s="358">
        <v>42900</v>
      </c>
      <c r="M162" s="361">
        <v>127550</v>
      </c>
      <c r="N162" s="362">
        <v>43011</v>
      </c>
      <c r="O162" s="429"/>
      <c r="P162" s="416" t="str">
        <f t="shared" si="39"/>
        <v/>
      </c>
      <c r="Q162" s="354">
        <f>IF(L162="",J162-M162,0)</f>
        <v>0</v>
      </c>
      <c r="R162" s="364"/>
      <c r="S162" s="163"/>
    </row>
    <row r="163" spans="1:19" s="107" customFormat="1" collapsed="1" x14ac:dyDescent="0.2">
      <c r="A163" s="325" t="s">
        <v>51</v>
      </c>
      <c r="B163" s="332" t="s">
        <v>185</v>
      </c>
      <c r="C163" s="326">
        <v>41486</v>
      </c>
      <c r="D163" s="326">
        <f>DATE(YEAR(C163),MONTH(C163)+18,DAY(C163))</f>
        <v>42035</v>
      </c>
      <c r="E163" s="326">
        <v>41621</v>
      </c>
      <c r="F163" s="424">
        <v>41900</v>
      </c>
      <c r="G163" s="326">
        <f>DATE(YEAR(C163)+4,MONTH(C163),DAY(C163))</f>
        <v>42947</v>
      </c>
      <c r="H163" s="326">
        <v>42576</v>
      </c>
      <c r="I163" s="327">
        <v>225000</v>
      </c>
      <c r="J163" s="328"/>
      <c r="K163" s="329"/>
      <c r="L163" s="326"/>
      <c r="M163" s="330">
        <f>SUM(M164:M167)</f>
        <v>225000</v>
      </c>
      <c r="N163" s="331"/>
      <c r="O163" s="425"/>
      <c r="P163" s="333">
        <f>SUM(P164:P167)</f>
        <v>0</v>
      </c>
      <c r="Q163" s="333">
        <f>SUM(Q164:Q167)</f>
        <v>0</v>
      </c>
      <c r="R163" s="333"/>
      <c r="S163" s="166">
        <f>I163-(M163+P163+Q163)</f>
        <v>0</v>
      </c>
    </row>
    <row r="164" spans="1:19" s="26" customFormat="1" hidden="1" outlineLevel="1" x14ac:dyDescent="0.2">
      <c r="A164" s="334" t="s">
        <v>51</v>
      </c>
      <c r="B164" s="353"/>
      <c r="C164" s="412" t="s">
        <v>224</v>
      </c>
      <c r="D164" s="347"/>
      <c r="E164" s="347"/>
      <c r="F164" s="426"/>
      <c r="G164" s="347"/>
      <c r="H164" s="347"/>
      <c r="I164" s="348">
        <f>J164/$I$163</f>
        <v>0.3</v>
      </c>
      <c r="J164" s="349">
        <v>67500</v>
      </c>
      <c r="K164" s="350">
        <v>1</v>
      </c>
      <c r="L164" s="347">
        <v>41925</v>
      </c>
      <c r="M164" s="351">
        <v>67500</v>
      </c>
      <c r="N164" s="352">
        <v>41955</v>
      </c>
      <c r="O164" s="410">
        <f>IF(N164="",$Q$2-L164,N164-L164)</f>
        <v>30</v>
      </c>
      <c r="P164" s="416" t="str">
        <f t="shared" si="39"/>
        <v/>
      </c>
      <c r="Q164" s="354">
        <f>IF(L164="",J164-M164,0)</f>
        <v>0</v>
      </c>
      <c r="R164" s="457"/>
      <c r="S164" s="163"/>
    </row>
    <row r="165" spans="1:19" s="26" customFormat="1" hidden="1" outlineLevel="1" x14ac:dyDescent="0.2">
      <c r="A165" s="334" t="s">
        <v>51</v>
      </c>
      <c r="B165" s="353"/>
      <c r="C165" s="347"/>
      <c r="D165" s="347"/>
      <c r="E165" s="347"/>
      <c r="F165" s="426"/>
      <c r="G165" s="347"/>
      <c r="H165" s="347"/>
      <c r="I165" s="348">
        <f>J165/$I$163+I164</f>
        <v>0.4037</v>
      </c>
      <c r="J165" s="349">
        <v>23332.5</v>
      </c>
      <c r="K165" s="350">
        <v>2</v>
      </c>
      <c r="L165" s="347">
        <v>42178</v>
      </c>
      <c r="M165" s="351">
        <v>23332.5</v>
      </c>
      <c r="N165" s="352">
        <v>42234</v>
      </c>
      <c r="O165" s="410">
        <f>IF(N165="",$Q$2-L165,N165-L165)</f>
        <v>56</v>
      </c>
      <c r="P165" s="416" t="str">
        <f t="shared" si="39"/>
        <v/>
      </c>
      <c r="Q165" s="354">
        <f>IF(L165="",J165-M165,0)</f>
        <v>0</v>
      </c>
      <c r="R165" s="457"/>
      <c r="S165" s="163"/>
    </row>
    <row r="166" spans="1:19" s="26" customFormat="1" hidden="1" outlineLevel="1" x14ac:dyDescent="0.2">
      <c r="A166" s="334" t="s">
        <v>51</v>
      </c>
      <c r="B166" s="353"/>
      <c r="C166" s="347"/>
      <c r="D166" s="347"/>
      <c r="E166" s="347"/>
      <c r="F166" s="426"/>
      <c r="G166" s="347"/>
      <c r="H166" s="347"/>
      <c r="I166" s="435">
        <v>0.7994</v>
      </c>
      <c r="J166" s="349">
        <v>89032.5</v>
      </c>
      <c r="K166" s="350">
        <v>3</v>
      </c>
      <c r="L166" s="347">
        <v>42376</v>
      </c>
      <c r="M166" s="351">
        <v>89032.5</v>
      </c>
      <c r="N166" s="352">
        <v>42431</v>
      </c>
      <c r="O166" s="410">
        <f>IF(N166="",$Q$2-L166,N166-L166)</f>
        <v>55</v>
      </c>
      <c r="P166" s="416" t="str">
        <f t="shared" si="39"/>
        <v/>
      </c>
      <c r="Q166" s="354">
        <f>IF(L166="",J166-M166,0)</f>
        <v>0</v>
      </c>
      <c r="R166" s="354"/>
      <c r="S166" s="163"/>
    </row>
    <row r="167" spans="1:19" s="26" customFormat="1" hidden="1" outlineLevel="1" x14ac:dyDescent="0.2">
      <c r="A167" s="334" t="s">
        <v>51</v>
      </c>
      <c r="B167" s="353"/>
      <c r="C167" s="347"/>
      <c r="D167" s="347"/>
      <c r="E167" s="347"/>
      <c r="F167" s="426"/>
      <c r="G167" s="347"/>
      <c r="H167" s="347"/>
      <c r="I167" s="348">
        <f>J167/$I$163+I166</f>
        <v>1</v>
      </c>
      <c r="J167" s="349">
        <f>225000-(J164+J165+J166)</f>
        <v>45135</v>
      </c>
      <c r="K167" s="350">
        <v>4</v>
      </c>
      <c r="L167" s="347">
        <v>42999</v>
      </c>
      <c r="M167" s="351">
        <v>45135</v>
      </c>
      <c r="N167" s="352">
        <v>43041</v>
      </c>
      <c r="O167" s="410"/>
      <c r="P167" s="416" t="str">
        <f t="shared" si="39"/>
        <v/>
      </c>
      <c r="Q167" s="354">
        <f>IF(L167="",J167-M167,0)</f>
        <v>0</v>
      </c>
      <c r="R167" s="354"/>
      <c r="S167" s="163"/>
    </row>
    <row r="168" spans="1:19" s="107" customFormat="1" collapsed="1" x14ac:dyDescent="0.2">
      <c r="A168" s="325" t="s">
        <v>52</v>
      </c>
      <c r="B168" s="332" t="s">
        <v>184</v>
      </c>
      <c r="C168" s="326">
        <v>41465</v>
      </c>
      <c r="D168" s="326">
        <f>DATE(YEAR(C168),MONTH(C168)+18,DAY(C168))</f>
        <v>42014</v>
      </c>
      <c r="E168" s="326">
        <v>41621</v>
      </c>
      <c r="F168" s="424">
        <v>41801</v>
      </c>
      <c r="G168" s="326">
        <f>DATE(YEAR(C168)+4,MONTH(C168),DAY(C168))</f>
        <v>42926</v>
      </c>
      <c r="H168" s="326">
        <v>42726</v>
      </c>
      <c r="I168" s="327">
        <v>660000</v>
      </c>
      <c r="J168" s="328"/>
      <c r="K168" s="329"/>
      <c r="L168" s="326"/>
      <c r="M168" s="330">
        <f>SUM(M169:M174)</f>
        <v>660000</v>
      </c>
      <c r="N168" s="331"/>
      <c r="O168" s="425"/>
      <c r="P168" s="333">
        <f>SUM(P169:P174)</f>
        <v>0</v>
      </c>
      <c r="Q168" s="333">
        <f>SUM(Q169:Q174)</f>
        <v>0</v>
      </c>
      <c r="R168" s="333"/>
      <c r="S168" s="166">
        <f>I168-(M168+P168+Q168)</f>
        <v>0</v>
      </c>
    </row>
    <row r="169" spans="1:19" s="26" customFormat="1" hidden="1" outlineLevel="1" x14ac:dyDescent="0.2">
      <c r="A169" s="334" t="s">
        <v>52</v>
      </c>
      <c r="B169" s="353"/>
      <c r="C169" s="412" t="s">
        <v>224</v>
      </c>
      <c r="D169" s="347"/>
      <c r="E169" s="347"/>
      <c r="F169" s="426"/>
      <c r="G169" s="347"/>
      <c r="H169" s="657"/>
      <c r="I169" s="348">
        <f>J169/$I$168</f>
        <v>0.3</v>
      </c>
      <c r="J169" s="349">
        <v>198000</v>
      </c>
      <c r="K169" s="350">
        <v>1</v>
      </c>
      <c r="L169" s="347">
        <v>41817</v>
      </c>
      <c r="M169" s="351">
        <v>198000</v>
      </c>
      <c r="N169" s="352">
        <v>41862</v>
      </c>
      <c r="O169" s="410">
        <f t="shared" ref="O169:O174" si="40">IF(N169="",$Q$2-L169,N169-L169)</f>
        <v>45</v>
      </c>
      <c r="P169" s="416" t="str">
        <f t="shared" si="39"/>
        <v/>
      </c>
      <c r="Q169" s="354">
        <f t="shared" ref="Q169:Q174" si="41">IF(L169="",J169-M169,0)</f>
        <v>0</v>
      </c>
      <c r="R169" s="354"/>
      <c r="S169" s="163"/>
    </row>
    <row r="170" spans="1:19" s="107" customFormat="1" hidden="1" outlineLevel="1" x14ac:dyDescent="0.2">
      <c r="A170" s="334" t="s">
        <v>52</v>
      </c>
      <c r="B170" s="406"/>
      <c r="C170" s="414"/>
      <c r="D170" s="414"/>
      <c r="E170" s="414"/>
      <c r="F170" s="419"/>
      <c r="G170" s="414"/>
      <c r="H170" s="414"/>
      <c r="I170" s="348">
        <f>J170/$I$168+I169</f>
        <v>0.35649999999999998</v>
      </c>
      <c r="J170" s="349">
        <v>37290</v>
      </c>
      <c r="K170" s="350">
        <v>2</v>
      </c>
      <c r="L170" s="347">
        <v>42178</v>
      </c>
      <c r="M170" s="351">
        <v>37290</v>
      </c>
      <c r="N170" s="352">
        <v>42237</v>
      </c>
      <c r="O170" s="410">
        <f t="shared" si="40"/>
        <v>59</v>
      </c>
      <c r="P170" s="416" t="str">
        <f t="shared" si="39"/>
        <v/>
      </c>
      <c r="Q170" s="416">
        <f t="shared" si="41"/>
        <v>0</v>
      </c>
      <c r="R170" s="416"/>
      <c r="S170" s="163"/>
    </row>
    <row r="171" spans="1:19" s="26" customFormat="1" hidden="1" outlineLevel="1" x14ac:dyDescent="0.2">
      <c r="A171" s="334" t="s">
        <v>52</v>
      </c>
      <c r="B171" s="353"/>
      <c r="C171" s="347"/>
      <c r="D171" s="347"/>
      <c r="E171" s="347"/>
      <c r="F171" s="426"/>
      <c r="G171" s="347"/>
      <c r="H171" s="347"/>
      <c r="I171" s="435">
        <v>0.49299999999999999</v>
      </c>
      <c r="J171" s="349">
        <v>90090</v>
      </c>
      <c r="K171" s="350">
        <v>3</v>
      </c>
      <c r="L171" s="347">
        <v>42314</v>
      </c>
      <c r="M171" s="351">
        <v>90090</v>
      </c>
      <c r="N171" s="352">
        <v>42341</v>
      </c>
      <c r="O171" s="410">
        <f t="shared" si="40"/>
        <v>27</v>
      </c>
      <c r="P171" s="416" t="str">
        <f t="shared" si="39"/>
        <v/>
      </c>
      <c r="Q171" s="354">
        <f t="shared" si="41"/>
        <v>0</v>
      </c>
      <c r="R171" s="354"/>
      <c r="S171" s="163"/>
    </row>
    <row r="172" spans="1:19" s="26" customFormat="1" hidden="1" outlineLevel="1" x14ac:dyDescent="0.2">
      <c r="A172" s="334" t="s">
        <v>52</v>
      </c>
      <c r="B172" s="353"/>
      <c r="C172" s="347"/>
      <c r="D172" s="347"/>
      <c r="E172" s="347"/>
      <c r="F172" s="426"/>
      <c r="G172" s="347"/>
      <c r="H172" s="347"/>
      <c r="I172" s="435">
        <v>0.68030000000000002</v>
      </c>
      <c r="J172" s="349">
        <v>123618</v>
      </c>
      <c r="K172" s="350">
        <v>4</v>
      </c>
      <c r="L172" s="347">
        <v>42432</v>
      </c>
      <c r="M172" s="351">
        <v>123618</v>
      </c>
      <c r="N172" s="352">
        <v>42466</v>
      </c>
      <c r="O172" s="410">
        <f t="shared" si="40"/>
        <v>34</v>
      </c>
      <c r="P172" s="416" t="str">
        <f t="shared" si="39"/>
        <v/>
      </c>
      <c r="Q172" s="354">
        <f t="shared" si="41"/>
        <v>0</v>
      </c>
      <c r="R172" s="354"/>
      <c r="S172" s="163"/>
    </row>
    <row r="173" spans="1:19" s="26" customFormat="1" hidden="1" outlineLevel="1" x14ac:dyDescent="0.2">
      <c r="A173" s="334" t="s">
        <v>52</v>
      </c>
      <c r="B173" s="353"/>
      <c r="C173" s="347"/>
      <c r="D173" s="347"/>
      <c r="E173" s="347"/>
      <c r="F173" s="426"/>
      <c r="G173" s="347"/>
      <c r="H173" s="347"/>
      <c r="I173" s="435">
        <v>0.78720000000000001</v>
      </c>
      <c r="J173" s="349">
        <v>70554</v>
      </c>
      <c r="K173" s="350">
        <v>7</v>
      </c>
      <c r="L173" s="347">
        <v>42537</v>
      </c>
      <c r="M173" s="351">
        <v>70554</v>
      </c>
      <c r="N173" s="352">
        <v>42558</v>
      </c>
      <c r="O173" s="410">
        <f t="shared" si="40"/>
        <v>21</v>
      </c>
      <c r="P173" s="416" t="str">
        <f t="shared" si="39"/>
        <v/>
      </c>
      <c r="Q173" s="354">
        <f t="shared" si="41"/>
        <v>0</v>
      </c>
      <c r="R173" s="354"/>
      <c r="S173" s="163"/>
    </row>
    <row r="174" spans="1:19" s="26" customFormat="1" hidden="1" outlineLevel="1" x14ac:dyDescent="0.2">
      <c r="A174" s="356" t="s">
        <v>52</v>
      </c>
      <c r="B174" s="363"/>
      <c r="C174" s="358"/>
      <c r="D174" s="358"/>
      <c r="E174" s="358"/>
      <c r="F174" s="427"/>
      <c r="G174" s="358"/>
      <c r="H174" s="358"/>
      <c r="I174" s="428">
        <v>1</v>
      </c>
      <c r="J174" s="359">
        <f>I168-(J169+J170+J171+J172+J173)</f>
        <v>140448</v>
      </c>
      <c r="K174" s="360">
        <v>8</v>
      </c>
      <c r="L174" s="358">
        <v>43298</v>
      </c>
      <c r="M174" s="361">
        <v>140448</v>
      </c>
      <c r="N174" s="362">
        <v>43389</v>
      </c>
      <c r="O174" s="429">
        <f t="shared" si="40"/>
        <v>91</v>
      </c>
      <c r="P174" s="416" t="str">
        <f t="shared" si="39"/>
        <v/>
      </c>
      <c r="Q174" s="364">
        <f t="shared" si="41"/>
        <v>0</v>
      </c>
      <c r="R174" s="364"/>
      <c r="S174" s="163"/>
    </row>
    <row r="175" spans="1:19" s="107" customFormat="1" x14ac:dyDescent="0.2">
      <c r="A175" s="402" t="s">
        <v>52</v>
      </c>
      <c r="B175" s="406" t="s">
        <v>183</v>
      </c>
      <c r="C175" s="414">
        <v>41493</v>
      </c>
      <c r="D175" s="326">
        <f>DATE(YEAR(C175),MONTH(C175)+18,DAY(C175))</f>
        <v>42042</v>
      </c>
      <c r="E175" s="326">
        <v>41621</v>
      </c>
      <c r="F175" s="424">
        <v>41801</v>
      </c>
      <c r="G175" s="326">
        <f>DATE(YEAR(C175)+4,MONTH(C175),DAY(C175))</f>
        <v>42954</v>
      </c>
      <c r="H175" s="326">
        <v>42726</v>
      </c>
      <c r="I175" s="409">
        <v>1</v>
      </c>
      <c r="J175" s="404"/>
      <c r="K175" s="415"/>
      <c r="L175" s="414"/>
      <c r="M175" s="416">
        <f>SUM(M176)</f>
        <v>0</v>
      </c>
      <c r="N175" s="420"/>
      <c r="O175" s="430"/>
      <c r="P175" s="417">
        <f>SUM(P176)</f>
        <v>0</v>
      </c>
      <c r="Q175" s="416">
        <f>SUM(Q176)</f>
        <v>0</v>
      </c>
      <c r="R175" s="416"/>
      <c r="S175" s="166">
        <f>I175-(M175+P175+Q175)</f>
        <v>1</v>
      </c>
    </row>
    <row r="176" spans="1:19" s="26" customFormat="1" x14ac:dyDescent="0.2">
      <c r="A176" s="334" t="s">
        <v>52</v>
      </c>
      <c r="B176" s="353"/>
      <c r="C176" s="412" t="s">
        <v>224</v>
      </c>
      <c r="D176" s="347"/>
      <c r="E176" s="347"/>
      <c r="F176" s="426"/>
      <c r="G176" s="347"/>
      <c r="H176" s="657"/>
      <c r="I176" s="355"/>
      <c r="J176" s="349">
        <v>1</v>
      </c>
      <c r="K176" s="350">
        <v>1</v>
      </c>
      <c r="L176" s="347">
        <v>43298</v>
      </c>
      <c r="M176" s="351" t="s">
        <v>392</v>
      </c>
      <c r="N176" s="352"/>
      <c r="O176" s="410"/>
      <c r="P176" s="416" t="str">
        <f t="shared" si="39"/>
        <v/>
      </c>
      <c r="Q176" s="354">
        <f>IF(L176="",J176-M176,0)</f>
        <v>0</v>
      </c>
      <c r="R176" s="354"/>
      <c r="S176" s="163"/>
    </row>
    <row r="177" spans="1:19" s="107" customFormat="1" collapsed="1" x14ac:dyDescent="0.2">
      <c r="A177" s="325" t="s">
        <v>56</v>
      </c>
      <c r="B177" s="332" t="s">
        <v>182</v>
      </c>
      <c r="C177" s="326">
        <v>41484</v>
      </c>
      <c r="D177" s="326">
        <f>DATE(YEAR(C177),MONTH(C177)+18,DAY(C177))</f>
        <v>42033</v>
      </c>
      <c r="E177" s="326">
        <v>41621</v>
      </c>
      <c r="F177" s="424">
        <v>41729</v>
      </c>
      <c r="G177" s="614">
        <v>43674</v>
      </c>
      <c r="H177" s="326">
        <v>43131</v>
      </c>
      <c r="I177" s="327">
        <v>680000</v>
      </c>
      <c r="J177" s="328"/>
      <c r="K177" s="329"/>
      <c r="L177" s="326"/>
      <c r="M177" s="330">
        <f>SUM(M178:M183)</f>
        <v>680000</v>
      </c>
      <c r="N177" s="331"/>
      <c r="O177" s="425"/>
      <c r="P177" s="333">
        <f>SUM(P178:P183)</f>
        <v>0</v>
      </c>
      <c r="Q177" s="333">
        <f>SUM(Q178:Q183)</f>
        <v>0</v>
      </c>
      <c r="R177" s="333"/>
      <c r="S177" s="166">
        <f>I177-(M177+P177+Q177)</f>
        <v>0</v>
      </c>
    </row>
    <row r="178" spans="1:19" s="26" customFormat="1" hidden="1" outlineLevel="1" x14ac:dyDescent="0.2">
      <c r="A178" s="334" t="s">
        <v>56</v>
      </c>
      <c r="B178" s="353"/>
      <c r="C178" s="412" t="s">
        <v>224</v>
      </c>
      <c r="D178" s="347"/>
      <c r="E178" s="347"/>
      <c r="F178" s="426"/>
      <c r="G178" s="412" t="s">
        <v>253</v>
      </c>
      <c r="H178" s="347"/>
      <c r="I178" s="348">
        <f>J178/I177</f>
        <v>0.3</v>
      </c>
      <c r="J178" s="349">
        <v>204000</v>
      </c>
      <c r="K178" s="350">
        <v>1</v>
      </c>
      <c r="L178" s="347">
        <v>41746</v>
      </c>
      <c r="M178" s="351">
        <v>204000</v>
      </c>
      <c r="N178" s="352">
        <v>41779</v>
      </c>
      <c r="O178" s="410">
        <f t="shared" ref="O178:O183" si="42">IF(N178="",$Q$2-L178,N178-L178)</f>
        <v>33</v>
      </c>
      <c r="P178" s="416" t="str">
        <f t="shared" si="39"/>
        <v/>
      </c>
      <c r="Q178" s="354">
        <f t="shared" ref="Q178:Q273" si="43">IF(L178="",J178-M178,0)</f>
        <v>0</v>
      </c>
      <c r="R178" s="354"/>
      <c r="S178" s="163"/>
    </row>
    <row r="179" spans="1:19" s="107" customFormat="1" hidden="1" outlineLevel="1" x14ac:dyDescent="0.2">
      <c r="A179" s="334" t="s">
        <v>56</v>
      </c>
      <c r="B179" s="406"/>
      <c r="C179" s="414"/>
      <c r="D179" s="414"/>
      <c r="E179" s="414"/>
      <c r="F179" s="419"/>
      <c r="G179" s="414"/>
      <c r="H179" s="414"/>
      <c r="I179" s="348">
        <f>J179/$I$177+I178</f>
        <v>0.40789999999999998</v>
      </c>
      <c r="J179" s="349">
        <v>73372</v>
      </c>
      <c r="K179" s="350">
        <v>2</v>
      </c>
      <c r="L179" s="347">
        <v>42178</v>
      </c>
      <c r="M179" s="351">
        <v>73372</v>
      </c>
      <c r="N179" s="352">
        <v>42220</v>
      </c>
      <c r="O179" s="410">
        <f t="shared" si="42"/>
        <v>42</v>
      </c>
      <c r="P179" s="416" t="str">
        <f t="shared" si="39"/>
        <v/>
      </c>
      <c r="Q179" s="416">
        <f t="shared" si="43"/>
        <v>0</v>
      </c>
      <c r="R179" s="416"/>
      <c r="S179" s="163"/>
    </row>
    <row r="180" spans="1:19" s="26" customFormat="1" hidden="1" outlineLevel="1" x14ac:dyDescent="0.2">
      <c r="A180" s="334" t="s">
        <v>56</v>
      </c>
      <c r="B180" s="353"/>
      <c r="C180" s="347"/>
      <c r="D180" s="347"/>
      <c r="E180" s="347"/>
      <c r="F180" s="426"/>
      <c r="G180" s="347"/>
      <c r="H180" s="347"/>
      <c r="I180" s="435">
        <v>0.57169999999999999</v>
      </c>
      <c r="J180" s="349">
        <v>111384</v>
      </c>
      <c r="K180" s="350">
        <v>3</v>
      </c>
      <c r="L180" s="347">
        <v>42409</v>
      </c>
      <c r="M180" s="351">
        <v>111384</v>
      </c>
      <c r="N180" s="352">
        <v>42438</v>
      </c>
      <c r="O180" s="410">
        <f t="shared" si="42"/>
        <v>29</v>
      </c>
      <c r="P180" s="416" t="str">
        <f t="shared" si="39"/>
        <v/>
      </c>
      <c r="Q180" s="354">
        <f t="shared" si="43"/>
        <v>0</v>
      </c>
      <c r="R180" s="354"/>
      <c r="S180" s="163"/>
    </row>
    <row r="181" spans="1:19" s="26" customFormat="1" hidden="1" outlineLevel="1" x14ac:dyDescent="0.2">
      <c r="A181" s="334" t="s">
        <v>56</v>
      </c>
      <c r="B181" s="353"/>
      <c r="C181" s="347"/>
      <c r="D181" s="347"/>
      <c r="E181" s="347"/>
      <c r="F181" s="426"/>
      <c r="G181" s="347"/>
      <c r="H181" s="347"/>
      <c r="I181" s="435">
        <v>0.65700000000000003</v>
      </c>
      <c r="J181" s="349">
        <v>58004</v>
      </c>
      <c r="K181" s="350">
        <v>4</v>
      </c>
      <c r="L181" s="347">
        <v>42516</v>
      </c>
      <c r="M181" s="351">
        <v>58004</v>
      </c>
      <c r="N181" s="352">
        <v>42549</v>
      </c>
      <c r="O181" s="410">
        <f t="shared" si="42"/>
        <v>33</v>
      </c>
      <c r="P181" s="416" t="str">
        <f t="shared" si="39"/>
        <v/>
      </c>
      <c r="Q181" s="354">
        <f t="shared" si="43"/>
        <v>0</v>
      </c>
      <c r="R181" s="354"/>
      <c r="S181" s="163"/>
    </row>
    <row r="182" spans="1:19" s="26" customFormat="1" hidden="1" outlineLevel="1" x14ac:dyDescent="0.2">
      <c r="A182" s="334" t="s">
        <v>56</v>
      </c>
      <c r="B182" s="353"/>
      <c r="C182" s="347"/>
      <c r="D182" s="347"/>
      <c r="E182" s="347"/>
      <c r="F182" s="426"/>
      <c r="G182" s="347"/>
      <c r="H182" s="347"/>
      <c r="I182" s="435">
        <v>0.79949999999999999</v>
      </c>
      <c r="J182" s="349">
        <f>I177*I182-(J178+J179+J180+J181)</f>
        <v>96900</v>
      </c>
      <c r="K182" s="350">
        <v>5</v>
      </c>
      <c r="L182" s="347">
        <v>42866</v>
      </c>
      <c r="M182" s="351">
        <v>96900</v>
      </c>
      <c r="N182" s="352">
        <v>42899</v>
      </c>
      <c r="O182" s="410">
        <f t="shared" si="42"/>
        <v>33</v>
      </c>
      <c r="P182" s="416" t="str">
        <f t="shared" si="39"/>
        <v/>
      </c>
      <c r="Q182" s="354"/>
      <c r="R182" s="354"/>
      <c r="S182" s="163"/>
    </row>
    <row r="183" spans="1:19" s="26" customFormat="1" hidden="1" outlineLevel="1" x14ac:dyDescent="0.2">
      <c r="A183" s="334" t="s">
        <v>56</v>
      </c>
      <c r="B183" s="353"/>
      <c r="C183" s="347"/>
      <c r="D183" s="347"/>
      <c r="E183" s="347"/>
      <c r="F183" s="426"/>
      <c r="G183" s="347"/>
      <c r="H183" s="347"/>
      <c r="I183" s="348">
        <v>1</v>
      </c>
      <c r="J183" s="349">
        <f>I177-J178-J179-J180-J181-J182</f>
        <v>136340</v>
      </c>
      <c r="K183" s="350">
        <v>6</v>
      </c>
      <c r="L183" s="347">
        <v>43258</v>
      </c>
      <c r="M183" s="351">
        <v>136340</v>
      </c>
      <c r="N183" s="352">
        <v>43304</v>
      </c>
      <c r="O183" s="410">
        <f t="shared" si="42"/>
        <v>46</v>
      </c>
      <c r="P183" s="416" t="str">
        <f t="shared" si="39"/>
        <v/>
      </c>
      <c r="Q183" s="354">
        <f t="shared" si="43"/>
        <v>0</v>
      </c>
      <c r="R183" s="354"/>
      <c r="S183" s="163"/>
    </row>
    <row r="184" spans="1:19" s="107" customFormat="1" collapsed="1" x14ac:dyDescent="0.2">
      <c r="A184" s="325" t="s">
        <v>57</v>
      </c>
      <c r="B184" s="332" t="s">
        <v>181</v>
      </c>
      <c r="C184" s="326">
        <v>41596</v>
      </c>
      <c r="D184" s="326">
        <f>DATE(YEAR(C184),MONTH(C184)+18,DAY(C184))</f>
        <v>42142</v>
      </c>
      <c r="E184" s="326">
        <v>42339</v>
      </c>
      <c r="F184" s="424">
        <v>42341</v>
      </c>
      <c r="G184" s="326">
        <f>DATE(YEAR(C184)+4,MONTH(C184),DAY(C184))</f>
        <v>43057</v>
      </c>
      <c r="H184" s="326">
        <v>42865</v>
      </c>
      <c r="I184" s="327">
        <v>393831</v>
      </c>
      <c r="J184" s="328"/>
      <c r="K184" s="329"/>
      <c r="L184" s="326"/>
      <c r="M184" s="330">
        <f>SUM(M185:M189)</f>
        <v>393831</v>
      </c>
      <c r="N184" s="331"/>
      <c r="O184" s="425"/>
      <c r="P184" s="333">
        <f>SUM(P185:P189)</f>
        <v>0</v>
      </c>
      <c r="Q184" s="333">
        <f>SUM(Q185:Q189)</f>
        <v>0</v>
      </c>
      <c r="R184" s="333"/>
      <c r="S184" s="166">
        <f>I184-(M184+P184+Q184)</f>
        <v>0</v>
      </c>
    </row>
    <row r="185" spans="1:19" s="26" customFormat="1" hidden="1" outlineLevel="1" x14ac:dyDescent="0.2">
      <c r="A185" s="334" t="s">
        <v>57</v>
      </c>
      <c r="B185" s="353"/>
      <c r="C185" s="412" t="s">
        <v>224</v>
      </c>
      <c r="D185" s="347"/>
      <c r="E185" s="347"/>
      <c r="F185" s="426"/>
      <c r="G185" s="347"/>
      <c r="H185" s="347"/>
      <c r="I185" s="348">
        <f>J185/I184</f>
        <v>0.3</v>
      </c>
      <c r="J185" s="349">
        <f>30%*I184</f>
        <v>118149.29999999999</v>
      </c>
      <c r="K185" s="350">
        <v>1</v>
      </c>
      <c r="L185" s="347">
        <v>42383</v>
      </c>
      <c r="M185" s="351">
        <v>118149.3</v>
      </c>
      <c r="N185" s="352">
        <v>42431</v>
      </c>
      <c r="O185" s="410">
        <f>IF(N185="",$Q$2-L185,N185-L185)</f>
        <v>48</v>
      </c>
      <c r="P185" s="354" t="str">
        <f t="shared" si="39"/>
        <v/>
      </c>
      <c r="Q185" s="354">
        <f t="shared" si="43"/>
        <v>0</v>
      </c>
      <c r="R185" s="354"/>
      <c r="S185" s="166"/>
    </row>
    <row r="186" spans="1:19" s="26" customFormat="1" hidden="1" outlineLevel="1" x14ac:dyDescent="0.2">
      <c r="A186" s="334" t="s">
        <v>57</v>
      </c>
      <c r="B186" s="353"/>
      <c r="C186" s="347"/>
      <c r="D186" s="347"/>
      <c r="E186" s="347"/>
      <c r="F186" s="426"/>
      <c r="G186" s="347"/>
      <c r="H186" s="347"/>
      <c r="I186" s="435">
        <v>0.48520000000000002</v>
      </c>
      <c r="J186" s="349">
        <f>(I184*I186)-J185</f>
        <v>72937.501200000028</v>
      </c>
      <c r="K186" s="350">
        <v>2</v>
      </c>
      <c r="L186" s="347">
        <v>42640</v>
      </c>
      <c r="M186" s="351">
        <v>72937.5</v>
      </c>
      <c r="N186" s="352">
        <v>42667</v>
      </c>
      <c r="O186" s="410">
        <f>IF(N186="",$Q$2-L186,N186-L186)</f>
        <v>27</v>
      </c>
      <c r="P186" s="416" t="str">
        <f t="shared" si="39"/>
        <v/>
      </c>
      <c r="Q186" s="354">
        <f t="shared" si="43"/>
        <v>0</v>
      </c>
      <c r="R186" s="354"/>
      <c r="S186" s="166"/>
    </row>
    <row r="187" spans="1:19" s="26" customFormat="1" hidden="1" outlineLevel="1" x14ac:dyDescent="0.2">
      <c r="A187" s="334" t="s">
        <v>57</v>
      </c>
      <c r="B187" s="353"/>
      <c r="C187" s="347"/>
      <c r="D187" s="347"/>
      <c r="E187" s="347"/>
      <c r="F187" s="426"/>
      <c r="G187" s="347"/>
      <c r="H187" s="347"/>
      <c r="I187" s="435">
        <v>0.65910000000000002</v>
      </c>
      <c r="J187" s="349">
        <v>68487.210000000006</v>
      </c>
      <c r="K187" s="350">
        <v>3</v>
      </c>
      <c r="L187" s="347">
        <v>42684</v>
      </c>
      <c r="M187" s="351">
        <v>68487.210000000006</v>
      </c>
      <c r="N187" s="352">
        <v>42712</v>
      </c>
      <c r="O187" s="410">
        <f>IF(N187="",$Q$2-L187,N187-L187)</f>
        <v>28</v>
      </c>
      <c r="P187" s="416" t="str">
        <f t="shared" si="39"/>
        <v/>
      </c>
      <c r="Q187" s="354">
        <f>IF(L187="",J187-M187,0)</f>
        <v>0</v>
      </c>
      <c r="R187" s="354"/>
      <c r="S187" s="166"/>
    </row>
    <row r="188" spans="1:19" s="26" customFormat="1" hidden="1" outlineLevel="1" x14ac:dyDescent="0.2">
      <c r="A188" s="334" t="s">
        <v>57</v>
      </c>
      <c r="B188" s="353"/>
      <c r="C188" s="347"/>
      <c r="D188" s="347"/>
      <c r="E188" s="347"/>
      <c r="F188" s="426"/>
      <c r="G188" s="347"/>
      <c r="H188" s="347"/>
      <c r="I188" s="435">
        <v>0.8</v>
      </c>
      <c r="J188" s="349">
        <f>I184*I188-(J185+J186+J187)</f>
        <v>55490.788800000038</v>
      </c>
      <c r="K188" s="350">
        <v>4</v>
      </c>
      <c r="L188" s="347">
        <v>42766</v>
      </c>
      <c r="M188" s="351">
        <v>55490.79</v>
      </c>
      <c r="N188" s="352">
        <v>42823</v>
      </c>
      <c r="O188" s="410"/>
      <c r="P188" s="416" t="str">
        <f t="shared" si="39"/>
        <v/>
      </c>
      <c r="Q188" s="354">
        <f t="shared" si="43"/>
        <v>0</v>
      </c>
      <c r="R188" s="354"/>
      <c r="S188" s="166"/>
    </row>
    <row r="189" spans="1:19" s="26" customFormat="1" hidden="1" outlineLevel="1" x14ac:dyDescent="0.2">
      <c r="A189" s="334" t="s">
        <v>57</v>
      </c>
      <c r="B189" s="353"/>
      <c r="C189" s="347"/>
      <c r="D189" s="347"/>
      <c r="E189" s="347"/>
      <c r="F189" s="426"/>
      <c r="G189" s="347"/>
      <c r="H189" s="347"/>
      <c r="I189" s="348">
        <v>1</v>
      </c>
      <c r="J189" s="349">
        <f>I184-(J185+J186+J188+J187)</f>
        <v>78766.199999999953</v>
      </c>
      <c r="K189" s="350">
        <v>5</v>
      </c>
      <c r="L189" s="347">
        <v>43186</v>
      </c>
      <c r="M189" s="351">
        <v>78766.2</v>
      </c>
      <c r="N189" s="352">
        <v>43227</v>
      </c>
      <c r="O189" s="410"/>
      <c r="P189" s="416" t="str">
        <f t="shared" si="39"/>
        <v/>
      </c>
      <c r="Q189" s="354">
        <f t="shared" si="43"/>
        <v>0</v>
      </c>
      <c r="R189" s="354"/>
      <c r="S189" s="166"/>
    </row>
    <row r="190" spans="1:19" s="107" customFormat="1" collapsed="1" x14ac:dyDescent="0.2">
      <c r="A190" s="325" t="s">
        <v>63</v>
      </c>
      <c r="B190" s="332"/>
      <c r="C190" s="326">
        <v>40826</v>
      </c>
      <c r="D190" s="326"/>
      <c r="E190" s="326"/>
      <c r="F190" s="424"/>
      <c r="G190" s="326"/>
      <c r="H190" s="326"/>
      <c r="I190" s="327">
        <v>239587</v>
      </c>
      <c r="J190" s="328"/>
      <c r="K190" s="329"/>
      <c r="L190" s="326"/>
      <c r="M190" s="330">
        <f>SUM(M191:M194)</f>
        <v>239587.00000000003</v>
      </c>
      <c r="N190" s="331"/>
      <c r="O190" s="425"/>
      <c r="P190" s="333">
        <f>SUM(P191:P194)</f>
        <v>0</v>
      </c>
      <c r="Q190" s="333">
        <f>SUM(Q191:Q194)</f>
        <v>0</v>
      </c>
      <c r="R190" s="333"/>
      <c r="S190" s="443">
        <f>I190-(M190+P190+Q190)</f>
        <v>0</v>
      </c>
    </row>
    <row r="191" spans="1:19" s="26" customFormat="1" hidden="1" outlineLevel="1" x14ac:dyDescent="0.2">
      <c r="A191" s="334" t="s">
        <v>63</v>
      </c>
      <c r="B191" s="353"/>
      <c r="C191" s="347"/>
      <c r="D191" s="347"/>
      <c r="E191" s="347"/>
      <c r="F191" s="426"/>
      <c r="G191" s="347"/>
      <c r="H191" s="347"/>
      <c r="I191" s="355"/>
      <c r="J191" s="349">
        <v>71876.100000000006</v>
      </c>
      <c r="K191" s="350"/>
      <c r="L191" s="347">
        <v>40946</v>
      </c>
      <c r="M191" s="351">
        <v>71876.100000000006</v>
      </c>
      <c r="N191" s="352">
        <v>41018</v>
      </c>
      <c r="O191" s="410">
        <f>IF(N191="",$Q$2-L191,N191-L191)</f>
        <v>72</v>
      </c>
      <c r="P191" s="354" t="str">
        <f t="shared" si="39"/>
        <v/>
      </c>
      <c r="Q191" s="354">
        <f>IF(L191="",J191-M191,0)</f>
        <v>0</v>
      </c>
      <c r="R191" s="354"/>
      <c r="S191" s="163"/>
    </row>
    <row r="192" spans="1:19" s="26" customFormat="1" hidden="1" outlineLevel="1" x14ac:dyDescent="0.2">
      <c r="A192" s="334" t="s">
        <v>63</v>
      </c>
      <c r="B192" s="353"/>
      <c r="C192" s="347"/>
      <c r="D192" s="347"/>
      <c r="E192" s="347"/>
      <c r="F192" s="426"/>
      <c r="G192" s="347"/>
      <c r="H192" s="347"/>
      <c r="I192" s="355"/>
      <c r="J192" s="349">
        <v>95691.05</v>
      </c>
      <c r="K192" s="350"/>
      <c r="L192" s="347">
        <v>41158</v>
      </c>
      <c r="M192" s="351">
        <v>95691.05</v>
      </c>
      <c r="N192" s="352">
        <v>41430</v>
      </c>
      <c r="O192" s="410">
        <f>IF(N192="",$Q$2-L192,N192-L192)</f>
        <v>272</v>
      </c>
      <c r="P192" s="354" t="str">
        <f t="shared" si="39"/>
        <v/>
      </c>
      <c r="Q192" s="354">
        <f>IF(L192="",J192-M192,0)</f>
        <v>0</v>
      </c>
      <c r="R192" s="354"/>
      <c r="S192" s="163"/>
    </row>
    <row r="193" spans="1:19" s="26" customFormat="1" hidden="1" outlineLevel="1" x14ac:dyDescent="0.2">
      <c r="A193" s="334" t="s">
        <v>63</v>
      </c>
      <c r="B193" s="353"/>
      <c r="C193" s="347"/>
      <c r="D193" s="347"/>
      <c r="E193" s="347"/>
      <c r="F193" s="426"/>
      <c r="G193" s="347"/>
      <c r="H193" s="347"/>
      <c r="I193" s="355"/>
      <c r="J193" s="349">
        <v>24102.45</v>
      </c>
      <c r="K193" s="350"/>
      <c r="L193" s="347">
        <v>41190</v>
      </c>
      <c r="M193" s="351">
        <v>24102.45</v>
      </c>
      <c r="N193" s="352">
        <v>41430</v>
      </c>
      <c r="O193" s="410">
        <f>IF(N193="",$Q$2-L193,N193-L193)</f>
        <v>240</v>
      </c>
      <c r="P193" s="354" t="str">
        <f t="shared" si="39"/>
        <v/>
      </c>
      <c r="Q193" s="354">
        <f>IF(L193="",J193-M193,0)</f>
        <v>0</v>
      </c>
      <c r="R193" s="354"/>
      <c r="S193" s="163"/>
    </row>
    <row r="194" spans="1:19" s="26" customFormat="1" hidden="1" outlineLevel="1" x14ac:dyDescent="0.2">
      <c r="A194" s="334" t="s">
        <v>63</v>
      </c>
      <c r="B194" s="353"/>
      <c r="C194" s="347"/>
      <c r="D194" s="347"/>
      <c r="E194" s="347"/>
      <c r="F194" s="426"/>
      <c r="G194" s="347"/>
      <c r="H194" s="347"/>
      <c r="I194" s="355"/>
      <c r="J194" s="349">
        <v>47917.4</v>
      </c>
      <c r="K194" s="350"/>
      <c r="L194" s="347">
        <v>42031</v>
      </c>
      <c r="M194" s="351">
        <v>47917.4</v>
      </c>
      <c r="N194" s="352">
        <v>42130</v>
      </c>
      <c r="O194" s="410">
        <f>IF(N194="",$Q$2-L194,N194-L194)</f>
        <v>99</v>
      </c>
      <c r="P194" s="354" t="str">
        <f t="shared" si="39"/>
        <v/>
      </c>
      <c r="Q194" s="354">
        <f>IF(L194="",J194-M194,0)</f>
        <v>0</v>
      </c>
      <c r="R194" s="354"/>
      <c r="S194" s="163"/>
    </row>
    <row r="195" spans="1:19" s="107" customFormat="1" x14ac:dyDescent="0.2">
      <c r="A195" s="325" t="s">
        <v>60</v>
      </c>
      <c r="B195" s="332" t="s">
        <v>177</v>
      </c>
      <c r="C195" s="326">
        <v>41466</v>
      </c>
      <c r="D195" s="326">
        <f>DATE(YEAR(C195),MONTH(C195)+18,DAY(C195))</f>
        <v>42015</v>
      </c>
      <c r="E195" s="326">
        <v>41621</v>
      </c>
      <c r="F195" s="424">
        <v>41764</v>
      </c>
      <c r="G195" s="614">
        <v>43656</v>
      </c>
      <c r="H195" s="326">
        <v>43131</v>
      </c>
      <c r="I195" s="327">
        <v>1</v>
      </c>
      <c r="J195" s="328"/>
      <c r="K195" s="329"/>
      <c r="L195" s="326"/>
      <c r="M195" s="330">
        <f>SUM(M196)</f>
        <v>0</v>
      </c>
      <c r="N195" s="331"/>
      <c r="O195" s="425"/>
      <c r="P195" s="333">
        <f>SUM(P196)</f>
        <v>0</v>
      </c>
      <c r="Q195" s="333">
        <f>SUM(Q196)</f>
        <v>0</v>
      </c>
      <c r="R195" s="333"/>
      <c r="S195" s="166">
        <f>I195-(M195+P195+Q195)</f>
        <v>1</v>
      </c>
    </row>
    <row r="196" spans="1:19" s="26" customFormat="1" x14ac:dyDescent="0.2">
      <c r="A196" s="356" t="s">
        <v>60</v>
      </c>
      <c r="B196" s="363"/>
      <c r="C196" s="395" t="s">
        <v>224</v>
      </c>
      <c r="D196" s="358"/>
      <c r="E196" s="358"/>
      <c r="F196" s="427"/>
      <c r="G196" s="395" t="s">
        <v>257</v>
      </c>
      <c r="H196" s="358"/>
      <c r="I196" s="365"/>
      <c r="J196" s="359">
        <v>1</v>
      </c>
      <c r="K196" s="360">
        <v>1</v>
      </c>
      <c r="L196" s="358">
        <v>43307</v>
      </c>
      <c r="M196" s="361" t="s">
        <v>392</v>
      </c>
      <c r="N196" s="362"/>
      <c r="O196" s="429"/>
      <c r="P196" s="364" t="str">
        <f>IF(M196="en attente",J196,"")</f>
        <v/>
      </c>
      <c r="Q196" s="364">
        <f>IF(L196="",J196-M196,0)</f>
        <v>0</v>
      </c>
      <c r="R196" s="364"/>
      <c r="S196" s="163"/>
    </row>
    <row r="197" spans="1:19" s="107" customFormat="1" collapsed="1" x14ac:dyDescent="0.2">
      <c r="A197" s="402" t="s">
        <v>61</v>
      </c>
      <c r="B197" s="406" t="s">
        <v>176</v>
      </c>
      <c r="C197" s="414">
        <v>41463</v>
      </c>
      <c r="D197" s="326">
        <f>DATE(YEAR(C197),MONTH(C197)+18,DAY(C197))</f>
        <v>42012</v>
      </c>
      <c r="E197" s="326">
        <v>41612</v>
      </c>
      <c r="F197" s="424">
        <v>41751</v>
      </c>
      <c r="G197" s="326">
        <v>43653</v>
      </c>
      <c r="H197" s="326">
        <v>43082</v>
      </c>
      <c r="I197" s="409">
        <v>432000</v>
      </c>
      <c r="J197" s="404"/>
      <c r="K197" s="415"/>
      <c r="L197" s="414"/>
      <c r="M197" s="407">
        <f>SUM(M198:M203)</f>
        <v>432000</v>
      </c>
      <c r="N197" s="420"/>
      <c r="O197" s="430"/>
      <c r="P197" s="416">
        <f>SUM(P198:P203)</f>
        <v>0</v>
      </c>
      <c r="Q197" s="416">
        <f>SUM(Q198:Q203)</f>
        <v>0</v>
      </c>
      <c r="R197" s="416"/>
      <c r="S197" s="166">
        <f>I197-(M197+P197+Q197)</f>
        <v>0</v>
      </c>
    </row>
    <row r="198" spans="1:19" s="26" customFormat="1" hidden="1" outlineLevel="1" x14ac:dyDescent="0.2">
      <c r="A198" s="334" t="s">
        <v>61</v>
      </c>
      <c r="B198" s="353"/>
      <c r="C198" s="412" t="s">
        <v>224</v>
      </c>
      <c r="D198" s="347"/>
      <c r="E198" s="347"/>
      <c r="F198" s="426"/>
      <c r="G198" s="347" t="s">
        <v>257</v>
      </c>
      <c r="H198" s="347"/>
      <c r="I198" s="348">
        <f>J198/$I$197</f>
        <v>0.3</v>
      </c>
      <c r="J198" s="349">
        <v>129600</v>
      </c>
      <c r="K198" s="350">
        <v>1</v>
      </c>
      <c r="L198" s="347">
        <v>41778</v>
      </c>
      <c r="M198" s="351">
        <v>129600</v>
      </c>
      <c r="N198" s="352">
        <v>41816</v>
      </c>
      <c r="O198" s="410">
        <f t="shared" ref="O198:O203" si="44">IF(N198="",$Q$2-L198,N198-L198)</f>
        <v>38</v>
      </c>
      <c r="P198" s="354" t="str">
        <f>IF(M198="en attente",J198,"")</f>
        <v/>
      </c>
      <c r="Q198" s="354">
        <f t="shared" ref="Q198:Q203" si="45">IF(L198="",J198-M198,0)</f>
        <v>0</v>
      </c>
      <c r="R198" s="354"/>
      <c r="S198" s="163"/>
    </row>
    <row r="199" spans="1:19" s="26" customFormat="1" hidden="1" outlineLevel="1" x14ac:dyDescent="0.2">
      <c r="A199" s="334" t="s">
        <v>61</v>
      </c>
      <c r="B199" s="353"/>
      <c r="C199" s="347"/>
      <c r="D199" s="347"/>
      <c r="E199" s="347"/>
      <c r="F199" s="710"/>
      <c r="G199" s="352"/>
      <c r="H199" s="347"/>
      <c r="I199" s="348">
        <f>J199/$I$197+I198</f>
        <v>0.32379999999999998</v>
      </c>
      <c r="J199" s="349">
        <v>10281.6</v>
      </c>
      <c r="K199" s="350">
        <v>2</v>
      </c>
      <c r="L199" s="347">
        <v>42187</v>
      </c>
      <c r="M199" s="351">
        <v>10281.6</v>
      </c>
      <c r="N199" s="352">
        <v>42234</v>
      </c>
      <c r="O199" s="410">
        <f t="shared" si="44"/>
        <v>47</v>
      </c>
      <c r="P199" s="354" t="str">
        <f>IF(M199="en attente",J199,"")</f>
        <v/>
      </c>
      <c r="Q199" s="354">
        <f t="shared" si="45"/>
        <v>0</v>
      </c>
      <c r="R199" s="354"/>
      <c r="S199" s="163"/>
    </row>
    <row r="200" spans="1:19" s="26" customFormat="1" hidden="1" outlineLevel="1" x14ac:dyDescent="0.2">
      <c r="A200" s="334" t="s">
        <v>61</v>
      </c>
      <c r="B200" s="353"/>
      <c r="C200" s="347"/>
      <c r="D200" s="347"/>
      <c r="E200" s="347"/>
      <c r="F200" s="426"/>
      <c r="G200" s="347"/>
      <c r="H200" s="347"/>
      <c r="I200" s="435">
        <v>0.5645</v>
      </c>
      <c r="J200" s="349">
        <v>103982.39999999999</v>
      </c>
      <c r="K200" s="350">
        <v>3</v>
      </c>
      <c r="L200" s="347">
        <v>42339</v>
      </c>
      <c r="M200" s="351">
        <v>103982.39999999999</v>
      </c>
      <c r="N200" s="352">
        <v>42389</v>
      </c>
      <c r="O200" s="410">
        <f t="shared" si="44"/>
        <v>50</v>
      </c>
      <c r="P200" s="354" t="str">
        <f>IF(M200="en attente",J200,"")</f>
        <v/>
      </c>
      <c r="Q200" s="354">
        <f t="shared" si="45"/>
        <v>0</v>
      </c>
      <c r="R200" s="354"/>
      <c r="S200" s="163"/>
    </row>
    <row r="201" spans="1:19" s="26" customFormat="1" hidden="1" outlineLevel="1" x14ac:dyDescent="0.2">
      <c r="A201" s="334" t="s">
        <v>61</v>
      </c>
      <c r="B201" s="353"/>
      <c r="C201" s="347"/>
      <c r="D201" s="347"/>
      <c r="E201" s="347"/>
      <c r="F201" s="426"/>
      <c r="G201" s="347"/>
      <c r="H201" s="347"/>
      <c r="I201" s="348">
        <v>0.64249999999999996</v>
      </c>
      <c r="J201" s="349">
        <v>33696</v>
      </c>
      <c r="K201" s="350">
        <v>4</v>
      </c>
      <c r="L201" s="347">
        <v>42458</v>
      </c>
      <c r="M201" s="351">
        <v>33696</v>
      </c>
      <c r="N201" s="352">
        <v>42481</v>
      </c>
      <c r="O201" s="410">
        <f t="shared" si="44"/>
        <v>23</v>
      </c>
      <c r="P201" s="354"/>
      <c r="Q201" s="354">
        <f t="shared" si="45"/>
        <v>0</v>
      </c>
      <c r="R201" s="354"/>
      <c r="S201" s="163"/>
    </row>
    <row r="202" spans="1:19" s="26" customFormat="1" hidden="1" outlineLevel="1" x14ac:dyDescent="0.2">
      <c r="A202" s="334" t="s">
        <v>61</v>
      </c>
      <c r="B202" s="353"/>
      <c r="C202" s="347"/>
      <c r="D202" s="347"/>
      <c r="E202" s="347"/>
      <c r="F202" s="426"/>
      <c r="G202" s="347"/>
      <c r="H202" s="347"/>
      <c r="I202" s="435">
        <v>0.75919999999999999</v>
      </c>
      <c r="J202" s="349">
        <v>50414.400000000001</v>
      </c>
      <c r="K202" s="350">
        <v>5</v>
      </c>
      <c r="L202" s="347">
        <v>42537</v>
      </c>
      <c r="M202" s="351">
        <v>50414.400000000001</v>
      </c>
      <c r="N202" s="352">
        <v>42558</v>
      </c>
      <c r="O202" s="410">
        <f t="shared" si="44"/>
        <v>21</v>
      </c>
      <c r="P202" s="354"/>
      <c r="Q202" s="354">
        <f t="shared" si="45"/>
        <v>0</v>
      </c>
      <c r="R202" s="354"/>
      <c r="S202" s="163"/>
    </row>
    <row r="203" spans="1:19" s="26" customFormat="1" hidden="1" outlineLevel="1" x14ac:dyDescent="0.2">
      <c r="A203" s="334" t="s">
        <v>61</v>
      </c>
      <c r="B203" s="353"/>
      <c r="C203" s="347"/>
      <c r="D203" s="347"/>
      <c r="E203" s="347"/>
      <c r="F203" s="426"/>
      <c r="G203" s="347"/>
      <c r="H203" s="347"/>
      <c r="I203" s="348">
        <v>1</v>
      </c>
      <c r="J203" s="349">
        <f>I197-J198-J199-J200-J201-J202</f>
        <v>104025.60000000003</v>
      </c>
      <c r="K203" s="350">
        <v>6</v>
      </c>
      <c r="L203" s="347">
        <v>43291</v>
      </c>
      <c r="M203" s="351">
        <v>104025.60000000001</v>
      </c>
      <c r="N203" s="352">
        <v>43342</v>
      </c>
      <c r="O203" s="410">
        <f t="shared" si="44"/>
        <v>51</v>
      </c>
      <c r="P203" s="354" t="str">
        <f>IF(M203="en attente",J203,"")</f>
        <v/>
      </c>
      <c r="Q203" s="354">
        <f t="shared" si="45"/>
        <v>0</v>
      </c>
      <c r="R203" s="354"/>
      <c r="S203" s="163"/>
    </row>
    <row r="204" spans="1:19" s="107" customFormat="1" collapsed="1" x14ac:dyDescent="0.2">
      <c r="A204" s="325" t="s">
        <v>62</v>
      </c>
      <c r="B204" s="332" t="s">
        <v>175</v>
      </c>
      <c r="C204" s="326">
        <v>41536</v>
      </c>
      <c r="D204" s="326">
        <f>DATE(YEAR(C204),MONTH(C204)+18,DAY(C204))</f>
        <v>42082</v>
      </c>
      <c r="E204" s="326">
        <v>41619</v>
      </c>
      <c r="F204" s="424">
        <v>41876</v>
      </c>
      <c r="G204" s="326">
        <f>DATE(YEAR(C204)+4,MONTH(C204),DAY(C204))</f>
        <v>42997</v>
      </c>
      <c r="H204" s="326">
        <v>42796</v>
      </c>
      <c r="I204" s="327">
        <v>360000</v>
      </c>
      <c r="J204" s="328"/>
      <c r="K204" s="329"/>
      <c r="L204" s="326"/>
      <c r="M204" s="330">
        <f>SUM(M205:M210)</f>
        <v>360000</v>
      </c>
      <c r="N204" s="331"/>
      <c r="O204" s="425"/>
      <c r="P204" s="333">
        <f>SUM(P205:P210)</f>
        <v>0</v>
      </c>
      <c r="Q204" s="333">
        <f>SUM(Q205:Q210)</f>
        <v>0</v>
      </c>
      <c r="R204" s="333"/>
      <c r="S204" s="166">
        <f>I204-(M204+P204+Q204)</f>
        <v>0</v>
      </c>
    </row>
    <row r="205" spans="1:19" s="26" customFormat="1" hidden="1" outlineLevel="1" x14ac:dyDescent="0.2">
      <c r="A205" s="334" t="s">
        <v>62</v>
      </c>
      <c r="B205" s="353"/>
      <c r="C205" s="412" t="s">
        <v>224</v>
      </c>
      <c r="D205" s="347"/>
      <c r="E205" s="347"/>
      <c r="F205" s="426"/>
      <c r="G205" s="347"/>
      <c r="H205" s="347"/>
      <c r="I205" s="348">
        <f>J205/$I$204</f>
        <v>0.3</v>
      </c>
      <c r="J205" s="349">
        <v>108000</v>
      </c>
      <c r="K205" s="350">
        <v>1</v>
      </c>
      <c r="L205" s="347">
        <v>41925</v>
      </c>
      <c r="M205" s="351">
        <v>108000</v>
      </c>
      <c r="N205" s="352">
        <v>41984</v>
      </c>
      <c r="O205" s="410">
        <f t="shared" ref="O205:O210" si="46">IF(N205="",$Q$2-L205,N205-L205)</f>
        <v>59</v>
      </c>
      <c r="P205" s="354" t="str">
        <f t="shared" ref="P205:P210" si="47">IF(M205="en attente",J205,"")</f>
        <v/>
      </c>
      <c r="Q205" s="354">
        <f t="shared" ref="Q205:Q210" si="48">IF(L205="",J205-M205,0)</f>
        <v>0</v>
      </c>
      <c r="R205" s="354"/>
      <c r="S205" s="163"/>
    </row>
    <row r="206" spans="1:19" s="107" customFormat="1" hidden="1" outlineLevel="1" x14ac:dyDescent="0.2">
      <c r="A206" s="334" t="s">
        <v>62</v>
      </c>
      <c r="B206" s="406"/>
      <c r="C206" s="414"/>
      <c r="D206" s="414"/>
      <c r="E206" s="414"/>
      <c r="F206" s="419"/>
      <c r="G206" s="414"/>
      <c r="H206" s="349"/>
      <c r="I206" s="348">
        <f>J206/$I$204+I205</f>
        <v>0.31440000000000001</v>
      </c>
      <c r="J206" s="349">
        <v>5184</v>
      </c>
      <c r="K206" s="350">
        <v>2</v>
      </c>
      <c r="L206" s="347">
        <v>42178</v>
      </c>
      <c r="M206" s="351">
        <v>5184</v>
      </c>
      <c r="N206" s="352">
        <v>42237</v>
      </c>
      <c r="O206" s="410">
        <f t="shared" si="46"/>
        <v>59</v>
      </c>
      <c r="P206" s="354" t="str">
        <f t="shared" si="47"/>
        <v/>
      </c>
      <c r="Q206" s="354">
        <f t="shared" si="48"/>
        <v>0</v>
      </c>
      <c r="R206" s="416"/>
      <c r="S206" s="163"/>
    </row>
    <row r="207" spans="1:19" s="26" customFormat="1" hidden="1" outlineLevel="1" x14ac:dyDescent="0.2">
      <c r="A207" s="334" t="s">
        <v>62</v>
      </c>
      <c r="B207" s="353"/>
      <c r="C207" s="347"/>
      <c r="D207" s="347"/>
      <c r="E207" s="347"/>
      <c r="F207" s="426"/>
      <c r="G207" s="347"/>
      <c r="H207" s="347"/>
      <c r="I207" s="435">
        <v>0.5343</v>
      </c>
      <c r="J207" s="349">
        <v>79164</v>
      </c>
      <c r="K207" s="350">
        <v>3</v>
      </c>
      <c r="L207" s="347">
        <v>42332</v>
      </c>
      <c r="M207" s="351">
        <v>79164</v>
      </c>
      <c r="N207" s="352">
        <v>42389</v>
      </c>
      <c r="O207" s="410">
        <f t="shared" si="46"/>
        <v>57</v>
      </c>
      <c r="P207" s="354" t="str">
        <f t="shared" si="47"/>
        <v/>
      </c>
      <c r="Q207" s="354">
        <f t="shared" si="48"/>
        <v>0</v>
      </c>
      <c r="R207" s="354"/>
      <c r="S207" s="163"/>
    </row>
    <row r="208" spans="1:19" s="26" customFormat="1" hidden="1" outlineLevel="1" x14ac:dyDescent="0.2">
      <c r="A208" s="334" t="s">
        <v>62</v>
      </c>
      <c r="B208" s="353"/>
      <c r="C208" s="347"/>
      <c r="D208" s="347"/>
      <c r="E208" s="347"/>
      <c r="F208" s="426"/>
      <c r="G208" s="347"/>
      <c r="H208" s="347"/>
      <c r="I208" s="435">
        <v>0.66339999999999999</v>
      </c>
      <c r="J208" s="349">
        <v>46476</v>
      </c>
      <c r="K208" s="350">
        <v>4</v>
      </c>
      <c r="L208" s="347">
        <v>42432</v>
      </c>
      <c r="M208" s="351">
        <v>46476</v>
      </c>
      <c r="N208" s="352">
        <v>42466</v>
      </c>
      <c r="O208" s="410">
        <f t="shared" si="46"/>
        <v>34</v>
      </c>
      <c r="P208" s="354" t="str">
        <f t="shared" si="47"/>
        <v/>
      </c>
      <c r="Q208" s="354">
        <f t="shared" si="48"/>
        <v>0</v>
      </c>
      <c r="R208" s="354"/>
      <c r="S208" s="163"/>
    </row>
    <row r="209" spans="1:19" s="26" customFormat="1" hidden="1" outlineLevel="1" x14ac:dyDescent="0.2">
      <c r="A209" s="334" t="s">
        <v>62</v>
      </c>
      <c r="B209" s="353"/>
      <c r="C209" s="347"/>
      <c r="D209" s="347"/>
      <c r="E209" s="347"/>
      <c r="F209" s="426"/>
      <c r="G209" s="347"/>
      <c r="H209" s="347"/>
      <c r="I209" s="348">
        <v>0.8</v>
      </c>
      <c r="J209" s="349">
        <f>I204*80/100-(J205+J206+J207+J208)</f>
        <v>49176</v>
      </c>
      <c r="K209" s="350">
        <v>5</v>
      </c>
      <c r="L209" s="347">
        <v>42640</v>
      </c>
      <c r="M209" s="351">
        <v>49176</v>
      </c>
      <c r="N209" s="352">
        <v>42671</v>
      </c>
      <c r="O209" s="410">
        <f t="shared" si="46"/>
        <v>31</v>
      </c>
      <c r="P209" s="416" t="str">
        <f t="shared" si="47"/>
        <v/>
      </c>
      <c r="Q209" s="354">
        <f t="shared" si="48"/>
        <v>0</v>
      </c>
      <c r="R209" s="354"/>
      <c r="S209" s="163"/>
    </row>
    <row r="210" spans="1:19" s="26" customFormat="1" hidden="1" outlineLevel="1" x14ac:dyDescent="0.2">
      <c r="A210" s="334" t="s">
        <v>62</v>
      </c>
      <c r="B210" s="353"/>
      <c r="C210" s="347"/>
      <c r="D210" s="347"/>
      <c r="E210" s="347"/>
      <c r="F210" s="426"/>
      <c r="G210" s="347"/>
      <c r="H210" s="347"/>
      <c r="I210" s="348">
        <v>1</v>
      </c>
      <c r="J210" s="349">
        <f>I204-(J205+J206+J207+J208+J209)</f>
        <v>72000</v>
      </c>
      <c r="K210" s="350">
        <v>6</v>
      </c>
      <c r="L210" s="347">
        <v>43244</v>
      </c>
      <c r="M210" s="351">
        <v>72000</v>
      </c>
      <c r="N210" s="352">
        <v>43329</v>
      </c>
      <c r="O210" s="410">
        <f t="shared" si="46"/>
        <v>85</v>
      </c>
      <c r="P210" s="354" t="str">
        <f t="shared" si="47"/>
        <v/>
      </c>
      <c r="Q210" s="354">
        <f t="shared" si="48"/>
        <v>0</v>
      </c>
      <c r="R210" s="354"/>
      <c r="S210" s="163"/>
    </row>
    <row r="211" spans="1:19" s="107" customFormat="1" collapsed="1" x14ac:dyDescent="0.2">
      <c r="A211" s="325" t="s">
        <v>288</v>
      </c>
      <c r="B211" s="332" t="s">
        <v>172</v>
      </c>
      <c r="C211" s="326">
        <v>41929</v>
      </c>
      <c r="D211" s="326">
        <f>DATE(YEAR(C211),MONTH(C211)+18,DAY(C211))</f>
        <v>42477</v>
      </c>
      <c r="E211" s="326">
        <v>42458</v>
      </c>
      <c r="F211" s="729">
        <v>42488</v>
      </c>
      <c r="G211" s="326">
        <f>DATE(YEAR(C211)+4,MONTH(C211),DAY(C211))</f>
        <v>43390</v>
      </c>
      <c r="H211" s="326">
        <v>42956</v>
      </c>
      <c r="I211" s="327">
        <v>320000</v>
      </c>
      <c r="J211" s="328"/>
      <c r="K211" s="329"/>
      <c r="L211" s="326"/>
      <c r="M211" s="330">
        <f>SUM(M212:M216)</f>
        <v>320000</v>
      </c>
      <c r="N211" s="331"/>
      <c r="O211" s="425"/>
      <c r="P211" s="333">
        <f>SUM(P212:P216)</f>
        <v>0</v>
      </c>
      <c r="Q211" s="333">
        <f>SUM(Q212:Q216)</f>
        <v>0</v>
      </c>
      <c r="R211" s="333"/>
      <c r="S211" s="166">
        <f>I211-(M211+P211+Q211)</f>
        <v>0</v>
      </c>
    </row>
    <row r="212" spans="1:19" s="107" customFormat="1" hidden="1" outlineLevel="1" x14ac:dyDescent="0.2">
      <c r="A212" s="334" t="s">
        <v>38</v>
      </c>
      <c r="B212" s="406"/>
      <c r="C212" s="412" t="s">
        <v>224</v>
      </c>
      <c r="D212" s="656"/>
      <c r="E212" s="414"/>
      <c r="F212" s="419"/>
      <c r="G212" s="414"/>
      <c r="H212" s="414"/>
      <c r="I212" s="348">
        <v>0.3</v>
      </c>
      <c r="J212" s="349">
        <f>+I211*I212</f>
        <v>96000</v>
      </c>
      <c r="K212" s="350">
        <v>1</v>
      </c>
      <c r="L212" s="347">
        <v>42521</v>
      </c>
      <c r="M212" s="351">
        <v>96000</v>
      </c>
      <c r="N212" s="352">
        <v>42552</v>
      </c>
      <c r="O212" s="410">
        <f>IF(N212="",$Q$2-L212,N212-L212)</f>
        <v>31</v>
      </c>
      <c r="P212" s="354" t="str">
        <f>IF(M212="en attente",J212,"")</f>
        <v/>
      </c>
      <c r="Q212" s="354">
        <f>IF(L212="",J212-M212,0)</f>
        <v>0</v>
      </c>
      <c r="R212" s="416"/>
      <c r="S212" s="163"/>
    </row>
    <row r="213" spans="1:19" s="107" customFormat="1" hidden="1" outlineLevel="1" x14ac:dyDescent="0.2">
      <c r="A213" s="334" t="s">
        <v>38</v>
      </c>
      <c r="B213" s="406"/>
      <c r="C213" s="412"/>
      <c r="D213" s="656"/>
      <c r="E213" s="414"/>
      <c r="F213" s="419"/>
      <c r="G213" s="414"/>
      <c r="H213" s="414"/>
      <c r="I213" s="435">
        <v>0.44469999999999998</v>
      </c>
      <c r="J213" s="349">
        <v>46304</v>
      </c>
      <c r="K213" s="350">
        <v>2</v>
      </c>
      <c r="L213" s="347">
        <v>42761</v>
      </c>
      <c r="M213" s="351">
        <v>46304</v>
      </c>
      <c r="N213" s="352">
        <v>42811</v>
      </c>
      <c r="O213" s="410"/>
      <c r="P213" s="354" t="str">
        <f>IF(M213="en attente",J213,"")</f>
        <v/>
      </c>
      <c r="Q213" s="354"/>
      <c r="R213" s="416"/>
      <c r="S213" s="163"/>
    </row>
    <row r="214" spans="1:19" s="107" customFormat="1" hidden="1" outlineLevel="1" x14ac:dyDescent="0.2">
      <c r="A214" s="334" t="s">
        <v>38</v>
      </c>
      <c r="B214" s="406"/>
      <c r="C214" s="412"/>
      <c r="D214" s="656"/>
      <c r="E214" s="414"/>
      <c r="F214" s="419"/>
      <c r="G214" s="414"/>
      <c r="H214" s="414"/>
      <c r="I214" s="435">
        <v>0.5988</v>
      </c>
      <c r="J214" s="349">
        <f>I214*I211-(J212+J213)</f>
        <v>49312</v>
      </c>
      <c r="K214" s="350">
        <v>3</v>
      </c>
      <c r="L214" s="347">
        <v>42866</v>
      </c>
      <c r="M214" s="351">
        <v>49312</v>
      </c>
      <c r="N214" s="352">
        <v>42899</v>
      </c>
      <c r="O214" s="410"/>
      <c r="P214" s="354" t="str">
        <f>IF(M214="en attente",J214,"")</f>
        <v/>
      </c>
      <c r="Q214" s="354"/>
      <c r="R214" s="416"/>
      <c r="S214" s="163"/>
    </row>
    <row r="215" spans="1:19" s="107" customFormat="1" hidden="1" outlineLevel="1" x14ac:dyDescent="0.2">
      <c r="A215" s="334" t="s">
        <v>38</v>
      </c>
      <c r="B215" s="406"/>
      <c r="C215" s="414"/>
      <c r="D215" s="414"/>
      <c r="E215" s="414"/>
      <c r="F215" s="419"/>
      <c r="G215" s="414"/>
      <c r="H215" s="414"/>
      <c r="I215" s="348">
        <v>0.8</v>
      </c>
      <c r="J215" s="349">
        <f>I211*I215-(J212+J213+J214)</f>
        <v>64384</v>
      </c>
      <c r="K215" s="350">
        <v>4</v>
      </c>
      <c r="L215" s="347">
        <v>42983</v>
      </c>
      <c r="M215" s="351">
        <v>64384</v>
      </c>
      <c r="N215" s="352">
        <v>43011</v>
      </c>
      <c r="O215" s="430"/>
      <c r="P215" s="354" t="str">
        <f>IF(M215="en attente",J215,"")</f>
        <v/>
      </c>
      <c r="Q215" s="354">
        <f>IF(L215="",J215-M215,0)</f>
        <v>0</v>
      </c>
      <c r="R215" s="416"/>
      <c r="S215" s="163"/>
    </row>
    <row r="216" spans="1:19" s="26" customFormat="1" hidden="1" outlineLevel="1" x14ac:dyDescent="0.2">
      <c r="A216" s="356" t="s">
        <v>38</v>
      </c>
      <c r="B216" s="363"/>
      <c r="C216" s="395"/>
      <c r="D216" s="730"/>
      <c r="E216" s="358"/>
      <c r="F216" s="427"/>
      <c r="G216" s="358"/>
      <c r="H216" s="358"/>
      <c r="I216" s="428">
        <v>1</v>
      </c>
      <c r="J216" s="359">
        <f>I211-J212-J213-J214-J215</f>
        <v>64000</v>
      </c>
      <c r="K216" s="360">
        <v>5</v>
      </c>
      <c r="L216" s="358">
        <v>43361</v>
      </c>
      <c r="M216" s="361">
        <v>64000</v>
      </c>
      <c r="N216" s="362">
        <v>43413</v>
      </c>
      <c r="O216" s="429"/>
      <c r="P216" s="354" t="str">
        <f>IF(M216="en attente",J216,"")</f>
        <v/>
      </c>
      <c r="Q216" s="364">
        <f>IF(L216="",J216-M216,0)</f>
        <v>0</v>
      </c>
      <c r="R216" s="364"/>
      <c r="S216" s="163"/>
    </row>
    <row r="217" spans="1:19" s="107" customFormat="1" collapsed="1" x14ac:dyDescent="0.2">
      <c r="A217" s="402" t="s">
        <v>105</v>
      </c>
      <c r="B217" s="406" t="s">
        <v>168</v>
      </c>
      <c r="C217" s="414">
        <v>41926</v>
      </c>
      <c r="D217" s="326">
        <f>DATE(YEAR(C217),MONTH(C217)+18,DAY(C217))</f>
        <v>42474</v>
      </c>
      <c r="E217" s="326">
        <v>41935</v>
      </c>
      <c r="F217" s="424">
        <v>42037</v>
      </c>
      <c r="G217" s="326">
        <f>DATE(YEAR(C217)+4,MONTH(C217),DAY(C217))</f>
        <v>43387</v>
      </c>
      <c r="H217" s="326">
        <v>42657</v>
      </c>
      <c r="I217" s="409">
        <v>1118000</v>
      </c>
      <c r="J217" s="404"/>
      <c r="K217" s="415"/>
      <c r="L217" s="414"/>
      <c r="M217" s="407">
        <f>SUM(M218:M222)</f>
        <v>1118000</v>
      </c>
      <c r="N217" s="420"/>
      <c r="O217" s="430"/>
      <c r="P217" s="416">
        <f>SUM(P218:P222)</f>
        <v>0</v>
      </c>
      <c r="Q217" s="416">
        <f>SUM(Q218:Q222)</f>
        <v>0</v>
      </c>
      <c r="R217" s="416"/>
      <c r="S217" s="166">
        <f>I217-(M217+P217+Q217)</f>
        <v>0</v>
      </c>
    </row>
    <row r="218" spans="1:19" s="107" customFormat="1" hidden="1" outlineLevel="1" x14ac:dyDescent="0.2">
      <c r="A218" s="334" t="s">
        <v>105</v>
      </c>
      <c r="B218" s="406"/>
      <c r="C218" s="412" t="s">
        <v>224</v>
      </c>
      <c r="D218" s="414"/>
      <c r="E218" s="414"/>
      <c r="F218" s="419"/>
      <c r="G218" s="414"/>
      <c r="H218" s="414"/>
      <c r="I218" s="348">
        <f>J218/$I$217</f>
        <v>0.3</v>
      </c>
      <c r="J218" s="349">
        <f>30%*I217</f>
        <v>335400</v>
      </c>
      <c r="K218" s="350">
        <v>1</v>
      </c>
      <c r="L218" s="347">
        <v>42180</v>
      </c>
      <c r="M218" s="351">
        <v>335400</v>
      </c>
      <c r="N218" s="352">
        <v>42222</v>
      </c>
      <c r="O218" s="410">
        <f>IF(N218="",$Q$2-L218,N218-L218)</f>
        <v>42</v>
      </c>
      <c r="P218" s="354" t="str">
        <f>IF(M218="en attente",J218,"")</f>
        <v/>
      </c>
      <c r="Q218" s="354">
        <f>IF(L218="",J218-M218,0)</f>
        <v>0</v>
      </c>
      <c r="R218" s="416"/>
      <c r="S218" s="166"/>
    </row>
    <row r="219" spans="1:19" s="26" customFormat="1" hidden="1" outlineLevel="1" x14ac:dyDescent="0.2">
      <c r="A219" s="334" t="s">
        <v>105</v>
      </c>
      <c r="B219" s="353"/>
      <c r="C219" s="347"/>
      <c r="D219" s="347"/>
      <c r="E219" s="347"/>
      <c r="F219" s="426"/>
      <c r="G219" s="347"/>
      <c r="H219" s="347"/>
      <c r="I219" s="435">
        <v>0.59219999999999995</v>
      </c>
      <c r="J219" s="349">
        <v>326679.59999999998</v>
      </c>
      <c r="K219" s="350">
        <v>2</v>
      </c>
      <c r="L219" s="347">
        <v>42297</v>
      </c>
      <c r="M219" s="351">
        <v>326679.59999999998</v>
      </c>
      <c r="N219" s="352">
        <v>42327</v>
      </c>
      <c r="O219" s="410">
        <f>IF(N219="",$Q$2-L219,N219-L219)</f>
        <v>30</v>
      </c>
      <c r="P219" s="354" t="str">
        <f>IF(M219="en attente",J219,"")</f>
        <v/>
      </c>
      <c r="Q219" s="354">
        <f>IF(L219="",J219-M219,0)</f>
        <v>0</v>
      </c>
      <c r="R219" s="354"/>
      <c r="S219" s="166"/>
    </row>
    <row r="220" spans="1:19" s="26" customFormat="1" hidden="1" outlineLevel="1" x14ac:dyDescent="0.2">
      <c r="A220" s="334" t="s">
        <v>105</v>
      </c>
      <c r="B220" s="353"/>
      <c r="C220" s="347"/>
      <c r="D220" s="347"/>
      <c r="E220" s="347"/>
      <c r="F220" s="426"/>
      <c r="G220" s="347"/>
      <c r="H220" s="347"/>
      <c r="I220" s="435">
        <v>0.68869999999999998</v>
      </c>
      <c r="J220" s="349">
        <v>107887</v>
      </c>
      <c r="K220" s="350">
        <v>3</v>
      </c>
      <c r="L220" s="347">
        <v>42376</v>
      </c>
      <c r="M220" s="351">
        <v>107887</v>
      </c>
      <c r="N220" s="352">
        <v>42425</v>
      </c>
      <c r="O220" s="410">
        <f>IF(N220="",$Q$2-L220,N220-L220)</f>
        <v>49</v>
      </c>
      <c r="P220" s="354" t="str">
        <f>IF(M220="en attente",J220,"")</f>
        <v/>
      </c>
      <c r="Q220" s="354">
        <f>IF(L220="",J220-M220,0)</f>
        <v>0</v>
      </c>
      <c r="R220" s="354"/>
      <c r="S220" s="166"/>
    </row>
    <row r="221" spans="1:19" s="26" customFormat="1" hidden="1" outlineLevel="1" x14ac:dyDescent="0.2">
      <c r="A221" s="334" t="s">
        <v>105</v>
      </c>
      <c r="B221" s="353"/>
      <c r="C221" s="347"/>
      <c r="D221" s="347"/>
      <c r="E221" s="347"/>
      <c r="F221" s="426"/>
      <c r="G221" s="347"/>
      <c r="H221" s="347"/>
      <c r="I221" s="551">
        <v>0.8</v>
      </c>
      <c r="J221" s="349">
        <v>124433.4</v>
      </c>
      <c r="K221" s="350">
        <v>4</v>
      </c>
      <c r="L221" s="347">
        <v>42446</v>
      </c>
      <c r="M221" s="351">
        <v>124433.4</v>
      </c>
      <c r="N221" s="352">
        <v>42466</v>
      </c>
      <c r="O221" s="410">
        <f>IF(N221="",$Q$2-L221,N221-L221)</f>
        <v>20</v>
      </c>
      <c r="P221" s="354" t="str">
        <f>IF(M221="en attente",J221,"")</f>
        <v/>
      </c>
      <c r="Q221" s="354">
        <f>IF(L221="",J221-M221,0)</f>
        <v>0</v>
      </c>
      <c r="R221" s="354"/>
      <c r="S221" s="166"/>
    </row>
    <row r="222" spans="1:19" s="26" customFormat="1" hidden="1" outlineLevel="1" x14ac:dyDescent="0.2">
      <c r="A222" s="334" t="s">
        <v>105</v>
      </c>
      <c r="B222" s="353"/>
      <c r="C222" s="347"/>
      <c r="D222" s="347"/>
      <c r="E222" s="347"/>
      <c r="F222" s="426"/>
      <c r="G222" s="347"/>
      <c r="H222" s="347"/>
      <c r="I222" s="348">
        <v>1</v>
      </c>
      <c r="J222" s="349">
        <v>223600</v>
      </c>
      <c r="K222" s="350">
        <v>5</v>
      </c>
      <c r="L222" s="347">
        <v>42844</v>
      </c>
      <c r="M222" s="351">
        <v>223600</v>
      </c>
      <c r="N222" s="352">
        <v>42950</v>
      </c>
      <c r="O222" s="410">
        <f>IF(N222="",$Q$2-L222,N222-L222)</f>
        <v>106</v>
      </c>
      <c r="P222" s="354" t="str">
        <f>IF(M222="en attente",J222,"")</f>
        <v/>
      </c>
      <c r="Q222" s="354">
        <f>IF(L222="",J222-M222,0)</f>
        <v>0</v>
      </c>
      <c r="R222" s="354"/>
      <c r="S222" s="166"/>
    </row>
    <row r="223" spans="1:19" s="26" customFormat="1" collapsed="1" x14ac:dyDescent="0.2">
      <c r="A223" s="325" t="s">
        <v>254</v>
      </c>
      <c r="B223" s="332" t="s">
        <v>255</v>
      </c>
      <c r="C223" s="326">
        <v>42543</v>
      </c>
      <c r="D223" s="331">
        <f>DATE(YEAR(C223),MONTH(C223)+18,DAY(C223))</f>
        <v>43091</v>
      </c>
      <c r="E223" s="326">
        <v>42583</v>
      </c>
      <c r="F223" s="732">
        <v>42583</v>
      </c>
      <c r="G223" s="331">
        <f>DATE(YEAR(C223)+4,MONTH(C223),DAY(C223))</f>
        <v>44004</v>
      </c>
      <c r="H223" s="326">
        <v>43210</v>
      </c>
      <c r="I223" s="733">
        <v>529000</v>
      </c>
      <c r="J223" s="393"/>
      <c r="K223" s="703"/>
      <c r="L223" s="399"/>
      <c r="M223" s="330">
        <f>SUM(M224:M228)</f>
        <v>529000</v>
      </c>
      <c r="N223" s="705"/>
      <c r="O223" s="734"/>
      <c r="P223" s="333">
        <f>SUM(P224:P228)</f>
        <v>0</v>
      </c>
      <c r="Q223" s="333">
        <f>SUM(Q224:Q228)</f>
        <v>0</v>
      </c>
      <c r="R223" s="706"/>
      <c r="S223" s="166">
        <f>I223-(M223+P223+Q223)</f>
        <v>0</v>
      </c>
    </row>
    <row r="224" spans="1:19" s="26" customFormat="1" hidden="1" outlineLevel="1" x14ac:dyDescent="0.2">
      <c r="A224" s="334" t="s">
        <v>267</v>
      </c>
      <c r="B224" s="406"/>
      <c r="C224" s="414"/>
      <c r="D224" s="414"/>
      <c r="E224" s="414"/>
      <c r="F224" s="735"/>
      <c r="G224" s="414"/>
      <c r="H224" s="347"/>
      <c r="I224" s="435">
        <v>0.3</v>
      </c>
      <c r="J224" s="349">
        <v>158700</v>
      </c>
      <c r="K224" s="350">
        <v>1</v>
      </c>
      <c r="L224" s="347">
        <v>42766</v>
      </c>
      <c r="M224" s="351">
        <v>158700</v>
      </c>
      <c r="N224" s="352">
        <v>42811</v>
      </c>
      <c r="O224" s="410"/>
      <c r="P224" s="354" t="str">
        <f>IF(M224="en attente",J224,"")</f>
        <v/>
      </c>
      <c r="Q224" s="354">
        <f>IF(L224="",J224-M224,0)</f>
        <v>0</v>
      </c>
      <c r="R224" s="354"/>
      <c r="S224" s="163"/>
    </row>
    <row r="225" spans="1:19" s="26" customFormat="1" hidden="1" outlineLevel="1" x14ac:dyDescent="0.2">
      <c r="A225" s="334" t="s">
        <v>267</v>
      </c>
      <c r="B225" s="406"/>
      <c r="C225" s="414"/>
      <c r="D225" s="414"/>
      <c r="E225" s="414"/>
      <c r="F225" s="735"/>
      <c r="G225" s="414"/>
      <c r="H225" s="347"/>
      <c r="I225" s="435">
        <v>0.6089</v>
      </c>
      <c r="J225" s="349">
        <f>I223*I225-J224</f>
        <v>163408.09999999998</v>
      </c>
      <c r="K225" s="350">
        <v>2</v>
      </c>
      <c r="L225" s="347">
        <v>42873</v>
      </c>
      <c r="M225" s="351">
        <v>163408.1</v>
      </c>
      <c r="N225" s="352">
        <v>42921</v>
      </c>
      <c r="O225" s="410"/>
      <c r="P225" s="354" t="str">
        <f>IF(M225="en attente",J225,"")</f>
        <v/>
      </c>
      <c r="Q225" s="354">
        <f>IF(L225="",J225-M225,0)</f>
        <v>0</v>
      </c>
      <c r="R225" s="354"/>
      <c r="S225" s="163"/>
    </row>
    <row r="226" spans="1:19" s="26" customFormat="1" hidden="1" outlineLevel="1" x14ac:dyDescent="0.2">
      <c r="A226" s="334" t="s">
        <v>267</v>
      </c>
      <c r="B226" s="406"/>
      <c r="C226" s="414"/>
      <c r="D226" s="414"/>
      <c r="E226" s="414"/>
      <c r="F226" s="735"/>
      <c r="G226" s="414"/>
      <c r="H226" s="347"/>
      <c r="I226" s="435">
        <v>0.70340000000000003</v>
      </c>
      <c r="J226" s="349">
        <f>I223*I226-J224-J225</f>
        <v>49990.500000000058</v>
      </c>
      <c r="K226" s="350">
        <v>3</v>
      </c>
      <c r="L226" s="347">
        <v>43032</v>
      </c>
      <c r="M226" s="351">
        <v>49990.5</v>
      </c>
      <c r="N226" s="352">
        <v>43077</v>
      </c>
      <c r="O226" s="410"/>
      <c r="P226" s="354" t="str">
        <f>IF(M226="en attente",J226,"")</f>
        <v/>
      </c>
      <c r="Q226" s="354"/>
      <c r="R226" s="354"/>
      <c r="S226" s="163"/>
    </row>
    <row r="227" spans="1:19" s="26" customFormat="1" hidden="1" outlineLevel="1" x14ac:dyDescent="0.2">
      <c r="A227" s="334" t="s">
        <v>267</v>
      </c>
      <c r="B227" s="406"/>
      <c r="C227" s="414"/>
      <c r="D227" s="414"/>
      <c r="E227" s="414"/>
      <c r="F227" s="735"/>
      <c r="G227" s="414"/>
      <c r="H227" s="347"/>
      <c r="I227" s="435">
        <v>0.8</v>
      </c>
      <c r="J227" s="349">
        <f>I223*I227-J224-J225-J226</f>
        <v>51101.399999999965</v>
      </c>
      <c r="K227" s="350">
        <v>4</v>
      </c>
      <c r="L227" s="347">
        <v>43076</v>
      </c>
      <c r="M227" s="351">
        <v>51101.4</v>
      </c>
      <c r="N227" s="352">
        <v>43175</v>
      </c>
      <c r="O227" s="410"/>
      <c r="P227" s="354" t="str">
        <f>IF(M227="en attente",J227,"")</f>
        <v/>
      </c>
      <c r="Q227" s="354">
        <f>IF(L227="",J227-M227,0)</f>
        <v>0</v>
      </c>
      <c r="R227" s="354"/>
      <c r="S227" s="163"/>
    </row>
    <row r="228" spans="1:19" s="26" customFormat="1" hidden="1" outlineLevel="1" x14ac:dyDescent="0.2">
      <c r="A228" s="334" t="s">
        <v>267</v>
      </c>
      <c r="B228" s="353"/>
      <c r="C228" s="412"/>
      <c r="D228" s="414"/>
      <c r="E228" s="347"/>
      <c r="F228" s="842"/>
      <c r="G228" s="414"/>
      <c r="H228" s="347"/>
      <c r="I228" s="435">
        <v>1</v>
      </c>
      <c r="J228" s="349">
        <f>I223-J224-J225-J226-J227</f>
        <v>105800</v>
      </c>
      <c r="K228" s="350">
        <v>5</v>
      </c>
      <c r="L228" s="347">
        <v>43361</v>
      </c>
      <c r="M228" s="351">
        <v>105800</v>
      </c>
      <c r="N228" s="352">
        <v>43420</v>
      </c>
      <c r="O228" s="410"/>
      <c r="P228" s="354" t="str">
        <f>IF(M228="en attente",J228,"")</f>
        <v/>
      </c>
      <c r="Q228" s="354">
        <f>IF(L228="",J228-M228,0)</f>
        <v>0</v>
      </c>
      <c r="R228" s="354"/>
      <c r="S228" s="166"/>
    </row>
    <row r="229" spans="1:19" s="107" customFormat="1" x14ac:dyDescent="0.2">
      <c r="A229" s="809" t="s">
        <v>76</v>
      </c>
      <c r="B229" s="846" t="s">
        <v>189</v>
      </c>
      <c r="C229" s="847">
        <v>41144</v>
      </c>
      <c r="D229" s="847">
        <f>DATE(YEAR(C229),MONTH(C229)+18,DAY(C229))</f>
        <v>41693</v>
      </c>
      <c r="E229" s="847">
        <v>41253</v>
      </c>
      <c r="F229" s="848">
        <v>41295</v>
      </c>
      <c r="G229" s="847">
        <f>DATE(YEAR(C229)+4,MONTH(C229),DAY(C229))</f>
        <v>42605</v>
      </c>
      <c r="H229" s="847">
        <v>41927</v>
      </c>
      <c r="I229" s="849">
        <v>1</v>
      </c>
      <c r="J229" s="813"/>
      <c r="K229" s="850"/>
      <c r="L229" s="847"/>
      <c r="M229" s="851">
        <f>SUM(M230)</f>
        <v>0</v>
      </c>
      <c r="N229" s="852"/>
      <c r="O229" s="853"/>
      <c r="P229" s="854">
        <f>SUM(P230)</f>
        <v>1</v>
      </c>
      <c r="Q229" s="855">
        <f>SUM(Q230)</f>
        <v>0</v>
      </c>
      <c r="R229" s="855"/>
      <c r="S229" s="166">
        <f>I229-(M229+P229+Q229)</f>
        <v>0</v>
      </c>
    </row>
    <row r="230" spans="1:19" s="26" customFormat="1" x14ac:dyDescent="0.2">
      <c r="A230" s="46"/>
      <c r="B230" s="4"/>
      <c r="C230" s="15"/>
      <c r="D230" s="15"/>
      <c r="E230" s="15"/>
      <c r="F230" s="174"/>
      <c r="G230" s="15"/>
      <c r="H230" s="15"/>
      <c r="I230" s="16"/>
      <c r="J230" s="23">
        <v>1</v>
      </c>
      <c r="K230" s="42">
        <v>1</v>
      </c>
      <c r="L230" s="15">
        <v>42409</v>
      </c>
      <c r="M230" s="112" t="s">
        <v>104</v>
      </c>
      <c r="N230" s="30"/>
      <c r="O230" s="43"/>
      <c r="P230" s="106">
        <f>IF(M230="en attente",J230,"")</f>
        <v>1</v>
      </c>
      <c r="Q230" s="81">
        <f>IF(L230="",J230-M230,0)</f>
        <v>0</v>
      </c>
      <c r="R230" s="81"/>
      <c r="S230" s="163"/>
    </row>
    <row r="231" spans="1:19" s="107" customFormat="1" x14ac:dyDescent="0.2">
      <c r="A231" s="119" t="s">
        <v>59</v>
      </c>
      <c r="B231" s="125" t="s">
        <v>180</v>
      </c>
      <c r="C231" s="158">
        <v>41446</v>
      </c>
      <c r="D231" s="158">
        <f>DATE(YEAR(C231),MONTH(C231)+18,DAY(C231))</f>
        <v>41994</v>
      </c>
      <c r="E231" s="158">
        <v>41621</v>
      </c>
      <c r="F231" s="173">
        <v>41766</v>
      </c>
      <c r="G231" s="158">
        <f>DATE(YEAR(C231)+4,MONTH(C231),DAY(C231))</f>
        <v>42907</v>
      </c>
      <c r="H231" s="158">
        <v>42745</v>
      </c>
      <c r="I231" s="128">
        <v>1</v>
      </c>
      <c r="J231" s="123"/>
      <c r="K231" s="138"/>
      <c r="L231" s="158"/>
      <c r="M231" s="126">
        <f>SUM(M232)</f>
        <v>0</v>
      </c>
      <c r="N231" s="151"/>
      <c r="O231" s="152"/>
      <c r="P231" s="159">
        <f>SUM(P232)</f>
        <v>1</v>
      </c>
      <c r="Q231" s="159">
        <f>SUM(Q232)</f>
        <v>0</v>
      </c>
      <c r="R231" s="159"/>
      <c r="S231" s="166">
        <f>I231-(M231+P231+Q231)</f>
        <v>0</v>
      </c>
    </row>
    <row r="232" spans="1:19" s="26" customFormat="1" x14ac:dyDescent="0.2">
      <c r="A232" s="46"/>
      <c r="B232" s="4"/>
      <c r="C232" s="29" t="s">
        <v>224</v>
      </c>
      <c r="D232" s="15"/>
      <c r="E232" s="15"/>
      <c r="F232" s="174"/>
      <c r="G232" s="15"/>
      <c r="H232" s="15"/>
      <c r="I232" s="16"/>
      <c r="J232" s="23">
        <v>1</v>
      </c>
      <c r="K232" s="42">
        <v>1</v>
      </c>
      <c r="L232" s="15">
        <v>43011</v>
      </c>
      <c r="M232" s="112" t="s">
        <v>104</v>
      </c>
      <c r="N232" s="30"/>
      <c r="O232" s="43"/>
      <c r="P232" s="81">
        <f t="shared" si="39"/>
        <v>1</v>
      </c>
      <c r="Q232" s="81">
        <f t="shared" si="43"/>
        <v>0</v>
      </c>
      <c r="R232" s="81"/>
      <c r="S232" s="163"/>
    </row>
    <row r="233" spans="1:19" s="107" customFormat="1" x14ac:dyDescent="0.2">
      <c r="A233" s="119" t="s">
        <v>36</v>
      </c>
      <c r="B233" s="125" t="s">
        <v>167</v>
      </c>
      <c r="C233" s="158">
        <v>41463</v>
      </c>
      <c r="D233" s="158">
        <f>DATE(YEAR(C233),MONTH(C233)+18,DAY(C233))</f>
        <v>42012</v>
      </c>
      <c r="E233" s="158">
        <v>42142</v>
      </c>
      <c r="F233" s="173">
        <v>42163</v>
      </c>
      <c r="G233" s="388">
        <v>43653</v>
      </c>
      <c r="H233" s="158">
        <v>43075</v>
      </c>
      <c r="I233" s="128">
        <v>1245000</v>
      </c>
      <c r="J233" s="123"/>
      <c r="K233" s="138"/>
      <c r="L233" s="158"/>
      <c r="M233" s="126">
        <f>SUM(M234:M242)</f>
        <v>994755</v>
      </c>
      <c r="N233" s="151"/>
      <c r="O233" s="152"/>
      <c r="P233" s="159">
        <f>SUM(P234:P242)</f>
        <v>0</v>
      </c>
      <c r="Q233" s="159">
        <f>SUM(Q234:Q242)</f>
        <v>250245</v>
      </c>
      <c r="R233" s="159"/>
      <c r="S233" s="166">
        <f>I233-(M233+P233+Q233)</f>
        <v>0</v>
      </c>
    </row>
    <row r="234" spans="1:19" s="107" customFormat="1" outlineLevel="1" x14ac:dyDescent="0.2">
      <c r="A234" s="46"/>
      <c r="B234" s="19"/>
      <c r="C234" s="29" t="s">
        <v>224</v>
      </c>
      <c r="D234" s="105"/>
      <c r="E234" s="105"/>
      <c r="F234" s="178"/>
      <c r="G234" s="29" t="s">
        <v>310</v>
      </c>
      <c r="H234" s="105"/>
      <c r="I234" s="108">
        <f>J234/$I$233</f>
        <v>0.3</v>
      </c>
      <c r="J234" s="23">
        <f>0.3*I233</f>
        <v>373500</v>
      </c>
      <c r="K234" s="42">
        <v>1</v>
      </c>
      <c r="L234" s="15">
        <v>42178</v>
      </c>
      <c r="M234" s="24">
        <v>373500</v>
      </c>
      <c r="N234" s="30">
        <v>42247</v>
      </c>
      <c r="O234" s="43">
        <f t="shared" ref="O234:O241" si="49">IF(N234="",$Q$2-L234,N234-L234)</f>
        <v>69</v>
      </c>
      <c r="P234" s="81" t="str">
        <f t="shared" si="39"/>
        <v/>
      </c>
      <c r="Q234" s="81">
        <f>IF(L234="",J234-M234,0)</f>
        <v>0</v>
      </c>
      <c r="R234" s="106"/>
      <c r="S234" s="163"/>
    </row>
    <row r="235" spans="1:19" s="26" customFormat="1" outlineLevel="1" x14ac:dyDescent="0.2">
      <c r="A235" s="46"/>
      <c r="B235" s="4"/>
      <c r="C235" s="15"/>
      <c r="D235" s="15"/>
      <c r="E235" s="15"/>
      <c r="F235" s="174"/>
      <c r="G235" s="15"/>
      <c r="H235" s="15"/>
      <c r="I235" s="233">
        <v>0.34970000000000001</v>
      </c>
      <c r="J235" s="110">
        <v>61876.5</v>
      </c>
      <c r="K235" s="42">
        <v>2</v>
      </c>
      <c r="L235" s="15">
        <v>42537</v>
      </c>
      <c r="M235" s="24">
        <v>61876.5</v>
      </c>
      <c r="N235" s="30">
        <v>42558</v>
      </c>
      <c r="O235" s="43">
        <f t="shared" si="49"/>
        <v>21</v>
      </c>
      <c r="P235" s="81" t="str">
        <f t="shared" si="39"/>
        <v/>
      </c>
      <c r="Q235" s="81">
        <f t="shared" si="43"/>
        <v>0</v>
      </c>
      <c r="R235" s="81"/>
      <c r="S235" s="163"/>
    </row>
    <row r="236" spans="1:19" s="26" customFormat="1" outlineLevel="1" x14ac:dyDescent="0.2">
      <c r="A236" s="46"/>
      <c r="B236" s="4"/>
      <c r="C236" s="15"/>
      <c r="D236" s="15"/>
      <c r="E236" s="15"/>
      <c r="F236" s="174"/>
      <c r="G236" s="15"/>
      <c r="H236" s="23"/>
      <c r="I236" s="233">
        <v>0.42380000000000001</v>
      </c>
      <c r="J236" s="23">
        <f>I233*I236-(J234+J235)</f>
        <v>92254.5</v>
      </c>
      <c r="K236" s="42">
        <v>3</v>
      </c>
      <c r="L236" s="15">
        <v>42599</v>
      </c>
      <c r="M236" s="24">
        <v>92254.5</v>
      </c>
      <c r="N236" s="30">
        <v>42639</v>
      </c>
      <c r="O236" s="43">
        <f t="shared" si="49"/>
        <v>40</v>
      </c>
      <c r="P236" s="81" t="str">
        <f t="shared" si="39"/>
        <v/>
      </c>
      <c r="Q236" s="81">
        <f t="shared" si="43"/>
        <v>0</v>
      </c>
      <c r="R236" s="81"/>
      <c r="S236" s="163"/>
    </row>
    <row r="237" spans="1:19" s="26" customFormat="1" outlineLevel="1" x14ac:dyDescent="0.2">
      <c r="A237" s="46"/>
      <c r="B237" s="4"/>
      <c r="C237" s="15"/>
      <c r="D237" s="15"/>
      <c r="E237" s="15"/>
      <c r="F237" s="174"/>
      <c r="G237" s="15"/>
      <c r="H237" s="15"/>
      <c r="I237" s="233">
        <v>0.50560000000000005</v>
      </c>
      <c r="J237" s="23">
        <f>I233*I237-(J234+J235+J236)</f>
        <v>101841.00000000012</v>
      </c>
      <c r="K237" s="42">
        <v>4</v>
      </c>
      <c r="L237" s="15">
        <v>42669</v>
      </c>
      <c r="M237" s="24">
        <v>101841</v>
      </c>
      <c r="N237" s="30">
        <v>42712</v>
      </c>
      <c r="O237" s="43">
        <f t="shared" si="49"/>
        <v>43</v>
      </c>
      <c r="P237" s="81" t="str">
        <f t="shared" si="39"/>
        <v/>
      </c>
      <c r="Q237" s="81">
        <f t="shared" si="43"/>
        <v>0</v>
      </c>
      <c r="R237" s="81"/>
      <c r="S237" s="163"/>
    </row>
    <row r="238" spans="1:19" s="26" customFormat="1" outlineLevel="1" x14ac:dyDescent="0.2">
      <c r="A238" s="46"/>
      <c r="B238" s="4"/>
      <c r="C238" s="15"/>
      <c r="D238" s="15"/>
      <c r="E238" s="15"/>
      <c r="F238" s="174"/>
      <c r="G238" s="15"/>
      <c r="H238" s="15"/>
      <c r="I238" s="233">
        <v>0.59230000000000005</v>
      </c>
      <c r="J238" s="23">
        <f>I233*I238-(J234+J235+J236+J237)</f>
        <v>107941.5</v>
      </c>
      <c r="K238" s="42">
        <v>5</v>
      </c>
      <c r="L238" s="15">
        <v>42745</v>
      </c>
      <c r="M238" s="24">
        <v>107941.5</v>
      </c>
      <c r="N238" s="30">
        <v>42790</v>
      </c>
      <c r="O238" s="43">
        <f t="shared" si="49"/>
        <v>45</v>
      </c>
      <c r="P238" s="81" t="str">
        <f t="shared" si="39"/>
        <v/>
      </c>
      <c r="Q238" s="81">
        <f t="shared" si="43"/>
        <v>0</v>
      </c>
      <c r="R238" s="81"/>
      <c r="S238" s="163"/>
    </row>
    <row r="239" spans="1:19" s="26" customFormat="1" outlineLevel="1" x14ac:dyDescent="0.2">
      <c r="A239" s="46"/>
      <c r="B239" s="4"/>
      <c r="C239" s="15"/>
      <c r="D239" s="15"/>
      <c r="E239" s="15"/>
      <c r="F239" s="174"/>
      <c r="G239" s="15"/>
      <c r="H239" s="15"/>
      <c r="I239" s="233">
        <v>0.64890000000000003</v>
      </c>
      <c r="J239" s="23">
        <f>+I233*I239-(J234+J235+J236+J237+J238)</f>
        <v>70466.999999999884</v>
      </c>
      <c r="K239" s="42">
        <v>6</v>
      </c>
      <c r="L239" s="15">
        <v>42866</v>
      </c>
      <c r="M239" s="24">
        <v>70467</v>
      </c>
      <c r="N239" s="30">
        <v>42909</v>
      </c>
      <c r="O239" s="43">
        <f t="shared" si="49"/>
        <v>43</v>
      </c>
      <c r="P239" s="81" t="str">
        <f t="shared" si="39"/>
        <v/>
      </c>
      <c r="Q239" s="81">
        <f t="shared" si="43"/>
        <v>0</v>
      </c>
      <c r="R239" s="81"/>
      <c r="S239" s="163"/>
    </row>
    <row r="240" spans="1:19" s="26" customFormat="1" outlineLevel="1" x14ac:dyDescent="0.2">
      <c r="A240" s="46"/>
      <c r="B240" s="4"/>
      <c r="C240" s="15"/>
      <c r="D240" s="15"/>
      <c r="E240" s="15"/>
      <c r="F240" s="174"/>
      <c r="G240" s="15"/>
      <c r="H240" s="15"/>
      <c r="I240" s="233">
        <v>0.71970000000000001</v>
      </c>
      <c r="J240" s="23">
        <v>88146</v>
      </c>
      <c r="K240" s="42">
        <v>7</v>
      </c>
      <c r="L240" s="15">
        <v>42954</v>
      </c>
      <c r="M240" s="24">
        <v>88146</v>
      </c>
      <c r="N240" s="30">
        <v>42993</v>
      </c>
      <c r="O240" s="43">
        <f t="shared" si="49"/>
        <v>39</v>
      </c>
      <c r="P240" s="81" t="str">
        <f t="shared" si="39"/>
        <v/>
      </c>
      <c r="Q240" s="81">
        <f t="shared" si="43"/>
        <v>0</v>
      </c>
      <c r="R240" s="81"/>
      <c r="S240" s="163"/>
    </row>
    <row r="241" spans="1:19" s="26" customFormat="1" outlineLevel="1" x14ac:dyDescent="0.2">
      <c r="A241" s="46"/>
      <c r="B241" s="4"/>
      <c r="C241" s="15"/>
      <c r="D241" s="15"/>
      <c r="E241" s="15"/>
      <c r="F241" s="174"/>
      <c r="G241" s="15"/>
      <c r="H241" s="15"/>
      <c r="I241" s="233">
        <v>0.79900000000000004</v>
      </c>
      <c r="J241" s="23">
        <f>I233*I241-(J234+J235+J236+J237+J238+J239+J240)</f>
        <v>98728.5</v>
      </c>
      <c r="K241" s="42">
        <v>8</v>
      </c>
      <c r="L241" s="15">
        <v>43069</v>
      </c>
      <c r="M241" s="24">
        <v>98728.5</v>
      </c>
      <c r="N241" s="30">
        <v>43119</v>
      </c>
      <c r="O241" s="43">
        <f t="shared" si="49"/>
        <v>50</v>
      </c>
      <c r="P241" s="81" t="str">
        <f t="shared" si="39"/>
        <v/>
      </c>
      <c r="Q241" s="81">
        <f t="shared" si="43"/>
        <v>0</v>
      </c>
      <c r="R241" s="81"/>
      <c r="S241" s="163"/>
    </row>
    <row r="242" spans="1:19" s="26" customFormat="1" outlineLevel="1" x14ac:dyDescent="0.2">
      <c r="A242" s="46"/>
      <c r="B242" s="4"/>
      <c r="C242" s="15"/>
      <c r="D242" s="15"/>
      <c r="E242" s="15"/>
      <c r="F242" s="174"/>
      <c r="G242" s="15"/>
      <c r="H242" s="15"/>
      <c r="I242" s="108">
        <f>J242/$I$233+I241</f>
        <v>1</v>
      </c>
      <c r="J242" s="111">
        <f>I233-J234-J235-J236-J237-J238-J239-J240-J241</f>
        <v>250245</v>
      </c>
      <c r="K242" s="42">
        <v>9</v>
      </c>
      <c r="L242" s="15"/>
      <c r="M242" s="24"/>
      <c r="N242" s="30"/>
      <c r="O242" s="43"/>
      <c r="P242" s="81" t="str">
        <f t="shared" si="39"/>
        <v/>
      </c>
      <c r="Q242" s="81">
        <f t="shared" si="43"/>
        <v>250245</v>
      </c>
      <c r="R242" s="81"/>
      <c r="S242" s="163"/>
    </row>
    <row r="243" spans="1:19" s="183" customFormat="1" x14ac:dyDescent="0.2">
      <c r="A243" s="119" t="s">
        <v>36</v>
      </c>
      <c r="B243" s="125" t="s">
        <v>178</v>
      </c>
      <c r="C243" s="158">
        <v>41493</v>
      </c>
      <c r="D243" s="385">
        <f>DATE(YEAR(C243),MONTH(C243)+18,DAY(C243))</f>
        <v>42042</v>
      </c>
      <c r="E243" s="385">
        <v>42142</v>
      </c>
      <c r="F243" s="173">
        <v>42163</v>
      </c>
      <c r="G243" s="388">
        <v>43683</v>
      </c>
      <c r="H243" s="158">
        <v>43075</v>
      </c>
      <c r="I243" s="128">
        <v>1</v>
      </c>
      <c r="J243" s="123"/>
      <c r="K243" s="138"/>
      <c r="L243" s="158"/>
      <c r="M243" s="126">
        <f>SUM(M244)</f>
        <v>0</v>
      </c>
      <c r="N243" s="151"/>
      <c r="O243" s="152"/>
      <c r="P243" s="159">
        <f>SUM(P244)</f>
        <v>0</v>
      </c>
      <c r="Q243" s="159">
        <f>SUM(Q244)</f>
        <v>1</v>
      </c>
      <c r="R243" s="159"/>
      <c r="S243" s="182">
        <f>I243-(M243+P243+Q243)</f>
        <v>0</v>
      </c>
    </row>
    <row r="244" spans="1:19" s="26" customFormat="1" x14ac:dyDescent="0.2">
      <c r="A244" s="46"/>
      <c r="B244" s="4"/>
      <c r="C244" s="29" t="s">
        <v>224</v>
      </c>
      <c r="D244" s="15"/>
      <c r="E244" s="15"/>
      <c r="F244" s="174"/>
      <c r="G244" s="29" t="s">
        <v>310</v>
      </c>
      <c r="H244" s="15"/>
      <c r="I244" s="16"/>
      <c r="J244" s="111">
        <v>1</v>
      </c>
      <c r="K244" s="42">
        <v>1</v>
      </c>
      <c r="L244" s="15"/>
      <c r="M244" s="24"/>
      <c r="N244" s="30"/>
      <c r="O244" s="43"/>
      <c r="P244" s="81" t="str">
        <f t="shared" ref="P244:P349" si="50">IF(M244="en attente",J244,"")</f>
        <v/>
      </c>
      <c r="Q244" s="81">
        <f t="shared" si="43"/>
        <v>1</v>
      </c>
      <c r="R244" s="81"/>
      <c r="S244" s="163"/>
    </row>
    <row r="245" spans="1:19" s="107" customFormat="1" x14ac:dyDescent="0.2">
      <c r="A245" s="119" t="s">
        <v>37</v>
      </c>
      <c r="B245" s="125" t="s">
        <v>174</v>
      </c>
      <c r="C245" s="158">
        <v>41855</v>
      </c>
      <c r="D245" s="158">
        <f>DATE(YEAR(C245),MONTH(C245)+18,DAY(C245))</f>
        <v>42404</v>
      </c>
      <c r="E245" s="158">
        <v>42935</v>
      </c>
      <c r="F245" s="562">
        <v>42933</v>
      </c>
      <c r="G245" s="388">
        <v>44046</v>
      </c>
      <c r="H245" s="158"/>
      <c r="I245" s="128">
        <v>442750</v>
      </c>
      <c r="J245" s="123"/>
      <c r="K245" s="138"/>
      <c r="L245" s="158"/>
      <c r="M245" s="126">
        <f>SUM(M246:M250)</f>
        <v>354200</v>
      </c>
      <c r="N245" s="151"/>
      <c r="O245" s="152"/>
      <c r="P245" s="159">
        <f>SUM(P246:P250)</f>
        <v>0</v>
      </c>
      <c r="Q245" s="159">
        <f>SUM(Q246:Q250)</f>
        <v>88549.999999999985</v>
      </c>
      <c r="R245" s="159"/>
      <c r="S245" s="166">
        <f>I245-(M245+P245+Q245)</f>
        <v>0</v>
      </c>
    </row>
    <row r="246" spans="1:19" s="107" customFormat="1" outlineLevel="1" x14ac:dyDescent="0.2">
      <c r="A246" s="46"/>
      <c r="B246" s="19"/>
      <c r="C246" s="105"/>
      <c r="D246" s="105"/>
      <c r="E246" s="105"/>
      <c r="F246" s="178"/>
      <c r="G246" s="436" t="s">
        <v>292</v>
      </c>
      <c r="H246" s="105"/>
      <c r="I246" s="108">
        <v>0.3</v>
      </c>
      <c r="J246" s="23">
        <f>+I245*I246</f>
        <v>132825</v>
      </c>
      <c r="K246" s="42">
        <v>1</v>
      </c>
      <c r="L246" s="15">
        <v>42943</v>
      </c>
      <c r="M246" s="24">
        <v>132825</v>
      </c>
      <c r="N246" s="30">
        <v>42993</v>
      </c>
      <c r="O246" s="418"/>
      <c r="P246" s="81" t="str">
        <f t="shared" si="50"/>
        <v/>
      </c>
      <c r="Q246" s="81">
        <f t="shared" si="43"/>
        <v>0</v>
      </c>
      <c r="R246" s="106"/>
      <c r="S246" s="163"/>
    </row>
    <row r="247" spans="1:19" s="107" customFormat="1" outlineLevel="1" x14ac:dyDescent="0.2">
      <c r="A247" s="46"/>
      <c r="B247" s="19"/>
      <c r="C247" s="105"/>
      <c r="D247" s="105"/>
      <c r="E247" s="105"/>
      <c r="F247" s="178"/>
      <c r="G247" s="436"/>
      <c r="H247" s="105"/>
      <c r="I247" s="233">
        <v>0.42809999999999998</v>
      </c>
      <c r="J247" s="23">
        <f>I247*I245-J246-0.01</f>
        <v>56716.264999999992</v>
      </c>
      <c r="K247" s="42">
        <v>2</v>
      </c>
      <c r="L247" s="15">
        <v>43242</v>
      </c>
      <c r="M247" s="24">
        <v>56716.27</v>
      </c>
      <c r="N247" s="30">
        <v>43270</v>
      </c>
      <c r="O247" s="418"/>
      <c r="P247" s="81" t="str">
        <f t="shared" si="50"/>
        <v/>
      </c>
      <c r="Q247" s="81"/>
      <c r="R247" s="106"/>
      <c r="S247" s="163"/>
    </row>
    <row r="248" spans="1:19" s="107" customFormat="1" outlineLevel="1" x14ac:dyDescent="0.2">
      <c r="A248" s="46"/>
      <c r="B248" s="19"/>
      <c r="C248" s="105"/>
      <c r="D248" s="105"/>
      <c r="E248" s="105"/>
      <c r="F248" s="178"/>
      <c r="G248" s="568"/>
      <c r="H248" s="105"/>
      <c r="I248" s="233">
        <v>0.58099999999999996</v>
      </c>
      <c r="J248" s="23">
        <f>+I245*I248-J246-J247-0.01</f>
        <v>67696.474999999991</v>
      </c>
      <c r="K248" s="42">
        <v>3</v>
      </c>
      <c r="L248" s="15">
        <v>43291</v>
      </c>
      <c r="M248" s="24">
        <v>67696.479999999996</v>
      </c>
      <c r="N248" s="30">
        <v>43329</v>
      </c>
      <c r="O248" s="418"/>
      <c r="P248" s="81" t="str">
        <f t="shared" si="50"/>
        <v/>
      </c>
      <c r="Q248" s="81">
        <f t="shared" si="43"/>
        <v>0</v>
      </c>
      <c r="R248" s="106"/>
      <c r="S248" s="163"/>
    </row>
    <row r="249" spans="1:19" s="107" customFormat="1" outlineLevel="1" x14ac:dyDescent="0.2">
      <c r="A249" s="46"/>
      <c r="B249" s="19"/>
      <c r="C249" s="105"/>
      <c r="D249" s="105"/>
      <c r="E249" s="105"/>
      <c r="F249" s="178"/>
      <c r="G249" s="436"/>
      <c r="H249" s="105"/>
      <c r="I249" s="108">
        <v>0.8</v>
      </c>
      <c r="J249" s="23">
        <f>+I245*I249-J246-J248-J247-0.01</f>
        <v>96962.250000000044</v>
      </c>
      <c r="K249" s="42">
        <v>4</v>
      </c>
      <c r="L249" s="15">
        <v>43370</v>
      </c>
      <c r="M249" s="24">
        <v>96962.25</v>
      </c>
      <c r="N249" s="30">
        <v>43440</v>
      </c>
      <c r="O249" s="418"/>
      <c r="P249" s="81" t="str">
        <f t="shared" si="50"/>
        <v/>
      </c>
      <c r="Q249" s="81">
        <f t="shared" si="43"/>
        <v>0</v>
      </c>
      <c r="R249" s="106"/>
      <c r="S249" s="163"/>
    </row>
    <row r="250" spans="1:19" s="26" customFormat="1" outlineLevel="1" x14ac:dyDescent="0.2">
      <c r="A250" s="118"/>
      <c r="B250" s="39"/>
      <c r="C250" s="33" t="s">
        <v>224</v>
      </c>
      <c r="D250" s="387"/>
      <c r="E250" s="36"/>
      <c r="F250" s="175"/>
      <c r="G250" s="456"/>
      <c r="H250" s="36"/>
      <c r="I250" s="153">
        <v>1</v>
      </c>
      <c r="J250" s="35">
        <f>+I245-J246-J248-J249-J247-0.01</f>
        <v>88549.999999999985</v>
      </c>
      <c r="K250" s="44">
        <v>5</v>
      </c>
      <c r="L250" s="36"/>
      <c r="M250" s="37"/>
      <c r="N250" s="155"/>
      <c r="O250" s="156"/>
      <c r="P250" s="81" t="str">
        <f t="shared" si="50"/>
        <v/>
      </c>
      <c r="Q250" s="157">
        <f>IF(L250="",J250-M250,0)</f>
        <v>88549.999999999985</v>
      </c>
      <c r="R250" s="157"/>
      <c r="S250" s="163"/>
    </row>
    <row r="251" spans="1:19" s="107" customFormat="1" x14ac:dyDescent="0.2">
      <c r="A251" s="325" t="s">
        <v>287</v>
      </c>
      <c r="B251" s="332" t="s">
        <v>173</v>
      </c>
      <c r="C251" s="326">
        <v>41800</v>
      </c>
      <c r="D251" s="326">
        <f>DATE(YEAR(C251),MONTH(C251)+18,DAY(C251))</f>
        <v>42348</v>
      </c>
      <c r="E251" s="326">
        <v>42460</v>
      </c>
      <c r="F251" s="424">
        <v>42500</v>
      </c>
      <c r="G251" s="326">
        <f>DATE(YEAR(C251)+4,MONTH(C251),DAY(C251))</f>
        <v>43261</v>
      </c>
      <c r="H251" s="326">
        <v>43206</v>
      </c>
      <c r="I251" s="327">
        <v>1</v>
      </c>
      <c r="J251" s="328"/>
      <c r="K251" s="329"/>
      <c r="L251" s="326"/>
      <c r="M251" s="330">
        <f>SUM(M252)</f>
        <v>0</v>
      </c>
      <c r="N251" s="331"/>
      <c r="O251" s="425"/>
      <c r="P251" s="417">
        <f>SUM(P252)</f>
        <v>0</v>
      </c>
      <c r="Q251" s="417">
        <f>SUM(Q252)</f>
        <v>0</v>
      </c>
      <c r="R251" s="333"/>
      <c r="S251" s="166">
        <f>I251-(M251+P251+Q251)</f>
        <v>1</v>
      </c>
    </row>
    <row r="252" spans="1:19" s="26" customFormat="1" x14ac:dyDescent="0.2">
      <c r="A252" s="356"/>
      <c r="B252" s="363"/>
      <c r="C252" s="395" t="s">
        <v>224</v>
      </c>
      <c r="D252" s="730"/>
      <c r="E252" s="395"/>
      <c r="F252" s="427"/>
      <c r="G252" s="358"/>
      <c r="H252" s="358"/>
      <c r="I252" s="365"/>
      <c r="J252" s="359">
        <v>1</v>
      </c>
      <c r="K252" s="360">
        <v>1</v>
      </c>
      <c r="L252" s="358">
        <v>43440</v>
      </c>
      <c r="M252" s="361" t="s">
        <v>392</v>
      </c>
      <c r="N252" s="362"/>
      <c r="O252" s="429"/>
      <c r="P252" s="364" t="str">
        <f t="shared" si="50"/>
        <v/>
      </c>
      <c r="Q252" s="364">
        <f t="shared" si="43"/>
        <v>0</v>
      </c>
      <c r="R252" s="364"/>
      <c r="S252" s="163"/>
    </row>
    <row r="253" spans="1:19" s="107" customFormat="1" x14ac:dyDescent="0.2">
      <c r="A253" s="129" t="s">
        <v>285</v>
      </c>
      <c r="B253" s="134" t="s">
        <v>260</v>
      </c>
      <c r="C253" s="149">
        <v>42605</v>
      </c>
      <c r="D253" s="149">
        <f>DATE(YEAR(C253),MONTH(C253)+18,DAY(C253))</f>
        <v>43154</v>
      </c>
      <c r="E253" s="149">
        <v>42677</v>
      </c>
      <c r="F253" s="177">
        <v>42781</v>
      </c>
      <c r="G253" s="149">
        <f>DATE(YEAR(C253)+4,MONTH(C253),DAY(C253))</f>
        <v>44066</v>
      </c>
      <c r="H253" s="149">
        <v>43349</v>
      </c>
      <c r="I253" s="137">
        <v>280000</v>
      </c>
      <c r="J253" s="132"/>
      <c r="K253" s="133"/>
      <c r="L253" s="149"/>
      <c r="M253" s="135">
        <f>SUM(M254:M259)</f>
        <v>224000</v>
      </c>
      <c r="N253" s="147"/>
      <c r="O253" s="148"/>
      <c r="P253" s="184">
        <f>SUM(P254:P259)</f>
        <v>0</v>
      </c>
      <c r="Q253" s="150">
        <f>SUM(Q254:Q259)</f>
        <v>56000</v>
      </c>
      <c r="R253" s="150"/>
      <c r="S253" s="166">
        <f>I253-(M253+P253+Q253)</f>
        <v>0</v>
      </c>
    </row>
    <row r="254" spans="1:19" s="107" customFormat="1" outlineLevel="1" x14ac:dyDescent="0.2">
      <c r="A254" s="46"/>
      <c r="B254" s="19"/>
      <c r="C254" s="105"/>
      <c r="D254" s="105"/>
      <c r="E254" s="105"/>
      <c r="F254" s="178"/>
      <c r="G254" s="105"/>
      <c r="H254" s="105"/>
      <c r="I254" s="108">
        <v>0.3</v>
      </c>
      <c r="J254" s="23">
        <f>+I253*I254</f>
        <v>84000</v>
      </c>
      <c r="K254" s="42">
        <v>1</v>
      </c>
      <c r="L254" s="15">
        <v>42789</v>
      </c>
      <c r="M254" s="24">
        <v>84000</v>
      </c>
      <c r="N254" s="30">
        <v>42815</v>
      </c>
      <c r="O254" s="418"/>
      <c r="P254" s="81" t="str">
        <f t="shared" si="50"/>
        <v/>
      </c>
      <c r="Q254" s="81">
        <f t="shared" si="43"/>
        <v>0</v>
      </c>
      <c r="R254" s="106"/>
      <c r="S254" s="163"/>
    </row>
    <row r="255" spans="1:19" s="107" customFormat="1" outlineLevel="1" x14ac:dyDescent="0.2">
      <c r="A255" s="46"/>
      <c r="B255" s="19"/>
      <c r="C255" s="105"/>
      <c r="D255" s="105"/>
      <c r="E255" s="105"/>
      <c r="F255" s="178"/>
      <c r="G255" s="105"/>
      <c r="H255" s="105"/>
      <c r="I255" s="233">
        <v>0.43340000000000001</v>
      </c>
      <c r="J255" s="23">
        <f>I253*I255-J254</f>
        <v>37352</v>
      </c>
      <c r="K255" s="42">
        <v>2</v>
      </c>
      <c r="L255" s="15">
        <v>43076</v>
      </c>
      <c r="M255" s="24">
        <v>37352</v>
      </c>
      <c r="N255" s="30">
        <v>43164</v>
      </c>
      <c r="O255" s="418"/>
      <c r="P255" s="81" t="str">
        <f t="shared" si="50"/>
        <v/>
      </c>
      <c r="Q255" s="81">
        <f t="shared" si="43"/>
        <v>0</v>
      </c>
      <c r="R255" s="106"/>
      <c r="S255" s="163"/>
    </row>
    <row r="256" spans="1:19" s="107" customFormat="1" outlineLevel="1" x14ac:dyDescent="0.2">
      <c r="A256" s="46"/>
      <c r="B256" s="19"/>
      <c r="C256" s="105"/>
      <c r="D256" s="105"/>
      <c r="E256" s="105"/>
      <c r="F256" s="178"/>
      <c r="G256" s="105"/>
      <c r="H256" s="105"/>
      <c r="I256" s="233">
        <v>0.51439999999999997</v>
      </c>
      <c r="J256" s="23">
        <f>I253*I256-J254-J255</f>
        <v>22680</v>
      </c>
      <c r="K256" s="42">
        <v>3</v>
      </c>
      <c r="L256" s="15">
        <v>43202</v>
      </c>
      <c r="M256" s="24">
        <v>22680</v>
      </c>
      <c r="N256" s="30">
        <v>43252</v>
      </c>
      <c r="O256" s="418"/>
      <c r="P256" s="81" t="str">
        <f t="shared" si="50"/>
        <v/>
      </c>
      <c r="Q256" s="81">
        <f t="shared" si="43"/>
        <v>0</v>
      </c>
      <c r="R256" s="106"/>
      <c r="S256" s="163"/>
    </row>
    <row r="257" spans="1:19" s="107" customFormat="1" outlineLevel="1" x14ac:dyDescent="0.2">
      <c r="A257" s="46"/>
      <c r="B257" s="19"/>
      <c r="C257" s="105"/>
      <c r="D257" s="105"/>
      <c r="E257" s="105"/>
      <c r="F257" s="178"/>
      <c r="G257" s="105"/>
      <c r="H257" s="105"/>
      <c r="I257" s="233">
        <v>0.64229999999999998</v>
      </c>
      <c r="J257" s="23">
        <v>35812</v>
      </c>
      <c r="K257" s="42">
        <v>4</v>
      </c>
      <c r="L257" s="15">
        <v>43277</v>
      </c>
      <c r="M257" s="24">
        <v>35812</v>
      </c>
      <c r="N257" s="30">
        <v>43325</v>
      </c>
      <c r="O257" s="418"/>
      <c r="P257" s="81" t="str">
        <f t="shared" si="50"/>
        <v/>
      </c>
      <c r="Q257" s="81"/>
      <c r="R257" s="106"/>
      <c r="S257" s="163"/>
    </row>
    <row r="258" spans="1:19" s="107" customFormat="1" outlineLevel="1" x14ac:dyDescent="0.2">
      <c r="A258" s="46"/>
      <c r="B258" s="19"/>
      <c r="C258" s="105"/>
      <c r="D258" s="105"/>
      <c r="E258" s="105"/>
      <c r="F258" s="178"/>
      <c r="G258" s="105"/>
      <c r="H258" s="105"/>
      <c r="I258" s="108">
        <v>0.8</v>
      </c>
      <c r="J258" s="23">
        <f>I253*I258-J254-J255-J256-J257</f>
        <v>44156</v>
      </c>
      <c r="K258" s="42">
        <v>5</v>
      </c>
      <c r="L258" s="15">
        <v>43333</v>
      </c>
      <c r="M258" s="24">
        <v>44156</v>
      </c>
      <c r="N258" s="30">
        <v>43369</v>
      </c>
      <c r="O258" s="418"/>
      <c r="P258" s="81" t="str">
        <f t="shared" si="50"/>
        <v/>
      </c>
      <c r="Q258" s="81">
        <f t="shared" si="43"/>
        <v>0</v>
      </c>
      <c r="R258" s="106"/>
      <c r="S258" s="163"/>
    </row>
    <row r="259" spans="1:19" s="26" customFormat="1" outlineLevel="1" x14ac:dyDescent="0.2">
      <c r="A259" s="46"/>
      <c r="B259" s="4"/>
      <c r="C259" s="29"/>
      <c r="D259" s="387"/>
      <c r="E259" s="15"/>
      <c r="F259" s="174"/>
      <c r="G259" s="15"/>
      <c r="H259" s="15"/>
      <c r="I259" s="108">
        <v>1</v>
      </c>
      <c r="J259" s="111">
        <f>I253-J254-J255-J256-J258-J257</f>
        <v>56000</v>
      </c>
      <c r="K259" s="42">
        <v>6</v>
      </c>
      <c r="L259" s="15"/>
      <c r="M259" s="24"/>
      <c r="N259" s="30"/>
      <c r="O259" s="43"/>
      <c r="P259" s="81" t="str">
        <f t="shared" si="50"/>
        <v/>
      </c>
      <c r="Q259" s="81">
        <f t="shared" si="43"/>
        <v>56000</v>
      </c>
      <c r="R259" s="81"/>
      <c r="S259" s="163"/>
    </row>
    <row r="260" spans="1:19" s="107" customFormat="1" x14ac:dyDescent="0.2">
      <c r="A260" s="119" t="s">
        <v>286</v>
      </c>
      <c r="B260" s="125" t="s">
        <v>171</v>
      </c>
      <c r="C260" s="158">
        <v>41890</v>
      </c>
      <c r="D260" s="158">
        <f>DATE(YEAR(C260),MONTH(C260)+18,DAY(C260))</f>
        <v>42437</v>
      </c>
      <c r="E260" s="158">
        <v>42326</v>
      </c>
      <c r="F260" s="459">
        <v>42774</v>
      </c>
      <c r="G260" s="158">
        <f>DATE(YEAR(C260)+4,MONTH(C260),DAY(C260))</f>
        <v>43351</v>
      </c>
      <c r="H260" s="158">
        <v>43341</v>
      </c>
      <c r="I260" s="128">
        <v>600000</v>
      </c>
      <c r="J260" s="123"/>
      <c r="K260" s="138"/>
      <c r="L260" s="158"/>
      <c r="M260" s="126">
        <f>SUM(M261:M267)</f>
        <v>480000</v>
      </c>
      <c r="N260" s="151"/>
      <c r="O260" s="152"/>
      <c r="P260" s="159">
        <f>SUM(P261:P267)</f>
        <v>0</v>
      </c>
      <c r="Q260" s="159">
        <f>SUM(Q261:Q267)</f>
        <v>120000</v>
      </c>
      <c r="R260" s="159"/>
      <c r="S260" s="166">
        <f>I260-(M260+P260+Q260)</f>
        <v>0</v>
      </c>
    </row>
    <row r="261" spans="1:19" s="26" customFormat="1" outlineLevel="1" x14ac:dyDescent="0.2">
      <c r="A261" s="46"/>
      <c r="B261" s="4"/>
      <c r="C261" s="29" t="s">
        <v>224</v>
      </c>
      <c r="D261" s="15"/>
      <c r="E261" s="15"/>
      <c r="F261" s="174"/>
      <c r="G261" s="436"/>
      <c r="H261" s="15"/>
      <c r="I261" s="108">
        <v>0.3</v>
      </c>
      <c r="J261" s="23">
        <f>+I260*I261</f>
        <v>180000</v>
      </c>
      <c r="K261" s="42">
        <v>1</v>
      </c>
      <c r="L261" s="15">
        <v>42782</v>
      </c>
      <c r="M261" s="24">
        <v>180000</v>
      </c>
      <c r="N261" s="30">
        <v>42811</v>
      </c>
      <c r="O261" s="43"/>
      <c r="P261" s="81" t="str">
        <f t="shared" si="50"/>
        <v/>
      </c>
      <c r="Q261" s="81">
        <f t="shared" ref="Q261:Q267" si="51">IF(L261="",J261-M261,0)</f>
        <v>0</v>
      </c>
      <c r="R261" s="81"/>
      <c r="S261" s="163"/>
    </row>
    <row r="262" spans="1:19" s="458" customFormat="1" outlineLevel="1" x14ac:dyDescent="0.2">
      <c r="A262" s="46"/>
      <c r="B262" s="4"/>
      <c r="C262" s="29"/>
      <c r="D262" s="15"/>
      <c r="E262" s="15"/>
      <c r="F262" s="174"/>
      <c r="G262" s="15"/>
      <c r="H262" s="15"/>
      <c r="I262" s="233">
        <v>0.37959999999999999</v>
      </c>
      <c r="J262" s="23">
        <f>+I260*I262-J261</f>
        <v>47760</v>
      </c>
      <c r="K262" s="42">
        <v>2</v>
      </c>
      <c r="L262" s="15">
        <v>43053</v>
      </c>
      <c r="M262" s="24">
        <v>47760</v>
      </c>
      <c r="N262" s="30">
        <v>43077</v>
      </c>
      <c r="O262" s="43"/>
      <c r="P262" s="81" t="str">
        <f>IF(M262="en attente",J262,"")</f>
        <v/>
      </c>
      <c r="Q262" s="81">
        <f t="shared" si="51"/>
        <v>0</v>
      </c>
      <c r="R262" s="81"/>
      <c r="S262" s="164"/>
    </row>
    <row r="263" spans="1:19" s="458" customFormat="1" outlineLevel="1" x14ac:dyDescent="0.2">
      <c r="A263" s="46"/>
      <c r="B263" s="4"/>
      <c r="C263" s="29"/>
      <c r="D263" s="15"/>
      <c r="E263" s="15"/>
      <c r="F263" s="174"/>
      <c r="G263" s="15"/>
      <c r="H263" s="15"/>
      <c r="I263" s="233">
        <v>0.49869999999999998</v>
      </c>
      <c r="J263" s="23">
        <f>+I260*I263-J261-J262</f>
        <v>71460</v>
      </c>
      <c r="K263" s="42">
        <v>3</v>
      </c>
      <c r="L263" s="15">
        <v>43158</v>
      </c>
      <c r="M263" s="24">
        <v>71460</v>
      </c>
      <c r="N263" s="30">
        <v>43186</v>
      </c>
      <c r="O263" s="43"/>
      <c r="P263" s="81" t="str">
        <f t="shared" si="50"/>
        <v/>
      </c>
      <c r="Q263" s="81">
        <f t="shared" si="51"/>
        <v>0</v>
      </c>
      <c r="R263" s="81"/>
      <c r="S263" s="164"/>
    </row>
    <row r="264" spans="1:19" s="458" customFormat="1" outlineLevel="1" x14ac:dyDescent="0.2">
      <c r="A264" s="46"/>
      <c r="B264" s="4"/>
      <c r="C264" s="29"/>
      <c r="D264" s="15"/>
      <c r="E264" s="15"/>
      <c r="F264" s="174"/>
      <c r="G264" s="15"/>
      <c r="H264" s="15"/>
      <c r="I264" s="233">
        <v>0.59260000000000002</v>
      </c>
      <c r="J264" s="23">
        <v>56340</v>
      </c>
      <c r="K264" s="42">
        <v>4</v>
      </c>
      <c r="L264" s="15">
        <v>43223</v>
      </c>
      <c r="M264" s="24">
        <v>56340</v>
      </c>
      <c r="N264" s="30">
        <v>43266</v>
      </c>
      <c r="O264" s="43"/>
      <c r="P264" s="81" t="str">
        <f t="shared" si="50"/>
        <v/>
      </c>
      <c r="Q264" s="81"/>
      <c r="R264" s="81"/>
      <c r="S264" s="164"/>
    </row>
    <row r="265" spans="1:19" s="458" customFormat="1" outlineLevel="1" x14ac:dyDescent="0.2">
      <c r="A265" s="46"/>
      <c r="B265" s="4"/>
      <c r="C265" s="29"/>
      <c r="D265" s="15"/>
      <c r="E265" s="15"/>
      <c r="F265" s="174"/>
      <c r="G265" s="15"/>
      <c r="H265" s="15"/>
      <c r="I265" s="233">
        <v>0.70879999999999999</v>
      </c>
      <c r="J265" s="23">
        <v>69720</v>
      </c>
      <c r="K265" s="42">
        <v>5</v>
      </c>
      <c r="L265" s="15">
        <v>43291</v>
      </c>
      <c r="M265" s="24">
        <v>69720</v>
      </c>
      <c r="N265" s="30">
        <v>43362</v>
      </c>
      <c r="O265" s="43"/>
      <c r="P265" s="81" t="str">
        <f t="shared" si="50"/>
        <v/>
      </c>
      <c r="Q265" s="81"/>
      <c r="R265" s="81"/>
      <c r="S265" s="164"/>
    </row>
    <row r="266" spans="1:19" s="458" customFormat="1" outlineLevel="1" x14ac:dyDescent="0.2">
      <c r="A266" s="46"/>
      <c r="B266" s="4"/>
      <c r="C266" s="29"/>
      <c r="D266" s="15"/>
      <c r="E266" s="15"/>
      <c r="F266" s="174"/>
      <c r="G266" s="15"/>
      <c r="H266" s="15"/>
      <c r="I266" s="108">
        <v>0.8</v>
      </c>
      <c r="J266" s="23">
        <f>+I266*I260-J261-J262-J263-J264-J265</f>
        <v>54720</v>
      </c>
      <c r="K266" s="42">
        <v>6</v>
      </c>
      <c r="L266" s="15">
        <v>43440</v>
      </c>
      <c r="M266" s="24">
        <v>54720</v>
      </c>
      <c r="N266" s="30">
        <v>43524</v>
      </c>
      <c r="O266" s="43"/>
      <c r="P266" s="81" t="str">
        <f t="shared" si="50"/>
        <v/>
      </c>
      <c r="Q266" s="81">
        <f t="shared" si="51"/>
        <v>0</v>
      </c>
      <c r="R266" s="81"/>
      <c r="S266" s="164"/>
    </row>
    <row r="267" spans="1:19" s="26" customFormat="1" outlineLevel="1" x14ac:dyDescent="0.2">
      <c r="A267" s="46"/>
      <c r="B267" s="4"/>
      <c r="C267" s="29"/>
      <c r="D267" s="15"/>
      <c r="E267" s="15"/>
      <c r="F267" s="174"/>
      <c r="G267" s="15"/>
      <c r="H267" s="15"/>
      <c r="I267" s="108">
        <v>1</v>
      </c>
      <c r="J267" s="111">
        <f>I260-J261-J262-J263-J264-J265-J266</f>
        <v>120000</v>
      </c>
      <c r="K267" s="42">
        <v>7</v>
      </c>
      <c r="L267" s="15"/>
      <c r="M267" s="24"/>
      <c r="N267" s="30"/>
      <c r="O267" s="43"/>
      <c r="P267" s="81" t="str">
        <f t="shared" si="50"/>
        <v/>
      </c>
      <c r="Q267" s="81">
        <f t="shared" si="51"/>
        <v>120000</v>
      </c>
      <c r="R267" s="81"/>
      <c r="S267" s="163"/>
    </row>
    <row r="268" spans="1:19" s="107" customFormat="1" x14ac:dyDescent="0.2">
      <c r="A268" s="119" t="s">
        <v>113</v>
      </c>
      <c r="B268" s="125" t="s">
        <v>170</v>
      </c>
      <c r="C268" s="158">
        <v>41855</v>
      </c>
      <c r="D268" s="158">
        <f>DATE(YEAR(C268),MONTH(C268)+18,DAY(C268))</f>
        <v>42404</v>
      </c>
      <c r="E268" s="158">
        <v>42072</v>
      </c>
      <c r="F268" s="173">
        <v>42348</v>
      </c>
      <c r="G268" s="158">
        <f>DATE(YEAR(C268)+4,MONTH(C268),DAY(C268))</f>
        <v>43316</v>
      </c>
      <c r="H268" s="158">
        <v>43189</v>
      </c>
      <c r="I268" s="128">
        <v>925000</v>
      </c>
      <c r="J268" s="123"/>
      <c r="K268" s="138"/>
      <c r="L268" s="158"/>
      <c r="M268" s="126">
        <f>SUM(M269:M273)</f>
        <v>740000</v>
      </c>
      <c r="N268" s="151"/>
      <c r="O268" s="152"/>
      <c r="P268" s="159">
        <f>SUM(P269:P273)</f>
        <v>0</v>
      </c>
      <c r="Q268" s="159">
        <f>SUM(Q269:Q273)</f>
        <v>185000</v>
      </c>
      <c r="R268" s="159"/>
      <c r="S268" s="166">
        <f>I268-(M268+P268+Q268)</f>
        <v>0</v>
      </c>
    </row>
    <row r="269" spans="1:19" s="26" customFormat="1" outlineLevel="1" x14ac:dyDescent="0.2">
      <c r="A269" s="46"/>
      <c r="B269" s="4"/>
      <c r="C269" s="29" t="s">
        <v>224</v>
      </c>
      <c r="D269" s="15"/>
      <c r="E269" s="15"/>
      <c r="F269" s="174"/>
      <c r="G269" s="15"/>
      <c r="H269" s="15"/>
      <c r="I269" s="109">
        <f>J269/I268</f>
        <v>0.3</v>
      </c>
      <c r="J269" s="23">
        <f>30%*I268</f>
        <v>277500</v>
      </c>
      <c r="K269" s="42">
        <v>1</v>
      </c>
      <c r="L269" s="15">
        <v>42411</v>
      </c>
      <c r="M269" s="24">
        <v>277500</v>
      </c>
      <c r="N269" s="30">
        <v>42438</v>
      </c>
      <c r="O269" s="43">
        <f>IF(N269="",$Q$2-L269,N269-L269)</f>
        <v>27</v>
      </c>
      <c r="P269" s="81" t="str">
        <f t="shared" si="50"/>
        <v/>
      </c>
      <c r="Q269" s="81">
        <f t="shared" si="43"/>
        <v>0</v>
      </c>
      <c r="R269" s="81"/>
      <c r="S269" s="163"/>
    </row>
    <row r="270" spans="1:19" s="26" customFormat="1" outlineLevel="1" x14ac:dyDescent="0.2">
      <c r="A270" s="46"/>
      <c r="B270" s="4"/>
      <c r="C270" s="15"/>
      <c r="D270" s="15"/>
      <c r="E270" s="15"/>
      <c r="F270" s="174"/>
      <c r="G270" s="15"/>
      <c r="H270" s="15"/>
      <c r="I270" s="233">
        <v>0.41360000000000002</v>
      </c>
      <c r="J270" s="23">
        <f>I268*I270-J269</f>
        <v>105080</v>
      </c>
      <c r="K270" s="42">
        <v>2</v>
      </c>
      <c r="L270" s="15">
        <v>42866</v>
      </c>
      <c r="M270" s="24">
        <v>105080</v>
      </c>
      <c r="N270" s="30">
        <v>42906</v>
      </c>
      <c r="O270" s="43"/>
      <c r="P270" s="81" t="str">
        <f t="shared" si="50"/>
        <v/>
      </c>
      <c r="Q270" s="81">
        <f t="shared" si="43"/>
        <v>0</v>
      </c>
      <c r="R270" s="81"/>
      <c r="S270" s="163"/>
    </row>
    <row r="271" spans="1:19" s="26" customFormat="1" outlineLevel="1" x14ac:dyDescent="0.2">
      <c r="A271" s="46"/>
      <c r="B271" s="4"/>
      <c r="C271" s="15"/>
      <c r="D271" s="15"/>
      <c r="E271" s="15"/>
      <c r="F271" s="174"/>
      <c r="G271" s="15"/>
      <c r="H271" s="15"/>
      <c r="I271" s="233">
        <v>0.55430000000000001</v>
      </c>
      <c r="J271" s="23">
        <f>I268*I271-J269-J270</f>
        <v>130147.5</v>
      </c>
      <c r="K271" s="42">
        <v>3</v>
      </c>
      <c r="L271" s="15">
        <v>43032</v>
      </c>
      <c r="M271" s="24">
        <v>130147.5</v>
      </c>
      <c r="N271" s="30">
        <v>43077</v>
      </c>
      <c r="O271" s="43"/>
      <c r="P271" s="81" t="str">
        <f t="shared" si="50"/>
        <v/>
      </c>
      <c r="Q271" s="81">
        <f t="shared" si="43"/>
        <v>0</v>
      </c>
      <c r="R271" s="81"/>
      <c r="S271" s="163"/>
    </row>
    <row r="272" spans="1:19" s="26" customFormat="1" outlineLevel="1" x14ac:dyDescent="0.2">
      <c r="A272" s="46"/>
      <c r="B272" s="4"/>
      <c r="C272" s="15"/>
      <c r="D272" s="15"/>
      <c r="E272" s="15"/>
      <c r="F272" s="174"/>
      <c r="G272" s="15"/>
      <c r="H272" s="15"/>
      <c r="I272" s="233">
        <v>0.8</v>
      </c>
      <c r="J272" s="23">
        <f>I268*I272-J269-J270-J271</f>
        <v>227272.5</v>
      </c>
      <c r="K272" s="42">
        <v>4</v>
      </c>
      <c r="L272" s="15">
        <v>43066</v>
      </c>
      <c r="M272" s="24">
        <v>227272.5</v>
      </c>
      <c r="N272" s="30">
        <v>43193</v>
      </c>
      <c r="O272" s="43"/>
      <c r="P272" s="81" t="str">
        <f t="shared" si="50"/>
        <v/>
      </c>
      <c r="Q272" s="367">
        <f t="shared" si="43"/>
        <v>0</v>
      </c>
      <c r="R272" s="81"/>
      <c r="S272" s="163"/>
    </row>
    <row r="273" spans="1:19" s="26" customFormat="1" outlineLevel="1" x14ac:dyDescent="0.2">
      <c r="A273" s="46"/>
      <c r="B273" s="39"/>
      <c r="C273" s="36"/>
      <c r="D273" s="36"/>
      <c r="E273" s="36"/>
      <c r="F273" s="175"/>
      <c r="G273" s="36"/>
      <c r="H273" s="36"/>
      <c r="I273" s="153">
        <v>1</v>
      </c>
      <c r="J273" s="160">
        <f>I268-J269-J270-J271-J272</f>
        <v>185000</v>
      </c>
      <c r="K273" s="44">
        <v>5</v>
      </c>
      <c r="L273" s="36"/>
      <c r="M273" s="37"/>
      <c r="N273" s="155"/>
      <c r="O273" s="43"/>
      <c r="P273" s="81" t="str">
        <f t="shared" si="50"/>
        <v/>
      </c>
      <c r="Q273" s="157">
        <f t="shared" si="43"/>
        <v>185000</v>
      </c>
      <c r="R273" s="157"/>
      <c r="S273" s="163"/>
    </row>
    <row r="274" spans="1:19" s="107" customFormat="1" x14ac:dyDescent="0.2">
      <c r="A274" s="119" t="s">
        <v>114</v>
      </c>
      <c r="B274" s="125" t="s">
        <v>169</v>
      </c>
      <c r="C274" s="158">
        <v>41956</v>
      </c>
      <c r="D274" s="158">
        <f>DATE(YEAR(C274),MONTH(C274)+18,DAY(C274))</f>
        <v>42503</v>
      </c>
      <c r="E274" s="158"/>
      <c r="F274" s="173"/>
      <c r="G274" s="158">
        <f>DATE(YEAR(C274)+4,MONTH(C274),DAY(C274))</f>
        <v>43417</v>
      </c>
      <c r="H274" s="158"/>
      <c r="I274" s="128">
        <v>543200</v>
      </c>
      <c r="J274" s="123"/>
      <c r="K274" s="138"/>
      <c r="L274" s="158"/>
      <c r="M274" s="126">
        <f>SUM(M275)</f>
        <v>0</v>
      </c>
      <c r="N274" s="151"/>
      <c r="O274" s="152"/>
      <c r="P274" s="159">
        <f>SUM(P275)</f>
        <v>0</v>
      </c>
      <c r="Q274" s="159">
        <f>SUM(Q275)</f>
        <v>543200</v>
      </c>
      <c r="R274" s="159"/>
      <c r="S274" s="166">
        <f>I274-(M274+P274+Q274)</f>
        <v>0</v>
      </c>
    </row>
    <row r="275" spans="1:19" s="26" customFormat="1" x14ac:dyDescent="0.2">
      <c r="A275" s="118"/>
      <c r="B275" s="39"/>
      <c r="C275" s="33" t="s">
        <v>224</v>
      </c>
      <c r="D275" s="386" t="s">
        <v>164</v>
      </c>
      <c r="E275" s="36"/>
      <c r="F275" s="175"/>
      <c r="G275" s="36"/>
      <c r="H275" s="36"/>
      <c r="I275" s="40"/>
      <c r="J275" s="35">
        <v>543200</v>
      </c>
      <c r="K275" s="44">
        <v>1</v>
      </c>
      <c r="L275" s="36"/>
      <c r="M275" s="37"/>
      <c r="N275" s="155"/>
      <c r="O275" s="156"/>
      <c r="P275" s="157" t="str">
        <f>IF(M275="en attente",J275,"")</f>
        <v/>
      </c>
      <c r="Q275" s="157">
        <f>IF(L275="",J275-M275,0)</f>
        <v>543200</v>
      </c>
      <c r="R275" s="157"/>
      <c r="S275" s="163"/>
    </row>
    <row r="276" spans="1:19" s="107" customFormat="1" x14ac:dyDescent="0.2">
      <c r="A276" s="119" t="s">
        <v>142</v>
      </c>
      <c r="B276" s="125" t="s">
        <v>149</v>
      </c>
      <c r="C276" s="158">
        <v>42249</v>
      </c>
      <c r="D276" s="158">
        <f>DATE(YEAR(C276),MONTH(C276)+18,DAY(C276))</f>
        <v>42796</v>
      </c>
      <c r="E276" s="158">
        <v>42677</v>
      </c>
      <c r="F276" s="173">
        <v>42786</v>
      </c>
      <c r="G276" s="158">
        <f>DATE(YEAR(C276)+4,MONTH(C276),DAY(C276))</f>
        <v>43710</v>
      </c>
      <c r="H276" s="158">
        <v>43361</v>
      </c>
      <c r="I276" s="128">
        <v>400000</v>
      </c>
      <c r="J276" s="123"/>
      <c r="K276" s="138"/>
      <c r="L276" s="158"/>
      <c r="M276" s="126">
        <f>SUM(M277:M283)</f>
        <v>307160</v>
      </c>
      <c r="N276" s="151"/>
      <c r="O276" s="152"/>
      <c r="P276" s="159">
        <f>SUM(P277:P283)</f>
        <v>0</v>
      </c>
      <c r="Q276" s="159">
        <f>SUM(Q277:Q283)</f>
        <v>92840</v>
      </c>
      <c r="R276" s="159"/>
      <c r="S276" s="166">
        <f>I276-(M276+P276+Q276)</f>
        <v>0</v>
      </c>
    </row>
    <row r="277" spans="1:19" s="107" customFormat="1" outlineLevel="1" x14ac:dyDescent="0.2">
      <c r="A277" s="46"/>
      <c r="B277" s="19"/>
      <c r="C277" s="105"/>
      <c r="D277" s="105"/>
      <c r="E277" s="105"/>
      <c r="F277" s="178"/>
      <c r="G277" s="105"/>
      <c r="H277" s="105"/>
      <c r="I277" s="108">
        <v>0.3</v>
      </c>
      <c r="J277" s="23">
        <f>+I276*I277</f>
        <v>120000</v>
      </c>
      <c r="K277" s="42">
        <v>1</v>
      </c>
      <c r="L277" s="15">
        <v>42787</v>
      </c>
      <c r="M277" s="24">
        <v>120000</v>
      </c>
      <c r="N277" s="30">
        <v>42815</v>
      </c>
      <c r="O277" s="418"/>
      <c r="P277" s="81" t="str">
        <f t="shared" si="50"/>
        <v/>
      </c>
      <c r="Q277" s="81">
        <f t="shared" ref="Q277:Q289" si="52">IF(L277="",J277-M277,0)</f>
        <v>0</v>
      </c>
      <c r="R277" s="106"/>
      <c r="S277" s="163"/>
    </row>
    <row r="278" spans="1:19" s="107" customFormat="1" outlineLevel="1" x14ac:dyDescent="0.2">
      <c r="A278" s="46"/>
      <c r="B278" s="19"/>
      <c r="C278" s="105"/>
      <c r="D278" s="105"/>
      <c r="E278" s="105"/>
      <c r="F278" s="178"/>
      <c r="G278" s="105"/>
      <c r="H278" s="105"/>
      <c r="I278" s="233">
        <v>0.44619999999999999</v>
      </c>
      <c r="J278" s="23">
        <f>+I276*I278-J277</f>
        <v>58480</v>
      </c>
      <c r="K278" s="42">
        <v>2</v>
      </c>
      <c r="L278" s="15">
        <v>43053</v>
      </c>
      <c r="M278" s="24">
        <v>58480</v>
      </c>
      <c r="N278" s="30">
        <v>43077</v>
      </c>
      <c r="O278" s="418"/>
      <c r="P278" s="81" t="str">
        <f t="shared" si="50"/>
        <v/>
      </c>
      <c r="Q278" s="81">
        <f t="shared" si="52"/>
        <v>0</v>
      </c>
      <c r="R278" s="106"/>
      <c r="S278" s="163"/>
    </row>
    <row r="279" spans="1:19" s="107" customFormat="1" outlineLevel="1" x14ac:dyDescent="0.2">
      <c r="A279" s="46"/>
      <c r="B279" s="19"/>
      <c r="C279" s="105"/>
      <c r="D279" s="105"/>
      <c r="E279" s="105"/>
      <c r="F279" s="178"/>
      <c r="G279" s="105"/>
      <c r="H279" s="105"/>
      <c r="I279" s="233">
        <v>0.57030000000000003</v>
      </c>
      <c r="J279" s="23">
        <v>49640</v>
      </c>
      <c r="K279" s="42">
        <v>3</v>
      </c>
      <c r="L279" s="15">
        <v>43158</v>
      </c>
      <c r="M279" s="24">
        <v>49640</v>
      </c>
      <c r="N279" s="30">
        <v>43186</v>
      </c>
      <c r="O279" s="418"/>
      <c r="P279" s="81" t="str">
        <f t="shared" si="50"/>
        <v/>
      </c>
      <c r="Q279" s="81">
        <f t="shared" si="52"/>
        <v>0</v>
      </c>
      <c r="R279" s="106"/>
      <c r="S279" s="163"/>
    </row>
    <row r="280" spans="1:19" s="107" customFormat="1" outlineLevel="1" x14ac:dyDescent="0.2">
      <c r="A280" s="46"/>
      <c r="B280" s="19"/>
      <c r="C280" s="105"/>
      <c r="D280" s="105"/>
      <c r="E280" s="105"/>
      <c r="F280" s="178"/>
      <c r="G280" s="105"/>
      <c r="H280" s="105"/>
      <c r="I280" s="233">
        <v>0.65329999999999999</v>
      </c>
      <c r="J280" s="23">
        <f>33200</f>
        <v>33200</v>
      </c>
      <c r="K280" s="42">
        <v>4</v>
      </c>
      <c r="L280" s="15">
        <v>43244</v>
      </c>
      <c r="M280" s="24">
        <v>33200</v>
      </c>
      <c r="N280" s="30">
        <v>43266</v>
      </c>
      <c r="O280" s="418"/>
      <c r="P280" s="81" t="str">
        <f t="shared" si="50"/>
        <v/>
      </c>
      <c r="Q280" s="81"/>
      <c r="R280" s="106"/>
      <c r="S280" s="163"/>
    </row>
    <row r="281" spans="1:19" s="107" customFormat="1" outlineLevel="1" x14ac:dyDescent="0.2">
      <c r="A281" s="46"/>
      <c r="B281" s="19"/>
      <c r="C281" s="105"/>
      <c r="D281" s="105"/>
      <c r="E281" s="105"/>
      <c r="F281" s="178"/>
      <c r="G281" s="105"/>
      <c r="H281" s="105"/>
      <c r="I281" s="233">
        <v>0.76790000000000003</v>
      </c>
      <c r="J281" s="23">
        <f>45840</f>
        <v>45840</v>
      </c>
      <c r="K281" s="42">
        <v>5</v>
      </c>
      <c r="L281" s="15">
        <v>43291</v>
      </c>
      <c r="M281" s="24">
        <v>45840</v>
      </c>
      <c r="N281" s="30">
        <v>43329</v>
      </c>
      <c r="O281" s="418"/>
      <c r="P281" s="81" t="str">
        <f t="shared" si="50"/>
        <v/>
      </c>
      <c r="Q281" s="81"/>
      <c r="R281" s="106"/>
      <c r="S281" s="163"/>
    </row>
    <row r="282" spans="1:19" s="107" customFormat="1" outlineLevel="1" x14ac:dyDescent="0.2">
      <c r="A282" s="46"/>
      <c r="B282" s="19"/>
      <c r="C282" s="105"/>
      <c r="D282" s="105"/>
      <c r="E282" s="105"/>
      <c r="F282" s="178"/>
      <c r="G282" s="105"/>
      <c r="H282" s="105"/>
      <c r="I282" s="108">
        <v>0.8</v>
      </c>
      <c r="J282" s="111">
        <f>+I276*I282-J277-J278-J279-J280-J281</f>
        <v>12840</v>
      </c>
      <c r="K282" s="42">
        <v>6</v>
      </c>
      <c r="L282" s="105"/>
      <c r="M282" s="20"/>
      <c r="N282" s="85"/>
      <c r="O282" s="418"/>
      <c r="P282" s="81" t="str">
        <f t="shared" si="50"/>
        <v/>
      </c>
      <c r="Q282" s="81">
        <f t="shared" si="52"/>
        <v>12840</v>
      </c>
      <c r="R282" s="106"/>
      <c r="S282" s="163"/>
    </row>
    <row r="283" spans="1:19" s="26" customFormat="1" outlineLevel="1" x14ac:dyDescent="0.2">
      <c r="A283" s="46"/>
      <c r="B283" s="4"/>
      <c r="C283" s="29" t="s">
        <v>224</v>
      </c>
      <c r="D283" s="15"/>
      <c r="E283" s="15"/>
      <c r="F283" s="174"/>
      <c r="G283" s="15"/>
      <c r="H283" s="15"/>
      <c r="I283" s="108">
        <v>1</v>
      </c>
      <c r="J283" s="111">
        <f>400000-J277-J278-J282-J279-J280-J281</f>
        <v>80000</v>
      </c>
      <c r="K283" s="42">
        <v>7</v>
      </c>
      <c r="L283" s="15"/>
      <c r="M283" s="24"/>
      <c r="N283" s="30"/>
      <c r="O283" s="43"/>
      <c r="P283" s="81" t="str">
        <f t="shared" si="50"/>
        <v/>
      </c>
      <c r="Q283" s="81">
        <f t="shared" si="52"/>
        <v>80000</v>
      </c>
      <c r="R283" s="81"/>
      <c r="S283" s="166"/>
    </row>
    <row r="284" spans="1:19" s="107" customFormat="1" x14ac:dyDescent="0.2">
      <c r="A284" s="119" t="s">
        <v>143</v>
      </c>
      <c r="B284" s="125" t="s">
        <v>150</v>
      </c>
      <c r="C284" s="158">
        <v>42248</v>
      </c>
      <c r="D284" s="158">
        <f>DATE(YEAR(C284),MONTH(C284)+18,DAY(C284))</f>
        <v>42795</v>
      </c>
      <c r="E284" s="158">
        <v>42682</v>
      </c>
      <c r="F284" s="173">
        <v>42947</v>
      </c>
      <c r="G284" s="158">
        <f>DATE(YEAR(C284)+4,MONTH(C284),DAY(C284))</f>
        <v>43709</v>
      </c>
      <c r="H284" s="158"/>
      <c r="I284" s="128">
        <v>420000</v>
      </c>
      <c r="J284" s="123"/>
      <c r="K284" s="138"/>
      <c r="L284" s="158"/>
      <c r="M284" s="126">
        <f>SUM(M285:M290)</f>
        <v>336000</v>
      </c>
      <c r="N284" s="151"/>
      <c r="O284" s="152"/>
      <c r="P284" s="159">
        <f>SUM(P285:P290)</f>
        <v>0</v>
      </c>
      <c r="Q284" s="159">
        <f>SUM(Q286:Q290)</f>
        <v>84000</v>
      </c>
      <c r="R284" s="159"/>
      <c r="S284" s="166">
        <f>I284-(M284+P284+Q284)</f>
        <v>0</v>
      </c>
    </row>
    <row r="285" spans="1:19" s="107" customFormat="1" outlineLevel="1" x14ac:dyDescent="0.2">
      <c r="A285" s="46"/>
      <c r="B285" s="19"/>
      <c r="C285" s="105"/>
      <c r="D285" s="105"/>
      <c r="E285" s="105"/>
      <c r="F285" s="178"/>
      <c r="G285" s="893" t="s">
        <v>328</v>
      </c>
      <c r="H285" s="105"/>
      <c r="I285" s="108">
        <v>0.3</v>
      </c>
      <c r="J285" s="561">
        <f>+I284*I285</f>
        <v>126000</v>
      </c>
      <c r="K285" s="42">
        <v>1</v>
      </c>
      <c r="L285" s="15">
        <v>42943</v>
      </c>
      <c r="M285" s="24">
        <v>126000</v>
      </c>
      <c r="N285" s="30">
        <v>42998</v>
      </c>
      <c r="O285" s="418"/>
      <c r="P285" s="81" t="str">
        <f t="shared" si="50"/>
        <v/>
      </c>
      <c r="Q285" s="81"/>
      <c r="R285" s="106"/>
      <c r="S285" s="163"/>
    </row>
    <row r="286" spans="1:19" s="107" customFormat="1" outlineLevel="1" x14ac:dyDescent="0.2">
      <c r="A286" s="46"/>
      <c r="B286" s="19"/>
      <c r="C286" s="105"/>
      <c r="D286" s="105"/>
      <c r="E286" s="105"/>
      <c r="F286" s="178"/>
      <c r="G286" s="105"/>
      <c r="H286" s="105"/>
      <c r="I286" s="233">
        <v>0.38119999999999998</v>
      </c>
      <c r="J286" s="561">
        <f>+I284*I286-J285</f>
        <v>34104</v>
      </c>
      <c r="K286" s="42">
        <v>2</v>
      </c>
      <c r="L286" s="15">
        <v>43200</v>
      </c>
      <c r="M286" s="24">
        <v>34104</v>
      </c>
      <c r="N286" s="30">
        <v>43231</v>
      </c>
      <c r="O286" s="418"/>
      <c r="P286" s="81" t="str">
        <f t="shared" si="50"/>
        <v/>
      </c>
      <c r="Q286" s="81">
        <f t="shared" si="52"/>
        <v>0</v>
      </c>
      <c r="R286" s="106"/>
      <c r="S286" s="163"/>
    </row>
    <row r="287" spans="1:19" s="107" customFormat="1" outlineLevel="1" x14ac:dyDescent="0.2">
      <c r="A287" s="46"/>
      <c r="B287" s="19"/>
      <c r="C287" s="105"/>
      <c r="D287" s="105"/>
      <c r="E287" s="105"/>
      <c r="F287" s="178"/>
      <c r="G287" s="105"/>
      <c r="H287" s="105"/>
      <c r="I287" s="233">
        <v>0.58179999999999998</v>
      </c>
      <c r="J287" s="561">
        <v>84252</v>
      </c>
      <c r="K287" s="42">
        <v>3</v>
      </c>
      <c r="L287" s="15">
        <v>43291</v>
      </c>
      <c r="M287" s="24">
        <v>84252</v>
      </c>
      <c r="N287" s="30">
        <v>43350</v>
      </c>
      <c r="O287" s="418"/>
      <c r="P287" s="81" t="str">
        <f t="shared" si="50"/>
        <v/>
      </c>
      <c r="Q287" s="81"/>
      <c r="R287" s="106"/>
      <c r="S287" s="163"/>
    </row>
    <row r="288" spans="1:19" s="107" customFormat="1" outlineLevel="1" x14ac:dyDescent="0.2">
      <c r="A288" s="46"/>
      <c r="B288" s="19"/>
      <c r="C288" s="105"/>
      <c r="D288" s="105"/>
      <c r="E288" s="105"/>
      <c r="F288" s="178"/>
      <c r="G288" s="105"/>
      <c r="H288" s="105"/>
      <c r="I288" s="233">
        <v>0.70989999999999998</v>
      </c>
      <c r="J288" s="561">
        <f>I284*I288-J285-J286-J287</f>
        <v>53802</v>
      </c>
      <c r="K288" s="42">
        <v>4</v>
      </c>
      <c r="L288" s="15">
        <v>43391</v>
      </c>
      <c r="M288" s="24">
        <v>53802</v>
      </c>
      <c r="N288" s="30">
        <v>43441</v>
      </c>
      <c r="O288" s="418"/>
      <c r="P288" s="81" t="str">
        <f t="shared" si="50"/>
        <v/>
      </c>
      <c r="Q288" s="81"/>
      <c r="R288" s="106"/>
      <c r="S288" s="163"/>
    </row>
    <row r="289" spans="1:19" s="107" customFormat="1" outlineLevel="1" x14ac:dyDescent="0.2">
      <c r="A289" s="46"/>
      <c r="B289" s="19"/>
      <c r="C289" s="105"/>
      <c r="D289" s="105"/>
      <c r="E289" s="105"/>
      <c r="F289" s="178"/>
      <c r="G289" s="105"/>
      <c r="H289" s="105"/>
      <c r="I289" s="108">
        <v>0.8</v>
      </c>
      <c r="J289" s="561">
        <f>+I284*I289-J285-J286-J287-J288</f>
        <v>37842</v>
      </c>
      <c r="K289" s="42">
        <v>5</v>
      </c>
      <c r="L289" s="15">
        <v>43489</v>
      </c>
      <c r="M289" s="24">
        <v>37842</v>
      </c>
      <c r="N289" s="30">
        <v>43553</v>
      </c>
      <c r="O289" s="418"/>
      <c r="P289" s="81" t="str">
        <f t="shared" si="50"/>
        <v/>
      </c>
      <c r="Q289" s="81">
        <f t="shared" si="52"/>
        <v>0</v>
      </c>
      <c r="R289" s="106"/>
      <c r="S289" s="163"/>
    </row>
    <row r="290" spans="1:19" s="26" customFormat="1" outlineLevel="1" x14ac:dyDescent="0.2">
      <c r="A290" s="46"/>
      <c r="B290" s="4"/>
      <c r="C290" s="29" t="s">
        <v>224</v>
      </c>
      <c r="D290" s="15"/>
      <c r="E290" s="15"/>
      <c r="F290" s="174"/>
      <c r="G290" s="15"/>
      <c r="H290" s="15"/>
      <c r="I290" s="108">
        <v>1</v>
      </c>
      <c r="J290" s="23">
        <f>+I284-J285-J286-J289-J287-J288</f>
        <v>84000</v>
      </c>
      <c r="K290" s="42">
        <v>6</v>
      </c>
      <c r="L290" s="15"/>
      <c r="M290" s="24"/>
      <c r="N290" s="30"/>
      <c r="O290" s="43"/>
      <c r="P290" s="81" t="str">
        <f t="shared" si="50"/>
        <v/>
      </c>
      <c r="Q290" s="81">
        <f>IF(L290="",J290-M290,0)</f>
        <v>84000</v>
      </c>
      <c r="R290" s="81"/>
      <c r="S290" s="166"/>
    </row>
    <row r="291" spans="1:19" s="26" customFormat="1" x14ac:dyDescent="0.2">
      <c r="A291" s="119" t="s">
        <v>272</v>
      </c>
      <c r="B291" s="127" t="s">
        <v>151</v>
      </c>
      <c r="C291" s="151">
        <v>42304</v>
      </c>
      <c r="D291" s="158">
        <f>DATE(YEAR(C291),MONTH(C291)+18,DAY(C291))</f>
        <v>42852</v>
      </c>
      <c r="E291" s="158">
        <v>42682</v>
      </c>
      <c r="F291" s="506">
        <v>42782</v>
      </c>
      <c r="G291" s="158">
        <f>DATE(YEAR(C291)+4,MONTH(C291),DAY(C291))</f>
        <v>43765</v>
      </c>
      <c r="H291" s="151">
        <v>43522</v>
      </c>
      <c r="I291" s="260">
        <v>406000</v>
      </c>
      <c r="J291" s="253"/>
      <c r="K291" s="257"/>
      <c r="L291" s="216"/>
      <c r="M291" s="123">
        <f>SUM(M292:M298)</f>
        <v>324800</v>
      </c>
      <c r="N291" s="216"/>
      <c r="O291" s="258"/>
      <c r="P291" s="170">
        <f>SUM(P292:P298)</f>
        <v>0</v>
      </c>
      <c r="Q291" s="170">
        <f>SUM(Q292:Q298)</f>
        <v>81200</v>
      </c>
      <c r="R291" s="259"/>
      <c r="S291" s="166">
        <f>I291-(M291+P291+Q291)</f>
        <v>0</v>
      </c>
    </row>
    <row r="292" spans="1:19" s="26" customFormat="1" outlineLevel="1" x14ac:dyDescent="0.2">
      <c r="A292" s="46"/>
      <c r="B292" s="19"/>
      <c r="C292" s="105"/>
      <c r="D292" s="105"/>
      <c r="E292" s="105"/>
      <c r="F292" s="174"/>
      <c r="G292" s="105"/>
      <c r="H292" s="15"/>
      <c r="I292" s="108">
        <v>0.3</v>
      </c>
      <c r="J292" s="23">
        <f>+I291*I292</f>
        <v>121800</v>
      </c>
      <c r="K292" s="42">
        <v>1</v>
      </c>
      <c r="L292" s="15">
        <v>42787</v>
      </c>
      <c r="M292" s="24">
        <v>121800</v>
      </c>
      <c r="N292" s="30">
        <v>42816</v>
      </c>
      <c r="O292" s="43"/>
      <c r="P292" s="81" t="str">
        <f t="shared" si="50"/>
        <v/>
      </c>
      <c r="Q292" s="81">
        <f t="shared" ref="Q292:Q298" si="53">IF(L292="",J292-M292,0)</f>
        <v>0</v>
      </c>
      <c r="R292" s="81"/>
      <c r="S292" s="163"/>
    </row>
    <row r="293" spans="1:19" s="26" customFormat="1" outlineLevel="1" x14ac:dyDescent="0.2">
      <c r="A293" s="46"/>
      <c r="B293" s="19"/>
      <c r="C293" s="105"/>
      <c r="D293" s="105"/>
      <c r="E293" s="105"/>
      <c r="F293" s="174"/>
      <c r="G293" s="105"/>
      <c r="H293" s="15"/>
      <c r="I293" s="233">
        <v>0.37759999999999999</v>
      </c>
      <c r="J293" s="23">
        <v>31505.599999999999</v>
      </c>
      <c r="K293" s="42">
        <v>2</v>
      </c>
      <c r="L293" s="15">
        <v>43158</v>
      </c>
      <c r="M293" s="24">
        <v>31505.599999999999</v>
      </c>
      <c r="N293" s="30">
        <v>43186</v>
      </c>
      <c r="O293" s="43"/>
      <c r="P293" s="81" t="str">
        <f t="shared" si="50"/>
        <v/>
      </c>
      <c r="Q293" s="81">
        <f t="shared" si="53"/>
        <v>0</v>
      </c>
      <c r="R293" s="81"/>
      <c r="S293" s="163"/>
    </row>
    <row r="294" spans="1:19" s="26" customFormat="1" outlineLevel="1" x14ac:dyDescent="0.2">
      <c r="A294" s="46"/>
      <c r="B294" s="19"/>
      <c r="C294" s="105"/>
      <c r="D294" s="105"/>
      <c r="E294" s="105"/>
      <c r="F294" s="174"/>
      <c r="G294" s="105"/>
      <c r="H294" s="15"/>
      <c r="I294" s="233">
        <v>0.50860000000000005</v>
      </c>
      <c r="J294" s="23">
        <v>53186</v>
      </c>
      <c r="K294" s="42">
        <v>3</v>
      </c>
      <c r="L294" s="15">
        <v>43251</v>
      </c>
      <c r="M294" s="24">
        <v>53186</v>
      </c>
      <c r="N294" s="30">
        <v>43284</v>
      </c>
      <c r="O294" s="43"/>
      <c r="P294" s="81" t="str">
        <f t="shared" si="50"/>
        <v/>
      </c>
      <c r="Q294" s="81">
        <f t="shared" si="53"/>
        <v>0</v>
      </c>
      <c r="R294" s="81"/>
      <c r="S294" s="163"/>
    </row>
    <row r="295" spans="1:19" s="26" customFormat="1" outlineLevel="1" x14ac:dyDescent="0.2">
      <c r="A295" s="46"/>
      <c r="B295" s="19"/>
      <c r="C295" s="105"/>
      <c r="D295" s="105"/>
      <c r="E295" s="105"/>
      <c r="F295" s="174"/>
      <c r="G295" s="105"/>
      <c r="H295" s="15"/>
      <c r="I295" s="233">
        <v>0.60929999999999995</v>
      </c>
      <c r="J295" s="23">
        <v>40884.199999999997</v>
      </c>
      <c r="K295" s="42">
        <v>4</v>
      </c>
      <c r="L295" s="15">
        <v>43307</v>
      </c>
      <c r="M295" s="24">
        <v>40884.199999999997</v>
      </c>
      <c r="N295" s="30">
        <v>43335</v>
      </c>
      <c r="O295" s="43"/>
      <c r="P295" s="81" t="str">
        <f t="shared" si="50"/>
        <v/>
      </c>
      <c r="Q295" s="81">
        <f t="shared" si="53"/>
        <v>0</v>
      </c>
      <c r="R295" s="81"/>
      <c r="S295" s="163"/>
    </row>
    <row r="296" spans="1:19" s="26" customFormat="1" outlineLevel="1" x14ac:dyDescent="0.2">
      <c r="A296" s="46"/>
      <c r="B296" s="19"/>
      <c r="C296" s="105"/>
      <c r="D296" s="105"/>
      <c r="E296" s="105"/>
      <c r="F296" s="174"/>
      <c r="G296" s="105"/>
      <c r="H296" s="15"/>
      <c r="I296" s="233">
        <v>0.7006</v>
      </c>
      <c r="J296" s="23">
        <f>+I291*I296-J292-J293-J294-J295</f>
        <v>37067.799999999974</v>
      </c>
      <c r="K296" s="42">
        <v>5</v>
      </c>
      <c r="L296" s="15">
        <v>43384</v>
      </c>
      <c r="M296" s="24">
        <v>37067.800000000003</v>
      </c>
      <c r="N296" s="30">
        <v>43441</v>
      </c>
      <c r="O296" s="43"/>
      <c r="P296" s="81" t="str">
        <f t="shared" si="50"/>
        <v/>
      </c>
      <c r="Q296" s="81">
        <f t="shared" si="53"/>
        <v>0</v>
      </c>
      <c r="R296" s="81"/>
      <c r="S296" s="163"/>
    </row>
    <row r="297" spans="1:19" s="26" customFormat="1" outlineLevel="1" x14ac:dyDescent="0.2">
      <c r="A297" s="46"/>
      <c r="B297" s="19"/>
      <c r="C297" s="105"/>
      <c r="D297" s="105"/>
      <c r="E297" s="105"/>
      <c r="F297" s="174"/>
      <c r="G297" s="105"/>
      <c r="H297" s="15"/>
      <c r="I297" s="108">
        <v>0.8</v>
      </c>
      <c r="J297" s="23">
        <f>I291*I297-J292-J293-J294-J295-J296</f>
        <v>40356.400000000023</v>
      </c>
      <c r="K297" s="42">
        <v>6</v>
      </c>
      <c r="L297" s="15">
        <v>43489</v>
      </c>
      <c r="M297" s="24">
        <v>40356.400000000001</v>
      </c>
      <c r="N297" s="30">
        <v>43553</v>
      </c>
      <c r="O297" s="43"/>
      <c r="P297" s="81" t="str">
        <f t="shared" si="50"/>
        <v/>
      </c>
      <c r="Q297" s="81">
        <f t="shared" si="53"/>
        <v>0</v>
      </c>
      <c r="R297" s="81"/>
      <c r="S297" s="163"/>
    </row>
    <row r="298" spans="1:19" s="26" customFormat="1" outlineLevel="1" x14ac:dyDescent="0.2">
      <c r="A298" s="46"/>
      <c r="B298" s="4"/>
      <c r="C298" s="29" t="s">
        <v>224</v>
      </c>
      <c r="D298" s="15"/>
      <c r="E298" s="15"/>
      <c r="F298" s="174"/>
      <c r="G298" s="15"/>
      <c r="H298" s="15"/>
      <c r="I298" s="108">
        <v>1</v>
      </c>
      <c r="J298" s="111">
        <f>406000-J292-J294-J293-J297-J295-J296</f>
        <v>81200</v>
      </c>
      <c r="K298" s="42">
        <v>7</v>
      </c>
      <c r="L298" s="15"/>
      <c r="M298" s="24"/>
      <c r="N298" s="30"/>
      <c r="O298" s="43"/>
      <c r="P298" s="81" t="str">
        <f t="shared" si="50"/>
        <v/>
      </c>
      <c r="Q298" s="81">
        <f t="shared" si="53"/>
        <v>81200</v>
      </c>
      <c r="R298" s="81"/>
      <c r="S298" s="163"/>
    </row>
    <row r="299" spans="1:19" s="26" customFormat="1" x14ac:dyDescent="0.2">
      <c r="A299" s="119" t="s">
        <v>272</v>
      </c>
      <c r="B299" s="125" t="s">
        <v>158</v>
      </c>
      <c r="C299" s="158">
        <v>42306</v>
      </c>
      <c r="D299" s="158">
        <f>DATE(YEAR(C299),MONTH(C299)+18,DAY(C299))</f>
        <v>42854</v>
      </c>
      <c r="E299" s="158">
        <v>42682</v>
      </c>
      <c r="F299" s="173">
        <v>42782</v>
      </c>
      <c r="G299" s="158">
        <f>DATE(YEAR(C299)+4,MONTH(C299),DAY(C299))</f>
        <v>43767</v>
      </c>
      <c r="H299" s="158">
        <v>43522</v>
      </c>
      <c r="I299" s="260">
        <v>266000</v>
      </c>
      <c r="J299" s="253"/>
      <c r="K299" s="254"/>
      <c r="L299" s="121"/>
      <c r="M299" s="126">
        <f>SUM(M300:M306)</f>
        <v>212800</v>
      </c>
      <c r="N299" s="216"/>
      <c r="O299" s="255"/>
      <c r="P299" s="159">
        <f>SUM(P300:P306)</f>
        <v>0</v>
      </c>
      <c r="Q299" s="159">
        <f>SUM(Q300:Q306)</f>
        <v>53200.000000000007</v>
      </c>
      <c r="R299" s="256"/>
      <c r="S299" s="166">
        <f>I299-(M299+P299+Q299)</f>
        <v>0</v>
      </c>
    </row>
    <row r="300" spans="1:19" s="26" customFormat="1" outlineLevel="1" x14ac:dyDescent="0.2">
      <c r="A300" s="46"/>
      <c r="B300" s="19"/>
      <c r="C300" s="105"/>
      <c r="D300" s="105"/>
      <c r="E300" s="105"/>
      <c r="F300" s="174"/>
      <c r="G300" s="105"/>
      <c r="H300" s="15"/>
      <c r="I300" s="108">
        <v>0.3</v>
      </c>
      <c r="J300" s="23">
        <f>+I299*I300</f>
        <v>79800</v>
      </c>
      <c r="K300" s="42">
        <v>1</v>
      </c>
      <c r="L300" s="15">
        <v>42787</v>
      </c>
      <c r="M300" s="24">
        <v>79800</v>
      </c>
      <c r="N300" s="30">
        <v>42816</v>
      </c>
      <c r="O300" s="43"/>
      <c r="P300" s="81" t="str">
        <f t="shared" si="50"/>
        <v/>
      </c>
      <c r="Q300" s="81">
        <f t="shared" ref="Q300:Q306" si="54">IF(L300="",J300-M300,0)</f>
        <v>0</v>
      </c>
      <c r="R300" s="81"/>
      <c r="S300" s="163"/>
    </row>
    <row r="301" spans="1:19" s="26" customFormat="1" outlineLevel="1" x14ac:dyDescent="0.2">
      <c r="A301" s="46"/>
      <c r="B301" s="19"/>
      <c r="C301" s="105"/>
      <c r="D301" s="105"/>
      <c r="E301" s="105"/>
      <c r="F301" s="174"/>
      <c r="G301" s="105"/>
      <c r="H301" s="15"/>
      <c r="I301" s="233">
        <v>0.37869999999999998</v>
      </c>
      <c r="J301" s="23">
        <v>20934.2</v>
      </c>
      <c r="K301" s="42">
        <v>2</v>
      </c>
      <c r="L301" s="15">
        <v>43158</v>
      </c>
      <c r="M301" s="24">
        <v>20934.2</v>
      </c>
      <c r="N301" s="30">
        <v>43186</v>
      </c>
      <c r="O301" s="43"/>
      <c r="P301" s="81" t="str">
        <f t="shared" si="50"/>
        <v/>
      </c>
      <c r="Q301" s="81">
        <f t="shared" si="54"/>
        <v>0</v>
      </c>
      <c r="R301" s="81"/>
      <c r="S301" s="163"/>
    </row>
    <row r="302" spans="1:19" s="26" customFormat="1" outlineLevel="1" x14ac:dyDescent="0.2">
      <c r="A302" s="46"/>
      <c r="B302" s="19"/>
      <c r="C302" s="105"/>
      <c r="D302" s="105"/>
      <c r="E302" s="105"/>
      <c r="F302" s="174"/>
      <c r="G302" s="105"/>
      <c r="H302" s="15"/>
      <c r="I302" s="233">
        <v>0.50870000000000004</v>
      </c>
      <c r="J302" s="23">
        <f>+I302*I299-J300-J301</f>
        <v>34580.000000000015</v>
      </c>
      <c r="K302" s="42">
        <v>3</v>
      </c>
      <c r="L302" s="15">
        <v>43251</v>
      </c>
      <c r="M302" s="24">
        <v>34580</v>
      </c>
      <c r="N302" s="30">
        <v>43286</v>
      </c>
      <c r="O302" s="43"/>
      <c r="P302" s="81" t="str">
        <f t="shared" si="50"/>
        <v/>
      </c>
      <c r="Q302" s="81">
        <f t="shared" si="54"/>
        <v>0</v>
      </c>
      <c r="R302" s="81"/>
      <c r="S302" s="163"/>
    </row>
    <row r="303" spans="1:19" s="26" customFormat="1" outlineLevel="1" x14ac:dyDescent="0.2">
      <c r="A303" s="46"/>
      <c r="B303" s="19"/>
      <c r="C303" s="105"/>
      <c r="D303" s="105"/>
      <c r="E303" s="105"/>
      <c r="F303" s="174"/>
      <c r="G303" s="105"/>
      <c r="H303" s="15"/>
      <c r="I303" s="233">
        <v>0.60909999999999997</v>
      </c>
      <c r="J303" s="23">
        <v>26706.400000000001</v>
      </c>
      <c r="K303" s="42">
        <v>4</v>
      </c>
      <c r="L303" s="15">
        <v>43307</v>
      </c>
      <c r="M303" s="24">
        <v>26706.400000000001</v>
      </c>
      <c r="N303" s="30">
        <v>43335</v>
      </c>
      <c r="O303" s="43"/>
      <c r="P303" s="81" t="str">
        <f t="shared" si="50"/>
        <v/>
      </c>
      <c r="Q303" s="81">
        <f t="shared" si="54"/>
        <v>0</v>
      </c>
      <c r="R303" s="81"/>
      <c r="S303" s="163"/>
    </row>
    <row r="304" spans="1:19" s="26" customFormat="1" outlineLevel="1" x14ac:dyDescent="0.2">
      <c r="A304" s="46"/>
      <c r="B304" s="19"/>
      <c r="C304" s="105"/>
      <c r="D304" s="105"/>
      <c r="E304" s="105"/>
      <c r="F304" s="174"/>
      <c r="G304" s="105"/>
      <c r="H304" s="15"/>
      <c r="I304" s="233">
        <v>0.69969999999999999</v>
      </c>
      <c r="J304" s="23">
        <f>+I299*I304-J300-J301-J302-J303</f>
        <v>24099.599999999969</v>
      </c>
      <c r="K304" s="42">
        <v>5</v>
      </c>
      <c r="L304" s="15">
        <v>43384</v>
      </c>
      <c r="M304" s="24">
        <v>24099.599999999999</v>
      </c>
      <c r="N304" s="30">
        <v>43441</v>
      </c>
      <c r="O304" s="43"/>
      <c r="P304" s="81" t="str">
        <f t="shared" si="50"/>
        <v/>
      </c>
      <c r="Q304" s="81">
        <f t="shared" si="54"/>
        <v>0</v>
      </c>
      <c r="R304" s="81"/>
      <c r="S304" s="163"/>
    </row>
    <row r="305" spans="1:19" s="26" customFormat="1" outlineLevel="1" x14ac:dyDescent="0.2">
      <c r="A305" s="46"/>
      <c r="B305" s="19"/>
      <c r="C305" s="105"/>
      <c r="D305" s="105"/>
      <c r="E305" s="105"/>
      <c r="F305" s="174"/>
      <c r="G305" s="105"/>
      <c r="H305" s="15"/>
      <c r="I305" s="108">
        <v>0.8</v>
      </c>
      <c r="J305" s="23">
        <f>I305*I299-J300-J301-J302-J303-J304</f>
        <v>26679.800000000017</v>
      </c>
      <c r="K305" s="42">
        <v>6</v>
      </c>
      <c r="L305" s="15">
        <v>43489</v>
      </c>
      <c r="M305" s="24">
        <v>26679.8</v>
      </c>
      <c r="N305" s="30">
        <v>43545</v>
      </c>
      <c r="O305" s="43"/>
      <c r="P305" s="81" t="str">
        <f t="shared" si="50"/>
        <v/>
      </c>
      <c r="Q305" s="81">
        <f t="shared" si="54"/>
        <v>0</v>
      </c>
      <c r="R305" s="81"/>
      <c r="S305" s="163"/>
    </row>
    <row r="306" spans="1:19" s="26" customFormat="1" outlineLevel="1" x14ac:dyDescent="0.2">
      <c r="A306" s="46"/>
      <c r="B306" s="4"/>
      <c r="C306" s="29" t="s">
        <v>224</v>
      </c>
      <c r="D306" s="15"/>
      <c r="E306" s="15"/>
      <c r="F306" s="174"/>
      <c r="G306" s="15"/>
      <c r="H306" s="15"/>
      <c r="I306" s="108">
        <v>1</v>
      </c>
      <c r="J306" s="111">
        <f>266000-J300-J302-J301-J305-J303-J304</f>
        <v>53200.000000000007</v>
      </c>
      <c r="K306" s="42">
        <v>7</v>
      </c>
      <c r="L306" s="15"/>
      <c r="M306" s="655"/>
      <c r="N306" s="30"/>
      <c r="O306" s="43"/>
      <c r="P306" s="81" t="str">
        <f t="shared" si="50"/>
        <v/>
      </c>
      <c r="Q306" s="81">
        <f t="shared" si="54"/>
        <v>53200.000000000007</v>
      </c>
      <c r="R306" s="81"/>
      <c r="S306" s="166"/>
    </row>
    <row r="307" spans="1:19" s="26" customFormat="1" x14ac:dyDescent="0.2">
      <c r="A307" s="119" t="s">
        <v>159</v>
      </c>
      <c r="B307" s="125" t="s">
        <v>160</v>
      </c>
      <c r="C307" s="158">
        <v>42298</v>
      </c>
      <c r="D307" s="158">
        <f>DATE(YEAR(C307),MONTH(C307)+18,DAY(C307))</f>
        <v>42846</v>
      </c>
      <c r="E307" s="158">
        <v>43090</v>
      </c>
      <c r="F307" s="173">
        <v>43122</v>
      </c>
      <c r="G307" s="388">
        <v>44489</v>
      </c>
      <c r="H307" s="121"/>
      <c r="I307" s="260">
        <v>360000</v>
      </c>
      <c r="J307" s="253"/>
      <c r="K307" s="254"/>
      <c r="L307" s="121"/>
      <c r="M307" s="126">
        <f>SUM(M308:M312)</f>
        <v>201456</v>
      </c>
      <c r="N307" s="216"/>
      <c r="O307" s="255"/>
      <c r="P307" s="159">
        <f>SUM(P308:P312)</f>
        <v>0</v>
      </c>
      <c r="Q307" s="159">
        <f>SUM(Q308:Q312)</f>
        <v>158544</v>
      </c>
      <c r="R307" s="256"/>
      <c r="S307" s="166">
        <f>I307-(M307+P307+Q307)</f>
        <v>0</v>
      </c>
    </row>
    <row r="308" spans="1:19" s="26" customFormat="1" outlineLevel="1" x14ac:dyDescent="0.2">
      <c r="A308" s="46"/>
      <c r="B308" s="19"/>
      <c r="C308" s="105"/>
      <c r="D308" s="105"/>
      <c r="E308" s="105"/>
      <c r="F308" s="178"/>
      <c r="G308" s="29" t="s">
        <v>257</v>
      </c>
      <c r="H308" s="15"/>
      <c r="I308" s="108">
        <v>0.3</v>
      </c>
      <c r="J308" s="23">
        <f>+I307*I308</f>
        <v>108000</v>
      </c>
      <c r="K308" s="42">
        <v>1</v>
      </c>
      <c r="L308" s="15">
        <v>43129</v>
      </c>
      <c r="M308" s="24">
        <v>108000</v>
      </c>
      <c r="N308" s="30">
        <v>43231</v>
      </c>
      <c r="O308" s="43"/>
      <c r="P308" s="81" t="str">
        <f t="shared" si="50"/>
        <v/>
      </c>
      <c r="Q308" s="81">
        <f>IF(L308="",J308-M308,0)</f>
        <v>0</v>
      </c>
      <c r="R308" s="81"/>
      <c r="S308" s="166"/>
    </row>
    <row r="309" spans="1:19" s="26" customFormat="1" outlineLevel="1" x14ac:dyDescent="0.2">
      <c r="A309" s="46"/>
      <c r="B309" s="19"/>
      <c r="C309" s="105"/>
      <c r="D309" s="105"/>
      <c r="E309" s="105"/>
      <c r="F309" s="178"/>
      <c r="G309" s="436"/>
      <c r="H309" s="15"/>
      <c r="I309" s="233">
        <v>0.40250000000000002</v>
      </c>
      <c r="J309" s="23">
        <f>+I307*I309-J308</f>
        <v>36900</v>
      </c>
      <c r="K309" s="42">
        <v>2</v>
      </c>
      <c r="L309" s="15">
        <v>43349</v>
      </c>
      <c r="M309" s="24">
        <v>36900</v>
      </c>
      <c r="N309" s="30">
        <v>43406</v>
      </c>
      <c r="O309" s="43"/>
      <c r="P309" s="81" t="str">
        <f t="shared" si="50"/>
        <v/>
      </c>
      <c r="Q309" s="81">
        <f>IF(L309="",J309-M309,0)</f>
        <v>0</v>
      </c>
      <c r="R309" s="81"/>
      <c r="S309" s="166"/>
    </row>
    <row r="310" spans="1:19" s="26" customFormat="1" outlineLevel="1" x14ac:dyDescent="0.2">
      <c r="A310" s="46"/>
      <c r="B310" s="19"/>
      <c r="C310" s="105"/>
      <c r="D310" s="105"/>
      <c r="E310" s="105"/>
      <c r="F310" s="178"/>
      <c r="G310" s="436"/>
      <c r="H310" s="15"/>
      <c r="I310" s="233">
        <v>0.55959999999999999</v>
      </c>
      <c r="J310" s="23">
        <f>+I307*I310-J308-J309</f>
        <v>56556</v>
      </c>
      <c r="K310" s="42">
        <v>3</v>
      </c>
      <c r="L310" s="15">
        <v>43489</v>
      </c>
      <c r="M310" s="24">
        <v>56556</v>
      </c>
      <c r="N310" s="30">
        <v>43543</v>
      </c>
      <c r="O310" s="43"/>
      <c r="P310" s="81" t="str">
        <f t="shared" si="50"/>
        <v/>
      </c>
      <c r="Q310" s="81">
        <f>IF(L310="",J310-M310,0)</f>
        <v>0</v>
      </c>
      <c r="R310" s="81"/>
      <c r="S310" s="166"/>
    </row>
    <row r="311" spans="1:19" s="26" customFormat="1" outlineLevel="1" x14ac:dyDescent="0.2">
      <c r="A311" s="46"/>
      <c r="B311" s="19"/>
      <c r="C311" s="105"/>
      <c r="D311" s="105"/>
      <c r="E311" s="105"/>
      <c r="F311" s="178"/>
      <c r="G311" s="436"/>
      <c r="H311" s="15"/>
      <c r="I311" s="108">
        <v>0.8</v>
      </c>
      <c r="J311" s="23">
        <f>+I307*I311-J308-J309-J310</f>
        <v>86544</v>
      </c>
      <c r="K311" s="42">
        <v>4</v>
      </c>
      <c r="L311" s="15"/>
      <c r="M311" s="20"/>
      <c r="N311" s="30"/>
      <c r="O311" s="43"/>
      <c r="P311" s="81" t="str">
        <f t="shared" si="50"/>
        <v/>
      </c>
      <c r="Q311" s="81">
        <f>IF(L311="",J311-M311,0)</f>
        <v>86544</v>
      </c>
      <c r="R311" s="81"/>
      <c r="S311" s="166"/>
    </row>
    <row r="312" spans="1:19" s="26" customFormat="1" outlineLevel="1" x14ac:dyDescent="0.2">
      <c r="A312" s="46"/>
      <c r="B312" s="4"/>
      <c r="C312" s="29" t="s">
        <v>224</v>
      </c>
      <c r="D312" s="15"/>
      <c r="E312" s="29"/>
      <c r="F312" s="174"/>
      <c r="G312" s="29"/>
      <c r="H312" s="15"/>
      <c r="I312" s="108">
        <v>1</v>
      </c>
      <c r="J312" s="23">
        <f>+I307-J308-J309-J311-J310</f>
        <v>72000</v>
      </c>
      <c r="K312" s="42">
        <v>5</v>
      </c>
      <c r="L312" s="15"/>
      <c r="M312" s="24"/>
      <c r="N312" s="30"/>
      <c r="O312" s="43"/>
      <c r="P312" s="81" t="str">
        <f t="shared" si="50"/>
        <v/>
      </c>
      <c r="Q312" s="81">
        <f>IF(L312="",J312-M312,0)</f>
        <v>72000</v>
      </c>
      <c r="R312" s="81"/>
      <c r="S312" s="166"/>
    </row>
    <row r="313" spans="1:19" s="26" customFormat="1" x14ac:dyDescent="0.2">
      <c r="A313" s="119" t="s">
        <v>305</v>
      </c>
      <c r="B313" s="125" t="s">
        <v>156</v>
      </c>
      <c r="C313" s="158">
        <v>42320</v>
      </c>
      <c r="D313" s="158">
        <f>DATE(YEAR(C313),MONTH(C313)+18,DAY(C313))</f>
        <v>42867</v>
      </c>
      <c r="E313" s="158">
        <v>42761</v>
      </c>
      <c r="F313" s="173">
        <v>42767</v>
      </c>
      <c r="G313" s="158">
        <f>DATE(YEAR(C313)+4,MONTH(C313),DAY(C313))</f>
        <v>43781</v>
      </c>
      <c r="H313" s="121"/>
      <c r="I313" s="260">
        <v>1100000</v>
      </c>
      <c r="J313" s="253"/>
      <c r="K313" s="254"/>
      <c r="L313" s="121"/>
      <c r="M313" s="126">
        <f>SUM(M314:M319)</f>
        <v>808060</v>
      </c>
      <c r="N313" s="216"/>
      <c r="O313" s="255"/>
      <c r="P313" s="159">
        <f>SUM(P314:P319)</f>
        <v>0</v>
      </c>
      <c r="Q313" s="170">
        <f>SUM(Q314:Q319)</f>
        <v>291940.00000000006</v>
      </c>
      <c r="R313" s="256"/>
      <c r="S313" s="166">
        <f>I313-(M313+P313+Q313)</f>
        <v>0</v>
      </c>
    </row>
    <row r="314" spans="1:19" s="26" customFormat="1" outlineLevel="1" x14ac:dyDescent="0.2">
      <c r="A314" s="46"/>
      <c r="B314" s="19"/>
      <c r="C314" s="105"/>
      <c r="D314" s="105"/>
      <c r="E314" s="105"/>
      <c r="F314" s="174"/>
      <c r="G314" s="105"/>
      <c r="H314" s="15"/>
      <c r="I314" s="108">
        <v>0.3</v>
      </c>
      <c r="J314" s="23">
        <f>+I314*I313</f>
        <v>330000</v>
      </c>
      <c r="K314" s="42">
        <v>1</v>
      </c>
      <c r="L314" s="15">
        <v>42787</v>
      </c>
      <c r="M314" s="24">
        <v>330000</v>
      </c>
      <c r="N314" s="30">
        <v>42817</v>
      </c>
      <c r="O314" s="43"/>
      <c r="P314" s="81" t="str">
        <f t="shared" si="50"/>
        <v/>
      </c>
      <c r="Q314" s="81">
        <f>IF(L314="",J314-M314,0)</f>
        <v>0</v>
      </c>
      <c r="R314" s="81"/>
      <c r="S314" s="163"/>
    </row>
    <row r="315" spans="1:19" s="26" customFormat="1" outlineLevel="1" x14ac:dyDescent="0.2">
      <c r="A315" s="46"/>
      <c r="B315" s="19"/>
      <c r="C315" s="105"/>
      <c r="D315" s="105"/>
      <c r="E315" s="105"/>
      <c r="F315" s="174"/>
      <c r="G315" s="105"/>
      <c r="H315" s="15"/>
      <c r="I315" s="233">
        <v>0.33160000000000001</v>
      </c>
      <c r="J315" s="23">
        <f>I313*I315-J314</f>
        <v>34760</v>
      </c>
      <c r="K315" s="42">
        <v>2</v>
      </c>
      <c r="L315" s="15">
        <v>43061</v>
      </c>
      <c r="M315" s="24">
        <v>34760</v>
      </c>
      <c r="N315" s="30">
        <v>43164</v>
      </c>
      <c r="O315" s="43"/>
      <c r="P315" s="81"/>
      <c r="Q315" s="81"/>
      <c r="R315" s="81"/>
      <c r="S315" s="163"/>
    </row>
    <row r="316" spans="1:19" s="26" customFormat="1" outlineLevel="1" x14ac:dyDescent="0.2">
      <c r="A316" s="46"/>
      <c r="B316" s="19"/>
      <c r="C316" s="105"/>
      <c r="D316" s="105"/>
      <c r="E316" s="105"/>
      <c r="F316" s="174"/>
      <c r="G316" s="105"/>
      <c r="H316" s="15"/>
      <c r="I316" s="233">
        <v>0.40550000000000003</v>
      </c>
      <c r="J316" s="23">
        <f>I313*I316-J314-J315</f>
        <v>81290.000000000058</v>
      </c>
      <c r="K316" s="42">
        <v>3</v>
      </c>
      <c r="L316" s="653">
        <v>43200</v>
      </c>
      <c r="M316" s="24">
        <v>81290</v>
      </c>
      <c r="N316" s="30">
        <v>43231</v>
      </c>
      <c r="O316" s="43"/>
      <c r="P316" s="81" t="str">
        <f t="shared" si="50"/>
        <v/>
      </c>
      <c r="Q316" s="81">
        <f>IF(L316="",J316-M316,0)</f>
        <v>0</v>
      </c>
      <c r="R316" s="81"/>
      <c r="S316" s="163"/>
    </row>
    <row r="317" spans="1:19" s="26" customFormat="1" outlineLevel="1" x14ac:dyDescent="0.2">
      <c r="A317" s="46"/>
      <c r="B317" s="19"/>
      <c r="C317" s="105"/>
      <c r="D317" s="105"/>
      <c r="E317" s="105"/>
      <c r="F317" s="174"/>
      <c r="G317" s="105"/>
      <c r="H317" s="15"/>
      <c r="I317" s="233">
        <v>0.73460000000000003</v>
      </c>
      <c r="J317" s="23">
        <f>I313*I317-(J314+J315+J316)</f>
        <v>362009.99999999994</v>
      </c>
      <c r="K317" s="42">
        <v>4</v>
      </c>
      <c r="L317" s="15">
        <v>43377</v>
      </c>
      <c r="M317" s="24">
        <v>362010</v>
      </c>
      <c r="N317" s="30">
        <v>43446</v>
      </c>
      <c r="O317" s="43"/>
      <c r="P317" s="81" t="str">
        <f t="shared" si="50"/>
        <v/>
      </c>
      <c r="Q317" s="81">
        <f>IF(L317="",J317-M317,0)</f>
        <v>0</v>
      </c>
      <c r="R317" s="81"/>
      <c r="S317" s="163"/>
    </row>
    <row r="318" spans="1:19" s="26" customFormat="1" outlineLevel="1" x14ac:dyDescent="0.2">
      <c r="A318" s="46"/>
      <c r="B318" s="19"/>
      <c r="C318" s="105"/>
      <c r="D318" s="105"/>
      <c r="E318" s="105"/>
      <c r="F318" s="174"/>
      <c r="G318" s="105"/>
      <c r="H318" s="15"/>
      <c r="I318" s="233">
        <v>0.8</v>
      </c>
      <c r="J318" s="23">
        <f>+I313*I318-J314-J315-J316-J317</f>
        <v>71940</v>
      </c>
      <c r="K318" s="42">
        <v>5</v>
      </c>
      <c r="L318" s="15"/>
      <c r="M318" s="24"/>
      <c r="N318" s="30"/>
      <c r="O318" s="43"/>
      <c r="P318" s="81" t="str">
        <f t="shared" si="50"/>
        <v/>
      </c>
      <c r="Q318" s="81">
        <f>IF(L318="",J318-M318,0)</f>
        <v>71940</v>
      </c>
      <c r="R318" s="81"/>
      <c r="S318" s="163"/>
    </row>
    <row r="319" spans="1:19" s="26" customFormat="1" outlineLevel="1" x14ac:dyDescent="0.2">
      <c r="A319" s="46"/>
      <c r="B319" s="4"/>
      <c r="C319" s="29" t="s">
        <v>224</v>
      </c>
      <c r="D319" s="15"/>
      <c r="E319" s="15"/>
      <c r="F319" s="174"/>
      <c r="G319" s="15"/>
      <c r="H319" s="15"/>
      <c r="I319" s="108">
        <v>1</v>
      </c>
      <c r="J319" s="23">
        <f>1100000-J314-J316-J315-J317-J318</f>
        <v>220000.00000000006</v>
      </c>
      <c r="K319" s="42">
        <v>6</v>
      </c>
      <c r="L319" s="15"/>
      <c r="M319" s="24"/>
      <c r="N319" s="30"/>
      <c r="O319" s="43"/>
      <c r="P319" s="81" t="str">
        <f t="shared" si="50"/>
        <v/>
      </c>
      <c r="Q319" s="81">
        <f>IF(L319="",J319-M319,0)</f>
        <v>220000.00000000006</v>
      </c>
      <c r="R319" s="81"/>
      <c r="S319" s="166"/>
    </row>
    <row r="320" spans="1:19" s="26" customFormat="1" x14ac:dyDescent="0.2">
      <c r="A320" s="119" t="s">
        <v>155</v>
      </c>
      <c r="B320" s="125" t="s">
        <v>157</v>
      </c>
      <c r="C320" s="158">
        <v>42320</v>
      </c>
      <c r="D320" s="151">
        <f>DATE(YEAR(C320),MONTH(C320)+18,DAY(C320))</f>
        <v>42867</v>
      </c>
      <c r="E320" s="158">
        <v>42676</v>
      </c>
      <c r="F320" s="173">
        <v>42772</v>
      </c>
      <c r="G320" s="151">
        <f>DATE(YEAR(C320)+4,MONTH(C320),DAY(C320))</f>
        <v>43781</v>
      </c>
      <c r="H320" s="158">
        <v>43360</v>
      </c>
      <c r="I320" s="260">
        <v>360000</v>
      </c>
      <c r="J320" s="253"/>
      <c r="K320" s="254"/>
      <c r="L320" s="121"/>
      <c r="M320" s="126">
        <f>SUM(M321:M327)</f>
        <v>288000</v>
      </c>
      <c r="N320" s="216"/>
      <c r="O320" s="255"/>
      <c r="P320" s="159">
        <f>SUM(P321:P327)</f>
        <v>0</v>
      </c>
      <c r="Q320" s="170">
        <f>SUM(Q321:Q327)</f>
        <v>72000</v>
      </c>
      <c r="R320" s="256"/>
      <c r="S320" s="166">
        <f>I320-(M320+P320+Q320)</f>
        <v>0</v>
      </c>
    </row>
    <row r="321" spans="1:19" s="26" customFormat="1" outlineLevel="1" x14ac:dyDescent="0.2">
      <c r="A321" s="46"/>
      <c r="B321" s="19"/>
      <c r="C321" s="105"/>
      <c r="D321" s="85"/>
      <c r="E321" s="105"/>
      <c r="F321" s="174"/>
      <c r="G321" s="85"/>
      <c r="H321" s="15"/>
      <c r="I321" s="108">
        <v>0.3</v>
      </c>
      <c r="J321" s="23">
        <f>+I320*I321</f>
        <v>108000</v>
      </c>
      <c r="K321" s="42">
        <v>1</v>
      </c>
      <c r="L321" s="15">
        <v>42796</v>
      </c>
      <c r="M321" s="24">
        <v>108000</v>
      </c>
      <c r="N321" s="30">
        <v>42816</v>
      </c>
      <c r="O321" s="43"/>
      <c r="P321" s="81" t="str">
        <f t="shared" si="50"/>
        <v/>
      </c>
      <c r="Q321" s="106">
        <f t="shared" ref="Q321:Q327" si="55">IF(L321="",J321-M321,0)</f>
        <v>0</v>
      </c>
      <c r="R321" s="81"/>
      <c r="S321" s="163"/>
    </row>
    <row r="322" spans="1:19" s="26" customFormat="1" outlineLevel="1" x14ac:dyDescent="0.2">
      <c r="A322" s="46"/>
      <c r="B322" s="19"/>
      <c r="C322" s="105"/>
      <c r="D322" s="85"/>
      <c r="E322" s="105"/>
      <c r="F322" s="174"/>
      <c r="G322" s="85"/>
      <c r="H322" s="15"/>
      <c r="I322" s="233">
        <v>0.38490000000000002</v>
      </c>
      <c r="J322" s="23">
        <f>+I320*I322-J321</f>
        <v>30564</v>
      </c>
      <c r="K322" s="42">
        <v>2</v>
      </c>
      <c r="L322" s="15">
        <v>43053</v>
      </c>
      <c r="M322" s="24">
        <v>30564</v>
      </c>
      <c r="N322" s="30">
        <v>43077</v>
      </c>
      <c r="O322" s="43"/>
      <c r="P322" s="81" t="str">
        <f t="shared" si="50"/>
        <v/>
      </c>
      <c r="Q322" s="81">
        <f t="shared" si="55"/>
        <v>0</v>
      </c>
      <c r="R322" s="81"/>
      <c r="S322" s="163"/>
    </row>
    <row r="323" spans="1:19" s="26" customFormat="1" outlineLevel="1" x14ac:dyDescent="0.2">
      <c r="A323" s="46"/>
      <c r="B323" s="19"/>
      <c r="C323" s="105"/>
      <c r="D323" s="85"/>
      <c r="E323" s="105"/>
      <c r="F323" s="174"/>
      <c r="G323" s="85"/>
      <c r="H323" s="15"/>
      <c r="I323" s="233">
        <v>0.49880000000000002</v>
      </c>
      <c r="J323" s="23">
        <f>+I320*I323-J321-J322</f>
        <v>41004</v>
      </c>
      <c r="K323" s="42">
        <v>3</v>
      </c>
      <c r="L323" s="15">
        <v>43158</v>
      </c>
      <c r="M323" s="24">
        <v>41004</v>
      </c>
      <c r="N323" s="30">
        <v>43186</v>
      </c>
      <c r="O323" s="43"/>
      <c r="P323" s="81" t="str">
        <f t="shared" si="50"/>
        <v/>
      </c>
      <c r="Q323" s="81">
        <f t="shared" si="55"/>
        <v>0</v>
      </c>
      <c r="R323" s="81"/>
      <c r="S323" s="163"/>
    </row>
    <row r="324" spans="1:19" s="26" customFormat="1" outlineLevel="1" x14ac:dyDescent="0.2">
      <c r="A324" s="46"/>
      <c r="B324" s="19"/>
      <c r="C324" s="105"/>
      <c r="D324" s="85"/>
      <c r="E324" s="105"/>
      <c r="F324" s="174"/>
      <c r="G324" s="85"/>
      <c r="H324" s="15"/>
      <c r="I324" s="233">
        <v>0.6089</v>
      </c>
      <c r="J324" s="23">
        <f>I320*I324-J321-J322-J323</f>
        <v>39636</v>
      </c>
      <c r="K324" s="42">
        <v>4</v>
      </c>
      <c r="L324" s="15">
        <v>43244</v>
      </c>
      <c r="M324" s="24">
        <v>39636</v>
      </c>
      <c r="N324" s="30">
        <v>43270</v>
      </c>
      <c r="O324" s="43"/>
      <c r="P324" s="81" t="str">
        <f t="shared" si="50"/>
        <v/>
      </c>
      <c r="Q324" s="81">
        <f t="shared" si="55"/>
        <v>0</v>
      </c>
      <c r="R324" s="81"/>
      <c r="S324" s="163"/>
    </row>
    <row r="325" spans="1:19" s="26" customFormat="1" outlineLevel="1" x14ac:dyDescent="0.2">
      <c r="A325" s="46"/>
      <c r="B325" s="19"/>
      <c r="C325" s="105"/>
      <c r="D325" s="85"/>
      <c r="E325" s="105"/>
      <c r="F325" s="174"/>
      <c r="G325" s="85"/>
      <c r="H325" s="15"/>
      <c r="I325" s="233">
        <v>0.67679999999999996</v>
      </c>
      <c r="J325" s="23">
        <v>24444</v>
      </c>
      <c r="K325" s="42">
        <v>5</v>
      </c>
      <c r="L325" s="15">
        <v>43291</v>
      </c>
      <c r="M325" s="24">
        <v>24444</v>
      </c>
      <c r="N325" s="30">
        <v>43325</v>
      </c>
      <c r="O325" s="43"/>
      <c r="P325" s="81" t="str">
        <f t="shared" si="50"/>
        <v/>
      </c>
      <c r="Q325" s="81">
        <f t="shared" si="55"/>
        <v>0</v>
      </c>
      <c r="R325" s="81"/>
      <c r="S325" s="163"/>
    </row>
    <row r="326" spans="1:19" s="26" customFormat="1" outlineLevel="1" x14ac:dyDescent="0.2">
      <c r="A326" s="46"/>
      <c r="B326" s="19"/>
      <c r="C326" s="105"/>
      <c r="D326" s="85"/>
      <c r="E326" s="105"/>
      <c r="F326" s="174"/>
      <c r="G326" s="85"/>
      <c r="H326" s="15"/>
      <c r="I326" s="233">
        <v>0.8</v>
      </c>
      <c r="J326" s="23">
        <f>+I320*I326-J321-J322-J323-J324-J325</f>
        <v>44352</v>
      </c>
      <c r="K326" s="42">
        <v>6</v>
      </c>
      <c r="L326" s="15">
        <v>43391</v>
      </c>
      <c r="M326" s="24">
        <v>44352</v>
      </c>
      <c r="N326" s="30">
        <v>43417</v>
      </c>
      <c r="O326" s="43"/>
      <c r="P326" s="81" t="str">
        <f t="shared" si="50"/>
        <v/>
      </c>
      <c r="Q326" s="81">
        <f t="shared" si="55"/>
        <v>0</v>
      </c>
      <c r="R326" s="81"/>
      <c r="S326" s="163"/>
    </row>
    <row r="327" spans="1:19" s="26" customFormat="1" ht="11.25" customHeight="1" outlineLevel="1" x14ac:dyDescent="0.2">
      <c r="A327" s="46"/>
      <c r="B327" s="4"/>
      <c r="C327" s="29" t="s">
        <v>224</v>
      </c>
      <c r="D327" s="390"/>
      <c r="E327" s="15"/>
      <c r="F327" s="174"/>
      <c r="G327" s="390"/>
      <c r="H327" s="15"/>
      <c r="I327" s="108">
        <v>1</v>
      </c>
      <c r="J327" s="111">
        <f>+I320-J321-J322-J323-J324-J325-J326</f>
        <v>72000</v>
      </c>
      <c r="K327" s="42">
        <v>7</v>
      </c>
      <c r="L327" s="15"/>
      <c r="M327" s="389"/>
      <c r="N327" s="30"/>
      <c r="O327" s="43"/>
      <c r="P327" s="81" t="str">
        <f t="shared" si="50"/>
        <v/>
      </c>
      <c r="Q327" s="81">
        <f t="shared" si="55"/>
        <v>72000</v>
      </c>
      <c r="R327" s="81"/>
      <c r="S327" s="166"/>
    </row>
    <row r="328" spans="1:19" s="26" customFormat="1" x14ac:dyDescent="0.2">
      <c r="A328" s="119" t="s">
        <v>422</v>
      </c>
      <c r="B328" s="125" t="s">
        <v>243</v>
      </c>
      <c r="C328" s="158">
        <v>42354</v>
      </c>
      <c r="D328" s="151">
        <f>DATE(YEAR(C328),MONTH(C328)+18,DAY(C328))</f>
        <v>42902</v>
      </c>
      <c r="E328" s="158">
        <v>43091</v>
      </c>
      <c r="F328" s="173">
        <v>43129</v>
      </c>
      <c r="G328" s="550">
        <v>44545</v>
      </c>
      <c r="H328" s="121"/>
      <c r="I328" s="260">
        <v>200000</v>
      </c>
      <c r="J328" s="253"/>
      <c r="K328" s="254"/>
      <c r="L328" s="121"/>
      <c r="M328" s="126">
        <f>SUM(M329:M332)</f>
        <v>88200</v>
      </c>
      <c r="N328" s="216"/>
      <c r="O328" s="255"/>
      <c r="P328" s="159">
        <f>SUM(P329:P332)</f>
        <v>19880</v>
      </c>
      <c r="Q328" s="170">
        <f>SUM(Q329:Q332)</f>
        <v>91920</v>
      </c>
      <c r="R328" s="256"/>
      <c r="S328" s="166">
        <f>I328-(M328+P328+Q328)</f>
        <v>0</v>
      </c>
    </row>
    <row r="329" spans="1:19" s="26" customFormat="1" outlineLevel="1" x14ac:dyDescent="0.2">
      <c r="A329" s="46"/>
      <c r="B329" s="19"/>
      <c r="C329" s="105"/>
      <c r="D329" s="105"/>
      <c r="E329" s="105"/>
      <c r="F329" s="178"/>
      <c r="G329" s="29" t="s">
        <v>257</v>
      </c>
      <c r="H329" s="15"/>
      <c r="I329" s="233">
        <v>0.3</v>
      </c>
      <c r="J329" s="23">
        <f>+I328*I329</f>
        <v>60000</v>
      </c>
      <c r="K329" s="42">
        <v>1</v>
      </c>
      <c r="L329" s="15">
        <v>43129</v>
      </c>
      <c r="M329" s="24">
        <v>60000</v>
      </c>
      <c r="N329" s="30">
        <v>43186</v>
      </c>
      <c r="O329" s="43"/>
      <c r="P329" s="81" t="str">
        <f t="shared" si="50"/>
        <v/>
      </c>
      <c r="Q329" s="81">
        <f>IF(L329="",J329-M329,0)</f>
        <v>0</v>
      </c>
      <c r="R329" s="81"/>
      <c r="S329" s="163"/>
    </row>
    <row r="330" spans="1:19" s="26" customFormat="1" outlineLevel="1" x14ac:dyDescent="0.2">
      <c r="A330" s="46"/>
      <c r="B330" s="19"/>
      <c r="C330" s="105"/>
      <c r="D330" s="105"/>
      <c r="E330" s="105"/>
      <c r="F330" s="178"/>
      <c r="G330" s="436"/>
      <c r="H330" s="15"/>
      <c r="I330" s="233">
        <v>0.441</v>
      </c>
      <c r="J330" s="23">
        <f>+I328*I330-J329</f>
        <v>28200</v>
      </c>
      <c r="K330" s="42">
        <v>2</v>
      </c>
      <c r="L330" s="15">
        <v>43489</v>
      </c>
      <c r="M330" s="24">
        <v>28200</v>
      </c>
      <c r="N330" s="30">
        <v>43543</v>
      </c>
      <c r="O330" s="43"/>
      <c r="P330" s="81" t="str">
        <f t="shared" si="50"/>
        <v/>
      </c>
      <c r="Q330" s="367">
        <f>IF(L330="",J330-M330,0)</f>
        <v>0</v>
      </c>
      <c r="R330" s="81"/>
      <c r="S330" s="163"/>
    </row>
    <row r="331" spans="1:19" s="26" customFormat="1" outlineLevel="1" x14ac:dyDescent="0.2">
      <c r="A331" s="46"/>
      <c r="B331" s="19"/>
      <c r="C331" s="105"/>
      <c r="D331" s="105"/>
      <c r="E331" s="105"/>
      <c r="F331" s="178"/>
      <c r="G331" s="436"/>
      <c r="H331" s="15"/>
      <c r="I331" s="233">
        <v>0.54039999999999999</v>
      </c>
      <c r="J331" s="23">
        <v>19880</v>
      </c>
      <c r="K331" s="42">
        <v>3</v>
      </c>
      <c r="L331" s="15">
        <v>43585</v>
      </c>
      <c r="M331" s="112" t="s">
        <v>104</v>
      </c>
      <c r="N331" s="30"/>
      <c r="O331" s="43"/>
      <c r="P331" s="81">
        <f t="shared" si="50"/>
        <v>19880</v>
      </c>
      <c r="Q331" s="367">
        <f>IF(L331="",J331-M331,0)</f>
        <v>0</v>
      </c>
      <c r="R331" s="81"/>
      <c r="S331" s="163"/>
    </row>
    <row r="332" spans="1:19" s="26" customFormat="1" ht="11.25" customHeight="1" outlineLevel="1" x14ac:dyDescent="0.2">
      <c r="A332" s="118"/>
      <c r="B332" s="4"/>
      <c r="C332" s="29"/>
      <c r="D332" s="105"/>
      <c r="E332" s="29"/>
      <c r="F332" s="178"/>
      <c r="G332" s="29"/>
      <c r="H332" s="15"/>
      <c r="I332" s="233">
        <v>1</v>
      </c>
      <c r="J332" s="23">
        <f>+I328-J329-J330-J331</f>
        <v>91920</v>
      </c>
      <c r="K332" s="42">
        <v>4</v>
      </c>
      <c r="L332" s="15"/>
      <c r="M332" s="20"/>
      <c r="N332" s="30"/>
      <c r="O332" s="43"/>
      <c r="P332" s="81" t="str">
        <f t="shared" si="50"/>
        <v/>
      </c>
      <c r="Q332" s="81">
        <f>IF(L332="",J332-M332,0)</f>
        <v>91920</v>
      </c>
      <c r="R332" s="81"/>
      <c r="S332" s="166"/>
    </row>
    <row r="333" spans="1:19" s="26" customFormat="1" x14ac:dyDescent="0.2">
      <c r="A333" s="119" t="s">
        <v>422</v>
      </c>
      <c r="B333" s="125" t="s">
        <v>242</v>
      </c>
      <c r="C333" s="158">
        <v>42462</v>
      </c>
      <c r="D333" s="158">
        <f>DATE(YEAR(C333),MONTH(C333)+18,DAY(C333))</f>
        <v>43010</v>
      </c>
      <c r="E333" s="625">
        <v>43091</v>
      </c>
      <c r="F333" s="506">
        <v>43129</v>
      </c>
      <c r="G333" s="388">
        <v>44652</v>
      </c>
      <c r="H333" s="121"/>
      <c r="I333" s="260">
        <v>700000</v>
      </c>
      <c r="J333" s="253"/>
      <c r="K333" s="254"/>
      <c r="L333" s="121"/>
      <c r="M333" s="126">
        <f>SUM(M334:M337)</f>
        <v>294350</v>
      </c>
      <c r="N333" s="216"/>
      <c r="O333" s="255"/>
      <c r="P333" s="159">
        <f>SUM(P334:P337)</f>
        <v>68040</v>
      </c>
      <c r="Q333" s="170">
        <f>SUM(Q334:Q337)</f>
        <v>337610</v>
      </c>
      <c r="R333" s="256"/>
      <c r="S333" s="166">
        <f>I333-(M333+P333+Q333)</f>
        <v>0</v>
      </c>
    </row>
    <row r="334" spans="1:19" s="26" customFormat="1" outlineLevel="1" x14ac:dyDescent="0.2">
      <c r="A334" s="46"/>
      <c r="B334" s="19"/>
      <c r="C334" s="105"/>
      <c r="D334" s="105"/>
      <c r="E334" s="626"/>
      <c r="F334" s="569"/>
      <c r="G334" s="29" t="s">
        <v>257</v>
      </c>
      <c r="H334" s="15"/>
      <c r="I334" s="233">
        <v>0.3</v>
      </c>
      <c r="J334" s="23">
        <f>+I333*I334</f>
        <v>210000</v>
      </c>
      <c r="K334" s="42">
        <v>1</v>
      </c>
      <c r="L334" s="15">
        <v>43129</v>
      </c>
      <c r="M334" s="24">
        <v>210000</v>
      </c>
      <c r="N334" s="30">
        <v>43186</v>
      </c>
      <c r="O334" s="43"/>
      <c r="P334" s="81" t="str">
        <f t="shared" si="50"/>
        <v/>
      </c>
      <c r="Q334" s="81">
        <f>IF(L334="",J334-M334,0)</f>
        <v>0</v>
      </c>
      <c r="R334" s="81"/>
      <c r="S334" s="163"/>
    </row>
    <row r="335" spans="1:19" s="26" customFormat="1" outlineLevel="1" x14ac:dyDescent="0.2">
      <c r="A335" s="46"/>
      <c r="B335" s="19"/>
      <c r="C335" s="105"/>
      <c r="D335" s="105"/>
      <c r="E335" s="626"/>
      <c r="F335" s="569"/>
      <c r="G335" s="436"/>
      <c r="H335" s="15"/>
      <c r="I335" s="233">
        <v>0.42049999999999998</v>
      </c>
      <c r="J335" s="23">
        <f>+I333*I335-J334</f>
        <v>84350</v>
      </c>
      <c r="K335" s="42">
        <v>2</v>
      </c>
      <c r="L335" s="15">
        <v>43489</v>
      </c>
      <c r="M335" s="24">
        <v>84350</v>
      </c>
      <c r="N335" s="30">
        <v>43524</v>
      </c>
      <c r="O335" s="43"/>
      <c r="P335" s="81" t="str">
        <f t="shared" si="50"/>
        <v/>
      </c>
      <c r="Q335" s="81">
        <f>IF(L335="",J335-M335,0)</f>
        <v>0</v>
      </c>
      <c r="R335" s="81"/>
      <c r="S335" s="163"/>
    </row>
    <row r="336" spans="1:19" s="26" customFormat="1" outlineLevel="1" x14ac:dyDescent="0.2">
      <c r="A336" s="46"/>
      <c r="B336" s="19"/>
      <c r="C336" s="105"/>
      <c r="D336" s="105"/>
      <c r="E336" s="626"/>
      <c r="F336" s="569"/>
      <c r="G336" s="436"/>
      <c r="H336" s="15"/>
      <c r="I336" s="233">
        <v>0.51770000000000005</v>
      </c>
      <c r="J336" s="23">
        <v>68040</v>
      </c>
      <c r="K336" s="42">
        <v>3</v>
      </c>
      <c r="L336" s="15">
        <v>43585</v>
      </c>
      <c r="M336" s="112" t="s">
        <v>104</v>
      </c>
      <c r="N336" s="30"/>
      <c r="O336" s="43"/>
      <c r="P336" s="81">
        <f t="shared" si="50"/>
        <v>68040</v>
      </c>
      <c r="Q336" s="81"/>
      <c r="R336" s="81"/>
      <c r="S336" s="163"/>
    </row>
    <row r="337" spans="1:19" s="26" customFormat="1" outlineLevel="1" x14ac:dyDescent="0.2">
      <c r="A337" s="46"/>
      <c r="B337" s="4"/>
      <c r="C337" s="29"/>
      <c r="D337" s="390"/>
      <c r="E337" s="494"/>
      <c r="F337" s="559"/>
      <c r="G337" s="29"/>
      <c r="H337" s="15"/>
      <c r="I337" s="233">
        <v>1</v>
      </c>
      <c r="J337" s="23">
        <f>+I333-J334-J335-J336</f>
        <v>337610</v>
      </c>
      <c r="K337" s="42">
        <v>4</v>
      </c>
      <c r="L337" s="15"/>
      <c r="M337" s="24"/>
      <c r="N337" s="30"/>
      <c r="O337" s="43"/>
      <c r="P337" s="81" t="str">
        <f t="shared" si="50"/>
        <v/>
      </c>
      <c r="Q337" s="81">
        <f>IF(L337="",J337-M337,0)</f>
        <v>337610</v>
      </c>
      <c r="R337" s="81"/>
      <c r="S337" s="166"/>
    </row>
    <row r="338" spans="1:19" s="26" customFormat="1" x14ac:dyDescent="0.2">
      <c r="A338" s="119" t="s">
        <v>274</v>
      </c>
      <c r="B338" s="125" t="s">
        <v>275</v>
      </c>
      <c r="C338" s="158">
        <v>42604</v>
      </c>
      <c r="D338" s="158">
        <f>DATE(YEAR(C338),MONTH(C338)+18,DAY(C338))</f>
        <v>43153</v>
      </c>
      <c r="E338" s="158">
        <v>43084</v>
      </c>
      <c r="F338" s="173">
        <v>43263</v>
      </c>
      <c r="G338" s="158">
        <f>DATE(YEAR(C338)+4,MONTH(C338),DAY(C338))</f>
        <v>44065</v>
      </c>
      <c r="H338" s="121"/>
      <c r="I338" s="260">
        <v>656000</v>
      </c>
      <c r="J338" s="253"/>
      <c r="K338" s="254"/>
      <c r="L338" s="121"/>
      <c r="M338" s="126">
        <f>SUM(M339:M343)</f>
        <v>196800</v>
      </c>
      <c r="N338" s="216"/>
      <c r="O338" s="255"/>
      <c r="P338" s="159">
        <f>SUM(P339:P343)</f>
        <v>26240</v>
      </c>
      <c r="Q338" s="159">
        <f>SUM(Q339:Q343)</f>
        <v>432960</v>
      </c>
      <c r="R338" s="256"/>
      <c r="S338" s="166">
        <f>I338-(M338+P338+Q338)</f>
        <v>0</v>
      </c>
    </row>
    <row r="339" spans="1:19" s="26" customFormat="1" outlineLevel="1" x14ac:dyDescent="0.2">
      <c r="A339" s="46"/>
      <c r="B339" s="19"/>
      <c r="C339" s="105"/>
      <c r="D339" s="105"/>
      <c r="E339" s="105"/>
      <c r="F339" s="174"/>
      <c r="G339" s="105"/>
      <c r="H339" s="15"/>
      <c r="I339" s="108">
        <v>0.3</v>
      </c>
      <c r="J339" s="23">
        <f>+I338*I339</f>
        <v>196800</v>
      </c>
      <c r="K339" s="42">
        <v>1</v>
      </c>
      <c r="L339" s="15">
        <v>43264</v>
      </c>
      <c r="M339" s="24">
        <v>196800</v>
      </c>
      <c r="N339" s="30">
        <v>43325</v>
      </c>
      <c r="O339" s="43"/>
      <c r="P339" s="81" t="str">
        <f t="shared" si="50"/>
        <v/>
      </c>
      <c r="Q339" s="367">
        <f>IF(L339="",J339-M339,0)</f>
        <v>0</v>
      </c>
      <c r="R339" s="81"/>
      <c r="S339" s="163"/>
    </row>
    <row r="340" spans="1:19" s="26" customFormat="1" outlineLevel="1" x14ac:dyDescent="0.2">
      <c r="A340" s="46"/>
      <c r="B340" s="19"/>
      <c r="C340" s="105"/>
      <c r="D340" s="105"/>
      <c r="E340" s="105"/>
      <c r="F340" s="174"/>
      <c r="G340" s="105"/>
      <c r="H340" s="15"/>
      <c r="I340" s="233">
        <v>0.34</v>
      </c>
      <c r="J340" s="23">
        <v>26240</v>
      </c>
      <c r="K340" s="42">
        <v>2</v>
      </c>
      <c r="L340" s="15">
        <v>43585</v>
      </c>
      <c r="M340" s="112" t="s">
        <v>104</v>
      </c>
      <c r="N340" s="30"/>
      <c r="O340" s="43"/>
      <c r="P340" s="81">
        <f t="shared" si="50"/>
        <v>26240</v>
      </c>
      <c r="Q340" s="367"/>
      <c r="R340" s="81"/>
      <c r="S340" s="163"/>
    </row>
    <row r="341" spans="1:19" s="26" customFormat="1" outlineLevel="1" x14ac:dyDescent="0.2">
      <c r="A341" s="46"/>
      <c r="B341" s="19"/>
      <c r="C341" s="105"/>
      <c r="D341" s="105"/>
      <c r="E341" s="105"/>
      <c r="F341" s="174"/>
      <c r="G341" s="105"/>
      <c r="H341" s="15"/>
      <c r="I341" s="233">
        <v>0.5</v>
      </c>
      <c r="J341" s="23">
        <f>I338*I341-J339-J340</f>
        <v>104960</v>
      </c>
      <c r="K341" s="42">
        <v>3</v>
      </c>
      <c r="L341" s="15"/>
      <c r="M341" s="20"/>
      <c r="N341" s="30"/>
      <c r="O341" s="43"/>
      <c r="P341" s="81" t="str">
        <f t="shared" si="50"/>
        <v/>
      </c>
      <c r="Q341" s="367">
        <f>IF(L341="",J341-M341,0)</f>
        <v>104960</v>
      </c>
      <c r="R341" s="81"/>
      <c r="S341" s="163"/>
    </row>
    <row r="342" spans="1:19" s="26" customFormat="1" outlineLevel="1" x14ac:dyDescent="0.2">
      <c r="A342" s="46"/>
      <c r="B342" s="19"/>
      <c r="C342" s="105"/>
      <c r="D342" s="105"/>
      <c r="E342" s="105"/>
      <c r="F342" s="174"/>
      <c r="G342" s="105"/>
      <c r="H342" s="15"/>
      <c r="I342" s="233">
        <v>0.8</v>
      </c>
      <c r="J342" s="23">
        <f>I338*I342-J339-J340-J341</f>
        <v>196800</v>
      </c>
      <c r="K342" s="42">
        <v>4</v>
      </c>
      <c r="L342" s="15"/>
      <c r="M342" s="20"/>
      <c r="N342" s="30"/>
      <c r="O342" s="43"/>
      <c r="P342" s="81" t="str">
        <f t="shared" si="50"/>
        <v/>
      </c>
      <c r="Q342" s="367">
        <f>IF(L342="",J342-M342,0)</f>
        <v>196800</v>
      </c>
      <c r="R342" s="81"/>
      <c r="S342" s="163"/>
    </row>
    <row r="343" spans="1:19" s="26" customFormat="1" outlineLevel="1" x14ac:dyDescent="0.2">
      <c r="A343" s="46"/>
      <c r="B343" s="4"/>
      <c r="C343" s="29"/>
      <c r="D343" s="105"/>
      <c r="E343" s="15"/>
      <c r="F343" s="174"/>
      <c r="G343" s="105"/>
      <c r="H343" s="15"/>
      <c r="I343" s="233">
        <v>1</v>
      </c>
      <c r="J343" s="23">
        <f>+I338-J339-J341-J342-J340</f>
        <v>131200</v>
      </c>
      <c r="K343" s="42">
        <v>5</v>
      </c>
      <c r="L343" s="15"/>
      <c r="M343" s="24"/>
      <c r="N343" s="30"/>
      <c r="O343" s="43"/>
      <c r="P343" s="81" t="str">
        <f t="shared" si="50"/>
        <v/>
      </c>
      <c r="Q343" s="444">
        <f>IF(L343="",J343-M343,0)</f>
        <v>131200</v>
      </c>
      <c r="R343" s="81"/>
      <c r="S343" s="166"/>
    </row>
    <row r="344" spans="1:19" s="26" customFormat="1" x14ac:dyDescent="0.2">
      <c r="A344" s="119" t="s">
        <v>263</v>
      </c>
      <c r="B344" s="125" t="s">
        <v>262</v>
      </c>
      <c r="C344" s="158">
        <v>42606</v>
      </c>
      <c r="D344" s="158">
        <f>DATE(YEAR(C344),MONTH(C344)+18,DAY(C344))</f>
        <v>43155</v>
      </c>
      <c r="E344" s="158"/>
      <c r="F344" s="261"/>
      <c r="G344" s="388">
        <v>44796</v>
      </c>
      <c r="H344" s="121"/>
      <c r="I344" s="260">
        <v>400000</v>
      </c>
      <c r="J344" s="253"/>
      <c r="K344" s="254"/>
      <c r="L344" s="121"/>
      <c r="M344" s="126">
        <f>SUM(M345)</f>
        <v>0</v>
      </c>
      <c r="N344" s="216"/>
      <c r="O344" s="255"/>
      <c r="P344" s="256">
        <f>SUM(P345)</f>
        <v>0</v>
      </c>
      <c r="Q344" s="159">
        <f>SUM(Q345)</f>
        <v>400000</v>
      </c>
      <c r="R344" s="256"/>
      <c r="S344" s="166">
        <f>I344-(M344+P344+Q344)</f>
        <v>0</v>
      </c>
    </row>
    <row r="345" spans="1:19" s="26" customFormat="1" x14ac:dyDescent="0.2">
      <c r="A345" s="118"/>
      <c r="B345" s="39"/>
      <c r="C345" s="33"/>
      <c r="D345" s="390"/>
      <c r="E345" s="36"/>
      <c r="F345" s="175"/>
      <c r="G345" s="867" t="s">
        <v>257</v>
      </c>
      <c r="H345" s="36"/>
      <c r="I345" s="153"/>
      <c r="J345" s="35">
        <v>400000</v>
      </c>
      <c r="K345" s="44">
        <v>1</v>
      </c>
      <c r="L345" s="36"/>
      <c r="M345" s="37"/>
      <c r="N345" s="155"/>
      <c r="O345" s="156"/>
      <c r="P345" s="81" t="str">
        <f t="shared" si="50"/>
        <v/>
      </c>
      <c r="Q345" s="444">
        <f>IF(L345="",J345-M345,0)</f>
        <v>400000</v>
      </c>
      <c r="R345" s="157"/>
      <c r="S345" s="166"/>
    </row>
    <row r="346" spans="1:19" s="26" customFormat="1" x14ac:dyDescent="0.2">
      <c r="A346" s="119" t="s">
        <v>265</v>
      </c>
      <c r="B346" s="125" t="s">
        <v>266</v>
      </c>
      <c r="C346" s="158">
        <v>42620</v>
      </c>
      <c r="D346" s="151">
        <f>DATE(YEAR(C346),MONTH(C346)+18,DAY(C346))</f>
        <v>43166</v>
      </c>
      <c r="E346" s="158"/>
      <c r="F346" s="261"/>
      <c r="G346" s="388">
        <v>44810</v>
      </c>
      <c r="H346" s="121"/>
      <c r="I346" s="260">
        <v>270000</v>
      </c>
      <c r="J346" s="253"/>
      <c r="K346" s="254"/>
      <c r="L346" s="121"/>
      <c r="M346" s="126">
        <f>SUM(M347)</f>
        <v>0</v>
      </c>
      <c r="N346" s="216"/>
      <c r="O346" s="255"/>
      <c r="P346" s="256">
        <f>SUM(P347)</f>
        <v>0</v>
      </c>
      <c r="Q346" s="159">
        <f>SUM(Q347)</f>
        <v>270000</v>
      </c>
      <c r="R346" s="256"/>
      <c r="S346" s="166">
        <f>I346-(M346+P346+Q346)</f>
        <v>0</v>
      </c>
    </row>
    <row r="347" spans="1:19" s="26" customFormat="1" x14ac:dyDescent="0.2">
      <c r="A347" s="118"/>
      <c r="B347" s="39"/>
      <c r="C347" s="33"/>
      <c r="D347" s="105"/>
      <c r="E347" s="36"/>
      <c r="F347" s="175"/>
      <c r="G347" s="867" t="s">
        <v>257</v>
      </c>
      <c r="H347" s="36"/>
      <c r="I347" s="153"/>
      <c r="J347" s="35">
        <v>270000</v>
      </c>
      <c r="K347" s="44">
        <v>1</v>
      </c>
      <c r="L347" s="36"/>
      <c r="M347" s="37"/>
      <c r="N347" s="155"/>
      <c r="O347" s="156"/>
      <c r="P347" s="81" t="str">
        <f t="shared" si="50"/>
        <v/>
      </c>
      <c r="Q347" s="444">
        <f>IF(L347="",J347-M347,0)</f>
        <v>270000</v>
      </c>
      <c r="R347" s="157"/>
      <c r="S347" s="166"/>
    </row>
    <row r="348" spans="1:19" s="26" customFormat="1" x14ac:dyDescent="0.2">
      <c r="A348" s="119" t="s">
        <v>268</v>
      </c>
      <c r="B348" s="125" t="s">
        <v>269</v>
      </c>
      <c r="C348" s="158">
        <v>42618</v>
      </c>
      <c r="D348" s="158">
        <f>DATE(YEAR(C348),MONTH(C348)+18,DAY(C348))</f>
        <v>43164</v>
      </c>
      <c r="E348" s="121"/>
      <c r="F348" s="261"/>
      <c r="G348" s="388">
        <v>44809</v>
      </c>
      <c r="H348" s="121"/>
      <c r="I348" s="445">
        <v>270000</v>
      </c>
      <c r="J348" s="253"/>
      <c r="K348" s="254"/>
      <c r="L348" s="121"/>
      <c r="M348" s="126">
        <f>SUM(M349)</f>
        <v>0</v>
      </c>
      <c r="N348" s="216"/>
      <c r="O348" s="255"/>
      <c r="P348" s="256">
        <f>SUM(P349)</f>
        <v>0</v>
      </c>
      <c r="Q348" s="184">
        <f>SUM(Q349)</f>
        <v>270000</v>
      </c>
      <c r="R348" s="256"/>
      <c r="S348" s="166">
        <f>I348-(M348+P348+Q348)</f>
        <v>0</v>
      </c>
    </row>
    <row r="349" spans="1:19" s="26" customFormat="1" x14ac:dyDescent="0.2">
      <c r="A349" s="46"/>
      <c r="B349" s="4"/>
      <c r="C349" s="29"/>
      <c r="D349" s="390"/>
      <c r="E349" s="15"/>
      <c r="F349" s="174"/>
      <c r="G349" s="867" t="s">
        <v>257</v>
      </c>
      <c r="H349" s="15"/>
      <c r="I349" s="108"/>
      <c r="J349" s="23">
        <v>270000</v>
      </c>
      <c r="K349" s="42">
        <v>1</v>
      </c>
      <c r="L349" s="15"/>
      <c r="M349" s="24"/>
      <c r="N349" s="30"/>
      <c r="O349" s="43"/>
      <c r="P349" s="81" t="str">
        <f t="shared" si="50"/>
        <v/>
      </c>
      <c r="Q349" s="367">
        <f>IF(L349="",J349-M349,0)</f>
        <v>270000</v>
      </c>
      <c r="R349" s="81"/>
      <c r="S349" s="166"/>
    </row>
    <row r="350" spans="1:19" s="26" customFormat="1" x14ac:dyDescent="0.2">
      <c r="A350" s="119" t="s">
        <v>270</v>
      </c>
      <c r="B350" s="125" t="s">
        <v>271</v>
      </c>
      <c r="C350" s="158">
        <v>42629</v>
      </c>
      <c r="D350" s="158">
        <f>DATE(YEAR(C350),MONTH(C350)+18,DAY(C350))</f>
        <v>43175</v>
      </c>
      <c r="E350" s="121"/>
      <c r="F350" s="261"/>
      <c r="G350" s="388">
        <v>44819</v>
      </c>
      <c r="H350" s="121"/>
      <c r="I350" s="445">
        <v>800000</v>
      </c>
      <c r="J350" s="253"/>
      <c r="K350" s="254"/>
      <c r="L350" s="121"/>
      <c r="M350" s="126">
        <f>SUM(M351)</f>
        <v>0</v>
      </c>
      <c r="N350" s="216"/>
      <c r="O350" s="255"/>
      <c r="P350" s="256">
        <f>SUM(P351)</f>
        <v>0</v>
      </c>
      <c r="Q350" s="170">
        <f>SUM(Q351)</f>
        <v>800000</v>
      </c>
      <c r="R350" s="256"/>
      <c r="S350" s="166">
        <f>I350-(M350+P350+Q350)</f>
        <v>0</v>
      </c>
    </row>
    <row r="351" spans="1:19" s="26" customFormat="1" x14ac:dyDescent="0.2">
      <c r="A351" s="118"/>
      <c r="B351" s="39"/>
      <c r="C351" s="33"/>
      <c r="D351" s="390"/>
      <c r="E351" s="36"/>
      <c r="F351" s="175"/>
      <c r="G351" s="867" t="s">
        <v>257</v>
      </c>
      <c r="H351" s="36"/>
      <c r="I351" s="153"/>
      <c r="J351" s="35">
        <v>800000</v>
      </c>
      <c r="K351" s="44">
        <v>1</v>
      </c>
      <c r="L351" s="36"/>
      <c r="M351" s="37"/>
      <c r="N351" s="155"/>
      <c r="O351" s="156"/>
      <c r="P351" s="81" t="str">
        <f>IF(M351="en attente",J351,"")</f>
        <v/>
      </c>
      <c r="Q351" s="367">
        <f>IF(L351="",J351-M351,0)</f>
        <v>800000</v>
      </c>
      <c r="R351" s="157"/>
      <c r="S351" s="166"/>
    </row>
    <row r="352" spans="1:19" s="26" customFormat="1" x14ac:dyDescent="0.2">
      <c r="A352" s="119" t="s">
        <v>293</v>
      </c>
      <c r="B352" s="125" t="s">
        <v>284</v>
      </c>
      <c r="C352" s="560">
        <v>42660</v>
      </c>
      <c r="D352" s="151">
        <f>DATE(YEAR(C352),MONTH(C352)+18,DAY(C352))</f>
        <v>43207</v>
      </c>
      <c r="E352" s="560">
        <v>43090</v>
      </c>
      <c r="F352" s="506">
        <v>43164</v>
      </c>
      <c r="G352" s="151">
        <f>DATE(YEAR(C352)+4,MONTH(C352),DAY(C352))</f>
        <v>44121</v>
      </c>
      <c r="H352" s="555"/>
      <c r="I352" s="260">
        <v>945000</v>
      </c>
      <c r="J352" s="253"/>
      <c r="K352" s="257"/>
      <c r="L352" s="216"/>
      <c r="M352" s="126">
        <f>SUM(M353:M358)</f>
        <v>445284</v>
      </c>
      <c r="N352" s="216"/>
      <c r="O352" s="558"/>
      <c r="P352" s="170">
        <f>SUM(P353:P358)</f>
        <v>0</v>
      </c>
      <c r="Q352" s="170">
        <f>SUM(Q353:Q358)</f>
        <v>499716</v>
      </c>
      <c r="R352" s="259"/>
      <c r="S352" s="166">
        <f>I352-(M352+P352+Q352)</f>
        <v>0</v>
      </c>
    </row>
    <row r="353" spans="1:19" s="26" customFormat="1" outlineLevel="1" x14ac:dyDescent="0.2">
      <c r="A353" s="45"/>
      <c r="B353" s="183"/>
      <c r="C353" s="627"/>
      <c r="D353" s="85"/>
      <c r="E353" s="494"/>
      <c r="F353" s="229"/>
      <c r="G353" s="85"/>
      <c r="H353" s="494"/>
      <c r="I353" s="654">
        <v>0.3</v>
      </c>
      <c r="J353" s="23">
        <v>283500</v>
      </c>
      <c r="K353" s="631">
        <v>1</v>
      </c>
      <c r="L353" s="30">
        <v>43172</v>
      </c>
      <c r="M353" s="24">
        <v>283500</v>
      </c>
      <c r="N353" s="30">
        <v>43207</v>
      </c>
      <c r="O353" s="554"/>
      <c r="P353" s="367" t="str">
        <f>IF(M353="en attente",J353,"")</f>
        <v/>
      </c>
      <c r="Q353" s="367">
        <f>IF(L353="",J353-M353,0)</f>
        <v>0</v>
      </c>
      <c r="R353" s="367"/>
      <c r="S353" s="163"/>
    </row>
    <row r="354" spans="1:19" s="26" customFormat="1" outlineLevel="1" x14ac:dyDescent="0.2">
      <c r="A354" s="45"/>
      <c r="B354" s="183"/>
      <c r="C354" s="627"/>
      <c r="D354" s="85"/>
      <c r="E354" s="494"/>
      <c r="F354" s="229"/>
      <c r="G354" s="85"/>
      <c r="H354" s="494"/>
      <c r="I354" s="654">
        <v>0.35249999999999998</v>
      </c>
      <c r="J354" s="23">
        <f>I352*I354-J353</f>
        <v>49612.5</v>
      </c>
      <c r="K354" s="631">
        <v>2</v>
      </c>
      <c r="L354" s="30">
        <v>43403</v>
      </c>
      <c r="M354" s="24">
        <v>49612.5</v>
      </c>
      <c r="N354" s="30">
        <v>43448</v>
      </c>
      <c r="O354" s="554"/>
      <c r="P354" s="367"/>
      <c r="Q354" s="367"/>
      <c r="R354" s="367"/>
      <c r="S354" s="163"/>
    </row>
    <row r="355" spans="1:19" s="26" customFormat="1" ht="10.5" customHeight="1" outlineLevel="1" x14ac:dyDescent="0.2">
      <c r="A355" s="45"/>
      <c r="B355" s="183"/>
      <c r="C355" s="627"/>
      <c r="D355" s="85"/>
      <c r="E355" s="494"/>
      <c r="F355" s="229"/>
      <c r="G355" s="85"/>
      <c r="H355" s="494"/>
      <c r="I355" s="654">
        <v>0.47120000000000001</v>
      </c>
      <c r="J355" s="23">
        <f>I352*I355-J353-J354</f>
        <v>112171.5</v>
      </c>
      <c r="K355" s="631">
        <v>3</v>
      </c>
      <c r="L355" s="30">
        <v>43489</v>
      </c>
      <c r="M355" s="24">
        <v>112171.5</v>
      </c>
      <c r="N355" s="30">
        <v>43524</v>
      </c>
      <c r="O355" s="554"/>
      <c r="P355" s="367" t="str">
        <f>IF(M355="en attente",J355,"")</f>
        <v/>
      </c>
      <c r="Q355" s="367">
        <f>IF(L355="",J355-M355,0)</f>
        <v>0</v>
      </c>
      <c r="R355" s="367"/>
      <c r="S355" s="163"/>
    </row>
    <row r="356" spans="1:19" s="26" customFormat="1" ht="10.5" customHeight="1" outlineLevel="1" x14ac:dyDescent="0.2">
      <c r="A356" s="45"/>
      <c r="B356" s="183"/>
      <c r="C356" s="627"/>
      <c r="D356" s="85"/>
      <c r="E356" s="494"/>
      <c r="F356" s="229"/>
      <c r="G356" s="85"/>
      <c r="H356" s="494"/>
      <c r="I356" s="654">
        <v>0.54569999999999996</v>
      </c>
      <c r="J356" s="23">
        <f>I352*I356-J353-J354-J355</f>
        <v>70402.499999999942</v>
      </c>
      <c r="K356" s="631">
        <v>4</v>
      </c>
      <c r="L356" s="30">
        <v>43559</v>
      </c>
      <c r="M356" s="112" t="s">
        <v>104</v>
      </c>
      <c r="N356" s="30"/>
      <c r="O356" s="554"/>
      <c r="P356" s="367"/>
      <c r="Q356" s="367"/>
      <c r="R356" s="367"/>
      <c r="S356" s="163"/>
    </row>
    <row r="357" spans="1:19" s="26" customFormat="1" outlineLevel="1" x14ac:dyDescent="0.2">
      <c r="A357" s="45"/>
      <c r="B357" s="183"/>
      <c r="C357" s="627"/>
      <c r="D357" s="85"/>
      <c r="E357" s="494"/>
      <c r="F357" s="229"/>
      <c r="G357" s="85"/>
      <c r="H357" s="494"/>
      <c r="I357" s="654">
        <v>0.8</v>
      </c>
      <c r="J357" s="23">
        <f>I352*I357-J355-J353-J354</f>
        <v>310716</v>
      </c>
      <c r="K357" s="631">
        <v>5</v>
      </c>
      <c r="L357" s="30"/>
      <c r="M357" s="20"/>
      <c r="N357" s="30"/>
      <c r="O357" s="554"/>
      <c r="P357" s="367" t="str">
        <f>IF(M357="en attente",J357,"")</f>
        <v/>
      </c>
      <c r="Q357" s="367">
        <f>IF(L357="",J357-M357,0)</f>
        <v>310716</v>
      </c>
      <c r="R357" s="367"/>
      <c r="S357" s="163"/>
    </row>
    <row r="358" spans="1:19" s="26" customFormat="1" outlineLevel="1" x14ac:dyDescent="0.2">
      <c r="A358" s="118"/>
      <c r="B358" s="458"/>
      <c r="C358" s="553"/>
      <c r="D358" s="390"/>
      <c r="E358" s="494"/>
      <c r="F358" s="559"/>
      <c r="G358" s="155"/>
      <c r="H358" s="494"/>
      <c r="I358" s="879">
        <v>1</v>
      </c>
      <c r="J358" s="35">
        <f>945000-J357-J355-J353-J354</f>
        <v>189000</v>
      </c>
      <c r="K358" s="557">
        <v>6</v>
      </c>
      <c r="L358" s="155"/>
      <c r="M358" s="24"/>
      <c r="N358" s="155"/>
      <c r="O358" s="554"/>
      <c r="P358" s="444" t="str">
        <f>IF(M358="en attente",J358,"")</f>
        <v/>
      </c>
      <c r="Q358" s="367">
        <f>IF(L358="",J358-M358,0)</f>
        <v>189000</v>
      </c>
      <c r="R358" s="444"/>
      <c r="S358" s="166"/>
    </row>
    <row r="359" spans="1:19" s="26" customFormat="1" x14ac:dyDescent="0.2">
      <c r="A359" s="119" t="s">
        <v>318</v>
      </c>
      <c r="B359" s="125" t="s">
        <v>317</v>
      </c>
      <c r="C359" s="560">
        <v>42909</v>
      </c>
      <c r="D359" s="151">
        <f>DATE(YEAR(C359),MONTH(C359)+18,DAY(C359))</f>
        <v>43457</v>
      </c>
      <c r="E359" s="151">
        <v>43073</v>
      </c>
      <c r="F359" s="624">
        <v>43101</v>
      </c>
      <c r="G359" s="151">
        <f>DATE(YEAR(C359)+4,MONTH(C359),DAY(C359))</f>
        <v>44370</v>
      </c>
      <c r="H359" s="555"/>
      <c r="I359" s="260">
        <v>700000</v>
      </c>
      <c r="J359" s="253"/>
      <c r="K359" s="257"/>
      <c r="L359" s="216"/>
      <c r="M359" s="126">
        <f>SUM(M360:M365)</f>
        <v>339990</v>
      </c>
      <c r="N359" s="216"/>
      <c r="O359" s="558"/>
      <c r="P359" s="170">
        <f>SUM(P360:P365)</f>
        <v>114450</v>
      </c>
      <c r="Q359" s="170">
        <f>SUM(Q360:Q365)</f>
        <v>245560</v>
      </c>
      <c r="R359" s="259"/>
      <c r="S359" s="166">
        <f>I359-(M359+P359+Q359)</f>
        <v>0</v>
      </c>
    </row>
    <row r="360" spans="1:19" s="26" customFormat="1" outlineLevel="1" x14ac:dyDescent="0.2">
      <c r="A360" s="45"/>
      <c r="B360" s="19"/>
      <c r="C360" s="627"/>
      <c r="D360" s="85"/>
      <c r="E360" s="85"/>
      <c r="F360" s="628"/>
      <c r="G360" s="85"/>
      <c r="H360" s="494"/>
      <c r="I360" s="630">
        <v>0.3</v>
      </c>
      <c r="J360" s="23">
        <f>+I359*I360</f>
        <v>210000</v>
      </c>
      <c r="K360" s="42">
        <v>1</v>
      </c>
      <c r="L360" s="15">
        <v>43139</v>
      </c>
      <c r="M360" s="24">
        <v>210000</v>
      </c>
      <c r="N360" s="30">
        <v>43223</v>
      </c>
      <c r="O360" s="554"/>
      <c r="P360" s="367" t="str">
        <f>IF(M360="en attente",J360,"")</f>
        <v/>
      </c>
      <c r="Q360" s="81"/>
      <c r="R360" s="81"/>
      <c r="S360" s="163"/>
    </row>
    <row r="361" spans="1:19" s="26" customFormat="1" outlineLevel="1" x14ac:dyDescent="0.2">
      <c r="A361" s="45"/>
      <c r="B361" s="19"/>
      <c r="C361" s="627"/>
      <c r="D361" s="85"/>
      <c r="E361" s="85"/>
      <c r="F361" s="628"/>
      <c r="G361" s="85"/>
      <c r="H361" s="494"/>
      <c r="I361" s="654">
        <v>0.37130000000000002</v>
      </c>
      <c r="J361" s="16">
        <v>49910</v>
      </c>
      <c r="K361" s="42">
        <v>2</v>
      </c>
      <c r="L361" s="15">
        <v>43237</v>
      </c>
      <c r="M361" s="24">
        <v>49910</v>
      </c>
      <c r="N361" s="30">
        <v>43530</v>
      </c>
      <c r="O361" s="554"/>
      <c r="P361" s="367" t="str">
        <f t="shared" ref="P361:P365" si="56">IF(M361="en attente",J361,"")</f>
        <v/>
      </c>
      <c r="Q361" s="367"/>
      <c r="R361" s="81"/>
      <c r="S361" s="163"/>
    </row>
    <row r="362" spans="1:19" s="26" customFormat="1" outlineLevel="1" x14ac:dyDescent="0.2">
      <c r="A362" s="45"/>
      <c r="B362" s="19"/>
      <c r="C362" s="627"/>
      <c r="D362" s="85"/>
      <c r="E362" s="85"/>
      <c r="F362" s="628"/>
      <c r="G362" s="85"/>
      <c r="H362" s="494"/>
      <c r="I362" s="654">
        <v>0.48570000000000002</v>
      </c>
      <c r="J362" s="16">
        <f>+I359*I362-J360-J361</f>
        <v>80080</v>
      </c>
      <c r="K362" s="42">
        <v>3</v>
      </c>
      <c r="L362" s="15">
        <v>43489</v>
      </c>
      <c r="M362" s="24">
        <v>80080</v>
      </c>
      <c r="N362" s="30">
        <v>43544</v>
      </c>
      <c r="O362" s="554"/>
      <c r="P362" s="367" t="str">
        <f t="shared" si="56"/>
        <v/>
      </c>
      <c r="Q362" s="367">
        <f>IF(L362="",J362-M362,0)</f>
        <v>0</v>
      </c>
      <c r="R362" s="81"/>
      <c r="S362" s="163"/>
    </row>
    <row r="363" spans="1:19" s="26" customFormat="1" outlineLevel="1" x14ac:dyDescent="0.2">
      <c r="A363" s="45"/>
      <c r="B363" s="19"/>
      <c r="C363" s="627"/>
      <c r="D363" s="85"/>
      <c r="E363" s="85"/>
      <c r="F363" s="628"/>
      <c r="G363" s="85"/>
      <c r="H363" s="494"/>
      <c r="I363" s="654">
        <v>0.6492</v>
      </c>
      <c r="J363" s="16">
        <v>114450</v>
      </c>
      <c r="K363" s="42">
        <v>4</v>
      </c>
      <c r="L363" s="15">
        <v>43559</v>
      </c>
      <c r="M363" s="112" t="s">
        <v>104</v>
      </c>
      <c r="N363" s="30"/>
      <c r="O363" s="554"/>
      <c r="P363" s="367">
        <f t="shared" si="56"/>
        <v>114450</v>
      </c>
      <c r="Q363" s="367">
        <f>IF(L363="",J363-M363,0)</f>
        <v>0</v>
      </c>
      <c r="R363" s="81"/>
      <c r="S363" s="163"/>
    </row>
    <row r="364" spans="1:19" s="26" customFormat="1" outlineLevel="1" x14ac:dyDescent="0.2">
      <c r="A364" s="45"/>
      <c r="B364" s="19"/>
      <c r="C364" s="627"/>
      <c r="D364" s="85"/>
      <c r="E364" s="85"/>
      <c r="F364" s="628"/>
      <c r="G364" s="85"/>
      <c r="H364" s="494"/>
      <c r="I364" s="630">
        <v>0.8</v>
      </c>
      <c r="J364" s="16">
        <f>+I359*I364-J360-J361-J362-J363</f>
        <v>105560</v>
      </c>
      <c r="K364" s="42">
        <v>5</v>
      </c>
      <c r="L364" s="15"/>
      <c r="M364" s="20"/>
      <c r="N364" s="30"/>
      <c r="O364" s="554"/>
      <c r="P364" s="367" t="str">
        <f t="shared" si="56"/>
        <v/>
      </c>
      <c r="Q364" s="367">
        <f>IF(L364="",J364-M364,0)</f>
        <v>105560</v>
      </c>
      <c r="R364" s="81"/>
      <c r="S364" s="163"/>
    </row>
    <row r="365" spans="1:19" s="26" customFormat="1" outlineLevel="1" x14ac:dyDescent="0.2">
      <c r="A365" s="118"/>
      <c r="B365" s="39"/>
      <c r="C365" s="563"/>
      <c r="D365" s="85"/>
      <c r="E365" s="155"/>
      <c r="F365" s="564"/>
      <c r="G365" s="85"/>
      <c r="H365" s="629"/>
      <c r="I365" s="556">
        <v>1</v>
      </c>
      <c r="J365" s="35">
        <f>700000-J360-J362-J361-J364-J363</f>
        <v>140000</v>
      </c>
      <c r="K365" s="44">
        <v>6</v>
      </c>
      <c r="L365" s="36"/>
      <c r="M365" s="37"/>
      <c r="N365" s="155"/>
      <c r="O365" s="156"/>
      <c r="P365" s="367" t="str">
        <f t="shared" si="56"/>
        <v/>
      </c>
      <c r="Q365" s="444">
        <f>IF(L365="",J365-M365,0)</f>
        <v>140000</v>
      </c>
      <c r="R365" s="157"/>
      <c r="S365" s="166"/>
    </row>
    <row r="366" spans="1:19" s="26" customFormat="1" x14ac:dyDescent="0.2">
      <c r="A366" s="119" t="s">
        <v>319</v>
      </c>
      <c r="B366" s="125" t="s">
        <v>320</v>
      </c>
      <c r="C366" s="560">
        <v>42916</v>
      </c>
      <c r="D366" s="151">
        <f>DATE(YEAR(C366),MONTH(C366)+18,DAY(C366))</f>
        <v>43464</v>
      </c>
      <c r="E366" s="555"/>
      <c r="F366" s="677"/>
      <c r="G366" s="151">
        <f>DATE(YEAR(C366)+4,MONTH(C366),DAY(C366))</f>
        <v>44377</v>
      </c>
      <c r="H366" s="555"/>
      <c r="I366" s="260">
        <v>480000</v>
      </c>
      <c r="J366" s="253"/>
      <c r="K366" s="257"/>
      <c r="L366" s="216"/>
      <c r="M366" s="126">
        <f>SUM(M370)</f>
        <v>0</v>
      </c>
      <c r="N366" s="216"/>
      <c r="O366" s="558"/>
      <c r="P366" s="259">
        <f>SUM(P367:P370)</f>
        <v>144000</v>
      </c>
      <c r="Q366" s="170">
        <f>SUM(Q367:Q370)</f>
        <v>336000</v>
      </c>
      <c r="R366" s="256"/>
      <c r="S366" s="166">
        <f>I366-(M366+P366+Q366)</f>
        <v>0</v>
      </c>
    </row>
    <row r="367" spans="1:19" s="26" customFormat="1" x14ac:dyDescent="0.2">
      <c r="A367" s="45"/>
      <c r="B367" s="19"/>
      <c r="C367" s="627"/>
      <c r="D367" s="85"/>
      <c r="E367" s="494"/>
      <c r="F367" s="229"/>
      <c r="G367" s="85"/>
      <c r="H367" s="494"/>
      <c r="I367" s="905">
        <v>0.3</v>
      </c>
      <c r="J367" s="23">
        <f>+I367*I366</f>
        <v>144000</v>
      </c>
      <c r="K367" s="42">
        <v>1</v>
      </c>
      <c r="L367" s="15">
        <v>43594</v>
      </c>
      <c r="M367" s="112" t="s">
        <v>104</v>
      </c>
      <c r="N367" s="30"/>
      <c r="O367" s="554"/>
      <c r="P367" s="367">
        <f>IF(M367="en attente",J367,"")</f>
        <v>144000</v>
      </c>
      <c r="Q367" s="367">
        <f>IF(L367="",J367-M367,0)</f>
        <v>0</v>
      </c>
      <c r="R367" s="81"/>
      <c r="S367" s="163"/>
    </row>
    <row r="368" spans="1:19" s="26" customFormat="1" x14ac:dyDescent="0.2">
      <c r="A368" s="45"/>
      <c r="B368" s="19"/>
      <c r="C368" s="627"/>
      <c r="D368" s="85"/>
      <c r="E368" s="494"/>
      <c r="F368" s="229"/>
      <c r="G368" s="85"/>
      <c r="H368" s="494"/>
      <c r="I368" s="905">
        <v>0.5</v>
      </c>
      <c r="J368" s="23">
        <f>+I366*I368-J367</f>
        <v>96000</v>
      </c>
      <c r="K368" s="42">
        <v>2</v>
      </c>
      <c r="L368" s="15"/>
      <c r="M368" s="20"/>
      <c r="N368" s="30"/>
      <c r="O368" s="554"/>
      <c r="P368" s="367" t="str">
        <f t="shared" ref="P368:P370" si="57">IF(M368="en attente",J368,"")</f>
        <v/>
      </c>
      <c r="Q368" s="367">
        <f t="shared" ref="Q368:Q370" si="58">IF(L368="",J368-M368,0)</f>
        <v>96000</v>
      </c>
      <c r="R368" s="81"/>
      <c r="S368" s="163"/>
    </row>
    <row r="369" spans="1:19" s="26" customFormat="1" x14ac:dyDescent="0.2">
      <c r="A369" s="45"/>
      <c r="B369" s="19"/>
      <c r="C369" s="627"/>
      <c r="D369" s="85"/>
      <c r="E369" s="494"/>
      <c r="F369" s="229"/>
      <c r="G369" s="85"/>
      <c r="H369" s="494"/>
      <c r="I369" s="905">
        <v>0.8</v>
      </c>
      <c r="J369" s="23">
        <f>+I366*I369-J367-J368</f>
        <v>144000</v>
      </c>
      <c r="K369" s="42">
        <v>3</v>
      </c>
      <c r="L369" s="15"/>
      <c r="M369" s="20"/>
      <c r="N369" s="30"/>
      <c r="O369" s="554"/>
      <c r="P369" s="367" t="str">
        <f t="shared" si="57"/>
        <v/>
      </c>
      <c r="Q369" s="367">
        <f t="shared" si="58"/>
        <v>144000</v>
      </c>
      <c r="R369" s="81"/>
      <c r="S369" s="163"/>
    </row>
    <row r="370" spans="1:19" s="26" customFormat="1" x14ac:dyDescent="0.2">
      <c r="A370" s="46"/>
      <c r="B370" s="4"/>
      <c r="C370" s="553"/>
      <c r="D370" s="390"/>
      <c r="E370" s="494"/>
      <c r="F370" s="559"/>
      <c r="G370" s="390"/>
      <c r="H370" s="494"/>
      <c r="I370" s="906">
        <v>1</v>
      </c>
      <c r="J370" s="23">
        <f>+I366-J367-J368-J369</f>
        <v>96000</v>
      </c>
      <c r="K370" s="42">
        <v>4</v>
      </c>
      <c r="L370" s="15"/>
      <c r="M370" s="24"/>
      <c r="N370" s="30"/>
      <c r="O370" s="554"/>
      <c r="P370" s="367" t="str">
        <f t="shared" si="57"/>
        <v/>
      </c>
      <c r="Q370" s="444">
        <f t="shared" si="58"/>
        <v>96000</v>
      </c>
      <c r="R370" s="81"/>
      <c r="S370" s="166"/>
    </row>
    <row r="371" spans="1:19" s="26" customFormat="1" x14ac:dyDescent="0.2">
      <c r="A371" s="119" t="s">
        <v>322</v>
      </c>
      <c r="B371" s="125" t="s">
        <v>321</v>
      </c>
      <c r="C371" s="560">
        <v>42929</v>
      </c>
      <c r="D371" s="151">
        <f>DATE(YEAR(C371),MONTH(C371)+18,DAY(C371))</f>
        <v>43478</v>
      </c>
      <c r="E371" s="555"/>
      <c r="F371" s="565"/>
      <c r="G371" s="151">
        <f>DATE(YEAR(C371)+4,MONTH(C371),DAY(C371))</f>
        <v>44390</v>
      </c>
      <c r="H371" s="555"/>
      <c r="I371" s="260">
        <v>1512000</v>
      </c>
      <c r="J371" s="253"/>
      <c r="K371" s="257"/>
      <c r="L371" s="216"/>
      <c r="M371" s="126">
        <f>SUM(M372)</f>
        <v>0</v>
      </c>
      <c r="N371" s="216"/>
      <c r="O371" s="558"/>
      <c r="P371" s="259">
        <f>SUM(P372)</f>
        <v>0</v>
      </c>
      <c r="Q371" s="184">
        <f>SUM(Q372)</f>
        <v>1512000</v>
      </c>
      <c r="R371" s="259"/>
      <c r="S371" s="166">
        <f>I371-(M371+P371+Q371)</f>
        <v>0</v>
      </c>
    </row>
    <row r="372" spans="1:19" s="26" customFormat="1" x14ac:dyDescent="0.2">
      <c r="A372" s="118"/>
      <c r="B372" s="39"/>
      <c r="C372" s="33"/>
      <c r="D372" s="36"/>
      <c r="E372" s="36"/>
      <c r="F372" s="175"/>
      <c r="G372" s="36"/>
      <c r="H372" s="36"/>
      <c r="I372" s="153"/>
      <c r="J372" s="35">
        <v>1512000</v>
      </c>
      <c r="K372" s="44"/>
      <c r="L372" s="36"/>
      <c r="M372" s="37"/>
      <c r="N372" s="155"/>
      <c r="O372" s="156"/>
      <c r="P372" s="81" t="str">
        <f>IF(M372="en attente",J372,"")</f>
        <v/>
      </c>
      <c r="Q372" s="444">
        <f>IF(L372="",J372-M372,0)</f>
        <v>1512000</v>
      </c>
      <c r="R372" s="157"/>
      <c r="S372" s="166"/>
    </row>
    <row r="373" spans="1:19" s="26" customFormat="1" x14ac:dyDescent="0.2">
      <c r="A373" s="119" t="s">
        <v>324</v>
      </c>
      <c r="B373" s="125" t="s">
        <v>325</v>
      </c>
      <c r="C373" s="560">
        <v>42970</v>
      </c>
      <c r="D373" s="151">
        <f>DATE(YEAR(C373),MONTH(C373)+18,DAY(C373))</f>
        <v>43519</v>
      </c>
      <c r="E373" s="555"/>
      <c r="F373" s="565"/>
      <c r="G373" s="151">
        <f>DATE(YEAR(C373)+4,MONTH(C373),DAY(C373))</f>
        <v>44431</v>
      </c>
      <c r="H373" s="555"/>
      <c r="I373" s="260">
        <v>520000</v>
      </c>
      <c r="J373" s="253"/>
      <c r="K373" s="257"/>
      <c r="L373" s="216"/>
      <c r="M373" s="126">
        <f>SUM(M374)</f>
        <v>0</v>
      </c>
      <c r="N373" s="216"/>
      <c r="O373" s="558"/>
      <c r="P373" s="259">
        <f>SUM(P374)</f>
        <v>0</v>
      </c>
      <c r="Q373" s="170">
        <f>SUM(Q374)</f>
        <v>520000</v>
      </c>
      <c r="R373" s="259"/>
      <c r="S373" s="166">
        <f>I373-(M373+P373+Q373)</f>
        <v>0</v>
      </c>
    </row>
    <row r="374" spans="1:19" s="26" customFormat="1" x14ac:dyDescent="0.2">
      <c r="A374" s="46"/>
      <c r="B374" s="4"/>
      <c r="C374" s="29"/>
      <c r="D374" s="15"/>
      <c r="E374" s="15"/>
      <c r="F374" s="174"/>
      <c r="G374" s="15"/>
      <c r="H374" s="15"/>
      <c r="I374" s="108"/>
      <c r="J374" s="23">
        <v>520000</v>
      </c>
      <c r="K374" s="42"/>
      <c r="L374" s="15"/>
      <c r="M374" s="24"/>
      <c r="N374" s="30"/>
      <c r="O374" s="43"/>
      <c r="P374" s="81" t="str">
        <f>IF(M374="en attente",J374,"")</f>
        <v/>
      </c>
      <c r="Q374" s="444">
        <f>IF(L374="",J374-M374,0)</f>
        <v>520000</v>
      </c>
      <c r="R374" s="81"/>
      <c r="S374" s="166"/>
    </row>
    <row r="375" spans="1:19" s="26" customFormat="1" x14ac:dyDescent="0.2">
      <c r="A375" s="119" t="s">
        <v>333</v>
      </c>
      <c r="B375" s="125" t="s">
        <v>334</v>
      </c>
      <c r="C375" s="560">
        <v>43008</v>
      </c>
      <c r="D375" s="151">
        <f>DATE(YEAR(C375),MONTH(C375)+18,DAY(C375))</f>
        <v>43554</v>
      </c>
      <c r="E375" s="555"/>
      <c r="F375" s="677"/>
      <c r="G375" s="158">
        <f>DATE(YEAR(C375)+4,MONTH(C375),DAY(C375))</f>
        <v>44469</v>
      </c>
      <c r="H375" s="555"/>
      <c r="I375" s="260">
        <v>660000</v>
      </c>
      <c r="J375" s="253"/>
      <c r="K375" s="257"/>
      <c r="L375" s="216"/>
      <c r="M375" s="126">
        <f>SUM(M376)</f>
        <v>0</v>
      </c>
      <c r="N375" s="216"/>
      <c r="O375" s="558"/>
      <c r="P375" s="259">
        <f>SUM(P376)</f>
        <v>0</v>
      </c>
      <c r="Q375" s="170">
        <f>SUM(Q376)</f>
        <v>660000</v>
      </c>
      <c r="R375" s="259"/>
      <c r="S375" s="166">
        <f>I375-(M375+P375+Q375)</f>
        <v>0</v>
      </c>
    </row>
    <row r="376" spans="1:19" s="26" customFormat="1" x14ac:dyDescent="0.2">
      <c r="A376" s="46"/>
      <c r="B376" s="4"/>
      <c r="C376" s="553"/>
      <c r="D376" s="30"/>
      <c r="E376" s="494"/>
      <c r="F376" s="559"/>
      <c r="G376" s="15"/>
      <c r="H376" s="155"/>
      <c r="I376" s="108"/>
      <c r="J376" s="23">
        <v>660000</v>
      </c>
      <c r="K376" s="42"/>
      <c r="L376" s="15"/>
      <c r="M376" s="24"/>
      <c r="N376" s="30"/>
      <c r="O376" s="554"/>
      <c r="P376" s="81" t="str">
        <f>IF(M376="en attente",J376,"")</f>
        <v/>
      </c>
      <c r="Q376" s="444">
        <f>IF(L376="",J376-M376,0)</f>
        <v>660000</v>
      </c>
      <c r="R376" s="81"/>
      <c r="S376" s="166"/>
    </row>
    <row r="377" spans="1:19" s="26" customFormat="1" x14ac:dyDescent="0.2">
      <c r="A377" s="119" t="s">
        <v>329</v>
      </c>
      <c r="B377" s="125" t="s">
        <v>330</v>
      </c>
      <c r="C377" s="560">
        <v>43014</v>
      </c>
      <c r="D377" s="151">
        <f>DATE(YEAR(C377),MONTH(C377)+18,DAY(C377))</f>
        <v>43561</v>
      </c>
      <c r="E377" s="555"/>
      <c r="F377" s="565"/>
      <c r="G377" s="151">
        <f>DATE(YEAR(C377)+4,MONTH(C377),DAY(C377))</f>
        <v>44475</v>
      </c>
      <c r="H377" s="555"/>
      <c r="I377" s="260">
        <v>500000</v>
      </c>
      <c r="J377" s="253"/>
      <c r="K377" s="257"/>
      <c r="L377" s="216"/>
      <c r="M377" s="126">
        <f>SUM(M378)</f>
        <v>0</v>
      </c>
      <c r="N377" s="216"/>
      <c r="O377" s="558"/>
      <c r="P377" s="259">
        <f>SUM(P378)</f>
        <v>0</v>
      </c>
      <c r="Q377" s="170">
        <f>SUM(Q378)</f>
        <v>500000</v>
      </c>
      <c r="R377" s="259"/>
      <c r="S377" s="166">
        <f>I377-(M377+P377+Q377)</f>
        <v>0</v>
      </c>
    </row>
    <row r="378" spans="1:19" s="26" customFormat="1" x14ac:dyDescent="0.2">
      <c r="A378" s="118"/>
      <c r="B378" s="39"/>
      <c r="C378" s="563"/>
      <c r="D378" s="30"/>
      <c r="E378" s="36"/>
      <c r="F378" s="175"/>
      <c r="G378" s="15"/>
      <c r="H378" s="36"/>
      <c r="I378" s="153"/>
      <c r="J378" s="35">
        <v>500000</v>
      </c>
      <c r="K378" s="44"/>
      <c r="L378" s="36"/>
      <c r="M378" s="37"/>
      <c r="N378" s="155"/>
      <c r="O378" s="156"/>
      <c r="P378" s="81" t="str">
        <f>IF(M378="en attente",J378,"")</f>
        <v/>
      </c>
      <c r="Q378" s="444">
        <f>IF(L378="",J378-M378,0)</f>
        <v>500000</v>
      </c>
      <c r="R378" s="157"/>
      <c r="S378" s="166"/>
    </row>
    <row r="379" spans="1:19" s="26" customFormat="1" x14ac:dyDescent="0.2">
      <c r="A379" s="119" t="s">
        <v>331</v>
      </c>
      <c r="B379" s="125" t="s">
        <v>332</v>
      </c>
      <c r="C379" s="560">
        <v>43017</v>
      </c>
      <c r="D379" s="151">
        <f>DATE(YEAR(C379),MONTH(C379)+18,DAY(C379))</f>
        <v>43564</v>
      </c>
      <c r="E379" s="560">
        <v>43543</v>
      </c>
      <c r="F379" s="506">
        <v>43556</v>
      </c>
      <c r="G379" s="151">
        <f>DATE(YEAR(C379)+4,MONTH(C379),DAY(C379))</f>
        <v>44478</v>
      </c>
      <c r="H379" s="216"/>
      <c r="I379" s="445">
        <v>504000</v>
      </c>
      <c r="J379" s="253"/>
      <c r="K379" s="257"/>
      <c r="L379" s="216"/>
      <c r="M379" s="126">
        <f>SUM(M383)</f>
        <v>0</v>
      </c>
      <c r="N379" s="216"/>
      <c r="O379" s="558"/>
      <c r="P379" s="877">
        <f>SUM(P380:P383)</f>
        <v>151200</v>
      </c>
      <c r="Q379" s="170">
        <f>SUM(Q380:Q383)</f>
        <v>352800</v>
      </c>
      <c r="R379" s="256"/>
      <c r="S379" s="166">
        <f>I379-(M379+P379+Q379)</f>
        <v>0</v>
      </c>
    </row>
    <row r="380" spans="1:19" s="26" customFormat="1" x14ac:dyDescent="0.2">
      <c r="A380" s="45"/>
      <c r="B380" s="19"/>
      <c r="C380" s="627"/>
      <c r="D380" s="85"/>
      <c r="E380" s="627"/>
      <c r="F380" s="569"/>
      <c r="G380" s="85"/>
      <c r="H380" s="30"/>
      <c r="I380" s="108">
        <v>0.3</v>
      </c>
      <c r="J380" s="23">
        <f>I379*I380</f>
        <v>151200</v>
      </c>
      <c r="K380" s="42">
        <v>1</v>
      </c>
      <c r="L380" s="15">
        <v>43559</v>
      </c>
      <c r="M380" s="112" t="s">
        <v>104</v>
      </c>
      <c r="N380" s="30"/>
      <c r="O380" s="554"/>
      <c r="P380" s="876">
        <f>IF(M380="en attente",J380,"")</f>
        <v>151200</v>
      </c>
      <c r="Q380" s="367">
        <f>IF(L380="",J380-M380,0)</f>
        <v>0</v>
      </c>
      <c r="R380" s="81"/>
      <c r="S380" s="163"/>
    </row>
    <row r="381" spans="1:19" s="26" customFormat="1" x14ac:dyDescent="0.2">
      <c r="A381" s="45"/>
      <c r="B381" s="19"/>
      <c r="C381" s="627"/>
      <c r="D381" s="85"/>
      <c r="E381" s="627"/>
      <c r="F381" s="569"/>
      <c r="G381" s="85"/>
      <c r="H381" s="30"/>
      <c r="I381" s="108">
        <v>0.5</v>
      </c>
      <c r="J381" s="23">
        <f>I379*I381-J380</f>
        <v>100800</v>
      </c>
      <c r="K381" s="42">
        <v>2</v>
      </c>
      <c r="L381" s="15"/>
      <c r="M381" s="20"/>
      <c r="N381" s="30"/>
      <c r="O381" s="554"/>
      <c r="P381" s="876" t="str">
        <f>IF(M381="en attente",J381,"")</f>
        <v/>
      </c>
      <c r="Q381" s="367">
        <f>IF(L381="",J381-M381,0)</f>
        <v>100800</v>
      </c>
      <c r="R381" s="81"/>
      <c r="S381" s="163"/>
    </row>
    <row r="382" spans="1:19" s="26" customFormat="1" x14ac:dyDescent="0.2">
      <c r="A382" s="45"/>
      <c r="B382" s="19"/>
      <c r="C382" s="627"/>
      <c r="D382" s="85"/>
      <c r="E382" s="627"/>
      <c r="F382" s="569"/>
      <c r="G382" s="85"/>
      <c r="H382" s="30"/>
      <c r="I382" s="108">
        <v>0.8</v>
      </c>
      <c r="J382" s="23">
        <f>I379*I382-J380-J381</f>
        <v>151200</v>
      </c>
      <c r="K382" s="42">
        <v>3</v>
      </c>
      <c r="L382" s="15"/>
      <c r="M382" s="20"/>
      <c r="N382" s="30"/>
      <c r="O382" s="554"/>
      <c r="P382" s="876" t="str">
        <f>IF(M382="en attente",J382,"")</f>
        <v/>
      </c>
      <c r="Q382" s="367">
        <f>IF(L382="",J382-M382,0)</f>
        <v>151200</v>
      </c>
      <c r="R382" s="81"/>
      <c r="S382" s="163"/>
    </row>
    <row r="383" spans="1:19" s="26" customFormat="1" x14ac:dyDescent="0.2">
      <c r="A383" s="46"/>
      <c r="B383" s="4"/>
      <c r="C383" s="553"/>
      <c r="D383" s="85"/>
      <c r="E383" s="494"/>
      <c r="F383" s="559"/>
      <c r="G383" s="85"/>
      <c r="H383" s="155"/>
      <c r="I383" s="108">
        <v>1</v>
      </c>
      <c r="J383" s="23">
        <f>I379-J380-J381-J382</f>
        <v>100800</v>
      </c>
      <c r="K383" s="42">
        <v>4</v>
      </c>
      <c r="L383" s="15"/>
      <c r="M383" s="24"/>
      <c r="N383" s="30"/>
      <c r="O383" s="554"/>
      <c r="P383" s="878" t="str">
        <f>IF(M383="en attente",J383,"")</f>
        <v/>
      </c>
      <c r="Q383" s="444">
        <f>IF(L383="",J383-M383,0)</f>
        <v>100800</v>
      </c>
      <c r="R383" s="81"/>
      <c r="S383" s="163"/>
    </row>
    <row r="384" spans="1:19" s="26" customFormat="1" x14ac:dyDescent="0.2">
      <c r="A384" s="119" t="s">
        <v>365</v>
      </c>
      <c r="B384" s="125" t="s">
        <v>364</v>
      </c>
      <c r="C384" s="560">
        <v>43287</v>
      </c>
      <c r="D384" s="151">
        <f t="shared" ref="D384:D394" si="59">DATE(YEAR(C384),MONTH(C384)+18,DAY(C384))</f>
        <v>43836</v>
      </c>
      <c r="E384" s="555"/>
      <c r="F384" s="565"/>
      <c r="G384" s="151">
        <f t="shared" ref="G384:G394" si="60">DATE(YEAR(C384)+4,MONTH(C384),DAY(C384))</f>
        <v>44748</v>
      </c>
      <c r="H384" s="555"/>
      <c r="I384" s="260">
        <v>780000</v>
      </c>
      <c r="J384" s="253"/>
      <c r="K384" s="257"/>
      <c r="L384" s="216"/>
      <c r="M384" s="126">
        <f>SUM(M385)</f>
        <v>0</v>
      </c>
      <c r="N384" s="216"/>
      <c r="O384" s="558"/>
      <c r="P384" s="259">
        <f>SUM(P385)</f>
        <v>0</v>
      </c>
      <c r="Q384" s="184">
        <f>SUM(Q385)</f>
        <v>780000</v>
      </c>
      <c r="R384" s="259"/>
      <c r="S384" s="166">
        <f>I384-(M384+P384+Q384)</f>
        <v>0</v>
      </c>
    </row>
    <row r="385" spans="1:19" s="26" customFormat="1" x14ac:dyDescent="0.2">
      <c r="A385" s="118"/>
      <c r="B385" s="39"/>
      <c r="C385" s="563"/>
      <c r="D385" s="85"/>
      <c r="E385" s="36"/>
      <c r="F385" s="564"/>
      <c r="G385" s="85"/>
      <c r="H385" s="36"/>
      <c r="I385" s="153"/>
      <c r="J385" s="35">
        <v>780000</v>
      </c>
      <c r="K385" s="44"/>
      <c r="L385" s="36"/>
      <c r="M385" s="37"/>
      <c r="N385" s="155"/>
      <c r="O385" s="156"/>
      <c r="P385" s="157" t="str">
        <f>IF(M385="en attente",J385,"")</f>
        <v/>
      </c>
      <c r="Q385" s="444">
        <f>IF(L385="",J385-M385,0)</f>
        <v>780000</v>
      </c>
      <c r="R385" s="157"/>
      <c r="S385" s="166"/>
    </row>
    <row r="386" spans="1:19" s="26" customFormat="1" x14ac:dyDescent="0.2">
      <c r="A386" s="119" t="s">
        <v>371</v>
      </c>
      <c r="B386" s="125" t="s">
        <v>375</v>
      </c>
      <c r="C386" s="560">
        <v>43334</v>
      </c>
      <c r="D386" s="151">
        <f t="shared" si="59"/>
        <v>43883</v>
      </c>
      <c r="E386" s="555"/>
      <c r="F386" s="565"/>
      <c r="G386" s="151">
        <f t="shared" si="60"/>
        <v>44795</v>
      </c>
      <c r="H386" s="555"/>
      <c r="I386" s="260">
        <v>418000</v>
      </c>
      <c r="J386" s="253"/>
      <c r="K386" s="257"/>
      <c r="L386" s="216"/>
      <c r="M386" s="126">
        <f>SUM(M387)</f>
        <v>0</v>
      </c>
      <c r="N386" s="216"/>
      <c r="O386" s="558"/>
      <c r="P386" s="259">
        <f>SUM(P387)</f>
        <v>0</v>
      </c>
      <c r="Q386" s="170">
        <f>SUM(Q387)</f>
        <v>418000</v>
      </c>
      <c r="R386" s="259"/>
      <c r="S386" s="166">
        <f t="shared" ref="S386:S394" si="61">I386-(M386+P386+Q386)</f>
        <v>0</v>
      </c>
    </row>
    <row r="387" spans="1:19" s="26" customFormat="1" x14ac:dyDescent="0.2">
      <c r="A387" s="118"/>
      <c r="B387" s="39"/>
      <c r="C387" s="563"/>
      <c r="D387" s="85"/>
      <c r="E387" s="36"/>
      <c r="F387" s="564"/>
      <c r="G387" s="85"/>
      <c r="H387" s="36"/>
      <c r="I387" s="153"/>
      <c r="J387" s="35">
        <v>418000</v>
      </c>
      <c r="K387" s="44"/>
      <c r="L387" s="36"/>
      <c r="M387" s="37"/>
      <c r="N387" s="155"/>
      <c r="O387" s="711"/>
      <c r="P387" s="444" t="str">
        <f>IF(M387="en attente",J387,"")</f>
        <v/>
      </c>
      <c r="Q387" s="444">
        <f t="shared" ref="Q387:Q395" si="62">IF(L387="",J387-M387,0)</f>
        <v>418000</v>
      </c>
      <c r="R387" s="81"/>
      <c r="S387" s="166"/>
    </row>
    <row r="388" spans="1:19" s="26" customFormat="1" x14ac:dyDescent="0.2">
      <c r="A388" s="119" t="s">
        <v>372</v>
      </c>
      <c r="B388" s="125" t="s">
        <v>376</v>
      </c>
      <c r="C388" s="560">
        <v>43334</v>
      </c>
      <c r="D388" s="151">
        <f t="shared" si="59"/>
        <v>43883</v>
      </c>
      <c r="E388" s="555"/>
      <c r="F388" s="565"/>
      <c r="G388" s="151">
        <f t="shared" si="60"/>
        <v>44795</v>
      </c>
      <c r="H388" s="555"/>
      <c r="I388" s="260">
        <v>714000</v>
      </c>
      <c r="J388" s="253"/>
      <c r="K388" s="257"/>
      <c r="L388" s="216"/>
      <c r="M388" s="126">
        <f>SUM(M389)</f>
        <v>0</v>
      </c>
      <c r="N388" s="216"/>
      <c r="O388" s="558"/>
      <c r="P388" s="259">
        <f>SUM(P389)</f>
        <v>0</v>
      </c>
      <c r="Q388" s="170">
        <f>SUM(Q389)</f>
        <v>714000</v>
      </c>
      <c r="R388" s="259"/>
      <c r="S388" s="166">
        <f t="shared" si="61"/>
        <v>0</v>
      </c>
    </row>
    <row r="389" spans="1:19" s="26" customFormat="1" x14ac:dyDescent="0.2">
      <c r="A389" s="118"/>
      <c r="B389" s="39"/>
      <c r="C389" s="563"/>
      <c r="D389" s="85"/>
      <c r="E389" s="36"/>
      <c r="F389" s="564"/>
      <c r="G389" s="85"/>
      <c r="H389" s="36"/>
      <c r="I389" s="153"/>
      <c r="J389" s="35">
        <v>714000</v>
      </c>
      <c r="K389" s="44"/>
      <c r="L389" s="36"/>
      <c r="M389" s="37"/>
      <c r="N389" s="155"/>
      <c r="O389" s="711"/>
      <c r="P389" s="444" t="str">
        <f>IF(M389="en attente",J389,"")</f>
        <v/>
      </c>
      <c r="Q389" s="444">
        <f t="shared" si="62"/>
        <v>714000</v>
      </c>
      <c r="R389" s="81"/>
      <c r="S389" s="166"/>
    </row>
    <row r="390" spans="1:19" s="26" customFormat="1" x14ac:dyDescent="0.2">
      <c r="A390" s="119" t="s">
        <v>373</v>
      </c>
      <c r="B390" s="125" t="s">
        <v>377</v>
      </c>
      <c r="C390" s="560">
        <v>43334</v>
      </c>
      <c r="D390" s="151">
        <f t="shared" si="59"/>
        <v>43883</v>
      </c>
      <c r="E390" s="555"/>
      <c r="F390" s="565"/>
      <c r="G390" s="151">
        <f t="shared" si="60"/>
        <v>44795</v>
      </c>
      <c r="H390" s="555"/>
      <c r="I390" s="260">
        <v>323000</v>
      </c>
      <c r="J390" s="253"/>
      <c r="K390" s="257"/>
      <c r="L390" s="216"/>
      <c r="M390" s="126">
        <f>SUM(M391)</f>
        <v>0</v>
      </c>
      <c r="N390" s="216"/>
      <c r="O390" s="558"/>
      <c r="P390" s="259">
        <f>SUM(P391)</f>
        <v>0</v>
      </c>
      <c r="Q390" s="170">
        <f>SUM(Q391)</f>
        <v>323000</v>
      </c>
      <c r="R390" s="259"/>
      <c r="S390" s="166">
        <f t="shared" si="61"/>
        <v>0</v>
      </c>
    </row>
    <row r="391" spans="1:19" s="26" customFormat="1" x14ac:dyDescent="0.2">
      <c r="A391" s="118"/>
      <c r="B391" s="39"/>
      <c r="C391" s="563"/>
      <c r="D391" s="85"/>
      <c r="E391" s="36"/>
      <c r="F391" s="564"/>
      <c r="G391" s="85"/>
      <c r="H391" s="36"/>
      <c r="I391" s="153"/>
      <c r="J391" s="35">
        <v>323000</v>
      </c>
      <c r="K391" s="44"/>
      <c r="L391" s="36"/>
      <c r="M391" s="37"/>
      <c r="N391" s="155"/>
      <c r="O391" s="711"/>
      <c r="P391" s="444" t="str">
        <f>IF(M391="en attente",J391,"")</f>
        <v/>
      </c>
      <c r="Q391" s="444">
        <f t="shared" si="62"/>
        <v>323000</v>
      </c>
      <c r="R391" s="81"/>
      <c r="S391" s="166"/>
    </row>
    <row r="392" spans="1:19" s="26" customFormat="1" x14ac:dyDescent="0.2">
      <c r="A392" s="119" t="s">
        <v>374</v>
      </c>
      <c r="B392" s="125" t="s">
        <v>378</v>
      </c>
      <c r="C392" s="560">
        <v>43334</v>
      </c>
      <c r="D392" s="151">
        <f t="shared" si="59"/>
        <v>43883</v>
      </c>
      <c r="E392" s="555"/>
      <c r="F392" s="565"/>
      <c r="G392" s="151">
        <f t="shared" si="60"/>
        <v>44795</v>
      </c>
      <c r="H392" s="555"/>
      <c r="I392" s="260">
        <v>643500</v>
      </c>
      <c r="J392" s="253"/>
      <c r="K392" s="257"/>
      <c r="L392" s="216"/>
      <c r="M392" s="126">
        <f>SUM(M393)</f>
        <v>0</v>
      </c>
      <c r="N392" s="216"/>
      <c r="O392" s="558"/>
      <c r="P392" s="259">
        <f>SUM(P393)</f>
        <v>0</v>
      </c>
      <c r="Q392" s="170">
        <f>SUM(Q393)</f>
        <v>643500</v>
      </c>
      <c r="R392" s="259"/>
      <c r="S392" s="166">
        <f t="shared" si="61"/>
        <v>0</v>
      </c>
    </row>
    <row r="393" spans="1:19" s="26" customFormat="1" x14ac:dyDescent="0.2">
      <c r="A393" s="46"/>
      <c r="B393" s="4"/>
      <c r="C393" s="553"/>
      <c r="D393" s="30"/>
      <c r="E393" s="15"/>
      <c r="F393" s="548"/>
      <c r="G393" s="30"/>
      <c r="H393" s="15"/>
      <c r="I393" s="108"/>
      <c r="J393" s="23">
        <v>643500</v>
      </c>
      <c r="K393" s="42"/>
      <c r="L393" s="15"/>
      <c r="M393" s="24"/>
      <c r="N393" s="30"/>
      <c r="O393" s="554"/>
      <c r="P393" s="367" t="str">
        <f>IF(M393="en attente",J393,"")</f>
        <v/>
      </c>
      <c r="Q393" s="367">
        <f t="shared" si="62"/>
        <v>643500</v>
      </c>
      <c r="R393" s="81"/>
      <c r="S393" s="166"/>
    </row>
    <row r="394" spans="1:19" s="26" customFormat="1" x14ac:dyDescent="0.2">
      <c r="A394" s="119" t="s">
        <v>390</v>
      </c>
      <c r="B394" s="125" t="s">
        <v>391</v>
      </c>
      <c r="C394" s="560">
        <v>43374</v>
      </c>
      <c r="D394" s="151">
        <f t="shared" si="59"/>
        <v>43922</v>
      </c>
      <c r="E394" s="555"/>
      <c r="F394" s="565"/>
      <c r="G394" s="151">
        <f t="shared" si="60"/>
        <v>44835</v>
      </c>
      <c r="H394" s="555"/>
      <c r="I394" s="260">
        <v>741000</v>
      </c>
      <c r="J394" s="253"/>
      <c r="K394" s="257"/>
      <c r="L394" s="216"/>
      <c r="M394" s="126">
        <f>SUM(M395)</f>
        <v>0</v>
      </c>
      <c r="N394" s="216"/>
      <c r="O394" s="558"/>
      <c r="P394" s="259">
        <f>SUM(P395)</f>
        <v>0</v>
      </c>
      <c r="Q394" s="170">
        <f>SUM(Q395)</f>
        <v>741000</v>
      </c>
      <c r="R394" s="259"/>
      <c r="S394" s="166">
        <f t="shared" si="61"/>
        <v>0</v>
      </c>
    </row>
    <row r="395" spans="1:19" s="26" customFormat="1" x14ac:dyDescent="0.2">
      <c r="A395" s="118"/>
      <c r="B395" s="39"/>
      <c r="C395" s="563"/>
      <c r="D395" s="155"/>
      <c r="E395" s="36"/>
      <c r="F395" s="564"/>
      <c r="G395" s="155"/>
      <c r="H395" s="36"/>
      <c r="I395" s="153"/>
      <c r="J395" s="35">
        <v>741000</v>
      </c>
      <c r="K395" s="44"/>
      <c r="L395" s="36"/>
      <c r="M395" s="37"/>
      <c r="N395" s="155"/>
      <c r="O395" s="711"/>
      <c r="P395" s="367" t="str">
        <f>IF(M395="en attente",J395,"")</f>
        <v/>
      </c>
      <c r="Q395" s="367">
        <f t="shared" si="62"/>
        <v>741000</v>
      </c>
      <c r="R395" s="157"/>
      <c r="S395" s="166"/>
    </row>
    <row r="396" spans="1:19" s="26" customFormat="1" ht="12" customHeight="1" x14ac:dyDescent="0.2">
      <c r="A396" s="446"/>
      <c r="B396" s="57"/>
      <c r="C396" s="262"/>
      <c r="D396" s="264"/>
      <c r="E396" s="264"/>
      <c r="F396" s="447"/>
      <c r="G396" s="264"/>
      <c r="H396" s="264"/>
      <c r="I396" s="448"/>
      <c r="J396" s="265"/>
      <c r="K396" s="266"/>
      <c r="L396" s="264"/>
      <c r="M396" s="267"/>
      <c r="N396" s="268"/>
      <c r="O396" s="449"/>
      <c r="P396" s="269"/>
      <c r="Q396" s="269"/>
      <c r="R396" s="269"/>
      <c r="S396" s="163"/>
    </row>
    <row r="397" spans="1:19" s="26" customFormat="1" x14ac:dyDescent="0.2">
      <c r="A397" s="118"/>
      <c r="B397" s="39"/>
      <c r="C397" s="33"/>
      <c r="D397" s="36"/>
      <c r="E397" s="36"/>
      <c r="F397" s="175"/>
      <c r="G397" s="36"/>
      <c r="H397" s="36"/>
      <c r="I397" s="153"/>
      <c r="J397" s="35"/>
      <c r="K397" s="44"/>
      <c r="L397" s="36"/>
      <c r="M397" s="37"/>
      <c r="N397" s="155"/>
      <c r="O397" s="156"/>
      <c r="P397" s="157"/>
      <c r="Q397" s="157"/>
      <c r="R397" s="157"/>
      <c r="S397" s="163"/>
    </row>
    <row r="398" spans="1:19" s="8" customFormat="1" x14ac:dyDescent="0.2">
      <c r="A398" s="48"/>
      <c r="B398" s="48"/>
      <c r="C398" s="48"/>
      <c r="D398" s="48"/>
      <c r="E398" s="48"/>
      <c r="F398" s="179"/>
      <c r="G398" s="48"/>
      <c r="H398" s="48"/>
      <c r="I398" s="41">
        <f>I6+I23+I94+I98+I158+I54+I62+I34+I44+I70+I100+I108+I78+I84+I89+I115+I163+I245+I168+I175+I123+I131+I137+I177+I184+I229+I143+I148+I153+I231+I233+I243+I195+I197+I204+I251+I211+I253+I268+I217+I274+I260+I276+I284+I291+I313+I320+I299+I307+I328+I333+I223+I190+I13+I344+I346+I348+I350+I338+I352+I359+I366+I371+I373+I377+I379+I375+I384+I386+I388+I390+I392+I394</f>
        <v>38901471</v>
      </c>
      <c r="J398" s="41">
        <f>SUMPRODUCT((DateAF_LBU&lt;&gt;"")*MontantAF_LBU)</f>
        <v>25983371.969999999</v>
      </c>
      <c r="K398" s="49"/>
      <c r="L398" s="50"/>
      <c r="M398" s="41">
        <f>M6+M13+M190+M23+M94+M98+M158+M54+M62+M34+M44+M70+M100+M108+M78+M84+M89+M115+M163+M245+M168+M175+M123+M131+M137+M177+M184+M229+M143+M148+M153+M231+M233+M243+M195+M197+M204+M251+M211+M253+M268+M217+M274+M260+M276+M284+M291+M313+M320+M299+M307+M328+M333+M223+M344+M346+M348+M350+M338+M352+M359+M366+M371+M373+M377+M379+M375+M384+M386+M388+M390+M392+M394</f>
        <v>25452869</v>
      </c>
      <c r="N398" s="86"/>
      <c r="O398" s="79"/>
      <c r="P398" s="82">
        <f>P6+P23+P94+P98+P158+P54+P62+P34+P44+P70+P100+P108+P78+P84+P89+P115+P163+P245+P168+P175+P123+P131+P137+P177+P184+P229+P143+P148+P153+P231+P233+P243+P195+P197+P204+P251+P211+P253+P268+P217+P274+P260+P276+P284+P291+P313+P320+P299+P307+P328+P333+P223+P344+P346+P348+P350+P338+P352+P359+P366+P371+P373+P377+P379+P375+P384+P13+P190+P386+P388+P390+P392+P394</f>
        <v>523812</v>
      </c>
      <c r="Q398" s="82">
        <f>Q6+Q23+Q94+Q98+Q158+Q54+Q62+Q34+Q44+Q70+Q100+Q108+Q78+Q84+Q89+Q115+Q163+Q245+Q168+Q175+Q123+Q131+Q137+Q177+Q184+Q229+Q143+Q148+Q153+Q231+Q233+Q243+Q195+Q197+Q204+Q251+Q211+Q253+Q268+Q217+Q274+Q260+Q276+Q284+Q291+Q313+Q320+Q299+Q307+Q328+Q333+Q223+Q344+Q346+Q348+Q350+Q338+Q352+Q359+Q366+Q371+Q373+Q377+Q379+Q375+Q384+Q13+Q190+Q386+Q388+Q390+Q392+Q394</f>
        <v>12924786</v>
      </c>
      <c r="R398" s="82"/>
      <c r="S398" s="166">
        <f>I398-(M398+P398+Q398)</f>
        <v>4</v>
      </c>
    </row>
    <row r="399" spans="1:19" x14ac:dyDescent="0.2">
      <c r="A399" s="75"/>
      <c r="B399" s="76"/>
      <c r="C399" s="76"/>
      <c r="D399" s="76"/>
      <c r="E399" s="76"/>
      <c r="F399" s="180"/>
      <c r="G399" s="76"/>
      <c r="H399" s="76"/>
      <c r="I399" s="76"/>
      <c r="J399" s="76"/>
      <c r="K399" s="75"/>
      <c r="L399" s="76"/>
      <c r="M399" s="76"/>
      <c r="N399" s="87"/>
      <c r="O399" s="80"/>
      <c r="P399" s="921">
        <f>SUM(P398:Q398)</f>
        <v>13448598</v>
      </c>
      <c r="Q399" s="922"/>
    </row>
    <row r="400" spans="1:19" ht="12.75" thickBot="1" x14ac:dyDescent="0.25">
      <c r="K400" s="91"/>
    </row>
    <row r="401" spans="1:19" ht="12.75" thickBot="1" x14ac:dyDescent="0.25">
      <c r="J401" s="748" t="s">
        <v>219</v>
      </c>
      <c r="K401" s="741"/>
      <c r="L401" s="742"/>
      <c r="M401" s="752" t="s">
        <v>221</v>
      </c>
    </row>
    <row r="402" spans="1:19" x14ac:dyDescent="0.2">
      <c r="I402" s="755">
        <v>2009</v>
      </c>
      <c r="J402" s="749">
        <f>SUMPRODUCT((YEAR($I$421:$I$501)=I402)*($J$421:$J$501))</f>
        <v>0</v>
      </c>
      <c r="K402" s="525"/>
      <c r="L402" s="47"/>
      <c r="M402" s="749">
        <f t="shared" ref="M402:M409" si="63">SUMPRODUCT((YEAR($I$421:$I$501)=I402)*($M$421:$M$501))</f>
        <v>830071.5</v>
      </c>
    </row>
    <row r="403" spans="1:19" x14ac:dyDescent="0.2">
      <c r="I403" s="753">
        <v>2010</v>
      </c>
      <c r="J403" s="749">
        <f t="shared" ref="J403:J409" si="64">SUMPRODUCT((YEAR($I$421:$I$501)=I403)*($J$421:$J$501))</f>
        <v>2578304.0300000003</v>
      </c>
      <c r="K403" s="525"/>
      <c r="L403" s="47"/>
      <c r="M403" s="749">
        <f t="shared" si="63"/>
        <v>1071068.93</v>
      </c>
    </row>
    <row r="404" spans="1:19" x14ac:dyDescent="0.2">
      <c r="I404" s="753">
        <v>2011</v>
      </c>
      <c r="J404" s="749">
        <f t="shared" si="64"/>
        <v>1379921.74</v>
      </c>
      <c r="K404" s="525"/>
      <c r="L404" s="47"/>
      <c r="M404" s="749">
        <f t="shared" si="63"/>
        <v>1745441.3800000001</v>
      </c>
    </row>
    <row r="405" spans="1:19" x14ac:dyDescent="0.2">
      <c r="F405" s="680"/>
      <c r="I405" s="754">
        <v>2012</v>
      </c>
      <c r="J405" s="749">
        <f t="shared" si="64"/>
        <v>2290444.0999999996</v>
      </c>
      <c r="K405" s="525"/>
      <c r="L405" s="47"/>
      <c r="M405" s="749">
        <f t="shared" si="63"/>
        <v>2192494.3899999997</v>
      </c>
    </row>
    <row r="406" spans="1:19" x14ac:dyDescent="0.2">
      <c r="I406" s="754">
        <v>2013</v>
      </c>
      <c r="J406" s="749">
        <f t="shared" si="64"/>
        <v>2713185.75</v>
      </c>
      <c r="K406" s="525"/>
      <c r="L406" s="47"/>
      <c r="M406" s="749">
        <f t="shared" si="63"/>
        <v>3091587.22</v>
      </c>
    </row>
    <row r="407" spans="1:19" x14ac:dyDescent="0.2">
      <c r="I407" s="754">
        <v>2014</v>
      </c>
      <c r="J407" s="749">
        <f t="shared" si="64"/>
        <v>2180533.38</v>
      </c>
      <c r="K407" s="525"/>
      <c r="L407" s="47"/>
      <c r="M407" s="749">
        <f t="shared" si="63"/>
        <v>1926685.98</v>
      </c>
    </row>
    <row r="408" spans="1:19" x14ac:dyDescent="0.2">
      <c r="I408" s="754">
        <v>2015</v>
      </c>
      <c r="J408" s="749">
        <f t="shared" si="64"/>
        <v>3885594.4799999995</v>
      </c>
      <c r="K408" s="525"/>
      <c r="L408" s="47"/>
      <c r="M408" s="749">
        <f t="shared" si="63"/>
        <v>3628789.28</v>
      </c>
    </row>
    <row r="409" spans="1:19" x14ac:dyDescent="0.2">
      <c r="A409" s="1"/>
      <c r="F409" s="1"/>
      <c r="I409" s="754">
        <v>2016</v>
      </c>
      <c r="J409" s="749">
        <f t="shared" si="64"/>
        <v>2177727.7512000003</v>
      </c>
      <c r="K409" s="525"/>
      <c r="L409" s="47"/>
      <c r="M409" s="749">
        <f t="shared" si="63"/>
        <v>2546228.35</v>
      </c>
      <c r="S409" s="1"/>
    </row>
    <row r="410" spans="1:19" x14ac:dyDescent="0.2">
      <c r="A410" s="1"/>
      <c r="F410" s="1"/>
      <c r="I410" s="754">
        <v>2017</v>
      </c>
      <c r="J410" s="749">
        <f>SUMPRODUCT((YEAR($I$421:$I$513)=I410)*($J$421:$J$513))</f>
        <v>3905691.3887999998</v>
      </c>
      <c r="K410" s="525"/>
      <c r="L410" s="47"/>
      <c r="M410" s="749">
        <f>SUMPRODUCT((YEAR($I$421:$I$513)=I410)*($M$421:$M$513))</f>
        <v>3536728.59</v>
      </c>
      <c r="S410" s="1"/>
    </row>
    <row r="411" spans="1:19" ht="12.75" thickBot="1" x14ac:dyDescent="0.25">
      <c r="A411" s="1"/>
      <c r="F411" s="1"/>
      <c r="I411" s="754">
        <v>2018</v>
      </c>
      <c r="J411" s="749">
        <f>SUMPRODUCT((YEAR($I$421:$I$525)=I411)*($J$421:$J$525))</f>
        <v>3811521.15</v>
      </c>
      <c r="K411" s="525"/>
      <c r="L411" s="47"/>
      <c r="M411" s="749">
        <f>SUMPRODUCT((YEAR($I$421:$I$525)=I411)*($M$421:$M$525))</f>
        <v>4229192.16</v>
      </c>
      <c r="S411" s="1"/>
    </row>
    <row r="412" spans="1:19" ht="12.75" thickBot="1" x14ac:dyDescent="0.25">
      <c r="A412" s="1"/>
      <c r="F412" s="1"/>
      <c r="I412" s="756">
        <v>2019</v>
      </c>
      <c r="J412" s="750">
        <f>SUMPRODUCT((YEAR($I$421:$I$537)=I412)*($J$421:$J$537))</f>
        <v>1060448.2</v>
      </c>
      <c r="K412" s="757"/>
      <c r="L412" s="758"/>
      <c r="M412" s="759">
        <f>SUMPRODUCT((YEAR($I$421:$I$537)=I412)*($M$421:$M$537))</f>
        <v>570865.69999999995</v>
      </c>
      <c r="S412" s="1"/>
    </row>
    <row r="413" spans="1:19" ht="12.75" thickBot="1" x14ac:dyDescent="0.25">
      <c r="A413" s="1"/>
      <c r="F413" s="1"/>
      <c r="I413" s="77"/>
      <c r="J413" s="751">
        <f>SUM(J402:J411)</f>
        <v>24922923.77</v>
      </c>
      <c r="K413" s="746"/>
      <c r="L413" s="747"/>
      <c r="M413" s="751">
        <f>SUM(M402:M411)</f>
        <v>24798287.780000001</v>
      </c>
      <c r="S413" s="1"/>
    </row>
    <row r="414" spans="1:19" x14ac:dyDescent="0.2">
      <c r="A414" s="1"/>
      <c r="F414" s="1"/>
      <c r="I414" s="77"/>
      <c r="J414" s="91">
        <f>J413-J538</f>
        <v>-1060448.1999999993</v>
      </c>
      <c r="M414" s="91">
        <f>M413-M538</f>
        <v>-570865.6999999918</v>
      </c>
      <c r="S414" s="1"/>
    </row>
    <row r="415" spans="1:19" x14ac:dyDescent="0.2">
      <c r="A415" s="1"/>
      <c r="F415" s="1"/>
      <c r="J415" s="91"/>
      <c r="S415" s="1"/>
    </row>
    <row r="416" spans="1:19" x14ac:dyDescent="0.2">
      <c r="A416" s="1"/>
      <c r="F416" s="1"/>
      <c r="J416" s="91"/>
      <c r="S416" s="1"/>
    </row>
    <row r="417" spans="1:19" x14ac:dyDescent="0.2">
      <c r="A417" s="1"/>
      <c r="F417" s="1"/>
      <c r="J417" s="91"/>
      <c r="S417" s="1"/>
    </row>
    <row r="418" spans="1:19" x14ac:dyDescent="0.2">
      <c r="A418" s="1"/>
      <c r="F418" s="1"/>
      <c r="J418" s="91"/>
      <c r="S418" s="1"/>
    </row>
    <row r="419" spans="1:19" x14ac:dyDescent="0.2">
      <c r="A419" s="1"/>
      <c r="F419" s="1"/>
      <c r="S419" s="1"/>
    </row>
    <row r="420" spans="1:19" collapsed="1" x14ac:dyDescent="0.2">
      <c r="A420" s="1"/>
      <c r="F420" s="1"/>
      <c r="J420" s="371" t="s">
        <v>219</v>
      </c>
      <c r="M420" s="372" t="s">
        <v>221</v>
      </c>
      <c r="S420" s="1"/>
    </row>
    <row r="421" spans="1:19" hidden="1" outlineLevel="1" x14ac:dyDescent="0.2">
      <c r="A421" s="1"/>
      <c r="F421" s="1"/>
      <c r="H421" s="91">
        <f>M24</f>
        <v>830071.5</v>
      </c>
      <c r="I421" s="380">
        <v>40026</v>
      </c>
      <c r="J421" s="375">
        <f>SUMPRODUCT((DateAF_LBU&lt;&gt;"")*(MONTH(DateAF_LBU)=MONTH(I421))*(YEAR(DateAF_LBU)=YEAR(I421))*MontantAF_LBU)</f>
        <v>0</v>
      </c>
      <c r="M421" s="375">
        <f t="shared" ref="M421:M427" si="65">SUMPRODUCT((DatePmt_LBU&lt;&gt;"")*(DatePmt_LBU&lt;&gt;"en attente")*(MONTH(DatePmt_LBU)=MONTH(I421))*(YEAR(DatePmt_LBU)=YEAR(I421))*(ISNUMBER(MtntPaye_LBU)),MtntPaye_LBU)</f>
        <v>830071.5</v>
      </c>
      <c r="P421" s="91"/>
      <c r="S421" s="1"/>
    </row>
    <row r="422" spans="1:19" hidden="1" outlineLevel="1" x14ac:dyDescent="0.2">
      <c r="A422" s="1"/>
      <c r="F422" s="1"/>
      <c r="H422" s="91">
        <f>M25</f>
        <v>74153.05</v>
      </c>
      <c r="I422" s="380">
        <v>40299</v>
      </c>
      <c r="J422" s="375">
        <f t="shared" ref="J422:J428" si="66">SUMPRODUCT((DateAF_LBU&lt;&gt;"")*(MONTH(DateAF_LBU)=MONTH(I422))*(YEAR(DateAF_LBU)=YEAR(I422))*MontantAF_LBU)</f>
        <v>0</v>
      </c>
      <c r="M422" s="375">
        <f t="shared" si="65"/>
        <v>74153.05</v>
      </c>
      <c r="S422" s="1"/>
    </row>
    <row r="423" spans="1:19" hidden="1" outlineLevel="1" x14ac:dyDescent="0.2">
      <c r="A423" s="1"/>
      <c r="F423" s="1"/>
      <c r="H423" s="91">
        <f>M26</f>
        <v>89094.34</v>
      </c>
      <c r="I423" s="380">
        <v>40330</v>
      </c>
      <c r="J423" s="375">
        <f t="shared" si="66"/>
        <v>0</v>
      </c>
      <c r="M423" s="375">
        <f t="shared" si="65"/>
        <v>89094.34</v>
      </c>
      <c r="S423" s="1"/>
    </row>
    <row r="424" spans="1:19" hidden="1" outlineLevel="1" x14ac:dyDescent="0.2">
      <c r="A424" s="1"/>
      <c r="F424" s="1"/>
      <c r="H424" s="91">
        <f>M27</f>
        <v>149966.26</v>
      </c>
      <c r="I424" s="380">
        <v>40360</v>
      </c>
      <c r="J424" s="375">
        <f t="shared" si="66"/>
        <v>0</v>
      </c>
      <c r="M424" s="375">
        <f t="shared" si="65"/>
        <v>149966.26</v>
      </c>
      <c r="S424" s="1"/>
    </row>
    <row r="425" spans="1:19" hidden="1" outlineLevel="1" x14ac:dyDescent="0.2">
      <c r="A425" s="1"/>
      <c r="F425" s="1"/>
      <c r="H425" s="91">
        <f>M28</f>
        <v>177358.61000000002</v>
      </c>
      <c r="I425" s="380">
        <v>40391</v>
      </c>
      <c r="J425" s="375">
        <f t="shared" si="66"/>
        <v>0</v>
      </c>
      <c r="M425" s="375">
        <f t="shared" si="65"/>
        <v>177358.61000000002</v>
      </c>
      <c r="N425" s="1"/>
      <c r="S425" s="1"/>
    </row>
    <row r="426" spans="1:19" hidden="1" outlineLevel="1" x14ac:dyDescent="0.2">
      <c r="A426" s="1"/>
      <c r="F426" s="1"/>
      <c r="H426" s="1">
        <f>0</f>
        <v>0</v>
      </c>
      <c r="I426" s="380">
        <v>40422</v>
      </c>
      <c r="J426" s="375">
        <f t="shared" si="66"/>
        <v>0</v>
      </c>
      <c r="M426" s="375">
        <f t="shared" si="65"/>
        <v>0</v>
      </c>
      <c r="N426" s="1"/>
      <c r="S426" s="1"/>
    </row>
    <row r="427" spans="1:19" hidden="1" outlineLevel="1" x14ac:dyDescent="0.2">
      <c r="A427" s="1"/>
      <c r="F427" s="1"/>
      <c r="H427" s="1">
        <f>0</f>
        <v>0</v>
      </c>
      <c r="I427" s="380">
        <v>40452</v>
      </c>
      <c r="J427" s="375">
        <f t="shared" si="66"/>
        <v>0</v>
      </c>
      <c r="M427" s="375">
        <f t="shared" si="65"/>
        <v>0</v>
      </c>
      <c r="N427" s="1"/>
      <c r="O427" s="1"/>
      <c r="S427" s="1"/>
    </row>
    <row r="428" spans="1:19" hidden="1" outlineLevel="1" x14ac:dyDescent="0.2">
      <c r="A428" s="1"/>
      <c r="F428" s="1"/>
      <c r="H428" s="91">
        <f>M29</f>
        <v>370488.57999999996</v>
      </c>
      <c r="I428" s="368">
        <v>40483</v>
      </c>
      <c r="J428" s="375">
        <f t="shared" si="66"/>
        <v>2328699.83</v>
      </c>
      <c r="M428" s="375">
        <f t="shared" ref="M428:M459" si="67">SUMPRODUCT((DatePmt_LBU&lt;&gt;"")*(DatePmt_LBU&lt;&gt;"en attente")*(MONTH(DatePmt_LBU)=MONTH(I428))*(YEAR(DatePmt_LBU)=YEAR(I428))*(ISNUMBER(MtntPaye_LBU)),MtntPaye_LBU)</f>
        <v>370488.57999999996</v>
      </c>
      <c r="N428" s="1"/>
      <c r="O428" s="1"/>
      <c r="S428" s="1"/>
    </row>
    <row r="429" spans="1:19" hidden="1" outlineLevel="1" x14ac:dyDescent="0.2">
      <c r="A429" s="1"/>
      <c r="F429" s="1"/>
      <c r="H429" s="91">
        <f>M30</f>
        <v>210008.09</v>
      </c>
      <c r="I429" s="368">
        <v>40513</v>
      </c>
      <c r="J429" s="375">
        <f t="shared" ref="J429:J459" si="68">SUMPRODUCT((DateAF_LBU&lt;&gt;"")*(MONTH(DateAF_LBU)=MONTH(I429))*(YEAR(DateAF_LBU)=YEAR(I429))*MontantAF_LBU)</f>
        <v>249604.2</v>
      </c>
      <c r="M429" s="375">
        <f t="shared" si="67"/>
        <v>210008.09</v>
      </c>
      <c r="N429" s="1"/>
      <c r="O429" s="1"/>
      <c r="S429" s="1"/>
    </row>
    <row r="430" spans="1:19" hidden="1" outlineLevel="1" x14ac:dyDescent="0.2">
      <c r="A430" s="1"/>
      <c r="F430" s="1"/>
      <c r="H430" s="1">
        <f>0</f>
        <v>0</v>
      </c>
      <c r="I430" s="368">
        <v>40544</v>
      </c>
      <c r="J430" s="375">
        <f t="shared" si="68"/>
        <v>0</v>
      </c>
      <c r="M430" s="375">
        <f t="shared" si="67"/>
        <v>0</v>
      </c>
      <c r="N430" s="1"/>
      <c r="O430" s="1"/>
      <c r="S430" s="1"/>
    </row>
    <row r="431" spans="1:19" hidden="1" outlineLevel="1" x14ac:dyDescent="0.2">
      <c r="A431" s="1"/>
      <c r="F431" s="1"/>
      <c r="H431" s="1">
        <f>0</f>
        <v>0</v>
      </c>
      <c r="I431" s="368">
        <v>40575</v>
      </c>
      <c r="J431" s="375">
        <f t="shared" si="68"/>
        <v>260919.13999999998</v>
      </c>
      <c r="M431" s="375">
        <f t="shared" si="67"/>
        <v>0</v>
      </c>
      <c r="N431" s="1"/>
      <c r="O431" s="1"/>
      <c r="S431" s="1"/>
    </row>
    <row r="432" spans="1:19" hidden="1" outlineLevel="1" x14ac:dyDescent="0.2">
      <c r="A432" s="1"/>
      <c r="F432" s="1"/>
      <c r="H432" s="91">
        <f>M7+M14</f>
        <v>677163.60000000009</v>
      </c>
      <c r="I432" s="368">
        <v>40603</v>
      </c>
      <c r="J432" s="375">
        <f t="shared" si="68"/>
        <v>0</v>
      </c>
      <c r="M432" s="375">
        <f t="shared" si="67"/>
        <v>677163.60000000009</v>
      </c>
      <c r="N432" s="1"/>
      <c r="O432" s="1"/>
      <c r="S432" s="1"/>
    </row>
    <row r="433" spans="1:19" hidden="1" outlineLevel="1" x14ac:dyDescent="0.2">
      <c r="A433" s="1"/>
      <c r="F433" s="1"/>
      <c r="H433" s="1">
        <f>0</f>
        <v>0</v>
      </c>
      <c r="I433" s="368">
        <v>40634</v>
      </c>
      <c r="J433" s="375">
        <f t="shared" si="68"/>
        <v>51464.43</v>
      </c>
      <c r="M433" s="375">
        <f t="shared" si="67"/>
        <v>0</v>
      </c>
      <c r="N433" s="1"/>
      <c r="O433" s="1"/>
      <c r="S433" s="1"/>
    </row>
    <row r="434" spans="1:19" hidden="1" outlineLevel="1" x14ac:dyDescent="0.2">
      <c r="A434" s="1"/>
      <c r="F434" s="1"/>
      <c r="H434" s="91">
        <f>M31</f>
        <v>260919.13999999998</v>
      </c>
      <c r="I434" s="368">
        <v>40664</v>
      </c>
      <c r="J434" s="375">
        <f t="shared" si="68"/>
        <v>0</v>
      </c>
      <c r="M434" s="375">
        <f t="shared" si="67"/>
        <v>260919.13999999998</v>
      </c>
      <c r="N434" s="1"/>
      <c r="O434" s="1"/>
      <c r="S434" s="1"/>
    </row>
    <row r="435" spans="1:19" hidden="1" outlineLevel="1" x14ac:dyDescent="0.2">
      <c r="A435" s="1"/>
      <c r="F435" s="1"/>
      <c r="H435" s="91">
        <f>M32</f>
        <v>51464.43</v>
      </c>
      <c r="I435" s="368">
        <v>40695</v>
      </c>
      <c r="J435" s="375">
        <f t="shared" si="68"/>
        <v>93435.17</v>
      </c>
      <c r="M435" s="375">
        <f t="shared" si="67"/>
        <v>51464.43</v>
      </c>
      <c r="N435" s="1"/>
      <c r="O435" s="1"/>
      <c r="S435" s="1"/>
    </row>
    <row r="436" spans="1:19" hidden="1" outlineLevel="1" x14ac:dyDescent="0.2">
      <c r="A436" s="1"/>
      <c r="F436" s="1"/>
      <c r="H436" s="1">
        <f>0</f>
        <v>0</v>
      </c>
      <c r="I436" s="368">
        <v>40725</v>
      </c>
      <c r="J436" s="375">
        <f t="shared" si="68"/>
        <v>0</v>
      </c>
      <c r="M436" s="375">
        <f t="shared" si="67"/>
        <v>0</v>
      </c>
      <c r="N436" s="1"/>
      <c r="O436" s="1"/>
      <c r="S436" s="1"/>
    </row>
    <row r="437" spans="1:19" hidden="1" outlineLevel="1" x14ac:dyDescent="0.2">
      <c r="A437" s="1"/>
      <c r="F437" s="1"/>
      <c r="H437" s="91">
        <f>M8</f>
        <v>93435.17</v>
      </c>
      <c r="I437" s="368">
        <v>40756</v>
      </c>
      <c r="J437" s="375">
        <f t="shared" si="68"/>
        <v>446113.99</v>
      </c>
      <c r="M437" s="375">
        <f t="shared" si="67"/>
        <v>93435.17</v>
      </c>
      <c r="N437" s="1"/>
      <c r="O437" s="1"/>
      <c r="S437" s="1"/>
    </row>
    <row r="438" spans="1:19" hidden="1" outlineLevel="1" x14ac:dyDescent="0.2">
      <c r="A438" s="1"/>
      <c r="F438" s="1"/>
      <c r="H438" s="1">
        <f>0</f>
        <v>0</v>
      </c>
      <c r="I438" s="368">
        <v>40787</v>
      </c>
      <c r="J438" s="375">
        <f t="shared" si="68"/>
        <v>225044.63</v>
      </c>
      <c r="M438" s="375">
        <f t="shared" si="67"/>
        <v>0</v>
      </c>
      <c r="N438" s="1"/>
      <c r="O438" s="1"/>
      <c r="S438" s="1"/>
    </row>
    <row r="439" spans="1:19" hidden="1" outlineLevel="1" x14ac:dyDescent="0.2">
      <c r="A439" s="1"/>
      <c r="F439" s="1"/>
      <c r="H439" s="91">
        <f>M15+M45</f>
        <v>446113.99</v>
      </c>
      <c r="I439" s="368">
        <v>40817</v>
      </c>
      <c r="J439" s="375">
        <f t="shared" si="68"/>
        <v>205460.83000000002</v>
      </c>
      <c r="M439" s="375">
        <f t="shared" si="67"/>
        <v>446113.99</v>
      </c>
      <c r="N439" s="1"/>
      <c r="O439" s="1"/>
      <c r="S439" s="1"/>
    </row>
    <row r="440" spans="1:19" hidden="1" outlineLevel="1" x14ac:dyDescent="0.2">
      <c r="A440" s="1"/>
      <c r="F440" s="1"/>
      <c r="H440" s="91">
        <f>M16+M17</f>
        <v>216345.05000000002</v>
      </c>
      <c r="I440" s="368">
        <v>40848</v>
      </c>
      <c r="J440" s="375">
        <f t="shared" si="68"/>
        <v>0</v>
      </c>
      <c r="M440" s="375">
        <f t="shared" si="67"/>
        <v>216345.05000000002</v>
      </c>
      <c r="N440" s="1"/>
      <c r="O440" s="1"/>
      <c r="S440" s="1"/>
    </row>
    <row r="441" spans="1:19" hidden="1" outlineLevel="1" x14ac:dyDescent="0.2">
      <c r="A441" s="1"/>
      <c r="F441" s="1"/>
      <c r="H441" s="1">
        <f>0</f>
        <v>0</v>
      </c>
      <c r="I441" s="368">
        <v>40878</v>
      </c>
      <c r="J441" s="375">
        <f t="shared" si="68"/>
        <v>97483.55</v>
      </c>
      <c r="M441" s="375">
        <f t="shared" si="67"/>
        <v>0</v>
      </c>
      <c r="N441" s="1"/>
      <c r="O441" s="1"/>
      <c r="S441" s="1"/>
    </row>
    <row r="442" spans="1:19" hidden="1" outlineLevel="1" x14ac:dyDescent="0.2">
      <c r="A442" s="1"/>
      <c r="F442" s="1"/>
      <c r="H442" s="1">
        <f>0</f>
        <v>0</v>
      </c>
      <c r="I442" s="368">
        <v>40909</v>
      </c>
      <c r="J442" s="375">
        <f t="shared" si="68"/>
        <v>0</v>
      </c>
      <c r="K442" s="376"/>
      <c r="L442" s="375"/>
      <c r="M442" s="375">
        <f t="shared" si="67"/>
        <v>0</v>
      </c>
      <c r="N442" s="1"/>
      <c r="O442" s="1"/>
      <c r="S442" s="1"/>
    </row>
    <row r="443" spans="1:19" hidden="1" outlineLevel="1" x14ac:dyDescent="0.2">
      <c r="A443" s="1"/>
      <c r="F443" s="1"/>
      <c r="H443" s="1">
        <f>0</f>
        <v>0</v>
      </c>
      <c r="I443" s="368">
        <v>40940</v>
      </c>
      <c r="J443" s="375">
        <f t="shared" si="68"/>
        <v>810182.2</v>
      </c>
      <c r="K443" s="376"/>
      <c r="L443" s="370"/>
      <c r="M443" s="375">
        <f t="shared" si="67"/>
        <v>0</v>
      </c>
      <c r="N443" s="1"/>
      <c r="O443" s="1"/>
      <c r="S443" s="1"/>
    </row>
    <row r="444" spans="1:19" hidden="1" outlineLevel="1" x14ac:dyDescent="0.2">
      <c r="A444" s="1"/>
      <c r="F444" s="1"/>
      <c r="H444" s="91">
        <f>M9+M10+M11+M18</f>
        <v>420055.37999999995</v>
      </c>
      <c r="I444" s="368">
        <v>40969</v>
      </c>
      <c r="J444" s="375">
        <f t="shared" si="68"/>
        <v>0</v>
      </c>
      <c r="K444" s="376"/>
      <c r="L444" s="370"/>
      <c r="M444" s="375">
        <f t="shared" si="67"/>
        <v>420055.37999999995</v>
      </c>
      <c r="N444" s="1"/>
      <c r="O444" s="1"/>
      <c r="S444" s="1"/>
    </row>
    <row r="445" spans="1:19" hidden="1" outlineLevel="1" x14ac:dyDescent="0.2">
      <c r="A445" s="1"/>
      <c r="F445" s="1"/>
      <c r="H445" s="27">
        <f>M19+M55+M63+M191</f>
        <v>320889.28000000003</v>
      </c>
      <c r="I445" s="368">
        <v>41000</v>
      </c>
      <c r="J445" s="375">
        <f t="shared" si="68"/>
        <v>186139.2</v>
      </c>
      <c r="K445" s="376"/>
      <c r="L445" s="370"/>
      <c r="M445" s="375">
        <f t="shared" si="67"/>
        <v>320889.28000000003</v>
      </c>
      <c r="N445" s="1"/>
      <c r="O445" s="1"/>
      <c r="S445" s="1"/>
    </row>
    <row r="446" spans="1:19" hidden="1" outlineLevel="1" x14ac:dyDescent="0.2">
      <c r="A446" s="1"/>
      <c r="F446" s="1"/>
      <c r="H446" s="1">
        <f>0</f>
        <v>0</v>
      </c>
      <c r="I446" s="368">
        <v>41030</v>
      </c>
      <c r="J446" s="375">
        <f t="shared" si="68"/>
        <v>429389.97</v>
      </c>
      <c r="K446" s="376"/>
      <c r="L446" s="370"/>
      <c r="M446" s="375">
        <f t="shared" si="67"/>
        <v>0</v>
      </c>
      <c r="N446" s="1"/>
      <c r="O446" s="1"/>
      <c r="S446" s="1"/>
    </row>
    <row r="447" spans="1:19" hidden="1" outlineLevel="1" x14ac:dyDescent="0.2">
      <c r="A447" s="1"/>
      <c r="F447" s="1"/>
      <c r="H447" s="91">
        <f>M71</f>
        <v>186139.2</v>
      </c>
      <c r="I447" s="368">
        <v>41061</v>
      </c>
      <c r="J447" s="375">
        <f t="shared" si="68"/>
        <v>67683.709999999992</v>
      </c>
      <c r="K447" s="376"/>
      <c r="L447" s="370"/>
      <c r="M447" s="375">
        <f t="shared" si="67"/>
        <v>186139.2</v>
      </c>
      <c r="N447" s="1"/>
      <c r="O447" s="1"/>
      <c r="S447" s="1"/>
    </row>
    <row r="448" spans="1:19" hidden="1" outlineLevel="1" x14ac:dyDescent="0.2">
      <c r="A448" s="1"/>
      <c r="F448" s="1"/>
      <c r="H448" s="91">
        <f>M20+M35+M79+M85+M90</f>
        <v>737074.52</v>
      </c>
      <c r="I448" s="368">
        <v>41091</v>
      </c>
      <c r="J448" s="375">
        <f t="shared" si="68"/>
        <v>0</v>
      </c>
      <c r="K448" s="376"/>
      <c r="L448" s="370"/>
      <c r="M448" s="375">
        <f t="shared" si="67"/>
        <v>737074.52</v>
      </c>
      <c r="N448" s="1"/>
      <c r="O448" s="1"/>
      <c r="S448" s="1"/>
    </row>
    <row r="449" spans="1:19" hidden="1" outlineLevel="1" x14ac:dyDescent="0.2">
      <c r="A449" s="1"/>
      <c r="F449" s="1"/>
      <c r="H449" s="91">
        <f>M46+M47</f>
        <v>140880.65999999997</v>
      </c>
      <c r="I449" s="368">
        <v>41122</v>
      </c>
      <c r="J449" s="375">
        <f t="shared" si="68"/>
        <v>174329.66999999998</v>
      </c>
      <c r="K449" s="376"/>
      <c r="L449" s="370"/>
      <c r="M449" s="375">
        <f t="shared" si="67"/>
        <v>140880.65999999997</v>
      </c>
      <c r="N449" s="1"/>
      <c r="O449" s="1"/>
      <c r="S449" s="1"/>
    </row>
    <row r="450" spans="1:19" hidden="1" outlineLevel="1" x14ac:dyDescent="0.2">
      <c r="A450" s="1"/>
      <c r="F450" s="1"/>
      <c r="H450" s="91">
        <f>M48</f>
        <v>98651.66</v>
      </c>
      <c r="I450" s="368">
        <v>41153</v>
      </c>
      <c r="J450" s="375">
        <f t="shared" si="68"/>
        <v>95691.05</v>
      </c>
      <c r="K450" s="376"/>
      <c r="L450" s="370"/>
      <c r="M450" s="375">
        <f t="shared" si="67"/>
        <v>98651.66</v>
      </c>
      <c r="N450" s="1"/>
      <c r="O450" s="1"/>
      <c r="S450" s="1"/>
    </row>
    <row r="451" spans="1:19" hidden="1" outlineLevel="1" x14ac:dyDescent="0.2">
      <c r="A451" s="1"/>
      <c r="F451" s="1"/>
      <c r="H451" s="91">
        <f>M21</f>
        <v>75678.009999999995</v>
      </c>
      <c r="I451" s="368">
        <v>41183</v>
      </c>
      <c r="J451" s="375">
        <f t="shared" si="68"/>
        <v>237228.13</v>
      </c>
      <c r="K451" s="376"/>
      <c r="L451" s="370"/>
      <c r="M451" s="375">
        <f t="shared" si="67"/>
        <v>75678.009999999995</v>
      </c>
      <c r="N451" s="1"/>
      <c r="O451" s="1"/>
      <c r="S451" s="1"/>
    </row>
    <row r="452" spans="1:19" hidden="1" outlineLevel="1" x14ac:dyDescent="0.2">
      <c r="A452" s="1"/>
      <c r="F452" s="1"/>
      <c r="H452" s="91">
        <f>M36+M49+M80</f>
        <v>213125.68</v>
      </c>
      <c r="I452" s="368">
        <v>41214</v>
      </c>
      <c r="J452" s="375">
        <f t="shared" si="68"/>
        <v>289800.17000000004</v>
      </c>
      <c r="K452" s="376"/>
      <c r="L452" s="370"/>
      <c r="M452" s="375">
        <f t="shared" si="67"/>
        <v>213125.68</v>
      </c>
      <c r="N452" s="1"/>
      <c r="O452" s="1"/>
      <c r="S452" s="1"/>
    </row>
    <row r="453" spans="1:19" hidden="1" outlineLevel="1" x14ac:dyDescent="0.2">
      <c r="A453" s="1"/>
      <c r="F453" s="1"/>
      <c r="H453" s="1">
        <f>0</f>
        <v>0</v>
      </c>
      <c r="I453" s="368">
        <v>41244</v>
      </c>
      <c r="J453" s="375">
        <f t="shared" si="68"/>
        <v>0</v>
      </c>
      <c r="K453" s="376"/>
      <c r="L453" s="370"/>
      <c r="M453" s="375">
        <f t="shared" si="67"/>
        <v>0</v>
      </c>
      <c r="N453" s="1"/>
      <c r="O453" s="1"/>
      <c r="S453" s="1"/>
    </row>
    <row r="454" spans="1:19" hidden="1" outlineLevel="1" x14ac:dyDescent="0.2">
      <c r="A454" s="1"/>
      <c r="F454" s="1"/>
      <c r="H454" s="1">
        <f>0</f>
        <v>0</v>
      </c>
      <c r="I454" s="368">
        <v>41275</v>
      </c>
      <c r="J454" s="375">
        <f t="shared" si="68"/>
        <v>314839.27</v>
      </c>
      <c r="K454" s="376"/>
      <c r="L454" s="370"/>
      <c r="M454" s="375">
        <f t="shared" si="67"/>
        <v>0</v>
      </c>
      <c r="N454" s="1"/>
      <c r="O454" s="1"/>
      <c r="S454" s="1"/>
    </row>
    <row r="455" spans="1:19" hidden="1" outlineLevel="1" x14ac:dyDescent="0.2">
      <c r="A455" s="1"/>
      <c r="F455" s="1"/>
      <c r="H455" s="91">
        <f>M56+M64+M72</f>
        <v>81536.540000000008</v>
      </c>
      <c r="I455" s="368">
        <v>41306</v>
      </c>
      <c r="J455" s="375">
        <f t="shared" si="68"/>
        <v>307597.56</v>
      </c>
      <c r="K455" s="376"/>
      <c r="L455" s="370"/>
      <c r="M455" s="375">
        <f t="shared" si="67"/>
        <v>81536.540000000008</v>
      </c>
      <c r="N455" s="1"/>
      <c r="O455" s="1"/>
      <c r="S455" s="1"/>
    </row>
    <row r="456" spans="1:19" hidden="1" outlineLevel="1" x14ac:dyDescent="0.2">
      <c r="A456" s="1"/>
      <c r="F456" s="1"/>
      <c r="H456" s="1">
        <f>0</f>
        <v>0</v>
      </c>
      <c r="I456" s="368">
        <v>41334</v>
      </c>
      <c r="J456" s="375">
        <f t="shared" si="68"/>
        <v>725638.74</v>
      </c>
      <c r="K456" s="376"/>
      <c r="L456" s="370"/>
      <c r="M456" s="375">
        <f t="shared" si="67"/>
        <v>0</v>
      </c>
      <c r="N456" s="1"/>
      <c r="O456" s="1"/>
      <c r="S456" s="1"/>
    </row>
    <row r="457" spans="1:19" hidden="1" outlineLevel="1" x14ac:dyDescent="0.2">
      <c r="A457" s="1"/>
      <c r="F457" s="1"/>
      <c r="H457" s="91">
        <f>M37+M73+M95+M109</f>
        <v>273008.43000000005</v>
      </c>
      <c r="I457" s="368">
        <v>41365</v>
      </c>
      <c r="J457" s="375">
        <f t="shared" si="68"/>
        <v>0</v>
      </c>
      <c r="K457" s="376"/>
      <c r="L457" s="370"/>
      <c r="M457" s="375">
        <f t="shared" si="67"/>
        <v>273008.43000000005</v>
      </c>
      <c r="N457" s="1"/>
      <c r="O457" s="1"/>
      <c r="S457" s="1"/>
    </row>
    <row r="458" spans="1:19" hidden="1" outlineLevel="1" x14ac:dyDescent="0.2">
      <c r="A458" s="1"/>
      <c r="F458" s="1"/>
      <c r="H458" s="91">
        <f>M38+M57+M65+M74+M86+M91+M101+M132</f>
        <v>516931.51</v>
      </c>
      <c r="I458" s="368">
        <v>41395</v>
      </c>
      <c r="J458" s="375">
        <f t="shared" si="68"/>
        <v>236742.24</v>
      </c>
      <c r="K458" s="376"/>
      <c r="L458" s="370"/>
      <c r="M458" s="375">
        <f t="shared" si="67"/>
        <v>516931.51</v>
      </c>
      <c r="N458" s="1"/>
      <c r="O458" s="1"/>
      <c r="S458" s="1"/>
    </row>
    <row r="459" spans="1:19" hidden="1" outlineLevel="1" x14ac:dyDescent="0.2">
      <c r="A459" s="1"/>
      <c r="F459" s="1"/>
      <c r="H459" s="91">
        <f>M39+M50+M51+M81+M124+M138+M192+M193</f>
        <v>855000.56</v>
      </c>
      <c r="I459" s="368">
        <v>41426</v>
      </c>
      <c r="J459" s="375">
        <f t="shared" si="68"/>
        <v>0</v>
      </c>
      <c r="K459" s="376"/>
      <c r="L459" s="370"/>
      <c r="M459" s="375">
        <f t="shared" si="67"/>
        <v>855000.56</v>
      </c>
      <c r="N459" s="1"/>
      <c r="O459" s="1"/>
      <c r="S459" s="1"/>
    </row>
    <row r="460" spans="1:19" hidden="1" outlineLevel="1" x14ac:dyDescent="0.2">
      <c r="A460" s="1"/>
      <c r="F460" s="1"/>
      <c r="H460" s="91">
        <f>M40+M75</f>
        <v>157022.24</v>
      </c>
      <c r="I460" s="368">
        <v>41456</v>
      </c>
      <c r="J460" s="375">
        <f t="shared" ref="J460:J491" si="69">SUMPRODUCT((DateAF_LBU&lt;&gt;"")*(MONTH(DateAF_LBU)=MONTH(I460))*(YEAR(DateAF_LBU)=YEAR(I460))*MontantAF_LBU)</f>
        <v>815653.07000000007</v>
      </c>
      <c r="K460" s="376"/>
      <c r="L460" s="370"/>
      <c r="M460" s="375">
        <f t="shared" ref="M460:M501" si="70">SUMPRODUCT((DatePmt_LBU&lt;&gt;"")*(DatePmt_LBU&lt;&gt;"en attente")*(MONTH(DatePmt_LBU)=MONTH(I460))*(YEAR(DatePmt_LBU)=YEAR(I460))*(ISNUMBER(MtntPaye_LBU)),MtntPaye_LBU)</f>
        <v>157022.24</v>
      </c>
      <c r="N460" s="1"/>
      <c r="O460" s="1"/>
      <c r="S460" s="1"/>
    </row>
    <row r="461" spans="1:19" hidden="1" outlineLevel="1" x14ac:dyDescent="0.2">
      <c r="A461" s="1"/>
      <c r="F461" s="1"/>
      <c r="H461" s="91">
        <f>M52+M87+M92</f>
        <v>170512.37</v>
      </c>
      <c r="I461" s="368">
        <v>41487</v>
      </c>
      <c r="J461" s="375">
        <f t="shared" si="69"/>
        <v>0</v>
      </c>
      <c r="K461" s="376"/>
      <c r="L461" s="370"/>
      <c r="M461" s="375">
        <f t="shared" si="70"/>
        <v>170512.37</v>
      </c>
      <c r="N461" s="1"/>
      <c r="O461" s="1"/>
      <c r="S461" s="1"/>
    </row>
    <row r="462" spans="1:19" hidden="1" outlineLevel="1" x14ac:dyDescent="0.2">
      <c r="A462" s="1"/>
      <c r="F462" s="1"/>
      <c r="H462" s="91">
        <f>M41+M58+M66+M76+M82+M116+M144</f>
        <v>675360.70000000007</v>
      </c>
      <c r="I462" s="368">
        <v>41518</v>
      </c>
      <c r="J462" s="375">
        <f t="shared" si="69"/>
        <v>139037.37</v>
      </c>
      <c r="K462" s="376"/>
      <c r="L462" s="370"/>
      <c r="M462" s="375">
        <f t="shared" si="70"/>
        <v>675360.70000000007</v>
      </c>
      <c r="N462" s="1"/>
      <c r="O462" s="1"/>
      <c r="S462" s="1"/>
    </row>
    <row r="463" spans="1:19" hidden="1" outlineLevel="1" x14ac:dyDescent="0.2">
      <c r="A463" s="1"/>
      <c r="F463" s="1"/>
      <c r="H463" s="91">
        <f>M154</f>
        <v>49500</v>
      </c>
      <c r="I463" s="368">
        <v>41548</v>
      </c>
      <c r="J463" s="375">
        <f t="shared" si="69"/>
        <v>0</v>
      </c>
      <c r="K463" s="376"/>
      <c r="L463" s="370"/>
      <c r="M463" s="375">
        <f t="shared" si="70"/>
        <v>49500</v>
      </c>
      <c r="N463" s="1"/>
      <c r="O463" s="1"/>
      <c r="S463" s="1"/>
    </row>
    <row r="464" spans="1:19" hidden="1" outlineLevel="1" x14ac:dyDescent="0.2">
      <c r="A464" s="1"/>
      <c r="F464" s="1"/>
      <c r="H464" s="91">
        <f>M42+M59+M67</f>
        <v>139037.37</v>
      </c>
      <c r="I464" s="368">
        <v>41579</v>
      </c>
      <c r="J464" s="375">
        <f t="shared" si="69"/>
        <v>173677.5</v>
      </c>
      <c r="K464" s="376"/>
      <c r="L464" s="370"/>
      <c r="M464" s="375">
        <f t="shared" si="70"/>
        <v>139037.37</v>
      </c>
      <c r="N464" s="1"/>
      <c r="O464" s="1"/>
      <c r="S464" s="1"/>
    </row>
    <row r="465" spans="1:19" hidden="1" outlineLevel="1" x14ac:dyDescent="0.2">
      <c r="A465" s="1"/>
      <c r="F465" s="1"/>
      <c r="H465" s="91">
        <f>M125+M149</f>
        <v>173677.5</v>
      </c>
      <c r="I465" s="368">
        <v>41609</v>
      </c>
      <c r="J465" s="375">
        <f t="shared" si="69"/>
        <v>0</v>
      </c>
      <c r="K465" s="376"/>
      <c r="L465" s="370"/>
      <c r="M465" s="375">
        <f t="shared" si="70"/>
        <v>173677.5</v>
      </c>
      <c r="N465" s="1"/>
      <c r="O465" s="1"/>
      <c r="S465" s="1"/>
    </row>
    <row r="466" spans="1:19" hidden="1" outlineLevel="1" x14ac:dyDescent="0.2">
      <c r="A466" s="1"/>
      <c r="F466" s="1"/>
      <c r="H466" s="1">
        <f>0</f>
        <v>0</v>
      </c>
      <c r="I466" s="368">
        <v>41640</v>
      </c>
      <c r="J466" s="375">
        <f t="shared" si="69"/>
        <v>106271.81</v>
      </c>
      <c r="K466" s="376"/>
      <c r="L466" s="370"/>
      <c r="M466" s="375">
        <f t="shared" si="70"/>
        <v>0</v>
      </c>
      <c r="N466" s="1"/>
      <c r="O466" s="1"/>
      <c r="S466" s="1"/>
    </row>
    <row r="467" spans="1:19" hidden="1" outlineLevel="1" x14ac:dyDescent="0.2">
      <c r="A467" s="1"/>
      <c r="F467" s="1"/>
      <c r="H467" s="91">
        <f>M126+M133</f>
        <v>106271.81</v>
      </c>
      <c r="I467" s="368">
        <v>41671</v>
      </c>
      <c r="J467" s="375">
        <f t="shared" si="69"/>
        <v>34168.479999999996</v>
      </c>
      <c r="K467" s="376"/>
      <c r="L467" s="370"/>
      <c r="M467" s="375">
        <f t="shared" si="70"/>
        <v>106271.81</v>
      </c>
      <c r="N467" s="1"/>
      <c r="O467" s="1"/>
      <c r="S467" s="1"/>
    </row>
    <row r="468" spans="1:19" hidden="1" outlineLevel="1" x14ac:dyDescent="0.2">
      <c r="A468" s="1"/>
      <c r="F468" s="1"/>
      <c r="H468" s="91">
        <f>M134</f>
        <v>9583.869999999999</v>
      </c>
      <c r="I468" s="368">
        <v>41699</v>
      </c>
      <c r="J468" s="375">
        <f t="shared" si="69"/>
        <v>211983.78999999998</v>
      </c>
      <c r="K468" s="376"/>
      <c r="L468" s="370"/>
      <c r="M468" s="375">
        <f t="shared" si="70"/>
        <v>9583.869999999999</v>
      </c>
      <c r="N468" s="1"/>
      <c r="O468" s="1"/>
      <c r="S468" s="1"/>
    </row>
    <row r="469" spans="1:19" hidden="1" outlineLevel="1" x14ac:dyDescent="0.2">
      <c r="A469" s="1"/>
      <c r="F469" s="1"/>
      <c r="H469" s="91">
        <f>M102+M103+M117+M127+M145</f>
        <v>233592.12</v>
      </c>
      <c r="I469" s="368">
        <v>41730</v>
      </c>
      <c r="J469" s="375">
        <f t="shared" si="69"/>
        <v>275708.12</v>
      </c>
      <c r="K469" s="376"/>
      <c r="L469" s="370"/>
      <c r="M469" s="375">
        <f t="shared" si="70"/>
        <v>233592.12</v>
      </c>
      <c r="N469" s="1"/>
      <c r="O469" s="1"/>
      <c r="S469" s="1"/>
    </row>
    <row r="470" spans="1:19" hidden="1" outlineLevel="1" x14ac:dyDescent="0.2">
      <c r="A470" s="1"/>
      <c r="F470" s="1"/>
      <c r="H470" s="91">
        <f>M178</f>
        <v>204000</v>
      </c>
      <c r="I470" s="368">
        <v>41760</v>
      </c>
      <c r="J470" s="375">
        <f t="shared" si="69"/>
        <v>248641.2</v>
      </c>
      <c r="K470" s="376"/>
      <c r="L470" s="370"/>
      <c r="M470" s="375">
        <f t="shared" si="70"/>
        <v>204000</v>
      </c>
      <c r="N470" s="1"/>
      <c r="O470" s="1"/>
      <c r="S470" s="1"/>
    </row>
    <row r="471" spans="1:19" hidden="1" outlineLevel="1" x14ac:dyDescent="0.2">
      <c r="A471" s="1"/>
      <c r="F471" s="1"/>
      <c r="H471" s="91">
        <f>M118+M128+M135+M198</f>
        <v>281903.12</v>
      </c>
      <c r="I471" s="368">
        <v>41791</v>
      </c>
      <c r="J471" s="375">
        <f t="shared" si="69"/>
        <v>238244.1</v>
      </c>
      <c r="K471" s="376"/>
      <c r="L471" s="370"/>
      <c r="M471" s="375">
        <f t="shared" si="70"/>
        <v>281903.12</v>
      </c>
      <c r="N471" s="1"/>
      <c r="O471" s="1"/>
      <c r="S471" s="1"/>
    </row>
    <row r="472" spans="1:19" hidden="1" outlineLevel="1" x14ac:dyDescent="0.2">
      <c r="A472" s="1"/>
      <c r="F472" s="1"/>
      <c r="H472" s="91">
        <f>M129</f>
        <v>40244.1</v>
      </c>
      <c r="I472" s="368">
        <v>41821</v>
      </c>
      <c r="J472" s="375">
        <f t="shared" si="69"/>
        <v>0</v>
      </c>
      <c r="K472" s="376"/>
      <c r="L472" s="370"/>
      <c r="M472" s="375">
        <f t="shared" si="70"/>
        <v>40244.1</v>
      </c>
      <c r="N472" s="1"/>
      <c r="O472" s="1"/>
      <c r="S472" s="1"/>
    </row>
    <row r="473" spans="1:19" hidden="1" outlineLevel="1" x14ac:dyDescent="0.2">
      <c r="A473" s="1"/>
      <c r="F473" s="1"/>
      <c r="H473" s="91">
        <f>M60+M68+M104+M169</f>
        <v>270614.68</v>
      </c>
      <c r="I473" s="368">
        <v>41852</v>
      </c>
      <c r="J473" s="375">
        <f t="shared" si="69"/>
        <v>216007.48</v>
      </c>
      <c r="K473" s="376"/>
      <c r="L473" s="370"/>
      <c r="M473" s="375">
        <f t="shared" si="70"/>
        <v>270614.68</v>
      </c>
      <c r="N473" s="1"/>
      <c r="O473" s="1"/>
      <c r="S473" s="1"/>
    </row>
    <row r="474" spans="1:19" hidden="1" outlineLevel="1" x14ac:dyDescent="0.2">
      <c r="A474" s="1"/>
      <c r="F474" s="1"/>
      <c r="H474" s="91">
        <f>M119+M146</f>
        <v>139970.98000000001</v>
      </c>
      <c r="I474" s="368">
        <v>41883</v>
      </c>
      <c r="J474" s="375">
        <f t="shared" si="69"/>
        <v>0</v>
      </c>
      <c r="K474" s="376"/>
      <c r="L474" s="370"/>
      <c r="M474" s="375">
        <f t="shared" si="70"/>
        <v>139970.98000000001</v>
      </c>
      <c r="N474" s="1"/>
      <c r="O474" s="1"/>
      <c r="S474" s="1"/>
    </row>
    <row r="475" spans="1:19" hidden="1" outlineLevel="1" x14ac:dyDescent="0.2">
      <c r="A475" s="1"/>
      <c r="F475" s="1"/>
      <c r="H475" s="91">
        <f>M105+M110+M120+M139+M155</f>
        <v>315005.30000000005</v>
      </c>
      <c r="I475" s="368">
        <v>41913</v>
      </c>
      <c r="J475" s="375">
        <f t="shared" si="69"/>
        <v>564468.80000000005</v>
      </c>
      <c r="K475" s="376"/>
      <c r="L475" s="370"/>
      <c r="M475" s="375">
        <f t="shared" si="70"/>
        <v>315005.30000000005</v>
      </c>
      <c r="N475" s="1"/>
      <c r="O475" s="1"/>
      <c r="S475" s="1"/>
    </row>
    <row r="476" spans="1:19" hidden="1" outlineLevel="1" x14ac:dyDescent="0.2">
      <c r="A476" s="1"/>
      <c r="F476" s="1"/>
      <c r="H476" s="91">
        <f>M164</f>
        <v>67500</v>
      </c>
      <c r="I476" s="368">
        <v>41944</v>
      </c>
      <c r="J476" s="375">
        <f t="shared" si="69"/>
        <v>285039.59999999998</v>
      </c>
      <c r="K476" s="376"/>
      <c r="L476" s="370"/>
      <c r="M476" s="375">
        <f t="shared" si="70"/>
        <v>67500</v>
      </c>
      <c r="N476" s="1"/>
      <c r="O476" s="1"/>
      <c r="S476" s="1"/>
    </row>
    <row r="477" spans="1:19" hidden="1" outlineLevel="1" x14ac:dyDescent="0.2">
      <c r="A477" s="1"/>
      <c r="F477" s="1"/>
      <c r="H477" s="91">
        <f>M159+M205</f>
        <v>258000</v>
      </c>
      <c r="I477" s="368">
        <v>41974</v>
      </c>
      <c r="J477" s="375">
        <f t="shared" si="69"/>
        <v>0</v>
      </c>
      <c r="K477" s="376"/>
      <c r="L477" s="370"/>
      <c r="M477" s="375">
        <f t="shared" si="70"/>
        <v>258000</v>
      </c>
      <c r="N477" s="1"/>
      <c r="O477" s="1"/>
      <c r="S477" s="1"/>
    </row>
    <row r="478" spans="1:19" hidden="1" outlineLevel="1" x14ac:dyDescent="0.2">
      <c r="A478" s="1"/>
      <c r="F478" s="1"/>
      <c r="H478" s="1">
        <f>0</f>
        <v>0</v>
      </c>
      <c r="I478" s="368">
        <v>42005</v>
      </c>
      <c r="J478" s="375">
        <f t="shared" si="69"/>
        <v>47917.4</v>
      </c>
      <c r="K478" s="376"/>
      <c r="L478" s="370"/>
      <c r="M478" s="375">
        <f t="shared" si="70"/>
        <v>0</v>
      </c>
      <c r="N478" s="1"/>
      <c r="O478" s="1"/>
      <c r="S478" s="1"/>
    </row>
    <row r="479" spans="1:19" hidden="1" outlineLevel="1" x14ac:dyDescent="0.2">
      <c r="A479" s="1"/>
      <c r="F479" s="1"/>
      <c r="H479" s="1">
        <v>0</v>
      </c>
      <c r="I479" s="368">
        <v>42036</v>
      </c>
      <c r="J479" s="375">
        <f t="shared" si="69"/>
        <v>0</v>
      </c>
      <c r="K479" s="376"/>
      <c r="L479" s="370"/>
      <c r="M479" s="375">
        <f t="shared" si="70"/>
        <v>0</v>
      </c>
      <c r="N479" s="1"/>
      <c r="O479" s="1"/>
      <c r="S479" s="1"/>
    </row>
    <row r="480" spans="1:19" hidden="1" outlineLevel="1" x14ac:dyDescent="0.2">
      <c r="A480" s="1"/>
      <c r="F480" s="1"/>
      <c r="H480" s="1">
        <v>0</v>
      </c>
      <c r="I480" s="368">
        <v>42064</v>
      </c>
      <c r="J480" s="375">
        <f t="shared" si="69"/>
        <v>0</v>
      </c>
      <c r="K480" s="376"/>
      <c r="L480" s="370"/>
      <c r="M480" s="375">
        <f t="shared" si="70"/>
        <v>0</v>
      </c>
      <c r="N480" s="1"/>
      <c r="O480" s="1"/>
      <c r="S480" s="1"/>
    </row>
    <row r="481" spans="1:19" hidden="1" outlineLevel="1" x14ac:dyDescent="0.2">
      <c r="A481" s="1"/>
      <c r="F481" s="1"/>
      <c r="H481" s="1">
        <v>0</v>
      </c>
      <c r="I481" s="368">
        <v>42095</v>
      </c>
      <c r="J481" s="375">
        <f t="shared" si="69"/>
        <v>0</v>
      </c>
      <c r="K481" s="376"/>
      <c r="L481" s="370"/>
      <c r="M481" s="375">
        <f t="shared" si="70"/>
        <v>0</v>
      </c>
      <c r="N481" s="1"/>
      <c r="O481" s="1"/>
      <c r="S481" s="1"/>
    </row>
    <row r="482" spans="1:19" hidden="1" outlineLevel="1" x14ac:dyDescent="0.2">
      <c r="A482" s="1"/>
      <c r="F482" s="1"/>
      <c r="H482" s="91">
        <f>M22+M194</f>
        <v>332957</v>
      </c>
      <c r="I482" s="368">
        <v>42125</v>
      </c>
      <c r="J482" s="375">
        <f t="shared" si="69"/>
        <v>553381</v>
      </c>
      <c r="K482" s="376"/>
      <c r="L482" s="370"/>
      <c r="M482" s="375">
        <f t="shared" si="70"/>
        <v>332957</v>
      </c>
      <c r="N482" s="1"/>
      <c r="O482" s="1"/>
      <c r="S482" s="1"/>
    </row>
    <row r="483" spans="1:19" hidden="1" outlineLevel="1" x14ac:dyDescent="0.2">
      <c r="A483" s="1"/>
      <c r="F483" s="1"/>
      <c r="H483" s="1">
        <f>0</f>
        <v>0</v>
      </c>
      <c r="I483" s="368">
        <v>42156</v>
      </c>
      <c r="J483" s="375">
        <f t="shared" si="69"/>
        <v>1331058.8999999999</v>
      </c>
      <c r="K483" s="376"/>
      <c r="L483" s="370"/>
      <c r="M483" s="375">
        <f t="shared" si="70"/>
        <v>0</v>
      </c>
      <c r="N483" s="1"/>
      <c r="O483" s="1"/>
      <c r="S483" s="1"/>
    </row>
    <row r="484" spans="1:19" hidden="1" outlineLevel="1" x14ac:dyDescent="0.2">
      <c r="A484" s="1"/>
      <c r="F484" s="1"/>
      <c r="H484" s="1">
        <v>0</v>
      </c>
      <c r="I484" s="368">
        <v>42186</v>
      </c>
      <c r="J484" s="375">
        <f t="shared" si="69"/>
        <v>314807.37</v>
      </c>
      <c r="K484" s="376"/>
      <c r="L484" s="370"/>
      <c r="M484" s="375">
        <f t="shared" si="70"/>
        <v>0</v>
      </c>
      <c r="N484" s="1"/>
      <c r="O484" s="1"/>
      <c r="S484" s="1"/>
    </row>
    <row r="485" spans="1:19" hidden="1" outlineLevel="1" x14ac:dyDescent="0.2">
      <c r="A485" s="1"/>
      <c r="F485" s="1"/>
      <c r="H485" s="91">
        <f>M33+M150+M156+M160+M165+M170+M179+M234+M199+M218+M206</f>
        <v>1659053.6</v>
      </c>
      <c r="I485" s="368">
        <v>42217</v>
      </c>
      <c r="J485" s="375">
        <f t="shared" si="69"/>
        <v>209127.01</v>
      </c>
      <c r="K485" s="376"/>
      <c r="L485" s="370"/>
      <c r="M485" s="375">
        <f t="shared" si="70"/>
        <v>1659053.6</v>
      </c>
      <c r="N485" s="1"/>
      <c r="O485" s="1"/>
      <c r="S485" s="1"/>
    </row>
    <row r="486" spans="1:19" hidden="1" outlineLevel="1" x14ac:dyDescent="0.2">
      <c r="A486" s="1"/>
      <c r="F486" s="1"/>
      <c r="H486" s="91">
        <f>M12</f>
        <v>166402.79999999999</v>
      </c>
      <c r="I486" s="368">
        <v>42248</v>
      </c>
      <c r="J486" s="375">
        <f t="shared" si="69"/>
        <v>324921</v>
      </c>
      <c r="K486" s="376"/>
      <c r="L486" s="370"/>
      <c r="M486" s="375">
        <f t="shared" si="70"/>
        <v>166402.79999999999</v>
      </c>
      <c r="N486" s="1"/>
      <c r="O486" s="1"/>
      <c r="S486" s="1"/>
    </row>
    <row r="487" spans="1:19" hidden="1" outlineLevel="1" x14ac:dyDescent="0.2">
      <c r="A487" s="1"/>
      <c r="F487" s="1"/>
      <c r="H487" s="91">
        <f>M106+M111+M140</f>
        <v>348312.28</v>
      </c>
      <c r="I487" s="368">
        <v>42278</v>
      </c>
      <c r="J487" s="375">
        <f t="shared" si="69"/>
        <v>611052.6</v>
      </c>
      <c r="K487" s="376"/>
      <c r="L487" s="370"/>
      <c r="M487" s="375">
        <f t="shared" si="70"/>
        <v>348312.28</v>
      </c>
      <c r="N487" s="1"/>
      <c r="O487" s="1"/>
      <c r="S487" s="1"/>
    </row>
    <row r="488" spans="1:19" hidden="1" outlineLevel="1" x14ac:dyDescent="0.2">
      <c r="A488" s="1"/>
      <c r="F488" s="1"/>
      <c r="H488" s="91">
        <f>M43+M83+M88+M121+M219+M93</f>
        <v>935973.6</v>
      </c>
      <c r="I488" s="368">
        <v>42309</v>
      </c>
      <c r="J488" s="375">
        <f t="shared" si="69"/>
        <v>389346.8</v>
      </c>
      <c r="K488" s="376"/>
      <c r="L488" s="370"/>
      <c r="M488" s="375">
        <f t="shared" si="70"/>
        <v>935973.6</v>
      </c>
      <c r="N488" s="1"/>
      <c r="O488" s="1"/>
      <c r="S488" s="1"/>
    </row>
    <row r="489" spans="1:19" hidden="1" outlineLevel="1" x14ac:dyDescent="0.2">
      <c r="A489" s="1"/>
      <c r="F489" s="1"/>
      <c r="H489" s="91">
        <f>M161+M171</f>
        <v>186090</v>
      </c>
      <c r="I489" s="368">
        <v>42339</v>
      </c>
      <c r="J489" s="375">
        <f t="shared" si="69"/>
        <v>103982.39999999999</v>
      </c>
      <c r="K489" s="376"/>
      <c r="L489" s="370"/>
      <c r="M489" s="375">
        <f t="shared" si="70"/>
        <v>186090</v>
      </c>
      <c r="N489" s="1"/>
      <c r="O489" s="1"/>
      <c r="S489" s="1"/>
    </row>
    <row r="490" spans="1:19" hidden="1" outlineLevel="1" x14ac:dyDescent="0.2">
      <c r="A490" s="1"/>
      <c r="F490" s="1"/>
      <c r="H490" s="91">
        <f>M200+M207</f>
        <v>183146.4</v>
      </c>
      <c r="I490" s="368">
        <v>42370</v>
      </c>
      <c r="J490" s="375">
        <f t="shared" si="69"/>
        <v>430313.83999999997</v>
      </c>
      <c r="K490" s="376"/>
      <c r="L490" s="370"/>
      <c r="M490" s="375">
        <f t="shared" si="70"/>
        <v>183146.4</v>
      </c>
      <c r="N490" s="1"/>
      <c r="O490" s="1"/>
      <c r="S490" s="1"/>
    </row>
    <row r="491" spans="1:19" hidden="1" outlineLevel="1" x14ac:dyDescent="0.2">
      <c r="A491" s="1"/>
      <c r="F491" s="1"/>
      <c r="H491" s="91">
        <f>M220</f>
        <v>107887</v>
      </c>
      <c r="I491" s="368">
        <v>42401</v>
      </c>
      <c r="J491" s="375">
        <f t="shared" si="69"/>
        <v>524302.19999999995</v>
      </c>
      <c r="K491" s="376"/>
      <c r="L491" s="370"/>
      <c r="M491" s="375">
        <f t="shared" si="70"/>
        <v>107887</v>
      </c>
      <c r="N491" s="1"/>
      <c r="O491" s="1"/>
      <c r="S491" s="1"/>
    </row>
    <row r="492" spans="1:19" hidden="1" outlineLevel="1" x14ac:dyDescent="0.2">
      <c r="A492" s="1"/>
      <c r="F492" s="1"/>
      <c r="H492" s="91">
        <f>M141+M151+M166+M180+M185+M269</f>
        <v>711310.84000000008</v>
      </c>
      <c r="I492" s="368">
        <v>42430</v>
      </c>
      <c r="J492" s="375">
        <f t="shared" ref="J492:J501" si="71">SUMPRODUCT((DateAF_LBU&lt;&gt;"")*(MONTH(DateAF_LBU)=MONTH(I492))*(YEAR(DateAF_LBU)=YEAR(I492))*MontantAF_LBU)</f>
        <v>328223.40000000002</v>
      </c>
      <c r="K492" s="376"/>
      <c r="L492" s="370"/>
      <c r="M492" s="375">
        <f t="shared" si="70"/>
        <v>711310.84000000008</v>
      </c>
      <c r="N492" s="1"/>
      <c r="O492" s="1"/>
      <c r="S492" s="1"/>
    </row>
    <row r="493" spans="1:19" hidden="1" outlineLevel="1" x14ac:dyDescent="0.2">
      <c r="A493" s="1"/>
      <c r="F493" s="1"/>
      <c r="H493" s="91">
        <f>M172+M201+M208+M221</f>
        <v>328223.40000000002</v>
      </c>
      <c r="I493" s="368">
        <v>42461</v>
      </c>
      <c r="J493" s="375">
        <f t="shared" si="71"/>
        <v>0</v>
      </c>
      <c r="K493" s="376"/>
      <c r="L493" s="370"/>
      <c r="M493" s="375">
        <f t="shared" si="70"/>
        <v>328223.40000000002</v>
      </c>
      <c r="N493" s="1"/>
      <c r="O493" s="1"/>
      <c r="S493" s="1"/>
    </row>
    <row r="494" spans="1:19" hidden="1" outlineLevel="1" x14ac:dyDescent="0.2">
      <c r="A494" s="1"/>
      <c r="F494" s="1"/>
      <c r="H494" s="91">
        <f>M69++M61</f>
        <v>99879.6</v>
      </c>
      <c r="I494" s="368">
        <v>42491</v>
      </c>
      <c r="J494" s="375">
        <f t="shared" si="71"/>
        <v>154004</v>
      </c>
      <c r="K494" s="376"/>
      <c r="L494" s="370"/>
      <c r="M494" s="375">
        <f t="shared" si="70"/>
        <v>99879.6</v>
      </c>
      <c r="N494" s="1"/>
      <c r="O494" s="1"/>
      <c r="S494" s="1"/>
    </row>
    <row r="495" spans="1:19" hidden="1" outlineLevel="1" x14ac:dyDescent="0.2">
      <c r="A495" s="1"/>
      <c r="F495" s="1"/>
      <c r="H495" s="91">
        <f>M181</f>
        <v>58004</v>
      </c>
      <c r="I495" s="368">
        <v>42522</v>
      </c>
      <c r="J495" s="375">
        <f t="shared" si="71"/>
        <v>182844.9</v>
      </c>
      <c r="K495" s="376"/>
      <c r="L495" s="370"/>
      <c r="M495" s="375">
        <f t="shared" si="70"/>
        <v>58004</v>
      </c>
      <c r="N495" s="1"/>
      <c r="O495" s="1"/>
      <c r="S495" s="1"/>
    </row>
    <row r="496" spans="1:19" hidden="1" outlineLevel="1" x14ac:dyDescent="0.2">
      <c r="A496" s="1"/>
      <c r="F496" s="1"/>
      <c r="H496" s="91">
        <f>M77+M173+M235+M202+M212</f>
        <v>402937.7</v>
      </c>
      <c r="I496" s="368">
        <v>42552</v>
      </c>
      <c r="J496" s="375">
        <f t="shared" si="71"/>
        <v>0</v>
      </c>
      <c r="K496" s="376"/>
      <c r="L496" s="370"/>
      <c r="M496" s="375">
        <f t="shared" si="70"/>
        <v>402937.69999999995</v>
      </c>
      <c r="N496" s="1"/>
      <c r="O496" s="1"/>
      <c r="S496" s="1"/>
    </row>
    <row r="497" spans="1:19" hidden="1" outlineLevel="1" x14ac:dyDescent="0.2">
      <c r="A497" s="1"/>
      <c r="F497" s="1"/>
      <c r="H497" s="91">
        <f>M147</f>
        <v>35537.599999999999</v>
      </c>
      <c r="I497" s="368">
        <v>42583</v>
      </c>
      <c r="J497" s="375">
        <f t="shared" si="71"/>
        <v>92254.5</v>
      </c>
      <c r="K497" s="376"/>
      <c r="L497" s="370"/>
      <c r="M497" s="375">
        <f t="shared" si="70"/>
        <v>35537.599999999999</v>
      </c>
      <c r="N497" s="1"/>
      <c r="O497" s="1"/>
      <c r="S497" s="1"/>
    </row>
    <row r="498" spans="1:19" hidden="1" outlineLevel="1" x14ac:dyDescent="0.2">
      <c r="A498" s="1"/>
      <c r="F498" s="1"/>
      <c r="H498" s="91">
        <f>M53+M236</f>
        <v>326860.09999999998</v>
      </c>
      <c r="I498" s="368">
        <v>42614</v>
      </c>
      <c r="J498" s="375">
        <f t="shared" si="71"/>
        <v>122113.50120000003</v>
      </c>
      <c r="K498" s="376"/>
      <c r="L498" s="370"/>
      <c r="M498" s="375">
        <f t="shared" si="70"/>
        <v>326860.09999999998</v>
      </c>
      <c r="N498" s="1"/>
      <c r="O498" s="1"/>
      <c r="S498" s="1"/>
    </row>
    <row r="499" spans="1:19" hidden="1" outlineLevel="1" x14ac:dyDescent="0.2">
      <c r="A499" s="1"/>
      <c r="F499" s="1"/>
      <c r="H499" s="91">
        <f>M186+M209</f>
        <v>122113.5</v>
      </c>
      <c r="I499" s="368">
        <v>42644</v>
      </c>
      <c r="J499" s="375">
        <f t="shared" si="71"/>
        <v>138405.00000000012</v>
      </c>
      <c r="K499" s="376"/>
      <c r="L499" s="370"/>
      <c r="M499" s="375">
        <f t="shared" si="70"/>
        <v>122113.5</v>
      </c>
      <c r="N499" s="1"/>
      <c r="O499" s="1"/>
      <c r="S499" s="1"/>
    </row>
    <row r="500" spans="1:19" hidden="1" outlineLevel="1" x14ac:dyDescent="0.2">
      <c r="A500" s="1"/>
      <c r="F500" s="1"/>
      <c r="H500" s="1">
        <v>0</v>
      </c>
      <c r="I500" s="368">
        <v>42675</v>
      </c>
      <c r="J500" s="375">
        <f t="shared" si="71"/>
        <v>205266.41000000003</v>
      </c>
      <c r="K500" s="376"/>
      <c r="L500" s="370"/>
      <c r="M500" s="375">
        <f t="shared" si="70"/>
        <v>0</v>
      </c>
      <c r="N500" s="1"/>
      <c r="O500" s="1"/>
      <c r="S500" s="1"/>
    </row>
    <row r="501" spans="1:19" hidden="1" outlineLevel="1" x14ac:dyDescent="0.2">
      <c r="A501" s="1"/>
      <c r="F501" s="1"/>
      <c r="H501" s="91">
        <f>M187+M237</f>
        <v>170328.21000000002</v>
      </c>
      <c r="I501" s="368">
        <v>42705</v>
      </c>
      <c r="J501" s="375">
        <f t="shared" si="71"/>
        <v>0</v>
      </c>
      <c r="K501" s="376"/>
      <c r="L501" s="370"/>
      <c r="M501" s="375">
        <f t="shared" si="70"/>
        <v>170328.21000000002</v>
      </c>
      <c r="N501" s="1"/>
      <c r="O501" s="1"/>
      <c r="S501" s="1"/>
    </row>
    <row r="502" spans="1:19" hidden="1" outlineLevel="1" x14ac:dyDescent="0.2">
      <c r="A502" s="1"/>
      <c r="F502" s="1"/>
      <c r="H502" s="1">
        <v>0</v>
      </c>
      <c r="I502" s="368">
        <v>42736</v>
      </c>
      <c r="J502" s="375">
        <f t="shared" ref="J502:J537" si="72">SUMPRODUCT((DateAF_LBU&lt;&gt;"")*(MONTH(DateAF_LBU)=MONTH(I502))*(YEAR(DateAF_LBU)=YEAR(I502))*MontantAF_LBU)</f>
        <v>501036.28880000004</v>
      </c>
      <c r="K502" s="376"/>
      <c r="L502" s="370"/>
      <c r="M502" s="375">
        <f t="shared" ref="M502:M537" si="73">SUMPRODUCT((DatePmt_LBU&lt;&gt;"")*(DatePmt_LBU&lt;&gt;"en attente")*(MONTH(DatePmt_LBU)=MONTH(I502))*(YEAR(DatePmt_LBU)=YEAR(I502))*(ISNUMBER(MtntPaye_LBU)),MtntPaye_LBU)</f>
        <v>0</v>
      </c>
      <c r="N502" s="1"/>
      <c r="O502" s="1"/>
      <c r="S502" s="1"/>
    </row>
    <row r="503" spans="1:19" hidden="1" outlineLevel="1" x14ac:dyDescent="0.2">
      <c r="A503" s="1"/>
      <c r="F503" s="1"/>
      <c r="H503" s="91">
        <f>M238</f>
        <v>107941.5</v>
      </c>
      <c r="I503" s="368">
        <v>42767</v>
      </c>
      <c r="J503" s="375">
        <f t="shared" si="72"/>
        <v>915600</v>
      </c>
      <c r="K503" s="376"/>
      <c r="L503" s="370"/>
      <c r="M503" s="375">
        <f t="shared" si="73"/>
        <v>107941.5</v>
      </c>
      <c r="N503" s="1"/>
      <c r="O503" s="1"/>
      <c r="S503" s="1"/>
    </row>
    <row r="504" spans="1:19" hidden="1" outlineLevel="1" x14ac:dyDescent="0.2">
      <c r="A504" s="1"/>
      <c r="F504" s="1"/>
      <c r="H504" s="738">
        <f>M188+M213+M254+M261+M277+M292+M300+M314+M321+M224</f>
        <v>1284094.79</v>
      </c>
      <c r="I504" s="368">
        <v>42795</v>
      </c>
      <c r="J504" s="375">
        <f t="shared" si="72"/>
        <v>138000</v>
      </c>
      <c r="K504" s="376"/>
      <c r="L504" s="370"/>
      <c r="M504" s="375">
        <f t="shared" si="73"/>
        <v>1284094.79</v>
      </c>
      <c r="N504" s="1"/>
      <c r="O504" s="1"/>
      <c r="S504" s="1"/>
    </row>
    <row r="505" spans="1:19" hidden="1" outlineLevel="1" x14ac:dyDescent="0.2">
      <c r="A505" s="1"/>
      <c r="F505" s="1"/>
      <c r="H505" s="91">
        <f>M130</f>
        <v>132600</v>
      </c>
      <c r="I505" s="368">
        <v>42826</v>
      </c>
      <c r="J505" s="375">
        <f t="shared" si="72"/>
        <v>223600</v>
      </c>
      <c r="K505" s="376"/>
      <c r="L505" s="370"/>
      <c r="M505" s="375">
        <f t="shared" si="73"/>
        <v>132600</v>
      </c>
      <c r="N505" s="1"/>
      <c r="O505" s="1"/>
      <c r="S505" s="1"/>
    </row>
    <row r="506" spans="1:19" hidden="1" outlineLevel="1" x14ac:dyDescent="0.2">
      <c r="A506" s="1"/>
      <c r="F506" s="1"/>
      <c r="H506" s="91">
        <f>M96+M157</f>
        <v>66564</v>
      </c>
      <c r="I506" s="368">
        <v>42856</v>
      </c>
      <c r="J506" s="375">
        <f t="shared" si="72"/>
        <v>485167.09999999986</v>
      </c>
      <c r="K506" s="376"/>
      <c r="L506" s="370"/>
      <c r="M506" s="375">
        <f t="shared" si="73"/>
        <v>66564</v>
      </c>
      <c r="N506" s="1"/>
      <c r="O506" s="1"/>
      <c r="S506" s="1"/>
    </row>
    <row r="507" spans="1:19" hidden="1" outlineLevel="1" x14ac:dyDescent="0.2">
      <c r="A507" s="1"/>
      <c r="F507" s="1"/>
      <c r="H507" s="91">
        <f>M136+M182+M239+M214+M270</f>
        <v>339740</v>
      </c>
      <c r="I507" s="368">
        <v>42887</v>
      </c>
      <c r="J507" s="375">
        <f t="shared" si="72"/>
        <v>127550</v>
      </c>
      <c r="K507" s="376"/>
      <c r="L507" s="370"/>
      <c r="M507" s="375">
        <f t="shared" si="73"/>
        <v>339740</v>
      </c>
      <c r="N507" s="375"/>
      <c r="O507" s="1"/>
      <c r="S507" s="1"/>
    </row>
    <row r="508" spans="1:19" hidden="1" outlineLevel="1" x14ac:dyDescent="0.2">
      <c r="A508" s="1"/>
      <c r="F508" s="1"/>
      <c r="H508" s="738">
        <f>M107+M225</f>
        <v>282206.3</v>
      </c>
      <c r="I508" s="368">
        <v>42917</v>
      </c>
      <c r="J508" s="375">
        <f t="shared" si="72"/>
        <v>258825</v>
      </c>
      <c r="K508" s="376"/>
      <c r="L508" s="370"/>
      <c r="M508" s="375">
        <f t="shared" si="73"/>
        <v>282206.3</v>
      </c>
      <c r="N508" s="375"/>
      <c r="O508" s="1"/>
      <c r="S508" s="1"/>
    </row>
    <row r="509" spans="1:19" hidden="1" outlineLevel="1" x14ac:dyDescent="0.2">
      <c r="A509" s="1"/>
      <c r="F509" s="1"/>
      <c r="H509" s="91">
        <f>M222</f>
        <v>223600</v>
      </c>
      <c r="I509" s="368">
        <v>42948</v>
      </c>
      <c r="J509" s="375">
        <f t="shared" si="72"/>
        <v>88146</v>
      </c>
      <c r="K509" s="376"/>
      <c r="L509" s="370"/>
      <c r="M509" s="375">
        <f t="shared" si="73"/>
        <v>223600</v>
      </c>
      <c r="N509" s="375"/>
      <c r="O509" s="1"/>
      <c r="S509" s="1"/>
    </row>
    <row r="510" spans="1:19" hidden="1" outlineLevel="1" x14ac:dyDescent="0.2">
      <c r="A510" s="1"/>
      <c r="F510" s="1"/>
      <c r="H510" s="91">
        <f>M240+M246+M285</f>
        <v>346971</v>
      </c>
      <c r="I510" s="368">
        <v>42979</v>
      </c>
      <c r="J510" s="375">
        <f t="shared" si="72"/>
        <v>308519</v>
      </c>
      <c r="K510" s="376"/>
      <c r="L510" s="370"/>
      <c r="M510" s="375">
        <f t="shared" si="73"/>
        <v>346971</v>
      </c>
      <c r="N510" s="375"/>
      <c r="O510" s="1"/>
      <c r="S510" s="1"/>
    </row>
    <row r="511" spans="1:19" hidden="1" outlineLevel="1" x14ac:dyDescent="0.2">
      <c r="A511" s="1"/>
      <c r="F511" s="1"/>
      <c r="H511" s="91">
        <f>M122+M162+M215</f>
        <v>390934</v>
      </c>
      <c r="I511" s="368">
        <v>43009</v>
      </c>
      <c r="J511" s="375">
        <f t="shared" si="72"/>
        <v>261228.60000000006</v>
      </c>
      <c r="K511" s="376"/>
      <c r="L511" s="370"/>
      <c r="M511" s="375">
        <f t="shared" si="73"/>
        <v>390934</v>
      </c>
      <c r="N511" s="375"/>
      <c r="O511" s="1"/>
      <c r="S511" s="1"/>
    </row>
    <row r="512" spans="1:19" hidden="1" outlineLevel="1" x14ac:dyDescent="0.2">
      <c r="A512" s="1"/>
      <c r="F512" s="1"/>
      <c r="H512" s="738">
        <f>M112+M167</f>
        <v>128850.52</v>
      </c>
      <c r="I512" s="368">
        <v>43040</v>
      </c>
      <c r="J512" s="375">
        <f t="shared" si="72"/>
        <v>497565</v>
      </c>
      <c r="K512" s="376"/>
      <c r="L512" s="370"/>
      <c r="M512" s="375">
        <f t="shared" si="73"/>
        <v>45135</v>
      </c>
      <c r="N512" s="375"/>
      <c r="O512" s="1"/>
      <c r="S512" s="1"/>
    </row>
    <row r="513" spans="1:19" hidden="1" outlineLevel="1" x14ac:dyDescent="0.2">
      <c r="A513" s="1"/>
      <c r="F513" s="1"/>
      <c r="H513" s="738">
        <f>M271+M278+M322+M226+M262</f>
        <v>316942</v>
      </c>
      <c r="I513" s="368">
        <v>43070</v>
      </c>
      <c r="J513" s="375">
        <f t="shared" si="72"/>
        <v>100454.39999999997</v>
      </c>
      <c r="K513" s="376"/>
      <c r="L513" s="370"/>
      <c r="M513" s="375">
        <f t="shared" si="73"/>
        <v>316942</v>
      </c>
      <c r="N513" s="375"/>
      <c r="O513" s="1"/>
      <c r="S513" s="1"/>
    </row>
    <row r="514" spans="1:19" hidden="1" outlineLevel="1" x14ac:dyDescent="0.2">
      <c r="A514" s="1"/>
      <c r="F514" s="1"/>
      <c r="G514" s="91"/>
      <c r="H514" s="91">
        <f>M241</f>
        <v>98728.5</v>
      </c>
      <c r="I514" s="368">
        <v>43101</v>
      </c>
      <c r="J514" s="375">
        <f t="shared" si="72"/>
        <v>378000</v>
      </c>
      <c r="K514" s="376"/>
      <c r="L514" s="370"/>
      <c r="M514" s="375">
        <f>SUMPRODUCT((DatePmt_LBU&lt;&gt;"")*(DatePmt_LBU&lt;&gt;"en attente")*(MONTH(DatePmt_LBU)=MONTH(I514))*(YEAR(DatePmt_LBU)=YEAR(I514))*(ISNUMBER(MtntPaye_LBU)),MtntPaye_LBU)</f>
        <v>98728.5</v>
      </c>
      <c r="N514" s="375"/>
      <c r="O514" s="1"/>
      <c r="S514" s="1"/>
    </row>
    <row r="515" spans="1:19" hidden="1" outlineLevel="1" x14ac:dyDescent="0.2">
      <c r="A515" s="1"/>
      <c r="F515" s="1"/>
      <c r="H515" s="1">
        <v>0</v>
      </c>
      <c r="I515" s="368">
        <v>43132</v>
      </c>
      <c r="J515" s="375">
        <f t="shared" si="72"/>
        <v>424543.80000000005</v>
      </c>
      <c r="K515" s="376"/>
      <c r="L515" s="370"/>
      <c r="M515" s="375">
        <f t="shared" si="73"/>
        <v>0</v>
      </c>
      <c r="N515" s="375"/>
      <c r="O515" s="1"/>
      <c r="S515" s="1"/>
    </row>
    <row r="516" spans="1:19" hidden="1" outlineLevel="1" x14ac:dyDescent="0.2">
      <c r="A516" s="1"/>
      <c r="F516" s="1"/>
      <c r="H516" s="738">
        <f>M255+M263+M279+M293+M301+M315+M323+M329+M334+M227+M97</f>
        <v>619757.20000000007</v>
      </c>
      <c r="I516" s="368">
        <v>43160</v>
      </c>
      <c r="J516" s="375">
        <f t="shared" si="72"/>
        <v>362266.19999999995</v>
      </c>
      <c r="K516" s="376"/>
      <c r="L516" s="370"/>
      <c r="M516" s="375">
        <f t="shared" si="73"/>
        <v>619757.19999999995</v>
      </c>
      <c r="N516" s="375"/>
      <c r="O516" s="1"/>
      <c r="S516" s="1"/>
    </row>
    <row r="517" spans="1:19" hidden="1" outlineLevel="1" x14ac:dyDescent="0.2">
      <c r="A517" s="1"/>
      <c r="F517" s="1"/>
      <c r="H517" s="738">
        <f>M272+M353</f>
        <v>510772.5</v>
      </c>
      <c r="I517" s="368">
        <v>43191</v>
      </c>
      <c r="J517" s="375">
        <f t="shared" si="72"/>
        <v>138074.00000000006</v>
      </c>
      <c r="K517" s="376"/>
      <c r="L517" s="370"/>
      <c r="M517" s="375">
        <f t="shared" si="73"/>
        <v>510772.5</v>
      </c>
      <c r="N517" s="375"/>
      <c r="O517" s="1"/>
      <c r="S517" s="1"/>
    </row>
    <row r="518" spans="1:19" hidden="1" outlineLevel="1" x14ac:dyDescent="0.2">
      <c r="A518" s="1"/>
      <c r="F518" s="1"/>
      <c r="H518" s="738">
        <f>M189+M286+M308+M316+M360</f>
        <v>512160.2</v>
      </c>
      <c r="I518" s="368">
        <v>43221</v>
      </c>
      <c r="J518" s="375">
        <f t="shared" si="72"/>
        <v>562183.32499999995</v>
      </c>
      <c r="K518" s="376"/>
      <c r="L518" s="370"/>
      <c r="M518" s="375">
        <f t="shared" si="73"/>
        <v>512160.2</v>
      </c>
      <c r="N518" s="375"/>
      <c r="O518" s="1"/>
      <c r="S518" s="1"/>
    </row>
    <row r="519" spans="1:19" hidden="1" outlineLevel="1" x14ac:dyDescent="0.2">
      <c r="A519" s="1"/>
      <c r="F519" s="1"/>
      <c r="H519" s="91">
        <f>M152+M247+M256+M264+M280+M324</f>
        <v>269661.87</v>
      </c>
      <c r="I519" s="368">
        <v>43252</v>
      </c>
      <c r="J519" s="375">
        <f t="shared" si="72"/>
        <v>368952</v>
      </c>
      <c r="K519" s="376"/>
      <c r="L519" s="370"/>
      <c r="M519" s="375">
        <f t="shared" si="73"/>
        <v>269661.87</v>
      </c>
      <c r="N519" s="375"/>
      <c r="O519" s="1"/>
      <c r="S519" s="1"/>
    </row>
    <row r="520" spans="1:19" hidden="1" outlineLevel="1" x14ac:dyDescent="0.2">
      <c r="A520" s="1"/>
      <c r="F520" s="1"/>
      <c r="H520" s="91">
        <f>M142+M183+M294+M302</f>
        <v>390721.06</v>
      </c>
      <c r="I520" s="368">
        <v>43282</v>
      </c>
      <c r="J520" s="375">
        <f t="shared" si="72"/>
        <v>604018.67500000005</v>
      </c>
      <c r="K520" s="376"/>
      <c r="L520" s="370"/>
      <c r="M520" s="375">
        <f t="shared" si="73"/>
        <v>390721.06</v>
      </c>
      <c r="N520" s="1" t="s">
        <v>393</v>
      </c>
      <c r="O520" s="1"/>
      <c r="S520" s="1"/>
    </row>
    <row r="521" spans="1:19" hidden="1" outlineLevel="1" x14ac:dyDescent="0.2">
      <c r="A521" s="1"/>
      <c r="F521" s="1"/>
      <c r="H521" s="738">
        <f>M203+M210+M248+M257+M281+M295+M303+M325+M339</f>
        <v>614208.68000000005</v>
      </c>
      <c r="I521" s="368">
        <v>43313</v>
      </c>
      <c r="J521" s="375">
        <f t="shared" si="72"/>
        <v>44156</v>
      </c>
      <c r="K521" s="376"/>
      <c r="L521" s="370"/>
      <c r="M521" s="375">
        <f t="shared" si="73"/>
        <v>614208.68000000005</v>
      </c>
      <c r="N521" s="1"/>
      <c r="O521" s="1"/>
      <c r="S521" s="1"/>
    </row>
    <row r="522" spans="1:19" hidden="1" outlineLevel="1" x14ac:dyDescent="0.2">
      <c r="H522" s="91">
        <f>M258+M265+M287</f>
        <v>198128</v>
      </c>
      <c r="I522" s="368">
        <v>43344</v>
      </c>
      <c r="J522" s="375">
        <f t="shared" si="72"/>
        <v>303662.25000000006</v>
      </c>
      <c r="K522" s="376"/>
      <c r="L522" s="370"/>
      <c r="M522" s="375">
        <f t="shared" si="73"/>
        <v>198128</v>
      </c>
      <c r="O522" s="1"/>
    </row>
    <row r="523" spans="1:19" hidden="1" outlineLevel="1" x14ac:dyDescent="0.2">
      <c r="H523" s="91">
        <f>M174</f>
        <v>140448</v>
      </c>
      <c r="I523" s="368">
        <v>43374</v>
      </c>
      <c r="J523" s="375">
        <f t="shared" si="72"/>
        <v>570943.89999999991</v>
      </c>
      <c r="K523" s="376"/>
      <c r="L523" s="370"/>
      <c r="M523" s="375">
        <f t="shared" si="73"/>
        <v>140448</v>
      </c>
      <c r="O523" s="1"/>
    </row>
    <row r="524" spans="1:19" hidden="1" outlineLevel="1" x14ac:dyDescent="0.2">
      <c r="H524" s="738">
        <f>M216+M309+M326+M228</f>
        <v>251052</v>
      </c>
      <c r="I524" s="368">
        <v>43405</v>
      </c>
      <c r="J524" s="375">
        <f t="shared" si="72"/>
        <v>0</v>
      </c>
      <c r="K524" s="376"/>
      <c r="L524" s="370"/>
      <c r="M524" s="375">
        <f t="shared" si="73"/>
        <v>251052</v>
      </c>
    </row>
    <row r="525" spans="1:19" hidden="1" outlineLevel="1" x14ac:dyDescent="0.2">
      <c r="H525" s="738">
        <f>M249+M288+M296+M304+M317+M354</f>
        <v>623554.15</v>
      </c>
      <c r="I525" s="368">
        <v>43435</v>
      </c>
      <c r="J525" s="375">
        <f t="shared" si="72"/>
        <v>54721</v>
      </c>
      <c r="K525" s="376"/>
      <c r="L525" s="370"/>
      <c r="M525" s="375">
        <f t="shared" si="73"/>
        <v>623554.15</v>
      </c>
    </row>
    <row r="526" spans="1:19" x14ac:dyDescent="0.2">
      <c r="H526" s="738"/>
      <c r="I526" s="368">
        <v>43466</v>
      </c>
      <c r="J526" s="375">
        <f>SUMPRODUCT((DateAF_LBU&lt;&gt;"")*(MONTH(DateAF_LBU)=MONTH(I526))*(YEAR(DateAF_LBU)=YEAR(I526))*MontantAF_LBU)</f>
        <v>466235.70000000007</v>
      </c>
      <c r="K526" s="376"/>
      <c r="L526" s="370"/>
      <c r="M526" s="375">
        <f t="shared" si="73"/>
        <v>0</v>
      </c>
    </row>
    <row r="527" spans="1:19" x14ac:dyDescent="0.2">
      <c r="H527" s="738"/>
      <c r="I527" s="368">
        <v>43497</v>
      </c>
      <c r="J527" s="375">
        <f t="shared" si="72"/>
        <v>0</v>
      </c>
      <c r="K527" s="376"/>
      <c r="L527" s="370"/>
      <c r="M527" s="375">
        <f t="shared" si="73"/>
        <v>251241.5</v>
      </c>
    </row>
    <row r="528" spans="1:19" x14ac:dyDescent="0.2">
      <c r="H528" s="738"/>
      <c r="I528" s="368">
        <v>43525</v>
      </c>
      <c r="J528" s="375">
        <f t="shared" si="72"/>
        <v>0</v>
      </c>
      <c r="K528" s="376"/>
      <c r="L528" s="370"/>
      <c r="M528" s="375">
        <f t="shared" si="73"/>
        <v>319624.2</v>
      </c>
    </row>
    <row r="529" spans="5:13" x14ac:dyDescent="0.2">
      <c r="H529" s="738"/>
      <c r="I529" s="368">
        <v>43556</v>
      </c>
      <c r="J529" s="375">
        <f t="shared" si="72"/>
        <v>450212.49999999994</v>
      </c>
      <c r="K529" s="376"/>
      <c r="L529" s="370"/>
      <c r="M529" s="375">
        <f t="shared" si="73"/>
        <v>0</v>
      </c>
    </row>
    <row r="530" spans="5:13" x14ac:dyDescent="0.2">
      <c r="H530" s="738"/>
      <c r="I530" s="368">
        <v>43586</v>
      </c>
      <c r="J530" s="375">
        <f t="shared" si="72"/>
        <v>144000</v>
      </c>
      <c r="K530" s="376"/>
      <c r="L530" s="370"/>
      <c r="M530" s="375">
        <f t="shared" si="73"/>
        <v>0</v>
      </c>
    </row>
    <row r="531" spans="5:13" x14ac:dyDescent="0.2">
      <c r="H531" s="738"/>
      <c r="I531" s="368">
        <v>43617</v>
      </c>
      <c r="J531" s="375">
        <f t="shared" si="72"/>
        <v>0</v>
      </c>
      <c r="K531" s="376"/>
      <c r="L531" s="370"/>
      <c r="M531" s="375">
        <f t="shared" si="73"/>
        <v>0</v>
      </c>
    </row>
    <row r="532" spans="5:13" x14ac:dyDescent="0.2">
      <c r="H532" s="738"/>
      <c r="I532" s="368">
        <v>43647</v>
      </c>
      <c r="J532" s="375">
        <f t="shared" si="72"/>
        <v>0</v>
      </c>
      <c r="K532" s="376"/>
      <c r="L532" s="370"/>
      <c r="M532" s="375">
        <f t="shared" si="73"/>
        <v>0</v>
      </c>
    </row>
    <row r="533" spans="5:13" x14ac:dyDescent="0.2">
      <c r="H533" s="738"/>
      <c r="I533" s="368">
        <v>43678</v>
      </c>
      <c r="J533" s="375">
        <f t="shared" si="72"/>
        <v>0</v>
      </c>
      <c r="K533" s="376"/>
      <c r="L533" s="370"/>
      <c r="M533" s="375">
        <f t="shared" si="73"/>
        <v>0</v>
      </c>
    </row>
    <row r="534" spans="5:13" x14ac:dyDescent="0.2">
      <c r="H534" s="738"/>
      <c r="I534" s="368">
        <v>43709</v>
      </c>
      <c r="J534" s="375">
        <f t="shared" si="72"/>
        <v>0</v>
      </c>
      <c r="K534" s="376"/>
      <c r="L534" s="370"/>
      <c r="M534" s="375">
        <f t="shared" si="73"/>
        <v>0</v>
      </c>
    </row>
    <row r="535" spans="5:13" x14ac:dyDescent="0.2">
      <c r="H535" s="738"/>
      <c r="I535" s="368">
        <v>43739</v>
      </c>
      <c r="J535" s="375">
        <f t="shared" si="72"/>
        <v>0</v>
      </c>
      <c r="K535" s="376"/>
      <c r="L535" s="370"/>
      <c r="M535" s="375">
        <f t="shared" si="73"/>
        <v>0</v>
      </c>
    </row>
    <row r="536" spans="5:13" x14ac:dyDescent="0.2">
      <c r="H536" s="738"/>
      <c r="I536" s="368">
        <v>43770</v>
      </c>
      <c r="J536" s="375">
        <f t="shared" si="72"/>
        <v>0</v>
      </c>
      <c r="K536" s="376"/>
      <c r="L536" s="370"/>
      <c r="M536" s="375">
        <f t="shared" si="73"/>
        <v>0</v>
      </c>
    </row>
    <row r="537" spans="5:13" x14ac:dyDescent="0.2">
      <c r="E537" s="91"/>
      <c r="H537" s="738"/>
      <c r="I537" s="368">
        <v>43800</v>
      </c>
      <c r="J537" s="375">
        <f t="shared" si="72"/>
        <v>0</v>
      </c>
      <c r="K537" s="376"/>
      <c r="L537" s="370"/>
      <c r="M537" s="375">
        <f t="shared" si="73"/>
        <v>0</v>
      </c>
    </row>
    <row r="538" spans="5:13" x14ac:dyDescent="0.2">
      <c r="E538" s="91"/>
      <c r="H538" s="462">
        <f>SUM(H421:H537)</f>
        <v>24882003.299999993</v>
      </c>
      <c r="J538" s="377">
        <f>SUM(J422:J537)</f>
        <v>25983371.969999999</v>
      </c>
      <c r="K538" s="376"/>
      <c r="L538" s="370"/>
      <c r="M538" s="377">
        <f>SUM(M421:M537)</f>
        <v>25369153.479999993</v>
      </c>
    </row>
    <row r="539" spans="5:13" x14ac:dyDescent="0.2">
      <c r="E539" s="91"/>
      <c r="J539" s="91">
        <f>J538-J398</f>
        <v>0</v>
      </c>
      <c r="M539" s="91">
        <f>M538-M398</f>
        <v>-83715.520000007004</v>
      </c>
    </row>
    <row r="542" spans="5:13" x14ac:dyDescent="0.2">
      <c r="G542" s="739" t="s">
        <v>394</v>
      </c>
      <c r="H542" s="91">
        <f>M398-H538</f>
        <v>570865.70000000671</v>
      </c>
    </row>
    <row r="544" spans="5:13" x14ac:dyDescent="0.2">
      <c r="M544" s="91"/>
    </row>
    <row r="552" spans="7:9" x14ac:dyDescent="0.2">
      <c r="G552" s="91"/>
      <c r="I552" s="91"/>
    </row>
  </sheetData>
  <autoFilter ref="A4:S399">
    <filterColumn colId="9" showButton="0"/>
    <filterColumn colId="10" showButton="0"/>
    <filterColumn colId="11" showButton="0"/>
    <filterColumn colId="12" showButton="0"/>
    <filterColumn colId="13" showButton="0"/>
    <filterColumn colId="15" showButton="0"/>
  </autoFilter>
  <mergeCells count="13">
    <mergeCell ref="D4:D5"/>
    <mergeCell ref="G4:G5"/>
    <mergeCell ref="P399:Q399"/>
    <mergeCell ref="A2:P2"/>
    <mergeCell ref="A4:A5"/>
    <mergeCell ref="B4:B5"/>
    <mergeCell ref="C4:C5"/>
    <mergeCell ref="I4:I5"/>
    <mergeCell ref="J4:O4"/>
    <mergeCell ref="P4:Q4"/>
    <mergeCell ref="K112:K114"/>
    <mergeCell ref="L112:L114"/>
    <mergeCell ref="M112:M114"/>
  </mergeCells>
  <conditionalFormatting sqref="F6">
    <cfRule type="cellIs" dxfId="89" priority="105" operator="greaterThan">
      <formula>$D$6</formula>
    </cfRule>
  </conditionalFormatting>
  <conditionalFormatting sqref="F23">
    <cfRule type="cellIs" dxfId="88" priority="104" operator="greaterThan">
      <formula>$D$23</formula>
    </cfRule>
  </conditionalFormatting>
  <conditionalFormatting sqref="F94">
    <cfRule type="cellIs" dxfId="87" priority="103" operator="greaterThan">
      <formula>$D$94</formula>
    </cfRule>
  </conditionalFormatting>
  <conditionalFormatting sqref="F98">
    <cfRule type="cellIs" dxfId="86" priority="102" operator="greaterThan">
      <formula>$D$98</formula>
    </cfRule>
  </conditionalFormatting>
  <conditionalFormatting sqref="F158">
    <cfRule type="cellIs" dxfId="85" priority="101" operator="greaterThan">
      <formula>$D$158</formula>
    </cfRule>
  </conditionalFormatting>
  <conditionalFormatting sqref="F54">
    <cfRule type="cellIs" dxfId="84" priority="100" operator="greaterThan">
      <formula>$D$54</formula>
    </cfRule>
  </conditionalFormatting>
  <conditionalFormatting sqref="F62">
    <cfRule type="cellIs" dxfId="83" priority="99" operator="greaterThan">
      <formula>$D$62</formula>
    </cfRule>
  </conditionalFormatting>
  <conditionalFormatting sqref="F34">
    <cfRule type="cellIs" dxfId="82" priority="98" operator="greaterThan">
      <formula>$D$34</formula>
    </cfRule>
  </conditionalFormatting>
  <conditionalFormatting sqref="F44">
    <cfRule type="cellIs" dxfId="81" priority="97" operator="greaterThan">
      <formula>$D$44</formula>
    </cfRule>
  </conditionalFormatting>
  <conditionalFormatting sqref="F70">
    <cfRule type="cellIs" dxfId="80" priority="96" operator="greaterThan">
      <formula>$D$70</formula>
    </cfRule>
  </conditionalFormatting>
  <conditionalFormatting sqref="F100">
    <cfRule type="cellIs" dxfId="79" priority="95" operator="greaterThan">
      <formula>$D$100</formula>
    </cfRule>
  </conditionalFormatting>
  <conditionalFormatting sqref="F108">
    <cfRule type="cellIs" dxfId="78" priority="94" operator="greaterThan">
      <formula>$D$108</formula>
    </cfRule>
  </conditionalFormatting>
  <conditionalFormatting sqref="F78">
    <cfRule type="cellIs" dxfId="77" priority="93" operator="greaterThan">
      <formula>$D$78</formula>
    </cfRule>
  </conditionalFormatting>
  <conditionalFormatting sqref="F84">
    <cfRule type="cellIs" dxfId="76" priority="92" operator="greaterThan">
      <formula>$D$84</formula>
    </cfRule>
  </conditionalFormatting>
  <conditionalFormatting sqref="F89">
    <cfRule type="cellIs" dxfId="75" priority="91" operator="greaterThan">
      <formula>$D$89</formula>
    </cfRule>
  </conditionalFormatting>
  <conditionalFormatting sqref="F115">
    <cfRule type="cellIs" dxfId="74" priority="90" operator="greaterThan">
      <formula>$D$115</formula>
    </cfRule>
  </conditionalFormatting>
  <conditionalFormatting sqref="F163">
    <cfRule type="cellIs" dxfId="73" priority="89" operator="greaterThan">
      <formula>$D$163</formula>
    </cfRule>
  </conditionalFormatting>
  <conditionalFormatting sqref="F168">
    <cfRule type="cellIs" dxfId="72" priority="86" operator="greaterThan">
      <formula>$D$168</formula>
    </cfRule>
  </conditionalFormatting>
  <conditionalFormatting sqref="F175">
    <cfRule type="cellIs" dxfId="71" priority="85" operator="greaterThan">
      <formula>$D$175</formula>
    </cfRule>
  </conditionalFormatting>
  <conditionalFormatting sqref="F123">
    <cfRule type="cellIs" dxfId="70" priority="84" operator="greaterThan">
      <formula>$D$123</formula>
    </cfRule>
  </conditionalFormatting>
  <conditionalFormatting sqref="F131">
    <cfRule type="cellIs" dxfId="69" priority="83" operator="greaterThan">
      <formula>$D$131</formula>
    </cfRule>
  </conditionalFormatting>
  <conditionalFormatting sqref="F137">
    <cfRule type="cellIs" dxfId="68" priority="82" operator="greaterThan">
      <formula>$D$137</formula>
    </cfRule>
  </conditionalFormatting>
  <conditionalFormatting sqref="F177">
    <cfRule type="cellIs" dxfId="67" priority="81" operator="greaterThan">
      <formula>$D$177</formula>
    </cfRule>
  </conditionalFormatting>
  <conditionalFormatting sqref="F229">
    <cfRule type="cellIs" dxfId="66" priority="79" operator="greaterThan">
      <formula>$D$229</formula>
    </cfRule>
  </conditionalFormatting>
  <conditionalFormatting sqref="F143">
    <cfRule type="cellIs" dxfId="65" priority="78" operator="greaterThan">
      <formula>$D$143</formula>
    </cfRule>
  </conditionalFormatting>
  <conditionalFormatting sqref="F148">
    <cfRule type="cellIs" dxfId="64" priority="77" operator="greaterThan">
      <formula>$D$148</formula>
    </cfRule>
  </conditionalFormatting>
  <conditionalFormatting sqref="F153">
    <cfRule type="cellIs" dxfId="63" priority="76" operator="greaterThan">
      <formula>$D$153</formula>
    </cfRule>
  </conditionalFormatting>
  <conditionalFormatting sqref="F231">
    <cfRule type="cellIs" dxfId="62" priority="75" operator="greaterThan">
      <formula>$D$231</formula>
    </cfRule>
  </conditionalFormatting>
  <conditionalFormatting sqref="F233">
    <cfRule type="cellIs" dxfId="61" priority="74" operator="greaterThan">
      <formula>$D$233</formula>
    </cfRule>
  </conditionalFormatting>
  <conditionalFormatting sqref="F243">
    <cfRule type="cellIs" dxfId="60" priority="73" operator="greaterThan">
      <formula>$D$243</formula>
    </cfRule>
  </conditionalFormatting>
  <conditionalFormatting sqref="F195">
    <cfRule type="cellIs" dxfId="59" priority="72" operator="greaterThan">
      <formula>D195</formula>
    </cfRule>
  </conditionalFormatting>
  <conditionalFormatting sqref="H6">
    <cfRule type="cellIs" dxfId="58" priority="64" operator="greaterThan">
      <formula>$G$6</formula>
    </cfRule>
  </conditionalFormatting>
  <conditionalFormatting sqref="H23">
    <cfRule type="cellIs" dxfId="57" priority="63" operator="greaterThan">
      <formula>G23</formula>
    </cfRule>
  </conditionalFormatting>
  <conditionalFormatting sqref="H34">
    <cfRule type="cellIs" dxfId="56" priority="62" operator="greaterThan">
      <formula>$G$6</formula>
    </cfRule>
  </conditionalFormatting>
  <conditionalFormatting sqref="H44">
    <cfRule type="cellIs" dxfId="55" priority="61" operator="greaterThan">
      <formula>$G$6</formula>
    </cfRule>
  </conditionalFormatting>
  <conditionalFormatting sqref="H54">
    <cfRule type="cellIs" dxfId="54" priority="59" operator="greaterThan">
      <formula>$G$6</formula>
    </cfRule>
  </conditionalFormatting>
  <conditionalFormatting sqref="H62">
    <cfRule type="cellIs" dxfId="53" priority="58" operator="greaterThan">
      <formula>$G$6</formula>
    </cfRule>
  </conditionalFormatting>
  <conditionalFormatting sqref="H70">
    <cfRule type="cellIs" dxfId="52" priority="57" operator="greaterThan">
      <formula>$G$6</formula>
    </cfRule>
  </conditionalFormatting>
  <conditionalFormatting sqref="H78">
    <cfRule type="cellIs" dxfId="51" priority="56" operator="greaterThan">
      <formula>$G$6</formula>
    </cfRule>
  </conditionalFormatting>
  <conditionalFormatting sqref="H84">
    <cfRule type="cellIs" dxfId="50" priority="55" operator="greaterThan">
      <formula>$G$6</formula>
    </cfRule>
  </conditionalFormatting>
  <conditionalFormatting sqref="H89">
    <cfRule type="cellIs" dxfId="49" priority="54" operator="greaterThan">
      <formula>$G$6</formula>
    </cfRule>
  </conditionalFormatting>
  <conditionalFormatting sqref="H94">
    <cfRule type="cellIs" dxfId="48" priority="53" operator="greaterThan">
      <formula>G94</formula>
    </cfRule>
  </conditionalFormatting>
  <conditionalFormatting sqref="F197">
    <cfRule type="cellIs" dxfId="47" priority="52" operator="greaterThan">
      <formula>D197</formula>
    </cfRule>
  </conditionalFormatting>
  <conditionalFormatting sqref="F204">
    <cfRule type="cellIs" dxfId="46" priority="51" operator="greaterThan">
      <formula>D204</formula>
    </cfRule>
  </conditionalFormatting>
  <conditionalFormatting sqref="F245:F249">
    <cfRule type="cellIs" dxfId="45" priority="50" operator="greaterThan">
      <formula>D245</formula>
    </cfRule>
  </conditionalFormatting>
  <conditionalFormatting sqref="F251">
    <cfRule type="cellIs" dxfId="44" priority="49" operator="greaterThan">
      <formula>D251</formula>
    </cfRule>
  </conditionalFormatting>
  <conditionalFormatting sqref="F212:F215">
    <cfRule type="cellIs" dxfId="43" priority="48" operator="greaterThan">
      <formula>D212</formula>
    </cfRule>
  </conditionalFormatting>
  <conditionalFormatting sqref="F253:F258">
    <cfRule type="cellIs" dxfId="42" priority="47" operator="greaterThan">
      <formula>D253</formula>
    </cfRule>
  </conditionalFormatting>
  <conditionalFormatting sqref="F268">
    <cfRule type="cellIs" dxfId="41" priority="46" operator="greaterThan">
      <formula>D268</formula>
    </cfRule>
  </conditionalFormatting>
  <conditionalFormatting sqref="F217">
    <cfRule type="cellIs" dxfId="40" priority="44" operator="greaterThan">
      <formula>D217</formula>
    </cfRule>
  </conditionalFormatting>
  <conditionalFormatting sqref="H98">
    <cfRule type="cellIs" dxfId="39" priority="43" operator="greaterThan">
      <formula>G98</formula>
    </cfRule>
  </conditionalFormatting>
  <conditionalFormatting sqref="H100">
    <cfRule type="cellIs" dxfId="38" priority="42" operator="greaterThan">
      <formula>G100</formula>
    </cfRule>
  </conditionalFormatting>
  <conditionalFormatting sqref="H108">
    <cfRule type="cellIs" dxfId="37" priority="41" operator="greaterThan">
      <formula>G108</formula>
    </cfRule>
  </conditionalFormatting>
  <conditionalFormatting sqref="H115">
    <cfRule type="cellIs" dxfId="36" priority="40" operator="greaterThan">
      <formula>G115</formula>
    </cfRule>
  </conditionalFormatting>
  <conditionalFormatting sqref="H123">
    <cfRule type="cellIs" dxfId="35" priority="39" operator="greaterThan">
      <formula>G123</formula>
    </cfRule>
  </conditionalFormatting>
  <conditionalFormatting sqref="H131">
    <cfRule type="cellIs" dxfId="34" priority="38" operator="greaterThan">
      <formula>G131</formula>
    </cfRule>
  </conditionalFormatting>
  <conditionalFormatting sqref="H137">
    <cfRule type="cellIs" dxfId="33" priority="37" operator="greaterThan">
      <formula>G137</formula>
    </cfRule>
  </conditionalFormatting>
  <conditionalFormatting sqref="H229">
    <cfRule type="cellIs" dxfId="32" priority="36" operator="greaterThan">
      <formula>G229</formula>
    </cfRule>
  </conditionalFormatting>
  <conditionalFormatting sqref="H143">
    <cfRule type="cellIs" dxfId="31" priority="35" operator="greaterThan">
      <formula>G143</formula>
    </cfRule>
  </conditionalFormatting>
  <conditionalFormatting sqref="H148">
    <cfRule type="cellIs" dxfId="30" priority="34" operator="greaterThan">
      <formula>G148</formula>
    </cfRule>
  </conditionalFormatting>
  <conditionalFormatting sqref="H153">
    <cfRule type="cellIs" dxfId="29" priority="33" operator="greaterThan">
      <formula>G153</formula>
    </cfRule>
  </conditionalFormatting>
  <conditionalFormatting sqref="H158">
    <cfRule type="cellIs" dxfId="28" priority="32" operator="greaterThan">
      <formula>G158</formula>
    </cfRule>
  </conditionalFormatting>
  <conditionalFormatting sqref="H163">
    <cfRule type="cellIs" dxfId="27" priority="31" operator="greaterThan">
      <formula>G163</formula>
    </cfRule>
  </conditionalFormatting>
  <conditionalFormatting sqref="H177">
    <cfRule type="cellIs" dxfId="26" priority="28" operator="greaterThan">
      <formula>G177</formula>
    </cfRule>
  </conditionalFormatting>
  <conditionalFormatting sqref="H233">
    <cfRule type="cellIs" dxfId="25" priority="25" operator="greaterThan">
      <formula>G233</formula>
    </cfRule>
  </conditionalFormatting>
  <conditionalFormatting sqref="H243">
    <cfRule type="cellIs" dxfId="24" priority="24" operator="greaterThan">
      <formula>G243</formula>
    </cfRule>
  </conditionalFormatting>
  <conditionalFormatting sqref="H195">
    <cfRule type="cellIs" dxfId="23" priority="23" operator="greaterThan">
      <formula>G195</formula>
    </cfRule>
  </conditionalFormatting>
  <conditionalFormatting sqref="H197">
    <cfRule type="cellIs" dxfId="22" priority="22" operator="greaterThan">
      <formula>G197</formula>
    </cfRule>
  </conditionalFormatting>
  <conditionalFormatting sqref="H245:H249">
    <cfRule type="cellIs" dxfId="21" priority="20" operator="greaterThan">
      <formula>G245</formula>
    </cfRule>
  </conditionalFormatting>
  <conditionalFormatting sqref="H251">
    <cfRule type="cellIs" dxfId="20" priority="19" operator="greaterThan">
      <formula>G251</formula>
    </cfRule>
  </conditionalFormatting>
  <conditionalFormatting sqref="H211:H215">
    <cfRule type="cellIs" dxfId="19" priority="18" operator="greaterThan">
      <formula>G211</formula>
    </cfRule>
  </conditionalFormatting>
  <conditionalFormatting sqref="H253:H258">
    <cfRule type="cellIs" dxfId="18" priority="17" operator="greaterThan">
      <formula>G253</formula>
    </cfRule>
  </conditionalFormatting>
  <conditionalFormatting sqref="H217">
    <cfRule type="cellIs" dxfId="17" priority="15" operator="greaterThan">
      <formula>G217</formula>
    </cfRule>
  </conditionalFormatting>
  <conditionalFormatting sqref="F274">
    <cfRule type="cellIs" dxfId="16" priority="12" operator="greaterThan">
      <formula>D274</formula>
    </cfRule>
  </conditionalFormatting>
  <conditionalFormatting sqref="H274">
    <cfRule type="cellIs" dxfId="15" priority="11" operator="greaterThan">
      <formula>G274</formula>
    </cfRule>
  </conditionalFormatting>
  <conditionalFormatting sqref="F276:F282">
    <cfRule type="cellIs" dxfId="14" priority="10" operator="greaterThan">
      <formula>D276</formula>
    </cfRule>
  </conditionalFormatting>
  <conditionalFormatting sqref="H276:H282">
    <cfRule type="cellIs" dxfId="13" priority="9" operator="greaterThan">
      <formula>G276</formula>
    </cfRule>
  </conditionalFormatting>
  <conditionalFormatting sqref="F284:F289">
    <cfRule type="cellIs" dxfId="12" priority="8" operator="greaterThan">
      <formula>D284</formula>
    </cfRule>
  </conditionalFormatting>
  <conditionalFormatting sqref="H284:H289">
    <cfRule type="cellIs" dxfId="11" priority="7" operator="greaterThan">
      <formula>G284</formula>
    </cfRule>
  </conditionalFormatting>
  <conditionalFormatting sqref="F190">
    <cfRule type="cellIs" dxfId="10" priority="6" operator="greaterThan">
      <formula>$D$184</formula>
    </cfRule>
  </conditionalFormatting>
  <conditionalFormatting sqref="H190">
    <cfRule type="cellIs" dxfId="9" priority="5" operator="greaterThan">
      <formula>G190</formula>
    </cfRule>
  </conditionalFormatting>
  <conditionalFormatting sqref="F184">
    <cfRule type="cellIs" dxfId="8" priority="4" operator="greaterThan">
      <formula>$D$231</formula>
    </cfRule>
  </conditionalFormatting>
  <conditionalFormatting sqref="H268">
    <cfRule type="cellIs" dxfId="7" priority="2" operator="greaterThan">
      <formula>G268</formula>
    </cfRule>
  </conditionalFormatting>
  <conditionalFormatting sqref="H260">
    <cfRule type="cellIs" dxfId="6" priority="1" operator="greaterThan">
      <formula>G260</formula>
    </cfRule>
  </conditionalFormatting>
  <pageMargins left="0.70866141732283472" right="0.70866141732283472" top="0.74803149606299213" bottom="0.74803149606299213" header="0.31496062992125984" footer="0.31496062992125984"/>
  <pageSetup paperSize="8" scale="70" orientation="landscape" r:id="rId1"/>
  <rowBreaks count="1" manualBreakCount="1">
    <brk id="167" max="17" man="1"/>
  </rowBreaks>
  <colBreaks count="1" manualBreakCount="1">
    <brk id="19" max="255" man="1"/>
  </colBreaks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B050"/>
    <outlinePr summaryBelow="0"/>
    <pageSetUpPr fitToPage="1"/>
  </sheetPr>
  <dimension ref="A1:R81"/>
  <sheetViews>
    <sheetView view="pageBreakPreview" topLeftCell="A34" zoomScaleNormal="70" zoomScaleSheetLayoutView="100" workbookViewId="0">
      <selection activeCell="D47" sqref="D47"/>
    </sheetView>
  </sheetViews>
  <sheetFormatPr baseColWidth="10" defaultColWidth="11.42578125" defaultRowHeight="12" outlineLevelRow="1" x14ac:dyDescent="0.2"/>
  <cols>
    <col min="1" max="1" width="13.42578125" style="6" bestFit="1" customWidth="1"/>
    <col min="2" max="2" width="30.42578125" style="1" bestFit="1" customWidth="1"/>
    <col min="3" max="3" width="11.42578125" style="1" bestFit="1" customWidth="1"/>
    <col min="4" max="4" width="13.42578125" style="1" bestFit="1" customWidth="1"/>
    <col min="5" max="5" width="14.42578125" style="1" customWidth="1"/>
    <col min="6" max="6" width="4.140625" style="6" bestFit="1" customWidth="1"/>
    <col min="7" max="7" width="10.42578125" style="1" bestFit="1" customWidth="1"/>
    <col min="8" max="8" width="13.42578125" style="1" customWidth="1"/>
    <col min="9" max="9" width="10.42578125" style="1" bestFit="1" customWidth="1"/>
    <col min="10" max="10" width="18.5703125" style="1" bestFit="1" customWidth="1"/>
    <col min="11" max="11" width="14.42578125" style="1" customWidth="1"/>
    <col min="12" max="13" width="14.42578125" style="1" bestFit="1" customWidth="1"/>
    <col min="14" max="14" width="14.28515625" style="1" customWidth="1"/>
    <col min="15" max="15" width="14.42578125" style="1" bestFit="1" customWidth="1"/>
    <col min="16" max="16" width="13.42578125" style="1" bestFit="1" customWidth="1"/>
    <col min="17" max="16384" width="11.42578125" style="1"/>
  </cols>
  <sheetData>
    <row r="1" spans="1:17" x14ac:dyDescent="0.2">
      <c r="O1" s="7" t="s">
        <v>25</v>
      </c>
      <c r="P1" s="8" t="s">
        <v>24</v>
      </c>
    </row>
    <row r="2" spans="1:17" x14ac:dyDescent="0.2">
      <c r="A2" s="923" t="s">
        <v>5</v>
      </c>
      <c r="B2" s="923"/>
      <c r="C2" s="923"/>
      <c r="D2" s="923"/>
      <c r="E2" s="923"/>
      <c r="F2" s="923"/>
      <c r="G2" s="923"/>
      <c r="H2" s="923"/>
      <c r="I2" s="923"/>
      <c r="J2" s="923"/>
      <c r="K2" s="923"/>
      <c r="L2" s="9">
        <v>42155</v>
      </c>
      <c r="M2" s="9"/>
      <c r="P2" s="61">
        <v>2.9399999999999999E-2</v>
      </c>
    </row>
    <row r="4" spans="1:17" s="2" customFormat="1" x14ac:dyDescent="0.2">
      <c r="A4" s="940" t="s">
        <v>2</v>
      </c>
      <c r="B4" s="928" t="s">
        <v>0</v>
      </c>
      <c r="C4" s="928" t="s">
        <v>21</v>
      </c>
      <c r="D4" s="928" t="s">
        <v>12</v>
      </c>
      <c r="E4" s="924" t="s">
        <v>4</v>
      </c>
      <c r="F4" s="925"/>
      <c r="G4" s="925"/>
      <c r="H4" s="925"/>
      <c r="I4" s="925"/>
      <c r="J4" s="926"/>
      <c r="K4" s="927" t="s">
        <v>13</v>
      </c>
      <c r="L4" s="928"/>
      <c r="M4" s="3" t="s">
        <v>107</v>
      </c>
      <c r="P4" s="63">
        <v>41967</v>
      </c>
      <c r="Q4" s="63">
        <v>42185</v>
      </c>
    </row>
    <row r="5" spans="1:17" s="13" customFormat="1" ht="14.25" customHeight="1" x14ac:dyDescent="0.2">
      <c r="A5" s="941"/>
      <c r="B5" s="942"/>
      <c r="C5" s="942"/>
      <c r="D5" s="942"/>
      <c r="E5" s="10" t="s">
        <v>1</v>
      </c>
      <c r="F5" s="11" t="s">
        <v>3</v>
      </c>
      <c r="G5" s="11" t="s">
        <v>15</v>
      </c>
      <c r="H5" s="12" t="s">
        <v>14</v>
      </c>
      <c r="I5" s="10" t="s">
        <v>15</v>
      </c>
      <c r="J5" s="11" t="s">
        <v>18</v>
      </c>
      <c r="K5" s="3" t="s">
        <v>20</v>
      </c>
      <c r="L5" s="3" t="s">
        <v>19</v>
      </c>
      <c r="M5" s="3"/>
    </row>
    <row r="6" spans="1:17" ht="13.7" customHeight="1" x14ac:dyDescent="0.2">
      <c r="A6" s="119" t="s">
        <v>7</v>
      </c>
      <c r="B6" s="120" t="s">
        <v>16</v>
      </c>
      <c r="C6" s="121">
        <v>40870</v>
      </c>
      <c r="D6" s="128">
        <f>341529.23+0.02</f>
        <v>341529.25</v>
      </c>
      <c r="E6" s="123"/>
      <c r="F6" s="124"/>
      <c r="G6" s="125"/>
      <c r="H6" s="126">
        <f>SUM(H7:H11)</f>
        <v>273223.40000000002</v>
      </c>
      <c r="I6" s="127"/>
      <c r="J6" s="125"/>
      <c r="K6" s="128">
        <f>SUM(K7:K11)</f>
        <v>68305.850000000006</v>
      </c>
      <c r="L6" s="128">
        <f>SUM(L7:L11)</f>
        <v>0</v>
      </c>
      <c r="M6" s="128"/>
      <c r="N6" s="166">
        <f>D6-(H6+K6+L6)</f>
        <v>0</v>
      </c>
    </row>
    <row r="7" spans="1:17" s="26" customFormat="1" ht="13.7" customHeight="1" outlineLevel="1" x14ac:dyDescent="0.2">
      <c r="A7" s="46" t="s">
        <v>7</v>
      </c>
      <c r="B7" s="4"/>
      <c r="C7" s="15"/>
      <c r="D7" s="22"/>
      <c r="E7" s="23">
        <v>68305.850000000006</v>
      </c>
      <c r="F7" s="42">
        <v>1</v>
      </c>
      <c r="G7" s="15">
        <v>40968</v>
      </c>
      <c r="H7" s="24">
        <v>68305.850000000006</v>
      </c>
      <c r="I7" s="30">
        <v>42051</v>
      </c>
      <c r="J7" s="4">
        <f>$L$2-G7</f>
        <v>1187</v>
      </c>
      <c r="K7" s="16">
        <f>E7-H7</f>
        <v>0</v>
      </c>
      <c r="L7" s="16" t="str">
        <f t="shared" ref="L7:L36" si="0">IF(G7="",E7,"")</f>
        <v/>
      </c>
      <c r="M7" s="16"/>
      <c r="O7" s="27">
        <f t="shared" ref="O7:O12" si="1">K7</f>
        <v>0</v>
      </c>
      <c r="P7" s="27">
        <f>O7*$P$2*J7/365</f>
        <v>0</v>
      </c>
    </row>
    <row r="8" spans="1:17" s="26" customFormat="1" ht="13.7" customHeight="1" outlineLevel="1" x14ac:dyDescent="0.2">
      <c r="A8" s="46" t="s">
        <v>7</v>
      </c>
      <c r="B8" s="4"/>
      <c r="C8" s="15"/>
      <c r="D8" s="22"/>
      <c r="E8" s="23">
        <v>68305.850000000006</v>
      </c>
      <c r="F8" s="42">
        <v>2</v>
      </c>
      <c r="G8" s="15">
        <v>41040</v>
      </c>
      <c r="H8" s="24">
        <v>68305.850000000006</v>
      </c>
      <c r="I8" s="30">
        <v>42051</v>
      </c>
      <c r="J8" s="4">
        <f>$L$2-G8</f>
        <v>1115</v>
      </c>
      <c r="K8" s="16">
        <f>E8-H8</f>
        <v>0</v>
      </c>
      <c r="L8" s="16" t="str">
        <f t="shared" si="0"/>
        <v/>
      </c>
      <c r="M8" s="16"/>
      <c r="O8" s="27">
        <f t="shared" si="1"/>
        <v>0</v>
      </c>
      <c r="P8" s="27">
        <f>O8*$P$2*J8/365</f>
        <v>0</v>
      </c>
    </row>
    <row r="9" spans="1:17" s="26" customFormat="1" ht="13.7" customHeight="1" outlineLevel="1" x14ac:dyDescent="0.2">
      <c r="A9" s="46" t="s">
        <v>7</v>
      </c>
      <c r="B9" s="4"/>
      <c r="C9" s="15"/>
      <c r="D9" s="22"/>
      <c r="E9" s="23">
        <v>68305.850000000006</v>
      </c>
      <c r="F9" s="42">
        <v>3</v>
      </c>
      <c r="G9" s="15">
        <v>41134</v>
      </c>
      <c r="H9" s="24">
        <v>68305.850000000006</v>
      </c>
      <c r="I9" s="30">
        <v>42051</v>
      </c>
      <c r="J9" s="4">
        <f>$L$2-G9</f>
        <v>1021</v>
      </c>
      <c r="K9" s="16">
        <f>E9-H9</f>
        <v>0</v>
      </c>
      <c r="L9" s="16" t="str">
        <f t="shared" si="0"/>
        <v/>
      </c>
      <c r="M9" s="16"/>
      <c r="O9" s="27">
        <f t="shared" si="1"/>
        <v>0</v>
      </c>
      <c r="P9" s="27">
        <f>O9*$P$2*J9/365</f>
        <v>0</v>
      </c>
    </row>
    <row r="10" spans="1:17" s="26" customFormat="1" ht="14.25" customHeight="1" outlineLevel="1" x14ac:dyDescent="0.2">
      <c r="A10" s="46" t="s">
        <v>7</v>
      </c>
      <c r="B10" s="4"/>
      <c r="C10" s="15"/>
      <c r="D10" s="22"/>
      <c r="E10" s="23">
        <v>68305.850000000006</v>
      </c>
      <c r="F10" s="42">
        <v>4</v>
      </c>
      <c r="G10" s="15">
        <v>41192</v>
      </c>
      <c r="H10" s="24">
        <v>68305.850000000006</v>
      </c>
      <c r="I10" s="30">
        <v>42051</v>
      </c>
      <c r="J10" s="4">
        <f>$L$2-G10</f>
        <v>963</v>
      </c>
      <c r="K10" s="16">
        <f>E10-H10</f>
        <v>0</v>
      </c>
      <c r="L10" s="16" t="str">
        <f t="shared" si="0"/>
        <v/>
      </c>
      <c r="M10" s="16"/>
      <c r="O10" s="27">
        <f t="shared" si="1"/>
        <v>0</v>
      </c>
      <c r="P10" s="27">
        <f>O10*$P$2*J10/365</f>
        <v>0</v>
      </c>
    </row>
    <row r="11" spans="1:17" s="26" customFormat="1" ht="14.25" customHeight="1" outlineLevel="1" x14ac:dyDescent="0.2">
      <c r="A11" s="118" t="s">
        <v>7</v>
      </c>
      <c r="B11" s="32"/>
      <c r="C11" s="33"/>
      <c r="D11" s="187"/>
      <c r="E11" s="35">
        <v>68305.850000000006</v>
      </c>
      <c r="F11" s="44">
        <v>5</v>
      </c>
      <c r="G11" s="36">
        <v>42037</v>
      </c>
      <c r="H11" s="154" t="s">
        <v>104</v>
      </c>
      <c r="I11" s="38"/>
      <c r="J11" s="39">
        <f>$L$2-G11</f>
        <v>118</v>
      </c>
      <c r="K11" s="40">
        <f>E11</f>
        <v>68305.850000000006</v>
      </c>
      <c r="L11" s="40" t="str">
        <f t="shared" si="0"/>
        <v/>
      </c>
      <c r="M11" s="40"/>
      <c r="O11" s="27">
        <f t="shared" si="1"/>
        <v>68305.850000000006</v>
      </c>
      <c r="P11" s="26">
        <f>O11*$P$2*J11/365</f>
        <v>649.22371183561643</v>
      </c>
    </row>
    <row r="12" spans="1:17" ht="14.25" customHeight="1" x14ac:dyDescent="0.2">
      <c r="A12" s="129" t="s">
        <v>11</v>
      </c>
      <c r="B12" s="130" t="s">
        <v>16</v>
      </c>
      <c r="C12" s="131">
        <v>40984</v>
      </c>
      <c r="D12" s="137">
        <f>119894.04+0.01</f>
        <v>119894.04999999999</v>
      </c>
      <c r="E12" s="132"/>
      <c r="F12" s="133"/>
      <c r="G12" s="134"/>
      <c r="H12" s="135">
        <f>SUM(H13:H17)</f>
        <v>95915.24</v>
      </c>
      <c r="I12" s="136"/>
      <c r="J12" s="134"/>
      <c r="K12" s="137">
        <f>SUM(K13:K17)</f>
        <v>23978.81</v>
      </c>
      <c r="L12" s="137">
        <f>SUM(L13:L17)</f>
        <v>0</v>
      </c>
      <c r="M12" s="137"/>
      <c r="N12" s="166">
        <f>D12-(H12+K12+L12)</f>
        <v>0</v>
      </c>
      <c r="O12" s="1">
        <f t="shared" si="1"/>
        <v>23978.81</v>
      </c>
    </row>
    <row r="13" spans="1:17" outlineLevel="1" x14ac:dyDescent="0.2">
      <c r="A13" s="46" t="s">
        <v>11</v>
      </c>
      <c r="B13" s="4"/>
      <c r="C13" s="15"/>
      <c r="D13" s="22"/>
      <c r="E13" s="23">
        <v>23978.81</v>
      </c>
      <c r="F13" s="42">
        <v>1</v>
      </c>
      <c r="G13" s="15">
        <v>40989</v>
      </c>
      <c r="H13" s="24">
        <v>23978.81</v>
      </c>
      <c r="I13" s="30">
        <v>41059</v>
      </c>
      <c r="J13" s="4">
        <f>I13-G13</f>
        <v>70</v>
      </c>
      <c r="K13" s="16">
        <f>E13-H13</f>
        <v>0</v>
      </c>
      <c r="L13" s="16" t="str">
        <f t="shared" si="0"/>
        <v/>
      </c>
      <c r="M13" s="16"/>
      <c r="O13" s="27">
        <f>E13</f>
        <v>23978.81</v>
      </c>
      <c r="P13" s="27">
        <f>O13*$P$2*J13/365</f>
        <v>135.2010711780822</v>
      </c>
    </row>
    <row r="14" spans="1:17" ht="14.25" customHeight="1" outlineLevel="1" x14ac:dyDescent="0.2">
      <c r="A14" s="46" t="s">
        <v>11</v>
      </c>
      <c r="B14" s="4"/>
      <c r="C14" s="15"/>
      <c r="D14" s="22"/>
      <c r="E14" s="23">
        <v>23978.81</v>
      </c>
      <c r="F14" s="42">
        <v>2</v>
      </c>
      <c r="G14" s="15">
        <v>41040</v>
      </c>
      <c r="H14" s="24">
        <v>23978.81</v>
      </c>
      <c r="I14" s="30">
        <v>41652</v>
      </c>
      <c r="J14" s="4">
        <f>I14-G14</f>
        <v>612</v>
      </c>
      <c r="K14" s="16">
        <f>E14-H14</f>
        <v>0</v>
      </c>
      <c r="L14" s="16" t="str">
        <f t="shared" si="0"/>
        <v/>
      </c>
      <c r="M14" s="16"/>
      <c r="O14" s="27">
        <f>E14</f>
        <v>23978.81</v>
      </c>
      <c r="P14" s="27">
        <f>O14*$P$2*J14/365</f>
        <v>1182.043650871233</v>
      </c>
    </row>
    <row r="15" spans="1:17" ht="14.25" customHeight="1" outlineLevel="1" x14ac:dyDescent="0.2">
      <c r="A15" s="46" t="s">
        <v>11</v>
      </c>
      <c r="B15" s="4"/>
      <c r="C15" s="15"/>
      <c r="D15" s="22"/>
      <c r="E15" s="23">
        <v>23978.81</v>
      </c>
      <c r="F15" s="42">
        <v>3</v>
      </c>
      <c r="G15" s="15">
        <v>41134</v>
      </c>
      <c r="H15" s="24">
        <v>23978.81</v>
      </c>
      <c r="I15" s="30">
        <v>41652</v>
      </c>
      <c r="J15" s="4">
        <f>I15-G15</f>
        <v>518</v>
      </c>
      <c r="K15" s="16">
        <f>E15-H15</f>
        <v>0</v>
      </c>
      <c r="L15" s="16" t="str">
        <f t="shared" si="0"/>
        <v/>
      </c>
      <c r="M15" s="16"/>
      <c r="O15" s="27">
        <f>E15</f>
        <v>23978.81</v>
      </c>
      <c r="P15" s="27">
        <f>O15*$P$2*J15/365</f>
        <v>1000.4879267178084</v>
      </c>
    </row>
    <row r="16" spans="1:17" ht="14.25" customHeight="1" outlineLevel="1" x14ac:dyDescent="0.2">
      <c r="A16" s="46" t="s">
        <v>11</v>
      </c>
      <c r="B16" s="4"/>
      <c r="C16" s="15"/>
      <c r="D16" s="22"/>
      <c r="E16" s="23">
        <v>23978.81</v>
      </c>
      <c r="F16" s="42">
        <v>4</v>
      </c>
      <c r="G16" s="15">
        <v>41192</v>
      </c>
      <c r="H16" s="24">
        <v>23978.81</v>
      </c>
      <c r="I16" s="30">
        <v>41652</v>
      </c>
      <c r="J16" s="4">
        <f>I16-G16</f>
        <v>460</v>
      </c>
      <c r="K16" s="16">
        <f>E16-H16</f>
        <v>0</v>
      </c>
      <c r="L16" s="16" t="str">
        <f t="shared" si="0"/>
        <v/>
      </c>
      <c r="M16" s="16"/>
      <c r="O16" s="27">
        <f>E16</f>
        <v>23978.81</v>
      </c>
      <c r="P16" s="27">
        <f>O16*$P$2*J16/365</f>
        <v>888.46418202739733</v>
      </c>
    </row>
    <row r="17" spans="1:16" s="26" customFormat="1" ht="14.25" customHeight="1" outlineLevel="1" x14ac:dyDescent="0.2">
      <c r="A17" s="46" t="s">
        <v>11</v>
      </c>
      <c r="B17" s="28"/>
      <c r="C17" s="29"/>
      <c r="D17" s="188"/>
      <c r="E17" s="23">
        <v>23978.81</v>
      </c>
      <c r="F17" s="42">
        <v>5</v>
      </c>
      <c r="G17" s="15">
        <v>42037</v>
      </c>
      <c r="H17" s="112" t="s">
        <v>104</v>
      </c>
      <c r="I17" s="25"/>
      <c r="J17" s="4"/>
      <c r="K17" s="16">
        <f>E17</f>
        <v>23978.81</v>
      </c>
      <c r="L17" s="16" t="str">
        <f t="shared" si="0"/>
        <v/>
      </c>
      <c r="M17" s="16"/>
      <c r="O17" s="27"/>
    </row>
    <row r="18" spans="1:16" ht="14.25" customHeight="1" x14ac:dyDescent="0.2">
      <c r="A18" s="119" t="s">
        <v>8</v>
      </c>
      <c r="B18" s="125" t="s">
        <v>17</v>
      </c>
      <c r="C18" s="121">
        <v>41145</v>
      </c>
      <c r="D18" s="128">
        <f>150077.39</f>
        <v>150077.39000000001</v>
      </c>
      <c r="E18" s="123"/>
      <c r="F18" s="138"/>
      <c r="G18" s="125"/>
      <c r="H18" s="126">
        <f>SUM(H19:H23)</f>
        <v>120061.92</v>
      </c>
      <c r="I18" s="127"/>
      <c r="J18" s="125"/>
      <c r="K18" s="128">
        <f>SUM(K19:K23)</f>
        <v>30015.47</v>
      </c>
      <c r="L18" s="128">
        <f>SUM(L19:L23)</f>
        <v>0</v>
      </c>
      <c r="M18" s="128"/>
      <c r="N18" s="166">
        <f>D18-(H18+K18+L18)</f>
        <v>0</v>
      </c>
    </row>
    <row r="19" spans="1:16" s="26" customFormat="1" ht="14.25" customHeight="1" outlineLevel="1" x14ac:dyDescent="0.2">
      <c r="A19" s="46" t="s">
        <v>8</v>
      </c>
      <c r="B19" s="4"/>
      <c r="C19" s="15"/>
      <c r="D19" s="22"/>
      <c r="E19" s="23">
        <v>30015.48</v>
      </c>
      <c r="F19" s="42">
        <v>1</v>
      </c>
      <c r="G19" s="15">
        <v>41317</v>
      </c>
      <c r="H19" s="24">
        <v>30015.48</v>
      </c>
      <c r="I19" s="30">
        <v>42073</v>
      </c>
      <c r="J19" s="4">
        <f>I19-G19</f>
        <v>756</v>
      </c>
      <c r="K19" s="16">
        <f>E19-H19</f>
        <v>0</v>
      </c>
      <c r="L19" s="16" t="str">
        <f t="shared" si="0"/>
        <v/>
      </c>
      <c r="M19" s="16"/>
      <c r="O19" s="27">
        <f>K19</f>
        <v>0</v>
      </c>
      <c r="P19" s="27">
        <f>O19*$P$2*J19/365</f>
        <v>0</v>
      </c>
    </row>
    <row r="20" spans="1:16" s="26" customFormat="1" ht="14.25" customHeight="1" outlineLevel="1" x14ac:dyDescent="0.2">
      <c r="A20" s="46" t="s">
        <v>8</v>
      </c>
      <c r="B20" s="4"/>
      <c r="C20" s="15"/>
      <c r="D20" s="22"/>
      <c r="E20" s="23">
        <v>30015.48</v>
      </c>
      <c r="F20" s="42">
        <v>2</v>
      </c>
      <c r="G20" s="15">
        <v>41387</v>
      </c>
      <c r="H20" s="24">
        <v>30015.48</v>
      </c>
      <c r="I20" s="30">
        <v>42073</v>
      </c>
      <c r="J20" s="4">
        <f>I20-G20</f>
        <v>686</v>
      </c>
      <c r="K20" s="16">
        <f>E20-H20</f>
        <v>0</v>
      </c>
      <c r="L20" s="16" t="str">
        <f t="shared" si="0"/>
        <v/>
      </c>
      <c r="M20" s="16"/>
      <c r="O20" s="27">
        <f>K20</f>
        <v>0</v>
      </c>
      <c r="P20" s="27">
        <f>O20*$P$2*J20/365</f>
        <v>0</v>
      </c>
    </row>
    <row r="21" spans="1:16" s="26" customFormat="1" ht="14.25" customHeight="1" outlineLevel="1" x14ac:dyDescent="0.2">
      <c r="A21" s="46" t="s">
        <v>8</v>
      </c>
      <c r="B21" s="4"/>
      <c r="C21" s="15"/>
      <c r="D21" s="22"/>
      <c r="E21" s="23">
        <v>30015.48</v>
      </c>
      <c r="F21" s="42">
        <v>3</v>
      </c>
      <c r="G21" s="15">
        <v>41423</v>
      </c>
      <c r="H21" s="24">
        <v>30015.48</v>
      </c>
      <c r="I21" s="30">
        <v>42073</v>
      </c>
      <c r="J21" s="4">
        <f>I21-G21</f>
        <v>650</v>
      </c>
      <c r="K21" s="16">
        <f>E21-H21</f>
        <v>0</v>
      </c>
      <c r="L21" s="16" t="str">
        <f t="shared" si="0"/>
        <v/>
      </c>
      <c r="M21" s="16"/>
      <c r="O21" s="27">
        <f>K21</f>
        <v>0</v>
      </c>
      <c r="P21" s="27">
        <f>O21*$P$2*J21/365</f>
        <v>0</v>
      </c>
    </row>
    <row r="22" spans="1:16" s="26" customFormat="1" ht="14.25" customHeight="1" outlineLevel="1" x14ac:dyDescent="0.2">
      <c r="A22" s="46" t="s">
        <v>8</v>
      </c>
      <c r="B22" s="4"/>
      <c r="C22" s="15"/>
      <c r="D22" s="22"/>
      <c r="E22" s="23">
        <v>30015.48</v>
      </c>
      <c r="F22" s="42">
        <v>4</v>
      </c>
      <c r="G22" s="15">
        <v>41466</v>
      </c>
      <c r="H22" s="24">
        <v>30015.48</v>
      </c>
      <c r="I22" s="30">
        <v>42073</v>
      </c>
      <c r="J22" s="4">
        <f>I22-G22</f>
        <v>607</v>
      </c>
      <c r="K22" s="16">
        <f>E22-H22</f>
        <v>0</v>
      </c>
      <c r="L22" s="16" t="str">
        <f t="shared" si="0"/>
        <v/>
      </c>
      <c r="M22" s="16"/>
      <c r="O22" s="27">
        <f>K22</f>
        <v>0</v>
      </c>
      <c r="P22" s="27">
        <f>O22*$P$2*J22/365</f>
        <v>0</v>
      </c>
    </row>
    <row r="23" spans="1:16" s="31" customFormat="1" ht="14.25" customHeight="1" outlineLevel="1" x14ac:dyDescent="0.2">
      <c r="A23" s="118" t="s">
        <v>8</v>
      </c>
      <c r="B23" s="32"/>
      <c r="C23" s="33"/>
      <c r="D23" s="187"/>
      <c r="E23" s="35">
        <v>30015.47</v>
      </c>
      <c r="F23" s="44">
        <v>5</v>
      </c>
      <c r="G23" s="36">
        <v>42811</v>
      </c>
      <c r="H23" s="154" t="s">
        <v>104</v>
      </c>
      <c r="I23" s="155"/>
      <c r="J23" s="39">
        <f>I23-G23</f>
        <v>-42811</v>
      </c>
      <c r="K23" s="16">
        <f>E23</f>
        <v>30015.47</v>
      </c>
      <c r="L23" s="40" t="str">
        <f t="shared" si="0"/>
        <v/>
      </c>
      <c r="M23" s="40"/>
      <c r="O23" s="27">
        <f>K23</f>
        <v>30015.47</v>
      </c>
      <c r="P23" s="31">
        <f>O23*$P$2*J23/365</f>
        <v>-103503.48825588493</v>
      </c>
    </row>
    <row r="24" spans="1:16" ht="14.25" customHeight="1" x14ac:dyDescent="0.2">
      <c r="A24" s="129" t="s">
        <v>140</v>
      </c>
      <c r="B24" s="134" t="s">
        <v>6</v>
      </c>
      <c r="C24" s="131">
        <v>41145</v>
      </c>
      <c r="D24" s="137">
        <v>114200</v>
      </c>
      <c r="E24" s="139"/>
      <c r="F24" s="140"/>
      <c r="G24" s="139"/>
      <c r="H24" s="132">
        <f>SUM(H25)</f>
        <v>114200</v>
      </c>
      <c r="I24" s="136"/>
      <c r="J24" s="139"/>
      <c r="K24" s="123">
        <f>SUM(K25)</f>
        <v>0</v>
      </c>
      <c r="L24" s="132">
        <f>SUM(L25)</f>
        <v>0</v>
      </c>
      <c r="M24" s="141"/>
      <c r="N24" s="166">
        <f>D24-(H24+K24+L24)</f>
        <v>0</v>
      </c>
      <c r="O24" s="27">
        <f>K25</f>
        <v>0</v>
      </c>
      <c r="P24" s="27">
        <f>O24*$P$2*J25/365</f>
        <v>0</v>
      </c>
    </row>
    <row r="25" spans="1:16" ht="14.25" customHeight="1" x14ac:dyDescent="0.2">
      <c r="A25" s="46" t="s">
        <v>140</v>
      </c>
      <c r="B25" s="4"/>
      <c r="C25" s="15"/>
      <c r="D25" s="22"/>
      <c r="E25" s="23">
        <v>114200</v>
      </c>
      <c r="F25" s="42">
        <v>1</v>
      </c>
      <c r="G25" s="15">
        <v>41554</v>
      </c>
      <c r="H25" s="24">
        <v>114200</v>
      </c>
      <c r="I25" s="30">
        <v>42234</v>
      </c>
      <c r="J25" s="4">
        <f>$L$2-G25</f>
        <v>601</v>
      </c>
      <c r="K25" s="16">
        <f>E25-H24</f>
        <v>0</v>
      </c>
      <c r="L25" s="22" t="str">
        <f t="shared" si="0"/>
        <v/>
      </c>
      <c r="M25" s="22"/>
    </row>
    <row r="26" spans="1:16" ht="14.25" customHeight="1" x14ac:dyDescent="0.2">
      <c r="A26" s="119" t="s">
        <v>9</v>
      </c>
      <c r="B26" s="120" t="s">
        <v>16</v>
      </c>
      <c r="C26" s="121">
        <v>41047</v>
      </c>
      <c r="D26" s="128">
        <f>184958.11+0.04</f>
        <v>184958.15</v>
      </c>
      <c r="E26" s="123"/>
      <c r="F26" s="138"/>
      <c r="G26" s="125"/>
      <c r="H26" s="126">
        <f>SUM(H27:H31)</f>
        <v>147966.51999999999</v>
      </c>
      <c r="I26" s="127"/>
      <c r="J26" s="125"/>
      <c r="K26" s="128">
        <f>SUM(K27:K31)</f>
        <v>36991.629999999997</v>
      </c>
      <c r="L26" s="128">
        <f>SUM(L27:L31)</f>
        <v>0</v>
      </c>
      <c r="M26" s="128"/>
      <c r="N26" s="166">
        <f>D26-(H26+K26+L26)</f>
        <v>0</v>
      </c>
    </row>
    <row r="27" spans="1:16" s="26" customFormat="1" ht="14.25" customHeight="1" outlineLevel="1" x14ac:dyDescent="0.2">
      <c r="A27" s="46" t="s">
        <v>9</v>
      </c>
      <c r="B27" s="4"/>
      <c r="C27" s="15"/>
      <c r="D27" s="22"/>
      <c r="E27" s="23">
        <v>36991.629999999997</v>
      </c>
      <c r="F27" s="42">
        <v>1</v>
      </c>
      <c r="G27" s="15">
        <v>41715</v>
      </c>
      <c r="H27" s="24">
        <v>36991.629999999997</v>
      </c>
      <c r="I27" s="30">
        <v>43384</v>
      </c>
      <c r="J27" s="4">
        <f>$L$2-G27</f>
        <v>440</v>
      </c>
      <c r="K27" s="16">
        <f>E27-H27</f>
        <v>0</v>
      </c>
      <c r="L27" s="16" t="str">
        <f t="shared" si="0"/>
        <v/>
      </c>
      <c r="M27" s="16"/>
      <c r="O27" s="27">
        <f>K27</f>
        <v>0</v>
      </c>
      <c r="P27" s="27">
        <f>O27*$P$2*J27/365</f>
        <v>0</v>
      </c>
    </row>
    <row r="28" spans="1:16" s="26" customFormat="1" ht="14.25" customHeight="1" outlineLevel="1" x14ac:dyDescent="0.2">
      <c r="A28" s="46" t="s">
        <v>9</v>
      </c>
      <c r="B28" s="4"/>
      <c r="C28" s="15"/>
      <c r="D28" s="22"/>
      <c r="E28" s="23">
        <v>36991.629999999997</v>
      </c>
      <c r="F28" s="42">
        <v>2</v>
      </c>
      <c r="G28" s="15">
        <v>41715</v>
      </c>
      <c r="H28" s="24">
        <v>36991.629999999997</v>
      </c>
      <c r="I28" s="30">
        <v>43384</v>
      </c>
      <c r="J28" s="4">
        <f>$L$2-G28</f>
        <v>440</v>
      </c>
      <c r="K28" s="16">
        <f>E28-H28</f>
        <v>0</v>
      </c>
      <c r="L28" s="16" t="str">
        <f t="shared" si="0"/>
        <v/>
      </c>
      <c r="M28" s="16"/>
      <c r="O28" s="27">
        <f>K28</f>
        <v>0</v>
      </c>
      <c r="P28" s="27">
        <f>O28*$P$2*J28/365</f>
        <v>0</v>
      </c>
    </row>
    <row r="29" spans="1:16" s="26" customFormat="1" ht="14.25" customHeight="1" outlineLevel="1" x14ac:dyDescent="0.2">
      <c r="A29" s="46" t="s">
        <v>9</v>
      </c>
      <c r="B29" s="4"/>
      <c r="C29" s="15"/>
      <c r="D29" s="22"/>
      <c r="E29" s="23">
        <v>36991.629999999997</v>
      </c>
      <c r="F29" s="42">
        <v>3</v>
      </c>
      <c r="G29" s="15">
        <v>41715</v>
      </c>
      <c r="H29" s="24">
        <v>36991.629999999997</v>
      </c>
      <c r="I29" s="30">
        <v>43384</v>
      </c>
      <c r="J29" s="4">
        <f>$L$2-G29</f>
        <v>440</v>
      </c>
      <c r="K29" s="16">
        <f>E29-H29</f>
        <v>0</v>
      </c>
      <c r="L29" s="16" t="str">
        <f t="shared" si="0"/>
        <v/>
      </c>
      <c r="M29" s="16"/>
      <c r="O29" s="27">
        <f>K29</f>
        <v>0</v>
      </c>
      <c r="P29" s="27">
        <f>O29*$P$2*J29/365</f>
        <v>0</v>
      </c>
    </row>
    <row r="30" spans="1:16" s="26" customFormat="1" ht="14.25" customHeight="1" outlineLevel="1" x14ac:dyDescent="0.2">
      <c r="A30" s="46" t="s">
        <v>9</v>
      </c>
      <c r="B30" s="4"/>
      <c r="C30" s="15"/>
      <c r="D30" s="22"/>
      <c r="E30" s="23">
        <v>36991.629999999997</v>
      </c>
      <c r="F30" s="42">
        <v>4</v>
      </c>
      <c r="G30" s="15">
        <v>41715</v>
      </c>
      <c r="H30" s="24">
        <v>36991.629999999997</v>
      </c>
      <c r="I30" s="30">
        <v>43384</v>
      </c>
      <c r="J30" s="4">
        <f>$L$2-G30</f>
        <v>440</v>
      </c>
      <c r="K30" s="16">
        <f>E30-H30</f>
        <v>0</v>
      </c>
      <c r="L30" s="16" t="str">
        <f t="shared" si="0"/>
        <v/>
      </c>
      <c r="M30" s="16"/>
      <c r="O30" s="27">
        <f>K30</f>
        <v>0</v>
      </c>
      <c r="P30" s="27">
        <f>O30*$P$2*J30/365</f>
        <v>0</v>
      </c>
    </row>
    <row r="31" spans="1:16" s="31" customFormat="1" ht="14.25" customHeight="1" outlineLevel="1" x14ac:dyDescent="0.2">
      <c r="A31" s="118" t="s">
        <v>9</v>
      </c>
      <c r="B31" s="32"/>
      <c r="C31" s="33"/>
      <c r="D31" s="187"/>
      <c r="E31" s="35">
        <v>36991.629999999997</v>
      </c>
      <c r="F31" s="44">
        <v>5</v>
      </c>
      <c r="G31" s="36">
        <v>43000</v>
      </c>
      <c r="H31" s="154" t="s">
        <v>104</v>
      </c>
      <c r="I31" s="38"/>
      <c r="J31" s="39">
        <f>$L$2-G31</f>
        <v>-845</v>
      </c>
      <c r="K31" s="40">
        <f>+E31</f>
        <v>36991.629999999997</v>
      </c>
      <c r="L31" s="40" t="str">
        <f t="shared" si="0"/>
        <v/>
      </c>
      <c r="M31" s="40"/>
      <c r="O31" s="31">
        <f>K31</f>
        <v>36991.629999999997</v>
      </c>
      <c r="P31" s="31">
        <f>O31*$P$2*J31/365</f>
        <v>-2517.761819424657</v>
      </c>
    </row>
    <row r="32" spans="1:16" ht="14.25" customHeight="1" x14ac:dyDescent="0.2">
      <c r="A32" s="129" t="s">
        <v>10</v>
      </c>
      <c r="B32" s="130" t="s">
        <v>17</v>
      </c>
      <c r="C32" s="131">
        <v>41150</v>
      </c>
      <c r="D32" s="137">
        <f>206916.91</f>
        <v>206916.91</v>
      </c>
      <c r="E32" s="132"/>
      <c r="F32" s="133"/>
      <c r="G32" s="134"/>
      <c r="H32" s="135">
        <f>SUM(H33:H37)</f>
        <v>165533.56</v>
      </c>
      <c r="I32" s="136"/>
      <c r="J32" s="134"/>
      <c r="K32" s="137">
        <f>SUM(K33:K37)</f>
        <v>41383.379999999997</v>
      </c>
      <c r="L32" s="137">
        <f>SUM(L33:L37)</f>
        <v>0</v>
      </c>
      <c r="M32" s="137"/>
      <c r="N32" s="166">
        <f>D32-(H32+K32+L32)</f>
        <v>-2.9999999998835847E-2</v>
      </c>
    </row>
    <row r="33" spans="1:18" s="26" customFormat="1" ht="14.25" customHeight="1" outlineLevel="1" x14ac:dyDescent="0.2">
      <c r="A33" s="46" t="s">
        <v>10</v>
      </c>
      <c r="B33" s="4"/>
      <c r="C33" s="15"/>
      <c r="D33" s="16"/>
      <c r="E33" s="23">
        <v>41383.39</v>
      </c>
      <c r="F33" s="42">
        <v>1</v>
      </c>
      <c r="G33" s="15">
        <v>41561</v>
      </c>
      <c r="H33" s="24">
        <v>41383.39</v>
      </c>
      <c r="I33" s="30">
        <v>43356</v>
      </c>
      <c r="J33" s="4">
        <f>$L$2-G33</f>
        <v>594</v>
      </c>
      <c r="K33" s="16">
        <v>0</v>
      </c>
      <c r="L33" s="16" t="str">
        <f t="shared" si="0"/>
        <v/>
      </c>
      <c r="M33" s="16"/>
      <c r="O33" s="27">
        <f>K33</f>
        <v>0</v>
      </c>
      <c r="P33" s="27">
        <f>O33*$P$2*J33/365</f>
        <v>0</v>
      </c>
    </row>
    <row r="34" spans="1:18" s="26" customFormat="1" ht="14.25" customHeight="1" outlineLevel="1" x14ac:dyDescent="0.2">
      <c r="A34" s="46" t="s">
        <v>10</v>
      </c>
      <c r="B34" s="4"/>
      <c r="C34" s="15"/>
      <c r="D34" s="16"/>
      <c r="E34" s="23">
        <v>41383.39</v>
      </c>
      <c r="F34" s="42">
        <v>2</v>
      </c>
      <c r="G34" s="15">
        <v>41561</v>
      </c>
      <c r="H34" s="24">
        <v>41383.39</v>
      </c>
      <c r="I34" s="30">
        <v>43368</v>
      </c>
      <c r="J34" s="4">
        <f>$L$2-G34</f>
        <v>594</v>
      </c>
      <c r="K34" s="16">
        <v>0</v>
      </c>
      <c r="L34" s="16" t="str">
        <f t="shared" si="0"/>
        <v/>
      </c>
      <c r="M34" s="16"/>
      <c r="O34" s="27">
        <f>K34</f>
        <v>0</v>
      </c>
      <c r="P34" s="27">
        <f>O34*$P$2*J34/365</f>
        <v>0</v>
      </c>
    </row>
    <row r="35" spans="1:18" s="26" customFormat="1" ht="14.25" customHeight="1" outlineLevel="1" x14ac:dyDescent="0.2">
      <c r="A35" s="46" t="s">
        <v>10</v>
      </c>
      <c r="B35" s="4"/>
      <c r="C35" s="15"/>
      <c r="D35" s="16"/>
      <c r="E35" s="23">
        <v>41383.39</v>
      </c>
      <c r="F35" s="42">
        <v>3</v>
      </c>
      <c r="G35" s="15">
        <v>41582</v>
      </c>
      <c r="H35" s="24">
        <v>41383.39</v>
      </c>
      <c r="I35" s="30">
        <v>43368</v>
      </c>
      <c r="J35" s="4">
        <f>$L$2-G35</f>
        <v>573</v>
      </c>
      <c r="K35" s="16">
        <v>0</v>
      </c>
      <c r="L35" s="16" t="str">
        <f t="shared" si="0"/>
        <v/>
      </c>
      <c r="M35" s="16"/>
      <c r="O35" s="27">
        <f>K35</f>
        <v>0</v>
      </c>
      <c r="P35" s="27">
        <f>O35*$P$2*J35/365</f>
        <v>0</v>
      </c>
    </row>
    <row r="36" spans="1:18" s="26" customFormat="1" ht="14.25" customHeight="1" outlineLevel="1" x14ac:dyDescent="0.2">
      <c r="A36" s="46" t="s">
        <v>10</v>
      </c>
      <c r="B36" s="4"/>
      <c r="C36" s="15"/>
      <c r="D36" s="16"/>
      <c r="E36" s="23">
        <v>41383.39</v>
      </c>
      <c r="F36" s="42">
        <v>4</v>
      </c>
      <c r="G36" s="15">
        <v>41646</v>
      </c>
      <c r="H36" s="24">
        <v>41383.39</v>
      </c>
      <c r="I36" s="30">
        <v>43369</v>
      </c>
      <c r="J36" s="4">
        <f>$L$2-G36</f>
        <v>509</v>
      </c>
      <c r="K36" s="16">
        <v>0</v>
      </c>
      <c r="L36" s="16" t="str">
        <f t="shared" si="0"/>
        <v/>
      </c>
      <c r="M36" s="16"/>
      <c r="O36" s="27">
        <f>K36</f>
        <v>0</v>
      </c>
      <c r="P36" s="27">
        <f>O36*$P$2*J36/365</f>
        <v>0</v>
      </c>
    </row>
    <row r="37" spans="1:18" s="5" customFormat="1" outlineLevel="1" x14ac:dyDescent="0.2">
      <c r="A37" s="118" t="s">
        <v>10</v>
      </c>
      <c r="B37" s="32"/>
      <c r="C37" s="33"/>
      <c r="D37" s="34"/>
      <c r="E37" s="35">
        <v>41383.379999999997</v>
      </c>
      <c r="F37" s="44">
        <v>5</v>
      </c>
      <c r="G37" s="36">
        <v>42782</v>
      </c>
      <c r="H37" s="154" t="s">
        <v>104</v>
      </c>
      <c r="I37" s="38"/>
      <c r="J37" s="39">
        <f>$L$2-G37</f>
        <v>-627</v>
      </c>
      <c r="K37" s="16">
        <f>E37</f>
        <v>41383.379999999997</v>
      </c>
      <c r="L37" s="40" t="str">
        <f>IF(G37="",E37,"")</f>
        <v/>
      </c>
      <c r="M37" s="40"/>
    </row>
    <row r="38" spans="1:18" s="8" customFormat="1" x14ac:dyDescent="0.2">
      <c r="A38" s="48"/>
      <c r="B38" s="48"/>
      <c r="C38" s="48"/>
      <c r="D38" s="41">
        <f>SUM(D6:D37)</f>
        <v>1117575.75</v>
      </c>
      <c r="E38" s="41">
        <f>SUM(E6:E37)</f>
        <v>1117575.7799999998</v>
      </c>
      <c r="F38" s="49"/>
      <c r="G38" s="50"/>
      <c r="H38" s="41">
        <f>H6+H12+H18+H24+H26+H32</f>
        <v>916900.64000000013</v>
      </c>
      <c r="I38" s="50"/>
      <c r="J38" s="50"/>
      <c r="K38" s="41">
        <f>K6+K12+K18+K24+K26+K32</f>
        <v>200675.14</v>
      </c>
      <c r="L38" s="41">
        <f>L6+L12+L18+L24+L26+L32</f>
        <v>0</v>
      </c>
      <c r="M38" s="41"/>
      <c r="O38" s="41">
        <f>SUM(O6:O37)</f>
        <v>255207</v>
      </c>
      <c r="P38" s="41">
        <f>SUM(P6:P37)</f>
        <v>-102165.82953267946</v>
      </c>
    </row>
    <row r="39" spans="1:18" x14ac:dyDescent="0.2">
      <c r="A39" s="64"/>
      <c r="B39" s="65"/>
      <c r="C39" s="65"/>
      <c r="D39" s="65"/>
      <c r="E39" s="65"/>
      <c r="F39" s="64"/>
      <c r="G39" s="65"/>
      <c r="H39" s="65"/>
      <c r="I39" s="65"/>
      <c r="J39" s="65"/>
      <c r="K39" s="946">
        <f>SUM(K38:L38)</f>
        <v>200675.14</v>
      </c>
      <c r="L39" s="947"/>
      <c r="M39" s="145"/>
    </row>
    <row r="40" spans="1:18" s="47" customFormat="1" x14ac:dyDescent="0.2">
      <c r="A40" s="142" t="s">
        <v>22</v>
      </c>
      <c r="B40" s="125" t="s">
        <v>23</v>
      </c>
      <c r="C40" s="121">
        <v>41131</v>
      </c>
      <c r="D40" s="128">
        <v>3152932.53</v>
      </c>
      <c r="E40" s="122"/>
      <c r="F40" s="143"/>
      <c r="G40" s="121"/>
      <c r="H40" s="122"/>
      <c r="I40" s="121"/>
      <c r="J40" s="144">
        <f>I40-G40</f>
        <v>0</v>
      </c>
      <c r="K40" s="128"/>
      <c r="L40" s="128"/>
      <c r="M40" s="144"/>
      <c r="N40" s="166"/>
      <c r="O40" s="27">
        <f>H40</f>
        <v>0</v>
      </c>
      <c r="P40" s="27">
        <f>O40*$P$2*J40/365</f>
        <v>0</v>
      </c>
    </row>
    <row r="41" spans="1:18" s="47" customFormat="1" x14ac:dyDescent="0.2">
      <c r="A41" s="189" t="s">
        <v>22</v>
      </c>
      <c r="B41" s="190"/>
      <c r="C41" s="191"/>
      <c r="D41" s="192"/>
      <c r="E41" s="193">
        <v>91990.6</v>
      </c>
      <c r="F41" s="194">
        <v>1</v>
      </c>
      <c r="G41" s="191">
        <v>41443</v>
      </c>
      <c r="H41" s="23">
        <v>91990.6</v>
      </c>
      <c r="I41" s="191">
        <v>41548</v>
      </c>
      <c r="J41" s="196">
        <f>I41-G41</f>
        <v>105</v>
      </c>
      <c r="K41" s="16">
        <f>E41-H41</f>
        <v>0</v>
      </c>
      <c r="L41" s="192"/>
      <c r="M41" s="195"/>
      <c r="O41" s="27"/>
      <c r="P41" s="27"/>
    </row>
    <row r="42" spans="1:18" x14ac:dyDescent="0.2">
      <c r="A42" s="69" t="s">
        <v>22</v>
      </c>
      <c r="B42" s="66"/>
      <c r="C42" s="66"/>
      <c r="D42" s="66"/>
      <c r="E42" s="16">
        <v>319852</v>
      </c>
      <c r="F42" s="68">
        <v>2</v>
      </c>
      <c r="G42" s="67">
        <v>41939</v>
      </c>
      <c r="H42" s="305">
        <v>319852</v>
      </c>
      <c r="I42" s="67">
        <v>42277</v>
      </c>
      <c r="J42" s="4">
        <f>$L$2-G42</f>
        <v>216</v>
      </c>
      <c r="K42" s="16">
        <f>E42-H42</f>
        <v>0</v>
      </c>
      <c r="L42" s="66"/>
      <c r="M42" s="66"/>
      <c r="O42" s="27">
        <f>K42</f>
        <v>0</v>
      </c>
      <c r="P42" s="27"/>
      <c r="Q42" s="27">
        <f>O42*P2*180/365</f>
        <v>0</v>
      </c>
    </row>
    <row r="43" spans="1:18" x14ac:dyDescent="0.2">
      <c r="A43" s="69" t="s">
        <v>22</v>
      </c>
      <c r="B43" s="66" t="s">
        <v>26</v>
      </c>
      <c r="C43" s="66"/>
      <c r="D43" s="66"/>
      <c r="E43" s="193">
        <v>1442192.77</v>
      </c>
      <c r="F43" s="68">
        <v>3</v>
      </c>
      <c r="G43" s="67">
        <v>41960</v>
      </c>
      <c r="H43" s="16">
        <v>1442192.77</v>
      </c>
      <c r="I43" s="67">
        <v>42387</v>
      </c>
      <c r="J43" s="4">
        <f>$L$2-G43</f>
        <v>195</v>
      </c>
      <c r="K43" s="16">
        <v>0</v>
      </c>
      <c r="L43" s="72" t="str">
        <f>IF(G43="",E43,"")</f>
        <v/>
      </c>
      <c r="M43" s="72"/>
      <c r="O43" s="27"/>
      <c r="P43" s="27"/>
      <c r="Q43" s="27"/>
      <c r="R43" s="98" t="s">
        <v>103</v>
      </c>
    </row>
    <row r="44" spans="1:18" x14ac:dyDescent="0.2">
      <c r="A44" s="69" t="s">
        <v>22</v>
      </c>
      <c r="B44" s="66" t="s">
        <v>27</v>
      </c>
      <c r="C44" s="66"/>
      <c r="D44" s="66"/>
      <c r="E44" s="16">
        <v>1125615</v>
      </c>
      <c r="F44" s="68">
        <v>4</v>
      </c>
      <c r="G44" s="67">
        <v>41960</v>
      </c>
      <c r="H44" s="16">
        <v>1125615</v>
      </c>
      <c r="I44" s="67">
        <v>42885</v>
      </c>
      <c r="J44" s="4"/>
      <c r="K44" s="16">
        <f>+E44-H44</f>
        <v>0</v>
      </c>
      <c r="L44" s="72" t="str">
        <f>IF(G44="",E44,"")</f>
        <v/>
      </c>
      <c r="M44" s="72"/>
      <c r="O44" s="27"/>
      <c r="P44" s="27"/>
      <c r="Q44" s="27"/>
      <c r="R44" s="98" t="s">
        <v>103</v>
      </c>
    </row>
    <row r="45" spans="1:18" x14ac:dyDescent="0.2">
      <c r="A45" s="55"/>
      <c r="B45" s="51"/>
      <c r="C45" s="51"/>
      <c r="D45" s="51"/>
      <c r="E45" s="40">
        <f>138324+14698+197809</f>
        <v>350831</v>
      </c>
      <c r="F45" s="54">
        <v>5</v>
      </c>
      <c r="G45" s="53">
        <v>42355</v>
      </c>
      <c r="H45" s="306" t="s">
        <v>104</v>
      </c>
      <c r="I45" s="907"/>
      <c r="J45" s="4"/>
      <c r="K45" s="16">
        <f>E45</f>
        <v>350831</v>
      </c>
      <c r="L45" s="72" t="str">
        <f>IF(G45="",E45,"")</f>
        <v/>
      </c>
      <c r="M45" s="72"/>
      <c r="O45" s="27"/>
      <c r="P45" s="27"/>
      <c r="Q45" s="27"/>
      <c r="R45" s="98" t="s">
        <v>103</v>
      </c>
    </row>
    <row r="46" spans="1:18" x14ac:dyDescent="0.2">
      <c r="A46" s="55"/>
      <c r="B46" s="51"/>
      <c r="C46" s="51"/>
      <c r="D46" s="51"/>
      <c r="E46" s="58">
        <f>SUM(E41:E45)</f>
        <v>3330481.37</v>
      </c>
      <c r="F46" s="70"/>
      <c r="G46" s="71"/>
      <c r="H46" s="58">
        <f>SUM(H41:H45)</f>
        <v>2979650.37</v>
      </c>
      <c r="I46" s="71"/>
      <c r="J46" s="50"/>
      <c r="K46" s="62">
        <f>SUM(K41:K45)</f>
        <v>350831</v>
      </c>
      <c r="L46" s="62">
        <f>SUM(L41:L45)</f>
        <v>0</v>
      </c>
      <c r="M46" s="62"/>
      <c r="N46" s="166">
        <f>D40-(H46+K46+L46)</f>
        <v>-177548.84000000032</v>
      </c>
      <c r="O46" s="62">
        <f>SUM(O40:O42)</f>
        <v>0</v>
      </c>
      <c r="P46" s="62">
        <f>SUM(P40:P42)</f>
        <v>0</v>
      </c>
      <c r="Q46" s="62">
        <f>SUM(Q40:Q42)</f>
        <v>0</v>
      </c>
    </row>
    <row r="47" spans="1:18" x14ac:dyDescent="0.2">
      <c r="A47" s="59"/>
      <c r="B47" s="60"/>
      <c r="C47" s="60"/>
      <c r="D47" s="60"/>
      <c r="E47" s="41">
        <f>E46+E38</f>
        <v>4448057.1500000004</v>
      </c>
      <c r="F47" s="99"/>
      <c r="G47" s="100"/>
      <c r="H47" s="41">
        <f>H46+H38</f>
        <v>3896551.0100000002</v>
      </c>
      <c r="I47" s="100"/>
      <c r="J47" s="100"/>
      <c r="K47" s="948">
        <f>SUM(K46:L46)</f>
        <v>350831</v>
      </c>
      <c r="L47" s="949"/>
      <c r="M47" s="145"/>
    </row>
    <row r="48" spans="1:18" x14ac:dyDescent="0.2">
      <c r="E48" s="26"/>
      <c r="F48" s="101"/>
      <c r="G48" s="26"/>
      <c r="H48" s="26"/>
      <c r="I48" s="26"/>
      <c r="J48" s="26"/>
      <c r="K48" s="946">
        <f>K47+K39</f>
        <v>551506.14</v>
      </c>
      <c r="L48" s="950"/>
      <c r="M48" s="146"/>
      <c r="N48" s="166">
        <f>E47-(H47+K48)</f>
        <v>0</v>
      </c>
    </row>
    <row r="49" spans="1:18" x14ac:dyDescent="0.2">
      <c r="E49" s="26"/>
      <c r="F49" s="101"/>
      <c r="G49" s="26"/>
      <c r="H49" s="26"/>
      <c r="I49" s="26"/>
      <c r="J49" s="102" t="s">
        <v>20</v>
      </c>
      <c r="K49" s="56">
        <f>K38</f>
        <v>200675.14</v>
      </c>
      <c r="L49" s="57" t="s">
        <v>118</v>
      </c>
      <c r="M49" s="57"/>
    </row>
    <row r="50" spans="1:18" x14ac:dyDescent="0.2">
      <c r="E50" s="26">
        <v>3470269.97</v>
      </c>
      <c r="F50" s="101"/>
      <c r="G50" s="26"/>
      <c r="H50" s="26"/>
      <c r="I50" s="26"/>
      <c r="J50" s="25" t="s">
        <v>20</v>
      </c>
      <c r="K50" s="16">
        <f>K46</f>
        <v>350831</v>
      </c>
      <c r="L50" s="4" t="s">
        <v>30</v>
      </c>
      <c r="M50" s="4"/>
    </row>
    <row r="51" spans="1:18" x14ac:dyDescent="0.2">
      <c r="A51" s="1"/>
      <c r="E51" s="27"/>
      <c r="F51" s="101"/>
      <c r="G51" s="27"/>
      <c r="H51" s="26"/>
      <c r="I51" s="26"/>
      <c r="J51" s="103"/>
      <c r="K51" s="41">
        <f>SUM(K49:K50)</f>
        <v>551506.14</v>
      </c>
      <c r="L51" s="39"/>
      <c r="M51" s="39"/>
    </row>
    <row r="52" spans="1:18" x14ac:dyDescent="0.2">
      <c r="A52" s="1"/>
      <c r="E52" s="26"/>
      <c r="F52" s="101"/>
      <c r="G52" s="26"/>
      <c r="H52" s="26"/>
      <c r="I52" s="26"/>
      <c r="J52" s="25" t="s">
        <v>28</v>
      </c>
      <c r="K52" s="16">
        <f>L38</f>
        <v>0</v>
      </c>
      <c r="L52" s="4" t="s">
        <v>118</v>
      </c>
      <c r="M52" s="4"/>
    </row>
    <row r="53" spans="1:18" x14ac:dyDescent="0.2">
      <c r="A53" s="1"/>
      <c r="E53" s="26"/>
      <c r="F53" s="101"/>
      <c r="G53" s="26"/>
      <c r="H53" s="26"/>
      <c r="I53" s="26"/>
      <c r="J53" s="38" t="s">
        <v>29</v>
      </c>
      <c r="K53" s="40">
        <f>L46</f>
        <v>0</v>
      </c>
      <c r="L53" s="39" t="s">
        <v>30</v>
      </c>
      <c r="M53" s="39"/>
    </row>
    <row r="54" spans="1:18" s="6" customFormat="1" x14ac:dyDescent="0.2">
      <c r="B54" s="1"/>
      <c r="C54" s="1"/>
      <c r="D54" s="1"/>
      <c r="E54" s="26"/>
      <c r="F54" s="101"/>
      <c r="G54" s="26"/>
      <c r="H54" s="26"/>
      <c r="I54" s="26"/>
      <c r="J54" s="38"/>
      <c r="K54" s="104">
        <f>SUM(K51:K53)</f>
        <v>551506.14</v>
      </c>
      <c r="L54" s="39"/>
      <c r="M54" s="39"/>
      <c r="N54" s="1"/>
      <c r="O54" s="1"/>
      <c r="P54" s="1"/>
      <c r="Q54" s="1"/>
      <c r="R54" s="1"/>
    </row>
    <row r="57" spans="1:18" x14ac:dyDescent="0.2">
      <c r="E57" s="371" t="s">
        <v>219</v>
      </c>
      <c r="H57" s="372" t="s">
        <v>221</v>
      </c>
      <c r="K57" s="371" t="s">
        <v>219</v>
      </c>
      <c r="L57" s="372" t="s">
        <v>221</v>
      </c>
    </row>
    <row r="58" spans="1:18" x14ac:dyDescent="0.2">
      <c r="D58" s="380">
        <v>40940</v>
      </c>
      <c r="E58" s="91">
        <f t="shared" ref="E58:E78" si="2">SUMPRODUCT((DateAF_ST_LEU&lt;&gt;"")*(MONTH(DateAF_ST_LEU)=MONTH(D58))*(YEAR(DateAF_ST_LEU)=YEAR(D58))*MontantAF_ST_LEU)</f>
        <v>68305.850000000006</v>
      </c>
      <c r="G58" s="380">
        <v>40940</v>
      </c>
      <c r="H58" s="91">
        <f t="shared" ref="H58:H78" si="3">SUMPRODUCT((DatePmt_ST_LEU&lt;&gt;"")*(DatePmt_ST_LEU&lt;&gt;"en attente")*(MONTH(DatePmt_ST_LEU)=MONTH(G58))*(YEAR(DatePmt_ST_LEU)=YEAR(G58))*(ISNUMBER(MtntPaye_ST_LEU)),MtntPaye_ST_LEU)</f>
        <v>0</v>
      </c>
      <c r="J58" s="1">
        <v>2012</v>
      </c>
      <c r="K58" s="91">
        <f>SUMPRODUCT((YEAR($D$58:$D$78)=J58)*($E$58:$E$78))</f>
        <v>369138.64</v>
      </c>
      <c r="L58" s="91">
        <f>SUMPRODUCT((YEAR($D$58:$D$78)=J58)*($H$58:$H$78))</f>
        <v>23978.81</v>
      </c>
    </row>
    <row r="59" spans="1:18" x14ac:dyDescent="0.2">
      <c r="D59" s="380">
        <v>40969</v>
      </c>
      <c r="E59" s="91">
        <f t="shared" si="2"/>
        <v>23978.81</v>
      </c>
      <c r="G59" s="380">
        <v>40969</v>
      </c>
      <c r="H59" s="91">
        <f t="shared" si="3"/>
        <v>0</v>
      </c>
      <c r="J59" s="1">
        <v>2013</v>
      </c>
      <c r="K59" s="91">
        <f t="shared" ref="K59:K64" si="4">SUMPRODUCT((YEAR($D$58:$D$78)=J59)*($E$58:$E$78))</f>
        <v>328396.61000000004</v>
      </c>
      <c r="L59" s="91">
        <f t="shared" ref="L59:L64" si="5">SUMPRODUCT((YEAR($D$58:$D$78)=J59)*($H$58:$H$78))</f>
        <v>91990.6</v>
      </c>
    </row>
    <row r="60" spans="1:18" x14ac:dyDescent="0.2">
      <c r="D60" s="380">
        <v>41030</v>
      </c>
      <c r="E60" s="91">
        <f t="shared" si="2"/>
        <v>92284.66</v>
      </c>
      <c r="G60" s="380">
        <v>41030</v>
      </c>
      <c r="H60" s="91">
        <f t="shared" si="3"/>
        <v>23978.81</v>
      </c>
      <c r="J60" s="1">
        <v>2014</v>
      </c>
      <c r="K60" s="91">
        <f t="shared" si="4"/>
        <v>3077009.68</v>
      </c>
      <c r="L60" s="91">
        <f t="shared" si="5"/>
        <v>71936.430000000008</v>
      </c>
    </row>
    <row r="61" spans="1:18" x14ac:dyDescent="0.2">
      <c r="D61" s="380">
        <v>41122</v>
      </c>
      <c r="E61" s="91">
        <f t="shared" si="2"/>
        <v>92284.66</v>
      </c>
      <c r="G61" s="380">
        <v>41122</v>
      </c>
      <c r="H61" s="91">
        <f t="shared" si="3"/>
        <v>0</v>
      </c>
      <c r="J61" s="1">
        <v>2015</v>
      </c>
      <c r="K61" s="91">
        <f t="shared" si="4"/>
        <v>443115.66000000003</v>
      </c>
      <c r="L61" s="91">
        <f t="shared" si="5"/>
        <v>827337.32000000007</v>
      </c>
    </row>
    <row r="62" spans="1:18" x14ac:dyDescent="0.2">
      <c r="D62" s="380">
        <v>41183</v>
      </c>
      <c r="E62" s="91">
        <f t="shared" si="2"/>
        <v>92284.66</v>
      </c>
      <c r="G62" s="380">
        <v>41183</v>
      </c>
      <c r="H62" s="91">
        <f t="shared" si="3"/>
        <v>0</v>
      </c>
      <c r="J62" s="1">
        <v>2016</v>
      </c>
      <c r="K62" s="91">
        <f t="shared" si="4"/>
        <v>0</v>
      </c>
      <c r="L62" s="91">
        <f t="shared" si="5"/>
        <v>1442192.77</v>
      </c>
    </row>
    <row r="63" spans="1:18" x14ac:dyDescent="0.2">
      <c r="D63" s="380">
        <v>41306</v>
      </c>
      <c r="E63" s="91">
        <f t="shared" si="2"/>
        <v>30015.48</v>
      </c>
      <c r="G63" s="380">
        <v>41306</v>
      </c>
      <c r="H63" s="91">
        <f t="shared" si="3"/>
        <v>0</v>
      </c>
      <c r="J63" s="1">
        <v>2017</v>
      </c>
      <c r="K63" s="91">
        <f>SUMPRODUCT((YEAR($D$58:$D$78)=J63)*($E$58:$E$78))</f>
        <v>41383.379999999997</v>
      </c>
      <c r="L63" s="91">
        <f>SUMPRODUCT((YEAR($D$58:$D$78)=J63)*($H$58:$H$78))</f>
        <v>0</v>
      </c>
    </row>
    <row r="64" spans="1:18" x14ac:dyDescent="0.2">
      <c r="D64" s="380">
        <v>41365</v>
      </c>
      <c r="E64" s="91">
        <f t="shared" si="2"/>
        <v>30015.48</v>
      </c>
      <c r="G64" s="380">
        <v>41365</v>
      </c>
      <c r="H64" s="91">
        <f t="shared" si="3"/>
        <v>0</v>
      </c>
      <c r="J64" s="1">
        <v>2018</v>
      </c>
      <c r="K64" s="91">
        <f t="shared" si="4"/>
        <v>0</v>
      </c>
      <c r="L64" s="91">
        <f t="shared" si="5"/>
        <v>0</v>
      </c>
    </row>
    <row r="65" spans="1:12" x14ac:dyDescent="0.2">
      <c r="D65" s="380">
        <v>41395</v>
      </c>
      <c r="E65" s="91">
        <f t="shared" si="2"/>
        <v>30015.48</v>
      </c>
      <c r="G65" s="380">
        <v>41395</v>
      </c>
      <c r="H65" s="91">
        <f t="shared" si="3"/>
        <v>0</v>
      </c>
      <c r="K65" s="462">
        <f>SUM(K58:K64)</f>
        <v>4259043.97</v>
      </c>
      <c r="L65" s="462">
        <f>SUM(L58:L64)</f>
        <v>2457435.9300000002</v>
      </c>
    </row>
    <row r="66" spans="1:12" x14ac:dyDescent="0.2">
      <c r="D66" s="380">
        <v>41548</v>
      </c>
      <c r="E66" s="91">
        <f t="shared" si="2"/>
        <v>196966.78000000003</v>
      </c>
      <c r="G66" s="380">
        <v>41548</v>
      </c>
      <c r="H66" s="91">
        <f t="shared" si="3"/>
        <v>91990.6</v>
      </c>
      <c r="K66" s="91">
        <f>K65-E80</f>
        <v>0</v>
      </c>
      <c r="L66" s="91">
        <f>L65-H80</f>
        <v>0</v>
      </c>
    </row>
    <row r="67" spans="1:12" x14ac:dyDescent="0.2">
      <c r="D67" s="380">
        <v>41579</v>
      </c>
      <c r="E67" s="91">
        <f t="shared" si="2"/>
        <v>41383.39</v>
      </c>
      <c r="G67" s="380">
        <v>41579</v>
      </c>
      <c r="H67" s="91">
        <f t="shared" si="3"/>
        <v>0</v>
      </c>
    </row>
    <row r="68" spans="1:12" x14ac:dyDescent="0.2">
      <c r="D68" s="380">
        <v>41640</v>
      </c>
      <c r="E68" s="91">
        <f t="shared" si="2"/>
        <v>41383.39</v>
      </c>
      <c r="G68" s="380">
        <v>41640</v>
      </c>
      <c r="H68" s="91">
        <f t="shared" si="3"/>
        <v>71936.430000000008</v>
      </c>
    </row>
    <row r="69" spans="1:12" x14ac:dyDescent="0.2">
      <c r="D69" s="380">
        <v>41699</v>
      </c>
      <c r="E69" s="91">
        <f t="shared" si="2"/>
        <v>147966.51999999999</v>
      </c>
      <c r="G69" s="380">
        <v>41699</v>
      </c>
      <c r="H69" s="91">
        <f t="shared" si="3"/>
        <v>0</v>
      </c>
    </row>
    <row r="70" spans="1:12" x14ac:dyDescent="0.2">
      <c r="D70" s="380">
        <v>41913</v>
      </c>
      <c r="E70" s="91">
        <f t="shared" si="2"/>
        <v>319852</v>
      </c>
      <c r="G70" s="380">
        <v>41913</v>
      </c>
      <c r="H70" s="91">
        <f t="shared" si="3"/>
        <v>0</v>
      </c>
    </row>
    <row r="71" spans="1:12" x14ac:dyDescent="0.2">
      <c r="D71" s="380">
        <v>41944</v>
      </c>
      <c r="E71" s="91">
        <f t="shared" si="2"/>
        <v>2567807.77</v>
      </c>
      <c r="G71" s="380">
        <v>41944</v>
      </c>
      <c r="H71" s="91">
        <f t="shared" si="3"/>
        <v>0</v>
      </c>
    </row>
    <row r="72" spans="1:12" x14ac:dyDescent="0.2">
      <c r="D72" s="380">
        <v>42036</v>
      </c>
      <c r="E72" s="91">
        <f t="shared" si="2"/>
        <v>92284.66</v>
      </c>
      <c r="G72" s="380">
        <v>42036</v>
      </c>
      <c r="H72" s="91">
        <f t="shared" si="3"/>
        <v>273223.40000000002</v>
      </c>
    </row>
    <row r="73" spans="1:12" x14ac:dyDescent="0.2">
      <c r="D73" s="380">
        <v>42064</v>
      </c>
      <c r="E73" s="91">
        <f t="shared" si="2"/>
        <v>0</v>
      </c>
      <c r="G73" s="380">
        <v>42064</v>
      </c>
      <c r="H73" s="91">
        <f t="shared" si="3"/>
        <v>120061.92</v>
      </c>
    </row>
    <row r="74" spans="1:12" x14ac:dyDescent="0.2">
      <c r="D74" s="380">
        <v>42217</v>
      </c>
      <c r="E74" s="91">
        <f t="shared" si="2"/>
        <v>0</v>
      </c>
      <c r="G74" s="380">
        <v>42217</v>
      </c>
      <c r="H74" s="91">
        <f t="shared" si="3"/>
        <v>114200</v>
      </c>
    </row>
    <row r="75" spans="1:12" x14ac:dyDescent="0.2">
      <c r="D75" s="380">
        <v>42248</v>
      </c>
      <c r="E75" s="91">
        <f t="shared" si="2"/>
        <v>0</v>
      </c>
      <c r="G75" s="380">
        <v>42248</v>
      </c>
      <c r="H75" s="91">
        <f t="shared" si="3"/>
        <v>319852</v>
      </c>
    </row>
    <row r="76" spans="1:12" x14ac:dyDescent="0.2">
      <c r="D76" s="380">
        <v>42339</v>
      </c>
      <c r="E76" s="91">
        <f t="shared" si="2"/>
        <v>350831</v>
      </c>
      <c r="G76" s="380">
        <v>42339</v>
      </c>
      <c r="H76" s="91">
        <f t="shared" si="3"/>
        <v>0</v>
      </c>
    </row>
    <row r="77" spans="1:12" x14ac:dyDescent="0.2">
      <c r="D77" s="380">
        <v>42370</v>
      </c>
      <c r="E77" s="91">
        <f t="shared" si="2"/>
        <v>0</v>
      </c>
      <c r="G77" s="380">
        <v>42370</v>
      </c>
      <c r="H77" s="91">
        <f t="shared" si="3"/>
        <v>1442192.77</v>
      </c>
    </row>
    <row r="78" spans="1:12" x14ac:dyDescent="0.2">
      <c r="D78" s="380">
        <v>42767</v>
      </c>
      <c r="E78" s="91">
        <f t="shared" si="2"/>
        <v>41383.379999999997</v>
      </c>
      <c r="G78" s="380">
        <v>42767</v>
      </c>
      <c r="H78" s="91">
        <f t="shared" si="3"/>
        <v>0</v>
      </c>
    </row>
    <row r="79" spans="1:12" x14ac:dyDescent="0.2">
      <c r="D79" s="380"/>
      <c r="E79" s="91"/>
      <c r="G79" s="380"/>
      <c r="H79" s="91"/>
    </row>
    <row r="80" spans="1:12" s="8" customFormat="1" x14ac:dyDescent="0.2">
      <c r="A80" s="460"/>
      <c r="E80" s="462">
        <f>SUM(E58:E78)</f>
        <v>4259043.97</v>
      </c>
      <c r="F80" s="460"/>
      <c r="H80" s="462">
        <f>SUM(H58:H78)</f>
        <v>2457435.9300000002</v>
      </c>
      <c r="J80" s="1"/>
      <c r="K80" s="1"/>
      <c r="L80" s="1"/>
    </row>
    <row r="81" spans="5:12" x14ac:dyDescent="0.2">
      <c r="E81" s="91">
        <f>E80-E47</f>
        <v>-189013.18000000063</v>
      </c>
      <c r="H81" s="91">
        <f>H80-H47</f>
        <v>-1439115.08</v>
      </c>
      <c r="J81" s="8"/>
      <c r="K81" s="8"/>
      <c r="L81" s="8"/>
    </row>
  </sheetData>
  <mergeCells count="10">
    <mergeCell ref="K39:L39"/>
    <mergeCell ref="K47:L47"/>
    <mergeCell ref="K48:L48"/>
    <mergeCell ref="E4:J4"/>
    <mergeCell ref="A2:K2"/>
    <mergeCell ref="A4:A5"/>
    <mergeCell ref="B4:B5"/>
    <mergeCell ref="C4:C5"/>
    <mergeCell ref="D4:D5"/>
    <mergeCell ref="K4:L4"/>
  </mergeCells>
  <conditionalFormatting sqref="A6:L6">
    <cfRule type="expression" dxfId="5" priority="6">
      <formula>$H$6:$H$37="en attente"</formula>
    </cfRule>
  </conditionalFormatting>
  <conditionalFormatting sqref="A7:L37">
    <cfRule type="expression" dxfId="4" priority="5">
      <formula>$H$6:$H$37="en attente"</formula>
    </cfRule>
  </conditionalFormatting>
  <conditionalFormatting sqref="M6">
    <cfRule type="expression" dxfId="3" priority="4">
      <formula>$H$6:$H$37="en attente"</formula>
    </cfRule>
  </conditionalFormatting>
  <conditionalFormatting sqref="M7:M37">
    <cfRule type="expression" dxfId="2" priority="3">
      <formula>$H$6:$H$37="en attente"</formula>
    </cfRule>
  </conditionalFormatting>
  <conditionalFormatting sqref="K41:K42">
    <cfRule type="expression" dxfId="1" priority="2">
      <formula>$H$6:$H$37="en attente"</formula>
    </cfRule>
  </conditionalFormatting>
  <conditionalFormatting sqref="H41">
    <cfRule type="expression" dxfId="0" priority="1">
      <formula>$H$6:$H$37="en attente"</formula>
    </cfRule>
  </conditionalFormatting>
  <pageMargins left="0.19685039370078741" right="0" top="0.15748031496062992" bottom="0.15748031496062992" header="0.15748031496062992" footer="0.15748031496062992"/>
  <pageSetup paperSize="9" scale="48" orientation="landscape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00B050"/>
    <pageSetUpPr fitToPage="1"/>
  </sheetPr>
  <dimension ref="A1:T92"/>
  <sheetViews>
    <sheetView view="pageBreakPreview" zoomScaleNormal="70" zoomScaleSheetLayoutView="100" workbookViewId="0">
      <pane xSplit="1" ySplit="5" topLeftCell="F6" activePane="bottomRight" state="frozen"/>
      <selection pane="topRight" activeCell="B1" sqref="B1"/>
      <selection pane="bottomLeft" activeCell="A6" sqref="A6"/>
      <selection pane="bottomRight" activeCell="I43" sqref="I43"/>
    </sheetView>
  </sheetViews>
  <sheetFormatPr baseColWidth="10" defaultColWidth="11.42578125" defaultRowHeight="12" outlineLevelRow="1" x14ac:dyDescent="0.2"/>
  <cols>
    <col min="1" max="1" width="31.5703125" style="6" bestFit="1" customWidth="1"/>
    <col min="2" max="2" width="14.42578125" style="1" customWidth="1"/>
    <col min="3" max="3" width="15.140625" style="1" customWidth="1"/>
    <col min="4" max="4" width="15.85546875" style="1" customWidth="1"/>
    <col min="5" max="5" width="13.42578125" style="1" bestFit="1" customWidth="1"/>
    <col min="6" max="6" width="14.42578125" style="1" customWidth="1"/>
    <col min="7" max="7" width="4.140625" style="6" bestFit="1" customWidth="1"/>
    <col min="8" max="8" width="12.7109375" style="1" customWidth="1"/>
    <col min="9" max="9" width="16.5703125" style="1" customWidth="1"/>
    <col min="10" max="10" width="10.42578125" style="1" bestFit="1" customWidth="1"/>
    <col min="11" max="11" width="18.5703125" style="1" bestFit="1" customWidth="1"/>
    <col min="12" max="12" width="14.42578125" style="1" customWidth="1"/>
    <col min="13" max="14" width="14.42578125" style="1" bestFit="1" customWidth="1"/>
    <col min="15" max="15" width="14.140625" style="161" customWidth="1"/>
    <col min="16" max="16" width="14.42578125" style="1" bestFit="1" customWidth="1"/>
    <col min="17" max="17" width="13.42578125" style="1" bestFit="1" customWidth="1"/>
    <col min="18" max="16384" width="11.42578125" style="1"/>
  </cols>
  <sheetData>
    <row r="1" spans="1:20" x14ac:dyDescent="0.2">
      <c r="P1" s="73"/>
      <c r="Q1" s="8"/>
    </row>
    <row r="2" spans="1:20" x14ac:dyDescent="0.2">
      <c r="A2" s="923" t="s">
        <v>31</v>
      </c>
      <c r="B2" s="923"/>
      <c r="C2" s="923"/>
      <c r="D2" s="923"/>
      <c r="E2" s="923"/>
      <c r="F2" s="923"/>
      <c r="G2" s="923"/>
      <c r="H2" s="923"/>
      <c r="I2" s="923"/>
      <c r="J2" s="923"/>
      <c r="K2" s="923"/>
      <c r="L2" s="923"/>
      <c r="M2" s="9">
        <f ca="1">TODAY()</f>
        <v>43593</v>
      </c>
      <c r="N2" s="9"/>
      <c r="Q2" s="61"/>
    </row>
    <row r="4" spans="1:20" s="2" customFormat="1" ht="24" x14ac:dyDescent="0.2">
      <c r="A4" s="940" t="s">
        <v>2</v>
      </c>
      <c r="B4" s="928" t="s">
        <v>21</v>
      </c>
      <c r="C4" s="116" t="s">
        <v>135</v>
      </c>
      <c r="D4" s="116" t="s">
        <v>124</v>
      </c>
      <c r="E4" s="928" t="s">
        <v>12</v>
      </c>
      <c r="F4" s="924" t="s">
        <v>4</v>
      </c>
      <c r="G4" s="925"/>
      <c r="H4" s="925"/>
      <c r="I4" s="925"/>
      <c r="J4" s="925"/>
      <c r="K4" s="926"/>
      <c r="L4" s="927" t="s">
        <v>13</v>
      </c>
      <c r="M4" s="928"/>
      <c r="N4" s="3" t="s">
        <v>123</v>
      </c>
      <c r="O4" s="210"/>
      <c r="Q4" s="63"/>
      <c r="R4" s="63"/>
    </row>
    <row r="5" spans="1:20" s="13" customFormat="1" x14ac:dyDescent="0.2">
      <c r="A5" s="941"/>
      <c r="B5" s="942"/>
      <c r="C5" s="117"/>
      <c r="D5" s="117"/>
      <c r="E5" s="942"/>
      <c r="F5" s="10" t="s">
        <v>1</v>
      </c>
      <c r="G5" s="11" t="s">
        <v>3</v>
      </c>
      <c r="H5" s="11" t="s">
        <v>15</v>
      </c>
      <c r="I5" s="12" t="s">
        <v>14</v>
      </c>
      <c r="J5" s="10" t="s">
        <v>15</v>
      </c>
      <c r="K5" s="11" t="s">
        <v>18</v>
      </c>
      <c r="L5" s="3" t="s">
        <v>20</v>
      </c>
      <c r="M5" s="3" t="s">
        <v>19</v>
      </c>
      <c r="N5" s="3"/>
      <c r="O5" s="161"/>
      <c r="P5" s="1"/>
      <c r="Q5" s="1"/>
      <c r="R5" s="1"/>
      <c r="S5" s="1"/>
    </row>
    <row r="6" spans="1:20" s="107" customFormat="1" x14ac:dyDescent="0.2">
      <c r="A6" s="325" t="s">
        <v>32</v>
      </c>
      <c r="B6" s="326">
        <v>40724</v>
      </c>
      <c r="C6" s="326">
        <f>DATE(YEAR(B6)+5,MONTH(B6),DAY(B6))</f>
        <v>42551</v>
      </c>
      <c r="D6" s="326">
        <v>41613</v>
      </c>
      <c r="E6" s="327">
        <v>70000</v>
      </c>
      <c r="F6" s="326"/>
      <c r="G6" s="326"/>
      <c r="H6" s="326"/>
      <c r="I6" s="333">
        <f>SUM(I7:I9)</f>
        <v>70000</v>
      </c>
      <c r="J6" s="328"/>
      <c r="K6" s="329"/>
      <c r="L6" s="333">
        <f>SUM(L7:L9)</f>
        <v>0</v>
      </c>
      <c r="M6" s="333">
        <f>SUM(M7:M9)</f>
        <v>0</v>
      </c>
      <c r="N6" s="333"/>
      <c r="O6" s="211">
        <f>E6-(I6+L6+M6)</f>
        <v>0</v>
      </c>
      <c r="P6" s="2"/>
      <c r="Q6" s="63"/>
      <c r="R6" s="63"/>
      <c r="S6" s="2"/>
      <c r="T6" s="163"/>
    </row>
    <row r="7" spans="1:20" s="26" customFormat="1" hidden="1" outlineLevel="1" x14ac:dyDescent="0.2">
      <c r="A7" s="334" t="s">
        <v>32</v>
      </c>
      <c r="B7" s="347"/>
      <c r="C7" s="347"/>
      <c r="D7" s="347"/>
      <c r="E7" s="348">
        <f>F7/$E$6</f>
        <v>0.4</v>
      </c>
      <c r="F7" s="349">
        <v>28000</v>
      </c>
      <c r="G7" s="350">
        <v>1</v>
      </c>
      <c r="H7" s="352">
        <v>41010</v>
      </c>
      <c r="I7" s="349">
        <v>28000</v>
      </c>
      <c r="J7" s="352">
        <v>41010</v>
      </c>
      <c r="K7" s="410">
        <f>IF(J7="",$M$2-H7,J7-H7)</f>
        <v>0</v>
      </c>
      <c r="L7" s="354" t="str">
        <f>IF(I7="en attente",F7,"")</f>
        <v/>
      </c>
      <c r="M7" s="354">
        <f t="shared" ref="M7:M41" si="0">IF(H7="",F7-I7,0)</f>
        <v>0</v>
      </c>
      <c r="N7" s="355"/>
      <c r="O7" s="161"/>
      <c r="P7" s="1"/>
      <c r="Q7" s="1"/>
      <c r="R7" s="1"/>
      <c r="S7" s="1"/>
    </row>
    <row r="8" spans="1:20" s="26" customFormat="1" hidden="1" outlineLevel="1" x14ac:dyDescent="0.2">
      <c r="A8" s="334" t="s">
        <v>32</v>
      </c>
      <c r="B8" s="347"/>
      <c r="C8" s="347"/>
      <c r="D8" s="347"/>
      <c r="E8" s="348">
        <v>0.7</v>
      </c>
      <c r="F8" s="349">
        <v>21000</v>
      </c>
      <c r="G8" s="350">
        <v>2</v>
      </c>
      <c r="H8" s="347">
        <v>41456</v>
      </c>
      <c r="I8" s="349">
        <v>21000</v>
      </c>
      <c r="J8" s="352">
        <v>41522</v>
      </c>
      <c r="K8" s="410"/>
      <c r="L8" s="354" t="str">
        <f t="shared" ref="L8:L37" si="1">IF(I8="en attente",F8,"")</f>
        <v/>
      </c>
      <c r="M8" s="354">
        <f t="shared" si="0"/>
        <v>0</v>
      </c>
      <c r="N8" s="355"/>
      <c r="O8" s="210"/>
      <c r="P8" s="2"/>
      <c r="Q8" s="63"/>
      <c r="R8" s="63"/>
      <c r="S8" s="2"/>
    </row>
    <row r="9" spans="1:20" s="26" customFormat="1" hidden="1" outlineLevel="1" x14ac:dyDescent="0.2">
      <c r="A9" s="334" t="s">
        <v>32</v>
      </c>
      <c r="B9" s="347"/>
      <c r="C9" s="347"/>
      <c r="D9" s="347"/>
      <c r="E9" s="348">
        <v>1</v>
      </c>
      <c r="F9" s="349">
        <v>21000</v>
      </c>
      <c r="G9" s="350">
        <v>3</v>
      </c>
      <c r="H9" s="347">
        <v>42123</v>
      </c>
      <c r="I9" s="351">
        <f>F9</f>
        <v>21000</v>
      </c>
      <c r="J9" s="352">
        <v>42188</v>
      </c>
      <c r="K9" s="353"/>
      <c r="L9" s="354" t="str">
        <f t="shared" si="1"/>
        <v/>
      </c>
      <c r="M9" s="354">
        <f t="shared" si="0"/>
        <v>0</v>
      </c>
      <c r="N9" s="354"/>
      <c r="O9" s="161"/>
      <c r="P9" s="1"/>
      <c r="Q9" s="1"/>
      <c r="R9" s="1"/>
      <c r="S9" s="1"/>
    </row>
    <row r="10" spans="1:20" s="107" customFormat="1" collapsed="1" x14ac:dyDescent="0.2">
      <c r="A10" s="325" t="s">
        <v>8</v>
      </c>
      <c r="B10" s="326">
        <v>40988</v>
      </c>
      <c r="C10" s="326">
        <v>42735</v>
      </c>
      <c r="D10" s="326">
        <v>42326</v>
      </c>
      <c r="E10" s="327">
        <v>110000</v>
      </c>
      <c r="F10" s="328"/>
      <c r="G10" s="329"/>
      <c r="H10" s="399"/>
      <c r="I10" s="333">
        <f>SUM(I11:I13)</f>
        <v>110000</v>
      </c>
      <c r="J10" s="411"/>
      <c r="K10" s="332"/>
      <c r="L10" s="333">
        <f>SUM(L11:L13)</f>
        <v>0</v>
      </c>
      <c r="M10" s="333">
        <f>SUM(M11:M13)</f>
        <v>0</v>
      </c>
      <c r="N10" s="333"/>
      <c r="O10" s="211">
        <f>E10-(I10+L10+M10)</f>
        <v>0</v>
      </c>
      <c r="P10" s="209"/>
      <c r="Q10" s="209"/>
    </row>
    <row r="11" spans="1:20" s="26" customFormat="1" hidden="1" outlineLevel="1" x14ac:dyDescent="0.2">
      <c r="A11" s="334" t="s">
        <v>8</v>
      </c>
      <c r="B11" s="412"/>
      <c r="C11" s="412"/>
      <c r="D11" s="412"/>
      <c r="E11" s="348">
        <f>F11/$E$10</f>
        <v>0.4</v>
      </c>
      <c r="F11" s="349">
        <v>44000</v>
      </c>
      <c r="G11" s="350">
        <v>1</v>
      </c>
      <c r="H11" s="347">
        <v>41275</v>
      </c>
      <c r="I11" s="351">
        <v>44000</v>
      </c>
      <c r="J11" s="352">
        <v>41360</v>
      </c>
      <c r="K11" s="410"/>
      <c r="L11" s="354" t="str">
        <f t="shared" si="1"/>
        <v/>
      </c>
      <c r="M11" s="354">
        <f t="shared" si="0"/>
        <v>0</v>
      </c>
      <c r="N11" s="355"/>
      <c r="O11" s="212"/>
      <c r="P11" s="27"/>
    </row>
    <row r="12" spans="1:20" hidden="1" outlineLevel="1" x14ac:dyDescent="0.2">
      <c r="A12" s="334" t="s">
        <v>8</v>
      </c>
      <c r="B12" s="347"/>
      <c r="C12" s="347"/>
      <c r="D12" s="347"/>
      <c r="E12" s="348">
        <v>0.7</v>
      </c>
      <c r="F12" s="349">
        <v>33000</v>
      </c>
      <c r="G12" s="350">
        <v>2</v>
      </c>
      <c r="H12" s="347">
        <v>41884</v>
      </c>
      <c r="I12" s="351"/>
      <c r="J12" s="413"/>
      <c r="K12" s="410">
        <f ca="1">IF(J12="",$M$2-H12,J12-H12)</f>
        <v>1709</v>
      </c>
      <c r="L12" s="354" t="str">
        <f t="shared" si="1"/>
        <v/>
      </c>
      <c r="M12" s="354">
        <f t="shared" si="0"/>
        <v>0</v>
      </c>
      <c r="N12" s="355"/>
      <c r="O12" s="1" t="s">
        <v>240</v>
      </c>
    </row>
    <row r="13" spans="1:20" hidden="1" outlineLevel="1" x14ac:dyDescent="0.2">
      <c r="A13" s="356" t="s">
        <v>8</v>
      </c>
      <c r="B13" s="358"/>
      <c r="C13" s="347"/>
      <c r="D13" s="347"/>
      <c r="E13" s="348">
        <v>1</v>
      </c>
      <c r="F13" s="359">
        <v>33000</v>
      </c>
      <c r="G13" s="360">
        <v>3</v>
      </c>
      <c r="H13" s="358">
        <v>42454</v>
      </c>
      <c r="I13" s="361">
        <v>66000</v>
      </c>
      <c r="J13" s="362">
        <v>42502</v>
      </c>
      <c r="K13" s="410"/>
      <c r="L13" s="364" t="str">
        <f t="shared" si="1"/>
        <v/>
      </c>
      <c r="M13" s="354">
        <f t="shared" si="0"/>
        <v>0</v>
      </c>
      <c r="N13" s="365"/>
      <c r="Q13" s="27"/>
    </row>
    <row r="14" spans="1:20" s="8" customFormat="1" collapsed="1" x14ac:dyDescent="0.2">
      <c r="A14" s="402" t="s">
        <v>231</v>
      </c>
      <c r="B14" s="414">
        <v>40988</v>
      </c>
      <c r="C14" s="326">
        <v>42735</v>
      </c>
      <c r="D14" s="514">
        <v>43100</v>
      </c>
      <c r="E14" s="328">
        <v>85000</v>
      </c>
      <c r="F14" s="404"/>
      <c r="G14" s="415"/>
      <c r="H14" s="347"/>
      <c r="I14" s="416">
        <f>SUM(I15:I17)</f>
        <v>85000</v>
      </c>
      <c r="J14" s="420"/>
      <c r="K14" s="411"/>
      <c r="L14" s="416">
        <f>SUM(L15:L17)</f>
        <v>0</v>
      </c>
      <c r="M14" s="417">
        <f>SUM(M15:M17)</f>
        <v>0</v>
      </c>
      <c r="N14" s="416"/>
      <c r="O14" s="211">
        <f>E14-(I14+L14+M14)</f>
        <v>0</v>
      </c>
      <c r="Q14" s="209"/>
    </row>
    <row r="15" spans="1:20" hidden="1" outlineLevel="1" x14ac:dyDescent="0.2">
      <c r="A15" s="334" t="s">
        <v>232</v>
      </c>
      <c r="B15" s="412" t="s">
        <v>224</v>
      </c>
      <c r="C15" s="412" t="s">
        <v>224</v>
      </c>
      <c r="D15" s="347" t="s">
        <v>308</v>
      </c>
      <c r="E15" s="348">
        <f>F15/$E$14</f>
        <v>0.4</v>
      </c>
      <c r="F15" s="349">
        <v>34000</v>
      </c>
      <c r="G15" s="350">
        <v>1</v>
      </c>
      <c r="H15" s="347">
        <v>41276</v>
      </c>
      <c r="I15" s="351">
        <v>34000</v>
      </c>
      <c r="J15" s="352">
        <v>41358</v>
      </c>
      <c r="K15" s="410"/>
      <c r="L15" s="354" t="str">
        <f t="shared" si="1"/>
        <v/>
      </c>
      <c r="M15" s="354">
        <f t="shared" si="0"/>
        <v>0</v>
      </c>
      <c r="N15" s="355"/>
      <c r="Q15" s="27"/>
    </row>
    <row r="16" spans="1:20" hidden="1" outlineLevel="1" x14ac:dyDescent="0.2">
      <c r="A16" s="334" t="s">
        <v>232</v>
      </c>
      <c r="B16" s="347"/>
      <c r="C16" s="347"/>
      <c r="D16" s="347"/>
      <c r="E16" s="348">
        <v>0.7</v>
      </c>
      <c r="F16" s="349">
        <v>25500</v>
      </c>
      <c r="G16" s="350">
        <v>2</v>
      </c>
      <c r="H16" s="347">
        <v>42215</v>
      </c>
      <c r="I16" s="351">
        <v>25500</v>
      </c>
      <c r="J16" s="352">
        <v>42282</v>
      </c>
      <c r="K16" s="410"/>
      <c r="L16" s="354" t="str">
        <f t="shared" si="1"/>
        <v/>
      </c>
      <c r="M16" s="354">
        <f t="shared" si="0"/>
        <v>0</v>
      </c>
      <c r="N16" s="355"/>
      <c r="Q16" s="27"/>
    </row>
    <row r="17" spans="1:17" s="26" customFormat="1" hidden="1" outlineLevel="1" x14ac:dyDescent="0.2">
      <c r="A17" s="334" t="s">
        <v>232</v>
      </c>
      <c r="B17" s="412"/>
      <c r="C17" s="412"/>
      <c r="D17" s="412"/>
      <c r="E17" s="348">
        <v>1</v>
      </c>
      <c r="F17" s="349">
        <v>25500</v>
      </c>
      <c r="G17" s="350">
        <v>3</v>
      </c>
      <c r="H17" s="347">
        <v>42830</v>
      </c>
      <c r="I17" s="351">
        <v>25500</v>
      </c>
      <c r="J17" s="352">
        <v>42878</v>
      </c>
      <c r="K17" s="410"/>
      <c r="L17" s="354" t="str">
        <f t="shared" si="1"/>
        <v/>
      </c>
      <c r="M17" s="354">
        <f t="shared" si="0"/>
        <v>0</v>
      </c>
      <c r="N17" s="438"/>
      <c r="O17" s="212"/>
    </row>
    <row r="18" spans="1:17" s="8" customFormat="1" collapsed="1" x14ac:dyDescent="0.2">
      <c r="A18" s="325" t="s">
        <v>35</v>
      </c>
      <c r="B18" s="326">
        <v>41450</v>
      </c>
      <c r="C18" s="326">
        <f>DATE(YEAR(B18)+4,MONTH(B18),DAY(B18))</f>
        <v>42911</v>
      </c>
      <c r="D18" s="326">
        <v>42726</v>
      </c>
      <c r="E18" s="327">
        <v>220000</v>
      </c>
      <c r="F18" s="328"/>
      <c r="G18" s="329"/>
      <c r="H18" s="570"/>
      <c r="I18" s="333">
        <f>SUM(I19:I21)</f>
        <v>220000</v>
      </c>
      <c r="J18" s="411"/>
      <c r="K18" s="332"/>
      <c r="L18" s="333">
        <f>SUM(L19:L21)</f>
        <v>0</v>
      </c>
      <c r="M18" s="333">
        <f>SUM(M19:M21)</f>
        <v>0</v>
      </c>
      <c r="N18" s="333"/>
      <c r="O18" s="211">
        <f>E18-(I18+L18+M18)</f>
        <v>0</v>
      </c>
    </row>
    <row r="19" spans="1:17" s="26" customFormat="1" hidden="1" outlineLevel="1" x14ac:dyDescent="0.2">
      <c r="A19" s="334" t="s">
        <v>35</v>
      </c>
      <c r="B19" s="412" t="s">
        <v>224</v>
      </c>
      <c r="C19" s="412" t="s">
        <v>224</v>
      </c>
      <c r="D19" s="412"/>
      <c r="E19" s="348">
        <f>F19/$E$18</f>
        <v>0.4</v>
      </c>
      <c r="F19" s="349">
        <v>88000</v>
      </c>
      <c r="G19" s="350">
        <v>1</v>
      </c>
      <c r="H19" s="347">
        <v>41715</v>
      </c>
      <c r="I19" s="351">
        <v>88000</v>
      </c>
      <c r="J19" s="352">
        <v>41754</v>
      </c>
      <c r="K19" s="410">
        <f>IF(J19="",$M$2-H19,J19-H19)</f>
        <v>39</v>
      </c>
      <c r="L19" s="354" t="str">
        <f t="shared" si="1"/>
        <v/>
      </c>
      <c r="M19" s="354">
        <f t="shared" si="0"/>
        <v>0</v>
      </c>
      <c r="N19" s="355"/>
      <c r="O19" s="212"/>
      <c r="Q19" s="27"/>
    </row>
    <row r="20" spans="1:17" s="26" customFormat="1" hidden="1" outlineLevel="1" x14ac:dyDescent="0.2">
      <c r="A20" s="334" t="s">
        <v>35</v>
      </c>
      <c r="B20" s="347"/>
      <c r="C20" s="347"/>
      <c r="D20" s="347"/>
      <c r="E20" s="348">
        <v>0.7</v>
      </c>
      <c r="F20" s="349">
        <f>0.3*E18</f>
        <v>66000</v>
      </c>
      <c r="G20" s="350">
        <v>2</v>
      </c>
      <c r="H20" s="347">
        <v>42503</v>
      </c>
      <c r="I20" s="349">
        <v>66000</v>
      </c>
      <c r="J20" s="352">
        <v>42543</v>
      </c>
      <c r="K20" s="410"/>
      <c r="L20" s="354" t="str">
        <f t="shared" si="1"/>
        <v/>
      </c>
      <c r="M20" s="354">
        <f t="shared" si="0"/>
        <v>0</v>
      </c>
      <c r="N20" s="355"/>
      <c r="O20" s="212"/>
      <c r="Q20" s="27"/>
    </row>
    <row r="21" spans="1:17" s="26" customFormat="1" hidden="1" outlineLevel="1" x14ac:dyDescent="0.2">
      <c r="A21" s="356" t="s">
        <v>35</v>
      </c>
      <c r="B21" s="358"/>
      <c r="C21" s="347"/>
      <c r="D21" s="347"/>
      <c r="E21" s="348">
        <v>1</v>
      </c>
      <c r="F21" s="359">
        <v>66000</v>
      </c>
      <c r="G21" s="360">
        <v>3</v>
      </c>
      <c r="H21" s="358">
        <v>42781</v>
      </c>
      <c r="I21" s="361">
        <v>66000</v>
      </c>
      <c r="J21" s="362">
        <v>42808</v>
      </c>
      <c r="K21" s="410"/>
      <c r="L21" s="364" t="str">
        <f t="shared" si="1"/>
        <v/>
      </c>
      <c r="M21" s="354">
        <f t="shared" si="0"/>
        <v>0</v>
      </c>
      <c r="N21" s="365"/>
      <c r="O21" s="212"/>
      <c r="Q21" s="27"/>
    </row>
    <row r="22" spans="1:17" s="107" customFormat="1" collapsed="1" x14ac:dyDescent="0.2">
      <c r="A22" s="402" t="s">
        <v>33</v>
      </c>
      <c r="B22" s="414">
        <v>40988</v>
      </c>
      <c r="C22" s="326">
        <v>42735</v>
      </c>
      <c r="D22" s="331">
        <v>41943</v>
      </c>
      <c r="E22" s="328">
        <v>70000</v>
      </c>
      <c r="F22" s="404"/>
      <c r="G22" s="415"/>
      <c r="H22" s="347"/>
      <c r="I22" s="416">
        <f>SUM(I23:I25)</f>
        <v>70000</v>
      </c>
      <c r="J22" s="408"/>
      <c r="K22" s="411"/>
      <c r="L22" s="416">
        <f>SUM(L23:L24)</f>
        <v>0</v>
      </c>
      <c r="M22" s="417">
        <f>SUM(M23:M25)</f>
        <v>0</v>
      </c>
      <c r="N22" s="416"/>
      <c r="O22" s="211">
        <f>E22-(I22+L22+M22)</f>
        <v>0</v>
      </c>
      <c r="Q22" s="209"/>
    </row>
    <row r="23" spans="1:17" s="31" customFormat="1" hidden="1" outlineLevel="1" x14ac:dyDescent="0.2">
      <c r="A23" s="334" t="s">
        <v>33</v>
      </c>
      <c r="B23" s="412"/>
      <c r="C23" s="412"/>
      <c r="D23" s="412"/>
      <c r="E23" s="348">
        <f>F23/$E$22</f>
        <v>0.4</v>
      </c>
      <c r="F23" s="349">
        <v>28000</v>
      </c>
      <c r="G23" s="350">
        <v>1</v>
      </c>
      <c r="H23" s="347">
        <v>41276</v>
      </c>
      <c r="I23" s="351">
        <v>28000</v>
      </c>
      <c r="J23" s="352">
        <v>41358</v>
      </c>
      <c r="K23" s="410"/>
      <c r="L23" s="354" t="str">
        <f t="shared" si="1"/>
        <v/>
      </c>
      <c r="M23" s="354">
        <f t="shared" si="0"/>
        <v>0</v>
      </c>
      <c r="N23" s="355"/>
      <c r="O23" s="213"/>
    </row>
    <row r="24" spans="1:17" hidden="1" outlineLevel="1" x14ac:dyDescent="0.2">
      <c r="A24" s="334" t="s">
        <v>33</v>
      </c>
      <c r="B24" s="347"/>
      <c r="C24" s="347"/>
      <c r="D24" s="347"/>
      <c r="E24" s="348">
        <v>0.7</v>
      </c>
      <c r="F24" s="349">
        <v>21000</v>
      </c>
      <c r="G24" s="350">
        <v>2</v>
      </c>
      <c r="H24" s="347">
        <v>41884</v>
      </c>
      <c r="I24" s="351">
        <f>F24</f>
        <v>21000</v>
      </c>
      <c r="J24" s="352">
        <v>42188</v>
      </c>
      <c r="K24" s="410">
        <f>IF(J24="",$M$2-H24,J24-H24)</f>
        <v>304</v>
      </c>
      <c r="L24" s="354" t="str">
        <f t="shared" si="1"/>
        <v/>
      </c>
      <c r="M24" s="354">
        <f t="shared" si="0"/>
        <v>0</v>
      </c>
      <c r="N24" s="355" t="s">
        <v>233</v>
      </c>
    </row>
    <row r="25" spans="1:17" hidden="1" outlineLevel="1" x14ac:dyDescent="0.2">
      <c r="A25" s="334" t="s">
        <v>33</v>
      </c>
      <c r="B25" s="347"/>
      <c r="C25" s="347"/>
      <c r="D25" s="347"/>
      <c r="E25" s="348">
        <v>1</v>
      </c>
      <c r="F25" s="349">
        <v>21000</v>
      </c>
      <c r="G25" s="350">
        <v>3</v>
      </c>
      <c r="H25" s="347">
        <v>42136</v>
      </c>
      <c r="I25" s="351">
        <f>F25</f>
        <v>21000</v>
      </c>
      <c r="J25" s="352">
        <v>42188</v>
      </c>
      <c r="K25" s="410"/>
      <c r="L25" s="354"/>
      <c r="M25" s="354">
        <f t="shared" si="0"/>
        <v>0</v>
      </c>
      <c r="N25" s="355"/>
    </row>
    <row r="26" spans="1:17" s="8" customFormat="1" collapsed="1" x14ac:dyDescent="0.2">
      <c r="A26" s="325" t="s">
        <v>9</v>
      </c>
      <c r="B26" s="331">
        <v>40988</v>
      </c>
      <c r="C26" s="326">
        <v>42735</v>
      </c>
      <c r="D26" s="326">
        <v>42633</v>
      </c>
      <c r="E26" s="327">
        <v>120000</v>
      </c>
      <c r="F26" s="328"/>
      <c r="G26" s="329"/>
      <c r="H26" s="570"/>
      <c r="I26" s="333">
        <f>SUM(I27:I29)</f>
        <v>120000</v>
      </c>
      <c r="J26" s="411"/>
      <c r="K26" s="332"/>
      <c r="L26" s="333">
        <f>SUM(L27:L29)</f>
        <v>0</v>
      </c>
      <c r="M26" s="333">
        <f>SUM(M27:M29)</f>
        <v>0</v>
      </c>
      <c r="N26" s="333"/>
      <c r="O26" s="211">
        <f>E26-(I26+L26+M26)</f>
        <v>0</v>
      </c>
    </row>
    <row r="27" spans="1:17" s="26" customFormat="1" hidden="1" outlineLevel="1" x14ac:dyDescent="0.2">
      <c r="A27" s="334" t="s">
        <v>9</v>
      </c>
      <c r="B27" s="412" t="s">
        <v>224</v>
      </c>
      <c r="C27" s="412" t="s">
        <v>224</v>
      </c>
      <c r="D27" s="347"/>
      <c r="E27" s="348">
        <f>F27/$E$26</f>
        <v>0.4</v>
      </c>
      <c r="F27" s="349">
        <v>48000</v>
      </c>
      <c r="G27" s="350">
        <v>1</v>
      </c>
      <c r="H27" s="347">
        <v>41276</v>
      </c>
      <c r="I27" s="351">
        <v>48000</v>
      </c>
      <c r="J27" s="352">
        <v>41358</v>
      </c>
      <c r="K27" s="410"/>
      <c r="L27" s="354" t="str">
        <f t="shared" si="1"/>
        <v/>
      </c>
      <c r="M27" s="354">
        <f t="shared" si="0"/>
        <v>0</v>
      </c>
      <c r="N27" s="355"/>
      <c r="O27" s="212"/>
      <c r="Q27" s="27"/>
    </row>
    <row r="28" spans="1:17" s="26" customFormat="1" hidden="1" outlineLevel="1" x14ac:dyDescent="0.2">
      <c r="A28" s="334" t="s">
        <v>9</v>
      </c>
      <c r="B28" s="347"/>
      <c r="C28" s="347"/>
      <c r="D28" s="347"/>
      <c r="E28" s="348">
        <v>0.7</v>
      </c>
      <c r="F28" s="349">
        <v>36000</v>
      </c>
      <c r="G28" s="350">
        <v>2</v>
      </c>
      <c r="H28" s="347">
        <v>42206</v>
      </c>
      <c r="I28" s="351">
        <v>36000</v>
      </c>
      <c r="J28" s="352">
        <v>42228</v>
      </c>
      <c r="K28" s="410"/>
      <c r="L28" s="354" t="str">
        <f t="shared" si="1"/>
        <v/>
      </c>
      <c r="M28" s="354">
        <f t="shared" si="0"/>
        <v>0</v>
      </c>
      <c r="N28" s="355"/>
      <c r="O28" s="212"/>
      <c r="Q28" s="27"/>
    </row>
    <row r="29" spans="1:17" s="26" customFormat="1" hidden="1" outlineLevel="1" x14ac:dyDescent="0.2">
      <c r="A29" s="356" t="s">
        <v>9</v>
      </c>
      <c r="B29" s="358"/>
      <c r="C29" s="358"/>
      <c r="D29" s="395"/>
      <c r="E29" s="428">
        <v>1</v>
      </c>
      <c r="F29" s="359">
        <v>36000</v>
      </c>
      <c r="G29" s="360">
        <v>3</v>
      </c>
      <c r="H29" s="358">
        <v>42873</v>
      </c>
      <c r="I29" s="361">
        <v>36000</v>
      </c>
      <c r="J29" s="362">
        <v>42900</v>
      </c>
      <c r="K29" s="410"/>
      <c r="L29" s="364" t="str">
        <f t="shared" si="1"/>
        <v/>
      </c>
      <c r="M29" s="354">
        <f t="shared" si="0"/>
        <v>0</v>
      </c>
      <c r="N29" s="438"/>
      <c r="O29" s="212"/>
      <c r="Q29" s="27"/>
    </row>
    <row r="30" spans="1:17" s="107" customFormat="1" collapsed="1" x14ac:dyDescent="0.2">
      <c r="A30" s="325" t="s">
        <v>36</v>
      </c>
      <c r="B30" s="326">
        <v>41534</v>
      </c>
      <c r="C30" s="326">
        <v>42916</v>
      </c>
      <c r="D30" s="326">
        <v>43075</v>
      </c>
      <c r="E30" s="327">
        <v>415000</v>
      </c>
      <c r="F30" s="328"/>
      <c r="G30" s="329"/>
      <c r="H30" s="326"/>
      <c r="I30" s="333">
        <f>SUM(I31:I33)</f>
        <v>415000</v>
      </c>
      <c r="J30" s="411"/>
      <c r="K30" s="332"/>
      <c r="L30" s="333">
        <f>SUM(L31:L33)</f>
        <v>0</v>
      </c>
      <c r="M30" s="333">
        <f>SUM(M31:M33)</f>
        <v>0</v>
      </c>
      <c r="N30" s="333"/>
      <c r="O30" s="211">
        <f>E30-(I30+L30+M30)</f>
        <v>0</v>
      </c>
      <c r="Q30" s="209"/>
    </row>
    <row r="31" spans="1:17" s="31" customFormat="1" hidden="1" outlineLevel="1" x14ac:dyDescent="0.2">
      <c r="A31" s="334" t="s">
        <v>36</v>
      </c>
      <c r="B31" s="412" t="s">
        <v>224</v>
      </c>
      <c r="C31" s="412" t="s">
        <v>311</v>
      </c>
      <c r="D31" s="412"/>
      <c r="E31" s="348">
        <f>F31/$E$30</f>
        <v>0.4</v>
      </c>
      <c r="F31" s="349">
        <v>166000</v>
      </c>
      <c r="G31" s="350">
        <v>1</v>
      </c>
      <c r="H31" s="347">
        <v>42188</v>
      </c>
      <c r="I31" s="351">
        <v>166000</v>
      </c>
      <c r="J31" s="352">
        <v>42228</v>
      </c>
      <c r="K31" s="410">
        <f>IF(J31="",$M$2-H31,J31-H31)</f>
        <v>40</v>
      </c>
      <c r="L31" s="354" t="str">
        <f t="shared" si="1"/>
        <v/>
      </c>
      <c r="M31" s="354">
        <f t="shared" si="0"/>
        <v>0</v>
      </c>
      <c r="N31" s="355"/>
      <c r="O31" s="213"/>
    </row>
    <row r="32" spans="1:17" s="31" customFormat="1" hidden="1" outlineLevel="1" x14ac:dyDescent="0.2">
      <c r="A32" s="334" t="s">
        <v>36</v>
      </c>
      <c r="B32" s="412"/>
      <c r="C32" s="412"/>
      <c r="D32" s="412"/>
      <c r="E32" s="348">
        <v>0.7</v>
      </c>
      <c r="F32" s="349">
        <f>0.3*E30</f>
        <v>124500</v>
      </c>
      <c r="G32" s="350">
        <v>2</v>
      </c>
      <c r="H32" s="347">
        <v>42780</v>
      </c>
      <c r="I32" s="351">
        <v>124500</v>
      </c>
      <c r="J32" s="352">
        <v>42808</v>
      </c>
      <c r="K32" s="410"/>
      <c r="L32" s="354" t="str">
        <f t="shared" si="1"/>
        <v/>
      </c>
      <c r="M32" s="354">
        <f t="shared" si="0"/>
        <v>0</v>
      </c>
      <c r="N32" s="355"/>
      <c r="O32" s="213"/>
    </row>
    <row r="33" spans="1:17" s="31" customFormat="1" hidden="1" outlineLevel="1" x14ac:dyDescent="0.2">
      <c r="A33" s="356" t="s">
        <v>36</v>
      </c>
      <c r="B33" s="395"/>
      <c r="C33" s="412"/>
      <c r="D33" s="412"/>
      <c r="E33" s="348">
        <v>1</v>
      </c>
      <c r="F33" s="359">
        <f>0.3*E30</f>
        <v>124500</v>
      </c>
      <c r="G33" s="360">
        <v>3</v>
      </c>
      <c r="H33" s="358">
        <v>43171</v>
      </c>
      <c r="I33" s="361">
        <v>124500</v>
      </c>
      <c r="J33" s="362">
        <v>43242</v>
      </c>
      <c r="K33" s="410"/>
      <c r="L33" s="354" t="str">
        <f t="shared" si="1"/>
        <v/>
      </c>
      <c r="M33" s="354">
        <f t="shared" si="0"/>
        <v>0</v>
      </c>
      <c r="N33" s="365"/>
      <c r="O33" s="213"/>
    </row>
    <row r="34" spans="1:17" s="8" customFormat="1" collapsed="1" x14ac:dyDescent="0.2">
      <c r="A34" s="402" t="s">
        <v>62</v>
      </c>
      <c r="B34" s="414">
        <v>41534</v>
      </c>
      <c r="C34" s="326">
        <v>42916</v>
      </c>
      <c r="D34" s="516">
        <v>43161</v>
      </c>
      <c r="E34" s="328">
        <v>120000</v>
      </c>
      <c r="F34" s="404"/>
      <c r="G34" s="415"/>
      <c r="H34" s="406"/>
      <c r="I34" s="416">
        <f>SUM(I35:I37)</f>
        <v>120000</v>
      </c>
      <c r="J34" s="408"/>
      <c r="K34" s="411"/>
      <c r="L34" s="417">
        <f>SUM(L35:L37)</f>
        <v>0</v>
      </c>
      <c r="M34" s="417">
        <f>SUM(M35:M37)</f>
        <v>0</v>
      </c>
      <c r="N34" s="416"/>
      <c r="O34" s="211">
        <f>E34-(I34+L34+M34)</f>
        <v>0</v>
      </c>
    </row>
    <row r="35" spans="1:17" s="26" customFormat="1" hidden="1" outlineLevel="1" x14ac:dyDescent="0.2">
      <c r="A35" s="334" t="s">
        <v>34</v>
      </c>
      <c r="B35" s="412" t="s">
        <v>224</v>
      </c>
      <c r="C35" s="412" t="s">
        <v>224</v>
      </c>
      <c r="D35" s="347"/>
      <c r="E35" s="348">
        <f>F35/$E$34</f>
        <v>0.4</v>
      </c>
      <c r="F35" s="349">
        <v>48000</v>
      </c>
      <c r="G35" s="350">
        <v>1</v>
      </c>
      <c r="H35" s="347">
        <v>41641</v>
      </c>
      <c r="I35" s="351">
        <v>48000</v>
      </c>
      <c r="J35" s="352">
        <v>41758</v>
      </c>
      <c r="K35" s="410"/>
      <c r="L35" s="354" t="str">
        <f t="shared" si="1"/>
        <v/>
      </c>
      <c r="M35" s="354">
        <f t="shared" si="0"/>
        <v>0</v>
      </c>
      <c r="N35" s="355"/>
      <c r="O35" s="212"/>
      <c r="Q35" s="27"/>
    </row>
    <row r="36" spans="1:17" s="26" customFormat="1" hidden="1" outlineLevel="1" x14ac:dyDescent="0.2">
      <c r="A36" s="334" t="s">
        <v>34</v>
      </c>
      <c r="B36" s="347"/>
      <c r="C36" s="347"/>
      <c r="D36" s="347"/>
      <c r="E36" s="348">
        <v>0.7</v>
      </c>
      <c r="F36" s="349">
        <v>36000</v>
      </c>
      <c r="G36" s="350">
        <v>2</v>
      </c>
      <c r="H36" s="347">
        <v>42606</v>
      </c>
      <c r="I36" s="351">
        <v>36000</v>
      </c>
      <c r="J36" s="352">
        <v>42655</v>
      </c>
      <c r="K36" s="410"/>
      <c r="L36" s="354" t="str">
        <f t="shared" si="1"/>
        <v/>
      </c>
      <c r="M36" s="354">
        <f t="shared" si="0"/>
        <v>0</v>
      </c>
      <c r="N36" s="355"/>
      <c r="O36" s="212"/>
      <c r="Q36" s="27"/>
    </row>
    <row r="37" spans="1:17" s="26" customFormat="1" hidden="1" outlineLevel="1" x14ac:dyDescent="0.2">
      <c r="A37" s="334" t="s">
        <v>34</v>
      </c>
      <c r="B37" s="347"/>
      <c r="C37" s="347"/>
      <c r="D37" s="347"/>
      <c r="E37" s="348">
        <v>1</v>
      </c>
      <c r="F37" s="349">
        <v>36000</v>
      </c>
      <c r="G37" s="350">
        <v>3</v>
      </c>
      <c r="H37" s="347">
        <v>42803</v>
      </c>
      <c r="I37" s="351">
        <v>36000</v>
      </c>
      <c r="J37" s="352">
        <v>42831</v>
      </c>
      <c r="K37" s="410"/>
      <c r="L37" s="354" t="str">
        <f t="shared" si="1"/>
        <v/>
      </c>
      <c r="M37" s="354">
        <f t="shared" si="0"/>
        <v>0</v>
      </c>
      <c r="N37" s="355"/>
      <c r="O37" s="212"/>
      <c r="Q37" s="27"/>
    </row>
    <row r="38" spans="1:17" s="8" customFormat="1" collapsed="1" x14ac:dyDescent="0.2">
      <c r="A38" s="119" t="s">
        <v>114</v>
      </c>
      <c r="B38" s="158">
        <v>42004</v>
      </c>
      <c r="C38" s="158">
        <v>43465</v>
      </c>
      <c r="D38" s="151"/>
      <c r="E38" s="123">
        <v>160000</v>
      </c>
      <c r="F38" s="123"/>
      <c r="G38" s="138"/>
      <c r="H38" s="125"/>
      <c r="I38" s="159">
        <f>SUM(I39:I41)</f>
        <v>0</v>
      </c>
      <c r="J38" s="127"/>
      <c r="K38" s="127"/>
      <c r="L38" s="170">
        <f>SUM(L39:L41)</f>
        <v>0</v>
      </c>
      <c r="M38" s="170">
        <f>SUM(M39:M41)</f>
        <v>160000</v>
      </c>
      <c r="N38" s="159"/>
      <c r="O38" s="211"/>
    </row>
    <row r="39" spans="1:17" s="26" customFormat="1" outlineLevel="1" x14ac:dyDescent="0.2">
      <c r="A39" s="46" t="s">
        <v>114</v>
      </c>
      <c r="B39" s="15"/>
      <c r="C39" s="15"/>
      <c r="D39" s="15"/>
      <c r="E39" s="108">
        <v>0.4</v>
      </c>
      <c r="F39" s="23">
        <f>E38*E39</f>
        <v>64000</v>
      </c>
      <c r="G39" s="42">
        <v>1</v>
      </c>
      <c r="H39" s="15"/>
      <c r="I39" s="24"/>
      <c r="J39" s="25"/>
      <c r="K39" s="43"/>
      <c r="L39" s="81"/>
      <c r="M39" s="81">
        <f t="shared" si="0"/>
        <v>64000</v>
      </c>
      <c r="N39" s="16"/>
      <c r="O39" s="212"/>
      <c r="Q39" s="27"/>
    </row>
    <row r="40" spans="1:17" s="26" customFormat="1" outlineLevel="1" x14ac:dyDescent="0.2">
      <c r="A40" s="46" t="s">
        <v>114</v>
      </c>
      <c r="B40" s="15"/>
      <c r="C40" s="15"/>
      <c r="D40" s="15"/>
      <c r="E40" s="108">
        <v>0.7</v>
      </c>
      <c r="F40" s="23">
        <v>48000</v>
      </c>
      <c r="G40" s="42">
        <v>2</v>
      </c>
      <c r="H40" s="15"/>
      <c r="I40" s="24"/>
      <c r="J40" s="25"/>
      <c r="K40" s="43"/>
      <c r="L40" s="81"/>
      <c r="M40" s="81">
        <f t="shared" si="0"/>
        <v>48000</v>
      </c>
      <c r="N40" s="16"/>
      <c r="O40" s="212" t="s">
        <v>106</v>
      </c>
      <c r="Q40" s="27"/>
    </row>
    <row r="41" spans="1:17" s="26" customFormat="1" outlineLevel="1" x14ac:dyDescent="0.2">
      <c r="A41" s="46" t="s">
        <v>114</v>
      </c>
      <c r="B41" s="15"/>
      <c r="C41" s="15"/>
      <c r="D41" s="15"/>
      <c r="E41" s="108">
        <v>1</v>
      </c>
      <c r="F41" s="23">
        <f>E38*30%</f>
        <v>48000</v>
      </c>
      <c r="G41" s="42">
        <v>3</v>
      </c>
      <c r="H41" s="15"/>
      <c r="I41" s="24"/>
      <c r="J41" s="25"/>
      <c r="K41" s="43"/>
      <c r="L41" s="81"/>
      <c r="M41" s="81">
        <f t="shared" si="0"/>
        <v>48000</v>
      </c>
      <c r="N41" s="16"/>
      <c r="O41" s="212"/>
      <c r="Q41" s="27"/>
    </row>
    <row r="42" spans="1:17" s="8" customFormat="1" x14ac:dyDescent="0.2">
      <c r="A42" s="48"/>
      <c r="B42" s="48"/>
      <c r="C42" s="48"/>
      <c r="D42" s="48"/>
      <c r="E42" s="41">
        <f>E6+E10+E14+E18+E22+E26+E30+E34+E38</f>
        <v>1370000</v>
      </c>
      <c r="F42" s="41">
        <f>SUMPRODUCT((DateAF_CAF&lt;&gt;"")*MontantAF_CAF)</f>
        <v>1210000</v>
      </c>
      <c r="G42" s="49"/>
      <c r="H42" s="50"/>
      <c r="I42" s="41">
        <f>I6+I10+I14+I18+I22+I26+I30+I34</f>
        <v>1210000</v>
      </c>
      <c r="J42" s="50"/>
      <c r="K42" s="50"/>
      <c r="L42" s="41">
        <f>L6+L10+L14+L18+L22+L26+L30+L34+L38</f>
        <v>0</v>
      </c>
      <c r="M42" s="41">
        <f>M6+M10+M14+M18+M22+M26+M30+M34+M38</f>
        <v>160000</v>
      </c>
      <c r="N42" s="41"/>
      <c r="O42" s="214">
        <f>E42-(I42+L42+M42)</f>
        <v>0</v>
      </c>
      <c r="Q42" s="20"/>
    </row>
    <row r="43" spans="1:17" x14ac:dyDescent="0.2">
      <c r="A43" s="75"/>
      <c r="B43" s="76"/>
      <c r="C43" s="76"/>
      <c r="D43" s="76"/>
      <c r="E43" s="76"/>
      <c r="F43" s="76"/>
      <c r="G43" s="75"/>
      <c r="H43" s="76"/>
      <c r="I43" s="76"/>
      <c r="J43" s="76"/>
      <c r="K43" s="52"/>
      <c r="L43" s="921">
        <f>SUM(L42:M42)</f>
        <v>160000</v>
      </c>
      <c r="M43" s="922"/>
      <c r="N43" s="217"/>
    </row>
    <row r="45" spans="1:17" x14ac:dyDescent="0.2">
      <c r="A45" s="432" t="s">
        <v>251</v>
      </c>
    </row>
    <row r="47" spans="1:17" x14ac:dyDescent="0.2">
      <c r="A47" s="432" t="s">
        <v>252</v>
      </c>
      <c r="F47" s="371" t="s">
        <v>219</v>
      </c>
      <c r="I47" s="372" t="s">
        <v>221</v>
      </c>
      <c r="L47" s="371" t="s">
        <v>219</v>
      </c>
      <c r="M47" s="372" t="s">
        <v>221</v>
      </c>
    </row>
    <row r="48" spans="1:17" x14ac:dyDescent="0.2">
      <c r="E48" s="380">
        <v>41000</v>
      </c>
      <c r="F48" s="468">
        <f t="shared" ref="F48:F77" si="2">SUMPRODUCT((DateAF_CAF&lt;&gt;"")*(MONTH(DateAF_CAF)=MONTH(E48))*(YEAR(DateAF_CAF)=YEAR(E48))*MontantAF_CAF)</f>
        <v>28000</v>
      </c>
      <c r="H48" s="380">
        <v>41000</v>
      </c>
      <c r="I48" s="468">
        <f t="shared" ref="I48:I77" si="3">SUMPRODUCT((DatePmt_caf&lt;&gt;"")*(DatePmt_caf&lt;&gt;"en attente")*(MONTH(DatePmt_caf)=MONTH(H48))*(YEAR(DatePmt_caf)=YEAR(H48))*(ISNUMBER(MtntPaye_CAF)),MtntPaye_CAF)</f>
        <v>28000</v>
      </c>
      <c r="K48" s="1">
        <v>2012</v>
      </c>
      <c r="L48" s="468">
        <f t="shared" ref="L48:L53" si="4">SUMPRODUCT((YEAR($E$48:$E$77)=K48)*($F$48:$F$77))</f>
        <v>28000</v>
      </c>
      <c r="M48" s="468">
        <f t="shared" ref="M48:M53" si="5">SUMPRODUCT((YEAR($H$48:$H$77)=K48)*($I$48:$I$77))</f>
        <v>28000</v>
      </c>
    </row>
    <row r="49" spans="5:13" x14ac:dyDescent="0.2">
      <c r="E49" s="380">
        <v>41275</v>
      </c>
      <c r="F49" s="468">
        <f t="shared" si="2"/>
        <v>154000</v>
      </c>
      <c r="H49" s="380">
        <v>41275</v>
      </c>
      <c r="I49" s="468">
        <f t="shared" si="3"/>
        <v>0</v>
      </c>
      <c r="K49" s="1">
        <v>2013</v>
      </c>
      <c r="L49" s="468">
        <f t="shared" si="4"/>
        <v>175000</v>
      </c>
      <c r="M49" s="468">
        <f t="shared" si="5"/>
        <v>175000</v>
      </c>
    </row>
    <row r="50" spans="5:13" x14ac:dyDescent="0.2">
      <c r="E50" s="380">
        <v>41334</v>
      </c>
      <c r="F50" s="468">
        <f t="shared" si="2"/>
        <v>0</v>
      </c>
      <c r="H50" s="380">
        <v>41334</v>
      </c>
      <c r="I50" s="468">
        <f t="shared" si="3"/>
        <v>154000</v>
      </c>
      <c r="K50" s="1">
        <v>2014</v>
      </c>
      <c r="L50" s="468">
        <f t="shared" si="4"/>
        <v>190000</v>
      </c>
      <c r="M50" s="468">
        <f t="shared" si="5"/>
        <v>136000</v>
      </c>
    </row>
    <row r="51" spans="5:13" x14ac:dyDescent="0.2">
      <c r="E51" s="380">
        <v>41456</v>
      </c>
      <c r="F51" s="468">
        <f t="shared" si="2"/>
        <v>21000</v>
      </c>
      <c r="H51" s="380">
        <v>41456</v>
      </c>
      <c r="I51" s="468">
        <f t="shared" si="3"/>
        <v>0</v>
      </c>
      <c r="K51" s="1">
        <v>2015</v>
      </c>
      <c r="L51" s="468">
        <f t="shared" si="4"/>
        <v>269500</v>
      </c>
      <c r="M51" s="468">
        <f t="shared" si="5"/>
        <v>290500</v>
      </c>
    </row>
    <row r="52" spans="5:13" x14ac:dyDescent="0.2">
      <c r="E52" s="380">
        <v>41518</v>
      </c>
      <c r="F52" s="468">
        <f t="shared" si="2"/>
        <v>0</v>
      </c>
      <c r="H52" s="380">
        <v>41518</v>
      </c>
      <c r="I52" s="468">
        <f t="shared" si="3"/>
        <v>21000</v>
      </c>
      <c r="K52" s="1">
        <v>2016</v>
      </c>
      <c r="L52" s="468">
        <f t="shared" si="4"/>
        <v>135000</v>
      </c>
      <c r="M52" s="468">
        <f t="shared" si="5"/>
        <v>168000</v>
      </c>
    </row>
    <row r="53" spans="5:13" x14ac:dyDescent="0.2">
      <c r="E53" s="380">
        <v>41640</v>
      </c>
      <c r="F53" s="468">
        <f t="shared" si="2"/>
        <v>48000</v>
      </c>
      <c r="H53" s="380">
        <v>41640</v>
      </c>
      <c r="I53" s="468">
        <f t="shared" si="3"/>
        <v>0</v>
      </c>
      <c r="K53" s="1">
        <v>2017</v>
      </c>
      <c r="L53" s="468">
        <f t="shared" si="4"/>
        <v>288000</v>
      </c>
      <c r="M53" s="468">
        <f t="shared" si="5"/>
        <v>288000</v>
      </c>
    </row>
    <row r="54" spans="5:13" x14ac:dyDescent="0.2">
      <c r="E54" s="380">
        <v>41699</v>
      </c>
      <c r="F54" s="468">
        <f t="shared" si="2"/>
        <v>88000</v>
      </c>
      <c r="H54" s="380">
        <v>41699</v>
      </c>
      <c r="I54" s="468">
        <f t="shared" si="3"/>
        <v>0</v>
      </c>
      <c r="K54" s="1">
        <v>2018</v>
      </c>
      <c r="L54" s="468">
        <f>SUMPRODUCT((YEAR($E$48:$E$89)=K54)*($F$48:$F$89))</f>
        <v>124500</v>
      </c>
      <c r="M54" s="468">
        <f>SUMPRODUCT((YEAR($H$48:$H$89)=K54)*($I$48:$I$89))</f>
        <v>124500</v>
      </c>
    </row>
    <row r="55" spans="5:13" x14ac:dyDescent="0.2">
      <c r="E55" s="380">
        <v>41730</v>
      </c>
      <c r="F55" s="468">
        <f t="shared" si="2"/>
        <v>0</v>
      </c>
      <c r="H55" s="380">
        <v>41730</v>
      </c>
      <c r="I55" s="468">
        <f t="shared" si="3"/>
        <v>136000</v>
      </c>
      <c r="L55" s="469">
        <f>SUM(L48:L54)</f>
        <v>1210000</v>
      </c>
      <c r="M55" s="469">
        <f>SUM(M48:M54)</f>
        <v>1210000</v>
      </c>
    </row>
    <row r="56" spans="5:13" x14ac:dyDescent="0.2">
      <c r="E56" s="380">
        <v>41883</v>
      </c>
      <c r="F56" s="468">
        <f t="shared" si="2"/>
        <v>54000</v>
      </c>
      <c r="H56" s="380">
        <v>41883</v>
      </c>
      <c r="I56" s="468">
        <f t="shared" si="3"/>
        <v>0</v>
      </c>
      <c r="L56" s="470">
        <f>+L55-F90</f>
        <v>0</v>
      </c>
      <c r="M56" s="166">
        <f>+M55-I90</f>
        <v>0</v>
      </c>
    </row>
    <row r="57" spans="5:13" x14ac:dyDescent="0.2">
      <c r="E57" s="380">
        <v>42095</v>
      </c>
      <c r="F57" s="468">
        <f t="shared" si="2"/>
        <v>21000</v>
      </c>
      <c r="H57" s="380">
        <v>42095</v>
      </c>
      <c r="I57" s="468">
        <f t="shared" si="3"/>
        <v>0</v>
      </c>
    </row>
    <row r="58" spans="5:13" x14ac:dyDescent="0.2">
      <c r="E58" s="380">
        <v>42125</v>
      </c>
      <c r="F58" s="468">
        <f t="shared" si="2"/>
        <v>21000</v>
      </c>
      <c r="H58" s="380">
        <v>42125</v>
      </c>
      <c r="I58" s="468">
        <f t="shared" si="3"/>
        <v>0</v>
      </c>
    </row>
    <row r="59" spans="5:13" x14ac:dyDescent="0.2">
      <c r="E59" s="380">
        <v>42186</v>
      </c>
      <c r="F59" s="468">
        <f t="shared" si="2"/>
        <v>227500</v>
      </c>
      <c r="H59" s="380">
        <v>42186</v>
      </c>
      <c r="I59" s="468">
        <f t="shared" si="3"/>
        <v>63000</v>
      </c>
    </row>
    <row r="60" spans="5:13" x14ac:dyDescent="0.2">
      <c r="E60" s="380">
        <v>42217</v>
      </c>
      <c r="F60" s="468">
        <f t="shared" si="2"/>
        <v>0</v>
      </c>
      <c r="H60" s="380">
        <v>42217</v>
      </c>
      <c r="I60" s="468">
        <f t="shared" si="3"/>
        <v>202000</v>
      </c>
    </row>
    <row r="61" spans="5:13" x14ac:dyDescent="0.2">
      <c r="E61" s="380">
        <v>42278</v>
      </c>
      <c r="F61" s="468">
        <f t="shared" si="2"/>
        <v>0</v>
      </c>
      <c r="H61" s="380">
        <v>42278</v>
      </c>
      <c r="I61" s="468">
        <f t="shared" si="3"/>
        <v>25500</v>
      </c>
    </row>
    <row r="62" spans="5:13" x14ac:dyDescent="0.2">
      <c r="E62" s="380">
        <v>42430</v>
      </c>
      <c r="F62" s="468">
        <f t="shared" si="2"/>
        <v>33000</v>
      </c>
      <c r="H62" s="380">
        <v>42430</v>
      </c>
      <c r="I62" s="468">
        <f t="shared" si="3"/>
        <v>0</v>
      </c>
    </row>
    <row r="63" spans="5:13" x14ac:dyDescent="0.2">
      <c r="E63" s="380">
        <v>42491</v>
      </c>
      <c r="F63" s="468">
        <f t="shared" si="2"/>
        <v>66000</v>
      </c>
      <c r="H63" s="380">
        <v>42491</v>
      </c>
      <c r="I63" s="468">
        <f t="shared" si="3"/>
        <v>66000</v>
      </c>
    </row>
    <row r="64" spans="5:13" x14ac:dyDescent="0.2">
      <c r="E64" s="380">
        <v>42522</v>
      </c>
      <c r="F64" s="468">
        <f t="shared" si="2"/>
        <v>0</v>
      </c>
      <c r="H64" s="380">
        <v>42522</v>
      </c>
      <c r="I64" s="468">
        <f t="shared" si="3"/>
        <v>66000</v>
      </c>
    </row>
    <row r="65" spans="5:9" x14ac:dyDescent="0.2">
      <c r="E65" s="380">
        <v>42583</v>
      </c>
      <c r="F65" s="468">
        <f t="shared" si="2"/>
        <v>36000</v>
      </c>
      <c r="H65" s="380">
        <v>42583</v>
      </c>
      <c r="I65" s="468">
        <f t="shared" si="3"/>
        <v>0</v>
      </c>
    </row>
    <row r="66" spans="5:9" x14ac:dyDescent="0.2">
      <c r="E66" s="380">
        <v>42644</v>
      </c>
      <c r="F66" s="468">
        <f t="shared" si="2"/>
        <v>0</v>
      </c>
      <c r="H66" s="380">
        <v>42644</v>
      </c>
      <c r="I66" s="468">
        <f t="shared" si="3"/>
        <v>36000</v>
      </c>
    </row>
    <row r="67" spans="5:9" x14ac:dyDescent="0.2">
      <c r="E67" s="380">
        <v>42767</v>
      </c>
      <c r="F67" s="468">
        <f t="shared" si="2"/>
        <v>190500</v>
      </c>
      <c r="H67" s="380">
        <v>42767</v>
      </c>
      <c r="I67" s="468">
        <f t="shared" si="3"/>
        <v>0</v>
      </c>
    </row>
    <row r="68" spans="5:9" x14ac:dyDescent="0.2">
      <c r="E68" s="380">
        <v>42795</v>
      </c>
      <c r="F68" s="468">
        <f t="shared" si="2"/>
        <v>36000</v>
      </c>
      <c r="H68" s="380">
        <v>42795</v>
      </c>
      <c r="I68" s="468">
        <f t="shared" si="3"/>
        <v>190500</v>
      </c>
    </row>
    <row r="69" spans="5:9" x14ac:dyDescent="0.2">
      <c r="E69" s="380">
        <v>42826</v>
      </c>
      <c r="F69" s="468">
        <f t="shared" si="2"/>
        <v>25500</v>
      </c>
      <c r="H69" s="380">
        <v>42826</v>
      </c>
      <c r="I69" s="468">
        <f t="shared" si="3"/>
        <v>36000</v>
      </c>
    </row>
    <row r="70" spans="5:9" x14ac:dyDescent="0.2">
      <c r="E70" s="380">
        <v>42856</v>
      </c>
      <c r="F70" s="468">
        <f t="shared" si="2"/>
        <v>36000</v>
      </c>
      <c r="H70" s="380">
        <v>42856</v>
      </c>
      <c r="I70" s="468">
        <f t="shared" si="3"/>
        <v>25500</v>
      </c>
    </row>
    <row r="71" spans="5:9" x14ac:dyDescent="0.2">
      <c r="E71" s="380">
        <v>42887</v>
      </c>
      <c r="F71" s="468">
        <f t="shared" si="2"/>
        <v>0</v>
      </c>
      <c r="H71" s="380">
        <v>42887</v>
      </c>
      <c r="I71" s="468">
        <f t="shared" si="3"/>
        <v>36000</v>
      </c>
    </row>
    <row r="72" spans="5:9" x14ac:dyDescent="0.2">
      <c r="E72" s="380">
        <v>42917</v>
      </c>
      <c r="F72" s="468">
        <f t="shared" si="2"/>
        <v>0</v>
      </c>
      <c r="H72" s="380">
        <v>42917</v>
      </c>
      <c r="I72" s="468">
        <f t="shared" si="3"/>
        <v>0</v>
      </c>
    </row>
    <row r="73" spans="5:9" x14ac:dyDescent="0.2">
      <c r="E73" s="380">
        <v>42948</v>
      </c>
      <c r="F73" s="468">
        <f t="shared" si="2"/>
        <v>0</v>
      </c>
      <c r="H73" s="380">
        <v>42948</v>
      </c>
      <c r="I73" s="468">
        <f t="shared" si="3"/>
        <v>0</v>
      </c>
    </row>
    <row r="74" spans="5:9" x14ac:dyDescent="0.2">
      <c r="E74" s="380">
        <v>42979</v>
      </c>
      <c r="F74" s="468">
        <f t="shared" si="2"/>
        <v>0</v>
      </c>
      <c r="H74" s="380">
        <v>42979</v>
      </c>
      <c r="I74" s="468">
        <f t="shared" si="3"/>
        <v>0</v>
      </c>
    </row>
    <row r="75" spans="5:9" x14ac:dyDescent="0.2">
      <c r="E75" s="380">
        <v>43009</v>
      </c>
      <c r="F75" s="468">
        <f t="shared" si="2"/>
        <v>0</v>
      </c>
      <c r="H75" s="380">
        <v>43009</v>
      </c>
      <c r="I75" s="468">
        <f t="shared" si="3"/>
        <v>0</v>
      </c>
    </row>
    <row r="76" spans="5:9" x14ac:dyDescent="0.2">
      <c r="E76" s="380">
        <v>43040</v>
      </c>
      <c r="F76" s="468">
        <f t="shared" si="2"/>
        <v>0</v>
      </c>
      <c r="H76" s="380">
        <v>43040</v>
      </c>
      <c r="I76" s="468">
        <f t="shared" si="3"/>
        <v>0</v>
      </c>
    </row>
    <row r="77" spans="5:9" x14ac:dyDescent="0.2">
      <c r="E77" s="380">
        <v>43070</v>
      </c>
      <c r="F77" s="468">
        <f t="shared" si="2"/>
        <v>0</v>
      </c>
      <c r="H77" s="380">
        <v>43070</v>
      </c>
      <c r="I77" s="468">
        <f t="shared" si="3"/>
        <v>0</v>
      </c>
    </row>
    <row r="78" spans="5:9" x14ac:dyDescent="0.2">
      <c r="E78" s="380">
        <v>43101</v>
      </c>
      <c r="F78" s="468">
        <f t="shared" ref="F78:F89" si="6">SUMPRODUCT((DateAF_CAF&lt;&gt;"")*(MONTH(DateAF_CAF)=MONTH(E78))*(YEAR(DateAF_CAF)=YEAR(E78))*MontantAF_CAF)</f>
        <v>0</v>
      </c>
      <c r="H78" s="380">
        <v>43101</v>
      </c>
      <c r="I78" s="468">
        <f t="shared" ref="I78:I89" si="7">SUMPRODUCT((DatePmt_caf&lt;&gt;"")*(DatePmt_caf&lt;&gt;"en attente")*(MONTH(DatePmt_caf)=MONTH(H78))*(YEAR(DatePmt_caf)=YEAR(H78))*(ISNUMBER(MtntPaye_CAF)),MtntPaye_CAF)</f>
        <v>0</v>
      </c>
    </row>
    <row r="79" spans="5:9" x14ac:dyDescent="0.2">
      <c r="E79" s="380">
        <v>43132</v>
      </c>
      <c r="F79" s="468">
        <f t="shared" si="6"/>
        <v>0</v>
      </c>
      <c r="H79" s="380">
        <v>43132</v>
      </c>
      <c r="I79" s="468">
        <f t="shared" si="7"/>
        <v>0</v>
      </c>
    </row>
    <row r="80" spans="5:9" x14ac:dyDescent="0.2">
      <c r="E80" s="380">
        <v>43160</v>
      </c>
      <c r="F80" s="468">
        <f t="shared" si="6"/>
        <v>124500</v>
      </c>
      <c r="H80" s="380">
        <v>43160</v>
      </c>
      <c r="I80" s="468">
        <f t="shared" si="7"/>
        <v>0</v>
      </c>
    </row>
    <row r="81" spans="1:15" x14ac:dyDescent="0.2">
      <c r="E81" s="380">
        <v>43191</v>
      </c>
      <c r="F81" s="468">
        <f t="shared" si="6"/>
        <v>0</v>
      </c>
      <c r="H81" s="380">
        <v>43191</v>
      </c>
      <c r="I81" s="468">
        <f t="shared" si="7"/>
        <v>0</v>
      </c>
    </row>
    <row r="82" spans="1:15" x14ac:dyDescent="0.2">
      <c r="E82" s="380">
        <v>43221</v>
      </c>
      <c r="F82" s="468">
        <f t="shared" si="6"/>
        <v>0</v>
      </c>
      <c r="H82" s="380">
        <v>43221</v>
      </c>
      <c r="I82" s="468">
        <f t="shared" si="7"/>
        <v>124500</v>
      </c>
    </row>
    <row r="83" spans="1:15" x14ac:dyDescent="0.2">
      <c r="E83" s="380">
        <v>43252</v>
      </c>
      <c r="F83" s="468">
        <f t="shared" si="6"/>
        <v>0</v>
      </c>
      <c r="H83" s="380">
        <v>43252</v>
      </c>
      <c r="I83" s="468">
        <f t="shared" si="7"/>
        <v>0</v>
      </c>
    </row>
    <row r="84" spans="1:15" x14ac:dyDescent="0.2">
      <c r="E84" s="380">
        <v>43282</v>
      </c>
      <c r="F84" s="468">
        <f t="shared" si="6"/>
        <v>0</v>
      </c>
      <c r="H84" s="380">
        <v>43282</v>
      </c>
      <c r="I84" s="468">
        <f t="shared" si="7"/>
        <v>0</v>
      </c>
    </row>
    <row r="85" spans="1:15" x14ac:dyDescent="0.2">
      <c r="E85" s="380">
        <v>43313</v>
      </c>
      <c r="F85" s="468">
        <f t="shared" si="6"/>
        <v>0</v>
      </c>
      <c r="H85" s="380">
        <v>43313</v>
      </c>
      <c r="I85" s="468">
        <f t="shared" si="7"/>
        <v>0</v>
      </c>
    </row>
    <row r="86" spans="1:15" x14ac:dyDescent="0.2">
      <c r="E86" s="380">
        <v>43344</v>
      </c>
      <c r="F86" s="468">
        <f t="shared" si="6"/>
        <v>0</v>
      </c>
      <c r="H86" s="380">
        <v>43344</v>
      </c>
      <c r="I86" s="468">
        <f t="shared" si="7"/>
        <v>0</v>
      </c>
    </row>
    <row r="87" spans="1:15" x14ac:dyDescent="0.2">
      <c r="E87" s="380">
        <v>43374</v>
      </c>
      <c r="F87" s="468">
        <f t="shared" si="6"/>
        <v>0</v>
      </c>
      <c r="H87" s="380">
        <v>43374</v>
      </c>
      <c r="I87" s="468">
        <f t="shared" si="7"/>
        <v>0</v>
      </c>
    </row>
    <row r="88" spans="1:15" x14ac:dyDescent="0.2">
      <c r="E88" s="380">
        <v>43405</v>
      </c>
      <c r="F88" s="468">
        <f t="shared" si="6"/>
        <v>0</v>
      </c>
      <c r="H88" s="380">
        <v>43405</v>
      </c>
      <c r="I88" s="468">
        <f t="shared" si="7"/>
        <v>0</v>
      </c>
    </row>
    <row r="89" spans="1:15" x14ac:dyDescent="0.2">
      <c r="E89" s="380">
        <v>43435</v>
      </c>
      <c r="F89" s="468">
        <f t="shared" si="6"/>
        <v>0</v>
      </c>
      <c r="H89" s="380">
        <v>43435</v>
      </c>
      <c r="I89" s="468">
        <f t="shared" si="7"/>
        <v>0</v>
      </c>
    </row>
    <row r="90" spans="1:15" s="8" customFormat="1" x14ac:dyDescent="0.2">
      <c r="A90" s="460"/>
      <c r="F90" s="469">
        <f>SUM(F48:F89)</f>
        <v>1210000</v>
      </c>
      <c r="G90" s="462"/>
      <c r="H90" s="462"/>
      <c r="I90" s="462">
        <f>SUM(I48:I89)</f>
        <v>1210000</v>
      </c>
      <c r="K90" s="1"/>
      <c r="L90" s="1"/>
      <c r="M90" s="1"/>
      <c r="O90" s="466"/>
    </row>
    <row r="91" spans="1:15" s="161" customFormat="1" x14ac:dyDescent="0.2">
      <c r="A91" s="467"/>
      <c r="F91" s="166">
        <f>+F90-F42</f>
        <v>0</v>
      </c>
      <c r="G91" s="467"/>
      <c r="I91" s="166">
        <f>+I90-I42</f>
        <v>0</v>
      </c>
      <c r="K91" s="8"/>
      <c r="L91" s="8"/>
      <c r="M91" s="8"/>
    </row>
    <row r="92" spans="1:15" x14ac:dyDescent="0.2">
      <c r="K92" s="161"/>
      <c r="L92" s="161"/>
      <c r="M92" s="161"/>
    </row>
  </sheetData>
  <autoFilter ref="A4:O5">
    <filterColumn colId="5" showButton="0"/>
    <filterColumn colId="6" showButton="0"/>
    <filterColumn colId="7" showButton="0"/>
    <filterColumn colId="8" showButton="0"/>
    <filterColumn colId="9" showButton="0"/>
    <filterColumn colId="11" showButton="0"/>
  </autoFilter>
  <mergeCells count="7">
    <mergeCell ref="L43:M43"/>
    <mergeCell ref="A2:L2"/>
    <mergeCell ref="A4:A5"/>
    <mergeCell ref="B4:B5"/>
    <mergeCell ref="E4:E5"/>
    <mergeCell ref="F4:K4"/>
    <mergeCell ref="L4:M4"/>
  </mergeCells>
  <pageMargins left="0.7" right="0.7" top="0.75" bottom="0.75" header="0.3" footer="0.3"/>
  <pageSetup paperSize="9" scale="55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00B050"/>
    <pageSetUpPr fitToPage="1"/>
  </sheetPr>
  <dimension ref="A2:R101"/>
  <sheetViews>
    <sheetView zoomScaleNormal="100" workbookViewId="0">
      <pane xSplit="1" ySplit="5" topLeftCell="B17" activePane="bottomRight" state="frozen"/>
      <selection pane="topRight" activeCell="B1" sqref="B1"/>
      <selection pane="bottomLeft" activeCell="A6" sqref="A6"/>
      <selection pane="bottomRight" activeCell="A22" sqref="A22"/>
    </sheetView>
  </sheetViews>
  <sheetFormatPr baseColWidth="10" defaultColWidth="11.42578125" defaultRowHeight="12" outlineLevelRow="1" outlineLevelCol="1" x14ac:dyDescent="0.2"/>
  <cols>
    <col min="1" max="1" width="31.5703125" style="6" bestFit="1" customWidth="1"/>
    <col min="2" max="2" width="30.42578125" style="1" customWidth="1" outlineLevel="1"/>
    <col min="3" max="3" width="15.28515625" style="1" customWidth="1"/>
    <col min="4" max="4" width="15.5703125" style="1" customWidth="1"/>
    <col min="5" max="5" width="20" style="1" customWidth="1"/>
    <col min="6" max="6" width="11.42578125" style="1" customWidth="1"/>
    <col min="7" max="7" width="13.42578125" style="1" bestFit="1" customWidth="1"/>
    <col min="8" max="8" width="14.42578125" style="1" customWidth="1"/>
    <col min="9" max="9" width="4.140625" style="6" bestFit="1" customWidth="1"/>
    <col min="10" max="10" width="10.42578125" style="1" bestFit="1" customWidth="1"/>
    <col min="11" max="11" width="14.5703125" style="1" customWidth="1"/>
    <col min="12" max="12" width="10.42578125" style="1" bestFit="1" customWidth="1"/>
    <col min="13" max="13" width="18.5703125" style="1" bestFit="1" customWidth="1"/>
    <col min="14" max="14" width="14.42578125" style="1" customWidth="1"/>
    <col min="15" max="16" width="14.42578125" style="1" bestFit="1" customWidth="1"/>
    <col min="17" max="17" width="18" style="161" customWidth="1"/>
    <col min="18" max="16384" width="11.42578125" style="1"/>
  </cols>
  <sheetData>
    <row r="2" spans="1:18" x14ac:dyDescent="0.2">
      <c r="A2" s="923" t="s">
        <v>71</v>
      </c>
      <c r="B2" s="923"/>
      <c r="C2" s="923"/>
      <c r="D2" s="923"/>
      <c r="E2" s="923"/>
      <c r="F2" s="923"/>
      <c r="G2" s="923"/>
      <c r="H2" s="923"/>
      <c r="I2" s="923"/>
      <c r="J2" s="923"/>
      <c r="K2" s="923"/>
      <c r="L2" s="923"/>
      <c r="M2" s="923"/>
      <c r="N2" s="923"/>
      <c r="O2" s="9">
        <f ca="1">TODAY()</f>
        <v>43593</v>
      </c>
      <c r="P2" s="9"/>
    </row>
    <row r="4" spans="1:18" s="2" customFormat="1" x14ac:dyDescent="0.2">
      <c r="A4" s="940" t="s">
        <v>2</v>
      </c>
      <c r="B4" s="940" t="s">
        <v>0</v>
      </c>
      <c r="C4" s="928" t="s">
        <v>21</v>
      </c>
      <c r="D4" s="207" t="s">
        <v>126</v>
      </c>
      <c r="E4" s="207" t="s">
        <v>120</v>
      </c>
      <c r="F4" s="207" t="s">
        <v>124</v>
      </c>
      <c r="G4" s="928" t="s">
        <v>12</v>
      </c>
      <c r="H4" s="924" t="s">
        <v>4</v>
      </c>
      <c r="I4" s="925"/>
      <c r="J4" s="925"/>
      <c r="K4" s="925"/>
      <c r="L4" s="925"/>
      <c r="M4" s="926"/>
      <c r="N4" s="927" t="s">
        <v>13</v>
      </c>
      <c r="O4" s="928"/>
      <c r="P4" s="3" t="s">
        <v>123</v>
      </c>
      <c r="Q4" s="210"/>
      <c r="R4" s="63"/>
    </row>
    <row r="5" spans="1:18" s="13" customFormat="1" ht="21.75" customHeight="1" x14ac:dyDescent="0.2">
      <c r="A5" s="941"/>
      <c r="B5" s="941"/>
      <c r="C5" s="942"/>
      <c r="D5" s="208"/>
      <c r="E5" s="208"/>
      <c r="F5" s="208"/>
      <c r="G5" s="942"/>
      <c r="H5" s="10" t="s">
        <v>1</v>
      </c>
      <c r="I5" s="11" t="s">
        <v>3</v>
      </c>
      <c r="J5" s="11" t="s">
        <v>15</v>
      </c>
      <c r="K5" s="12" t="s">
        <v>14</v>
      </c>
      <c r="L5" s="10" t="s">
        <v>15</v>
      </c>
      <c r="M5" s="11" t="s">
        <v>18</v>
      </c>
      <c r="N5" s="3" t="s">
        <v>20</v>
      </c>
      <c r="O5" s="3" t="s">
        <v>19</v>
      </c>
      <c r="P5" s="3"/>
      <c r="Q5" s="161"/>
    </row>
    <row r="6" spans="1:18" x14ac:dyDescent="0.2">
      <c r="A6" s="325" t="s">
        <v>247</v>
      </c>
      <c r="B6" s="398"/>
      <c r="C6" s="331">
        <v>41547</v>
      </c>
      <c r="D6" s="399"/>
      <c r="E6" s="399"/>
      <c r="F6" s="399"/>
      <c r="G6" s="327">
        <v>44565.760000000002</v>
      </c>
      <c r="H6" s="328"/>
      <c r="I6" s="400"/>
      <c r="J6" s="332"/>
      <c r="K6" s="330">
        <f>SUM(K7:K8)</f>
        <v>38067.93</v>
      </c>
      <c r="L6" s="331"/>
      <c r="M6" s="332"/>
      <c r="N6" s="327">
        <f>SUM(N7)</f>
        <v>0</v>
      </c>
      <c r="O6" s="327">
        <f>SUM(O7)</f>
        <v>0</v>
      </c>
      <c r="P6" s="333"/>
      <c r="Q6" s="211">
        <f>G6-(K6+N6+O6)</f>
        <v>6497.8300000000017</v>
      </c>
    </row>
    <row r="7" spans="1:18" s="26" customFormat="1" hidden="1" outlineLevel="1" x14ac:dyDescent="0.2">
      <c r="A7" s="334" t="s">
        <v>247</v>
      </c>
      <c r="B7" s="353"/>
      <c r="C7" s="347"/>
      <c r="D7" s="347"/>
      <c r="E7" s="347"/>
      <c r="F7" s="347"/>
      <c r="G7" s="355"/>
      <c r="H7" s="349">
        <v>44565.760000000002</v>
      </c>
      <c r="I7" s="350">
        <v>1</v>
      </c>
      <c r="J7" s="352">
        <v>42246</v>
      </c>
      <c r="K7" s="349">
        <v>38067.93</v>
      </c>
      <c r="L7" s="352">
        <v>42284</v>
      </c>
      <c r="M7" s="353"/>
      <c r="N7" s="354" t="str">
        <f>IF(K7="en attente",H7,"")</f>
        <v/>
      </c>
      <c r="O7" s="354"/>
      <c r="P7" s="355"/>
      <c r="Q7" s="161"/>
    </row>
    <row r="8" spans="1:18" s="26" customFormat="1" hidden="1" outlineLevel="1" x14ac:dyDescent="0.2">
      <c r="A8" s="334"/>
      <c r="B8" s="353"/>
      <c r="C8" s="347"/>
      <c r="D8" s="347"/>
      <c r="E8" s="347"/>
      <c r="F8" s="347"/>
      <c r="G8" s="355"/>
      <c r="H8" s="349"/>
      <c r="I8" s="350"/>
      <c r="J8" s="347"/>
      <c r="K8" s="351"/>
      <c r="L8" s="352">
        <v>42369</v>
      </c>
      <c r="M8" s="353"/>
      <c r="N8" s="392">
        <v>-6497.83</v>
      </c>
      <c r="O8" s="354"/>
      <c r="P8" s="355"/>
      <c r="Q8" s="391" t="s">
        <v>246</v>
      </c>
    </row>
    <row r="9" spans="1:18" s="107" customFormat="1" collapsed="1" x14ac:dyDescent="0.2">
      <c r="A9" s="325" t="s">
        <v>40</v>
      </c>
      <c r="B9" s="332"/>
      <c r="C9" s="326">
        <v>41091</v>
      </c>
      <c r="D9" s="326"/>
      <c r="E9" s="326"/>
      <c r="F9" s="326"/>
      <c r="G9" s="327">
        <v>20808.98</v>
      </c>
      <c r="H9" s="328"/>
      <c r="I9" s="329"/>
      <c r="J9" s="326"/>
      <c r="K9" s="330">
        <f>SUM(K10)</f>
        <v>20808.98</v>
      </c>
      <c r="L9" s="331"/>
      <c r="M9" s="332"/>
      <c r="N9" s="333">
        <f>SUM(N10)</f>
        <v>0</v>
      </c>
      <c r="O9" s="333">
        <f>SUM(O10)</f>
        <v>0</v>
      </c>
      <c r="P9" s="393"/>
      <c r="Q9" s="210"/>
    </row>
    <row r="10" spans="1:18" s="26" customFormat="1" hidden="1" outlineLevel="1" x14ac:dyDescent="0.2">
      <c r="A10" s="356" t="s">
        <v>40</v>
      </c>
      <c r="B10" s="394"/>
      <c r="C10" s="395"/>
      <c r="D10" s="395"/>
      <c r="E10" s="395"/>
      <c r="F10" s="395"/>
      <c r="G10" s="396"/>
      <c r="H10" s="359">
        <v>20808.98</v>
      </c>
      <c r="I10" s="360">
        <v>1</v>
      </c>
      <c r="J10" s="358">
        <v>41668</v>
      </c>
      <c r="K10" s="361">
        <v>20808.98</v>
      </c>
      <c r="L10" s="362">
        <v>42158</v>
      </c>
      <c r="M10" s="363">
        <f>$L$10-J10</f>
        <v>490</v>
      </c>
      <c r="N10" s="364" t="str">
        <f>IF(K10="en attente",H10,"")</f>
        <v/>
      </c>
      <c r="O10" s="364">
        <f t="shared" ref="O10:O29" si="0">IF(J10="",H10-K10,0)</f>
        <v>0</v>
      </c>
      <c r="P10" s="397"/>
      <c r="Q10" s="161"/>
    </row>
    <row r="11" spans="1:18" s="8" customFormat="1" collapsed="1" x14ac:dyDescent="0.2">
      <c r="A11" s="325" t="s">
        <v>54</v>
      </c>
      <c r="B11" s="398" t="s">
        <v>125</v>
      </c>
      <c r="C11" s="326">
        <v>41149</v>
      </c>
      <c r="D11" s="326">
        <v>41044</v>
      </c>
      <c r="E11" s="326">
        <f>DATE(YEAR(C11)+2,MONTH(C11),DAY(C11))</f>
        <v>41879</v>
      </c>
      <c r="F11" s="326">
        <v>41983</v>
      </c>
      <c r="G11" s="327">
        <v>210000</v>
      </c>
      <c r="H11" s="328"/>
      <c r="I11" s="329"/>
      <c r="J11" s="326"/>
      <c r="K11" s="330">
        <f>SUM(K12:K13)</f>
        <v>210000</v>
      </c>
      <c r="L11" s="331"/>
      <c r="M11" s="332"/>
      <c r="N11" s="333">
        <f>SUM(N12:N13)</f>
        <v>0</v>
      </c>
      <c r="O11" s="333">
        <f>SUM(O12:O13)</f>
        <v>0</v>
      </c>
      <c r="P11" s="333"/>
      <c r="Q11" s="211">
        <f>G11-(K11+N11+O11)</f>
        <v>0</v>
      </c>
    </row>
    <row r="12" spans="1:18" hidden="1" outlineLevel="1" x14ac:dyDescent="0.2">
      <c r="A12" s="334"/>
      <c r="B12" s="335"/>
      <c r="C12" s="347"/>
      <c r="D12" s="347"/>
      <c r="E12" s="347"/>
      <c r="F12" s="347"/>
      <c r="G12" s="348">
        <f>H12/$G$11</f>
        <v>0.5</v>
      </c>
      <c r="H12" s="349">
        <v>105000</v>
      </c>
      <c r="I12" s="350">
        <v>1</v>
      </c>
      <c r="J12" s="347">
        <v>41485</v>
      </c>
      <c r="K12" s="351">
        <v>105000</v>
      </c>
      <c r="L12" s="352">
        <v>41522</v>
      </c>
      <c r="M12" s="353">
        <f>$L$12-J12</f>
        <v>37</v>
      </c>
      <c r="N12" s="354" t="str">
        <f>IF(K12="en attente",H12,"")</f>
        <v/>
      </c>
      <c r="O12" s="354">
        <f t="shared" si="0"/>
        <v>0</v>
      </c>
      <c r="P12" s="355"/>
      <c r="Q12" s="212"/>
    </row>
    <row r="13" spans="1:18" hidden="1" outlineLevel="1" x14ac:dyDescent="0.2">
      <c r="A13" s="334"/>
      <c r="B13" s="335"/>
      <c r="C13" s="347"/>
      <c r="D13" s="347"/>
      <c r="E13" s="347"/>
      <c r="F13" s="347"/>
      <c r="G13" s="348">
        <f>H13/$G$11+G12</f>
        <v>1</v>
      </c>
      <c r="H13" s="349">
        <v>105000</v>
      </c>
      <c r="I13" s="350">
        <v>2</v>
      </c>
      <c r="J13" s="347">
        <v>42411</v>
      </c>
      <c r="K13" s="351">
        <v>105000</v>
      </c>
      <c r="L13" s="352">
        <v>42723</v>
      </c>
      <c r="M13" s="353"/>
      <c r="N13" s="354" t="str">
        <f>IF(K13="en attente",H13,"")</f>
        <v/>
      </c>
      <c r="O13" s="354">
        <f t="shared" si="0"/>
        <v>0</v>
      </c>
      <c r="P13" s="355"/>
    </row>
    <row r="14" spans="1:18" s="8" customFormat="1" collapsed="1" x14ac:dyDescent="0.2">
      <c r="A14" s="325" t="s">
        <v>10</v>
      </c>
      <c r="B14" s="398" t="s">
        <v>127</v>
      </c>
      <c r="C14" s="326">
        <v>41334</v>
      </c>
      <c r="D14" s="326">
        <v>41025</v>
      </c>
      <c r="E14" s="326">
        <f>DATE(YEAR(C14)+2,MONTH(C14),DAY(C14))</f>
        <v>42064</v>
      </c>
      <c r="F14" s="326">
        <v>42275</v>
      </c>
      <c r="G14" s="327">
        <v>200000</v>
      </c>
      <c r="H14" s="328"/>
      <c r="I14" s="329"/>
      <c r="J14" s="326"/>
      <c r="K14" s="330">
        <f>SUM(K15:K16)</f>
        <v>200000</v>
      </c>
      <c r="L14" s="331"/>
      <c r="M14" s="332"/>
      <c r="N14" s="333">
        <f>SUM(N15:N16)</f>
        <v>0</v>
      </c>
      <c r="O14" s="333">
        <f>SUM(O15:O16)</f>
        <v>0</v>
      </c>
      <c r="P14" s="333"/>
      <c r="Q14" s="211">
        <f>G14-(K14+N14+O14)</f>
        <v>0</v>
      </c>
    </row>
    <row r="15" spans="1:18" hidden="1" outlineLevel="1" x14ac:dyDescent="0.2">
      <c r="A15" s="334"/>
      <c r="B15" s="335"/>
      <c r="C15" s="347"/>
      <c r="D15" s="347"/>
      <c r="E15" s="347"/>
      <c r="F15" s="347"/>
      <c r="G15" s="348">
        <f>H15/$G$14</f>
        <v>0.5</v>
      </c>
      <c r="H15" s="349">
        <v>100000</v>
      </c>
      <c r="I15" s="350">
        <v>1</v>
      </c>
      <c r="J15" s="347">
        <v>41485</v>
      </c>
      <c r="K15" s="351">
        <v>100000</v>
      </c>
      <c r="L15" s="352">
        <v>41522</v>
      </c>
      <c r="M15" s="353">
        <f>$L$15-J15</f>
        <v>37</v>
      </c>
      <c r="N15" s="354" t="str">
        <f>IF(K15="en attente",H15,"")</f>
        <v/>
      </c>
      <c r="O15" s="354">
        <f t="shared" si="0"/>
        <v>0</v>
      </c>
      <c r="P15" s="355"/>
      <c r="Q15" s="211"/>
    </row>
    <row r="16" spans="1:18" hidden="1" outlineLevel="1" x14ac:dyDescent="0.2">
      <c r="A16" s="356"/>
      <c r="B16" s="357"/>
      <c r="C16" s="358"/>
      <c r="D16" s="358"/>
      <c r="E16" s="358"/>
      <c r="F16" s="358"/>
      <c r="G16" s="348">
        <f>H16/$G$14+G15</f>
        <v>1</v>
      </c>
      <c r="H16" s="359">
        <v>100000</v>
      </c>
      <c r="I16" s="360">
        <v>2</v>
      </c>
      <c r="J16" s="358">
        <v>42710</v>
      </c>
      <c r="K16" s="361">
        <v>100000</v>
      </c>
      <c r="L16" s="362">
        <v>42788</v>
      </c>
      <c r="M16" s="363"/>
      <c r="N16" s="364" t="str">
        <f>IF(K16="en attente",H16,"")</f>
        <v/>
      </c>
      <c r="O16" s="354">
        <f t="shared" si="0"/>
        <v>0</v>
      </c>
      <c r="P16" s="365"/>
      <c r="Q16" s="211"/>
    </row>
    <row r="17" spans="1:18" s="8" customFormat="1" collapsed="1" x14ac:dyDescent="0.2">
      <c r="A17" s="325" t="s">
        <v>70</v>
      </c>
      <c r="B17" s="326" t="s">
        <v>130</v>
      </c>
      <c r="C17" s="326">
        <v>40892</v>
      </c>
      <c r="D17" s="326">
        <v>40613</v>
      </c>
      <c r="E17" s="326">
        <v>42277</v>
      </c>
      <c r="F17" s="326">
        <v>41890</v>
      </c>
      <c r="G17" s="327">
        <v>1470807.68</v>
      </c>
      <c r="H17" s="328"/>
      <c r="I17" s="329"/>
      <c r="J17" s="326"/>
      <c r="K17" s="330">
        <f>SUM(K18:K21)</f>
        <v>1290562.67</v>
      </c>
      <c r="L17" s="331"/>
      <c r="M17" s="332"/>
      <c r="N17" s="333">
        <f>SUM(N18:N21)</f>
        <v>18394.199999999953</v>
      </c>
      <c r="O17" s="333">
        <f>SUM(O18:O21)</f>
        <v>0</v>
      </c>
      <c r="P17" s="333"/>
      <c r="Q17" s="211">
        <f>G17-(K17+N17+O17)</f>
        <v>161850.81000000006</v>
      </c>
      <c r="R17" s="765" t="s">
        <v>400</v>
      </c>
    </row>
    <row r="18" spans="1:18" s="220" customFormat="1" ht="36" customHeight="1" outlineLevel="1" x14ac:dyDescent="0.2">
      <c r="A18" s="334"/>
      <c r="B18" s="335"/>
      <c r="C18" s="336"/>
      <c r="D18" s="337" t="s">
        <v>128</v>
      </c>
      <c r="E18" s="336">
        <v>42338</v>
      </c>
      <c r="F18" s="336"/>
      <c r="G18" s="338">
        <f>H18/$G$17</f>
        <v>0.50000004079391269</v>
      </c>
      <c r="H18" s="339">
        <v>735403.9</v>
      </c>
      <c r="I18" s="340">
        <v>1</v>
      </c>
      <c r="J18" s="336">
        <v>40816</v>
      </c>
      <c r="K18" s="341">
        <v>735403.9</v>
      </c>
      <c r="L18" s="342">
        <v>40907</v>
      </c>
      <c r="M18" s="343">
        <f>$L$15-J18</f>
        <v>706</v>
      </c>
      <c r="N18" s="344" t="str">
        <f>IF(K18="en attente",H18,"")</f>
        <v/>
      </c>
      <c r="O18" s="345">
        <f t="shared" si="0"/>
        <v>0</v>
      </c>
      <c r="P18" s="346"/>
      <c r="Q18" s="219"/>
    </row>
    <row r="19" spans="1:18" outlineLevel="1" x14ac:dyDescent="0.2">
      <c r="A19" s="334"/>
      <c r="B19" s="335"/>
      <c r="C19" s="347"/>
      <c r="D19" s="347"/>
      <c r="E19" s="347"/>
      <c r="F19" s="347"/>
      <c r="G19" s="348">
        <f>H19/$G$17+G18</f>
        <v>0.55022700180624573</v>
      </c>
      <c r="H19" s="349">
        <v>73874.2</v>
      </c>
      <c r="I19" s="350">
        <v>2</v>
      </c>
      <c r="J19" s="347">
        <v>41977</v>
      </c>
      <c r="K19" s="351"/>
      <c r="L19" s="352"/>
      <c r="M19" s="353">
        <f ca="1">$O$2-J19</f>
        <v>1616</v>
      </c>
      <c r="N19" s="354" t="str">
        <f>IF(K19="en attente",H19,"")</f>
        <v/>
      </c>
      <c r="O19" s="354">
        <f t="shared" si="0"/>
        <v>0</v>
      </c>
      <c r="P19" s="355" t="s">
        <v>216</v>
      </c>
      <c r="Q19" s="212"/>
    </row>
    <row r="20" spans="1:18" outlineLevel="1" x14ac:dyDescent="0.2">
      <c r="A20" s="334"/>
      <c r="B20" s="335"/>
      <c r="C20" s="347"/>
      <c r="D20" s="347"/>
      <c r="E20" s="347"/>
      <c r="F20" s="347"/>
      <c r="G20" s="348">
        <f>H20/$G$17+G19</f>
        <v>0.8899578699507471</v>
      </c>
      <c r="H20" s="349">
        <v>499678.77</v>
      </c>
      <c r="I20" s="350">
        <v>3</v>
      </c>
      <c r="J20" s="347">
        <v>42334</v>
      </c>
      <c r="K20" s="351">
        <v>555158.77</v>
      </c>
      <c r="L20" s="352">
        <v>42355</v>
      </c>
      <c r="M20" s="353"/>
      <c r="N20" s="354">
        <f>(H20+H19)-K20</f>
        <v>18394.199999999953</v>
      </c>
      <c r="O20" s="354">
        <f t="shared" si="0"/>
        <v>0</v>
      </c>
      <c r="P20" s="355" t="s">
        <v>217</v>
      </c>
      <c r="Q20" s="212"/>
    </row>
    <row r="21" spans="1:18" outlineLevel="1" x14ac:dyDescent="0.2">
      <c r="A21" s="334"/>
      <c r="B21" s="335"/>
      <c r="C21" s="347"/>
      <c r="D21" s="347"/>
      <c r="E21" s="347"/>
      <c r="F21" s="347"/>
      <c r="G21" s="348"/>
      <c r="H21" s="349"/>
      <c r="I21" s="350"/>
      <c r="J21" s="347"/>
      <c r="K21" s="351"/>
      <c r="L21" s="352"/>
      <c r="M21" s="353"/>
      <c r="N21" s="354" t="str">
        <f>IF(K21="en attente",H21,"")</f>
        <v/>
      </c>
      <c r="O21" s="354">
        <f t="shared" si="0"/>
        <v>0</v>
      </c>
      <c r="P21" s="355"/>
      <c r="Q21" s="212"/>
    </row>
    <row r="22" spans="1:18" s="8" customFormat="1" x14ac:dyDescent="0.2">
      <c r="A22" s="119" t="s">
        <v>366</v>
      </c>
      <c r="B22" s="775" t="s">
        <v>367</v>
      </c>
      <c r="C22" s="151">
        <v>43255</v>
      </c>
      <c r="D22" s="151">
        <v>44104</v>
      </c>
      <c r="E22" s="151">
        <v>44196</v>
      </c>
      <c r="F22" s="151"/>
      <c r="G22" s="776">
        <v>1227844</v>
      </c>
      <c r="H22" s="123"/>
      <c r="I22" s="777"/>
      <c r="J22" s="151"/>
      <c r="K22" s="126">
        <f>SUM(K23:K25)</f>
        <v>613922</v>
      </c>
      <c r="L22" s="151"/>
      <c r="M22" s="778"/>
      <c r="N22" s="170">
        <f>SUM(N23:N25)</f>
        <v>0</v>
      </c>
      <c r="O22" s="170">
        <f>SUM(O23:O25)</f>
        <v>613922</v>
      </c>
      <c r="P22" s="123"/>
      <c r="Q22" s="686"/>
    </row>
    <row r="23" spans="1:18" outlineLevel="1" x14ac:dyDescent="0.2">
      <c r="A23" s="46"/>
      <c r="B23" s="682"/>
      <c r="C23" s="30"/>
      <c r="D23" s="30"/>
      <c r="E23" s="30" t="s">
        <v>368</v>
      </c>
      <c r="F23" s="30" t="s">
        <v>382</v>
      </c>
      <c r="G23" s="683">
        <v>0.5</v>
      </c>
      <c r="H23" s="23">
        <f>G22*50%</f>
        <v>613922</v>
      </c>
      <c r="I23" s="681">
        <v>1</v>
      </c>
      <c r="J23" s="30">
        <v>43305</v>
      </c>
      <c r="K23" s="24">
        <v>613922</v>
      </c>
      <c r="L23" s="30">
        <v>43321</v>
      </c>
      <c r="M23" s="458"/>
      <c r="N23" s="367" t="str">
        <f>IF(K23="en attente",H23,"")</f>
        <v/>
      </c>
      <c r="O23" s="367">
        <f t="shared" si="0"/>
        <v>0</v>
      </c>
      <c r="P23" s="23"/>
      <c r="Q23" s="212"/>
    </row>
    <row r="24" spans="1:18" outlineLevel="1" x14ac:dyDescent="0.2">
      <c r="A24" s="46"/>
      <c r="B24" s="682"/>
      <c r="C24" s="30"/>
      <c r="D24" s="30"/>
      <c r="E24" s="30"/>
      <c r="F24" s="30" t="s">
        <v>381</v>
      </c>
      <c r="G24" s="683">
        <v>0.25</v>
      </c>
      <c r="H24" s="23">
        <f>+G22*G24</f>
        <v>306961</v>
      </c>
      <c r="I24" s="681">
        <v>2</v>
      </c>
      <c r="J24" s="30"/>
      <c r="K24" s="24"/>
      <c r="L24" s="30"/>
      <c r="M24" s="458"/>
      <c r="N24" s="367" t="str">
        <f t="shared" ref="N24:N25" si="1">IF(K24="en attente",H24,"")</f>
        <v/>
      </c>
      <c r="O24" s="367">
        <f t="shared" si="0"/>
        <v>306961</v>
      </c>
      <c r="P24" s="23"/>
      <c r="Q24" s="212"/>
    </row>
    <row r="25" spans="1:18" outlineLevel="1" x14ac:dyDescent="0.2">
      <c r="A25" s="118"/>
      <c r="B25" s="687"/>
      <c r="C25" s="155"/>
      <c r="D25" s="155"/>
      <c r="E25" s="155"/>
      <c r="F25" s="155" t="s">
        <v>383</v>
      </c>
      <c r="G25" s="688">
        <v>0.25</v>
      </c>
      <c r="H25" s="35">
        <f>+G22*G25</f>
        <v>306961</v>
      </c>
      <c r="I25" s="689">
        <v>3</v>
      </c>
      <c r="J25" s="155"/>
      <c r="K25" s="37"/>
      <c r="L25" s="155"/>
      <c r="M25" s="690"/>
      <c r="N25" s="367" t="str">
        <f t="shared" si="1"/>
        <v/>
      </c>
      <c r="O25" s="444">
        <f t="shared" si="0"/>
        <v>306961</v>
      </c>
      <c r="P25" s="35"/>
      <c r="Q25" s="212"/>
    </row>
    <row r="26" spans="1:18" x14ac:dyDescent="0.2">
      <c r="A26" s="129" t="s">
        <v>387</v>
      </c>
      <c r="B26" s="779" t="s">
        <v>388</v>
      </c>
      <c r="C26" s="147">
        <v>43285</v>
      </c>
      <c r="D26" s="147">
        <v>44104</v>
      </c>
      <c r="E26" s="147">
        <v>44195</v>
      </c>
      <c r="F26" s="780"/>
      <c r="G26" s="781">
        <v>655125</v>
      </c>
      <c r="H26" s="141"/>
      <c r="I26" s="782"/>
      <c r="J26" s="780"/>
      <c r="K26" s="135">
        <f>SUM(K27:K29)</f>
        <v>327562.5</v>
      </c>
      <c r="L26" s="780"/>
      <c r="M26" s="783"/>
      <c r="N26" s="170">
        <f>SUM(N27:N29)</f>
        <v>0</v>
      </c>
      <c r="O26" s="150">
        <f>SUM(O27:O29)</f>
        <v>327562.5</v>
      </c>
      <c r="P26" s="141"/>
      <c r="Q26" s="212"/>
    </row>
    <row r="27" spans="1:18" outlineLevel="1" x14ac:dyDescent="0.2">
      <c r="A27" s="46"/>
      <c r="B27" s="682"/>
      <c r="C27" s="30"/>
      <c r="D27" s="30"/>
      <c r="E27" s="30" t="s">
        <v>368</v>
      </c>
      <c r="F27" s="30" t="s">
        <v>382</v>
      </c>
      <c r="G27" s="683">
        <v>0.5</v>
      </c>
      <c r="H27" s="23">
        <f>+G26*G27</f>
        <v>327562.5</v>
      </c>
      <c r="I27" s="681">
        <v>1</v>
      </c>
      <c r="J27" s="30">
        <v>43381</v>
      </c>
      <c r="K27" s="24">
        <v>327562.5</v>
      </c>
      <c r="L27" s="30">
        <v>43433</v>
      </c>
      <c r="M27" s="458"/>
      <c r="N27" s="367" t="str">
        <f>IF(K27="en attente",H27,"")</f>
        <v/>
      </c>
      <c r="O27" s="367">
        <f t="shared" si="0"/>
        <v>0</v>
      </c>
      <c r="P27" s="23"/>
      <c r="Q27" s="212"/>
    </row>
    <row r="28" spans="1:18" outlineLevel="1" x14ac:dyDescent="0.2">
      <c r="A28" s="46"/>
      <c r="B28" s="682"/>
      <c r="C28" s="30"/>
      <c r="D28" s="30"/>
      <c r="E28" s="30"/>
      <c r="F28" s="30" t="s">
        <v>381</v>
      </c>
      <c r="G28" s="683">
        <v>0.25</v>
      </c>
      <c r="H28" s="23">
        <f>+G26*G28</f>
        <v>163781.25</v>
      </c>
      <c r="I28" s="681">
        <v>2</v>
      </c>
      <c r="J28" s="30"/>
      <c r="K28" s="24"/>
      <c r="L28" s="30"/>
      <c r="M28" s="458"/>
      <c r="N28" s="367" t="str">
        <f t="shared" ref="N28:N29" si="2">IF(K28="en attente",H28,"")</f>
        <v/>
      </c>
      <c r="O28" s="367">
        <f t="shared" si="0"/>
        <v>163781.25</v>
      </c>
      <c r="P28" s="23"/>
      <c r="Q28" s="212"/>
    </row>
    <row r="29" spans="1:18" outlineLevel="1" x14ac:dyDescent="0.2">
      <c r="A29" s="46"/>
      <c r="B29" s="682"/>
      <c r="C29" s="30"/>
      <c r="D29" s="30"/>
      <c r="E29" s="30"/>
      <c r="F29" s="155" t="s">
        <v>383</v>
      </c>
      <c r="G29" s="688">
        <v>0.25</v>
      </c>
      <c r="H29" s="23">
        <f>+G26*G29</f>
        <v>163781.25</v>
      </c>
      <c r="I29" s="681">
        <v>3</v>
      </c>
      <c r="J29" s="30"/>
      <c r="K29" s="24"/>
      <c r="L29" s="30"/>
      <c r="M29" s="458"/>
      <c r="N29" s="367" t="str">
        <f t="shared" si="2"/>
        <v/>
      </c>
      <c r="O29" s="367">
        <f t="shared" si="0"/>
        <v>163781.25</v>
      </c>
      <c r="P29" s="35"/>
      <c r="Q29" s="212"/>
    </row>
    <row r="30" spans="1:18" s="8" customFormat="1" x14ac:dyDescent="0.2">
      <c r="A30" s="48"/>
      <c r="B30" s="48"/>
      <c r="C30" s="48"/>
      <c r="D30" s="48"/>
      <c r="E30" s="48"/>
      <c r="F30" s="48"/>
      <c r="G30" s="691">
        <f>G6+G9+G11+G14+G17+G22+G26</f>
        <v>3829151.42</v>
      </c>
      <c r="H30" s="41">
        <f>SUMPRODUCT((DateAF_Region&lt;&gt;"")*MontantAF_Region)</f>
        <v>2725816.1100000003</v>
      </c>
      <c r="I30" s="692"/>
      <c r="J30" s="50"/>
      <c r="K30" s="693">
        <f>K6+K9+K11+K14+K17+K22+K26</f>
        <v>2700924.08</v>
      </c>
      <c r="L30" s="50"/>
      <c r="M30" s="694"/>
      <c r="N30" s="41">
        <f>N6+N9+N11+N14+N17+N22+N26</f>
        <v>18394.199999999953</v>
      </c>
      <c r="O30" s="695">
        <f>O6+O9+O11+O14+O17+O22+O26</f>
        <v>941484.5</v>
      </c>
      <c r="P30" s="1"/>
      <c r="Q30" s="166">
        <f>G30-(K30+N30+O30)</f>
        <v>168348.63999999966</v>
      </c>
    </row>
    <row r="31" spans="1:18" x14ac:dyDescent="0.2">
      <c r="A31" s="75"/>
      <c r="B31" s="76"/>
      <c r="C31" s="76"/>
      <c r="D31" s="76"/>
      <c r="E31" s="76"/>
      <c r="F31" s="76"/>
      <c r="G31" s="76"/>
      <c r="H31" s="76"/>
      <c r="I31" s="75"/>
      <c r="J31" s="76"/>
      <c r="K31" s="76"/>
      <c r="L31" s="76"/>
      <c r="M31" s="52"/>
      <c r="N31" s="921">
        <f>SUM(N30:O30)</f>
        <v>959878.7</v>
      </c>
      <c r="O31" s="922"/>
    </row>
    <row r="32" spans="1:18" ht="12.75" thickBot="1" x14ac:dyDescent="0.25"/>
    <row r="33" spans="1:17" ht="12.75" thickBot="1" x14ac:dyDescent="0.25">
      <c r="H33" s="748" t="s">
        <v>219</v>
      </c>
      <c r="I33" s="742"/>
      <c r="J33" s="742"/>
      <c r="K33" s="752" t="s">
        <v>221</v>
      </c>
    </row>
    <row r="34" spans="1:17" x14ac:dyDescent="0.2">
      <c r="G34" s="768">
        <v>2011</v>
      </c>
      <c r="H34" s="770">
        <f>SUMPRODUCT((YEAR($G$49:$G$97)=G34)*($H$49:$H$97))</f>
        <v>735403.9</v>
      </c>
      <c r="I34" s="47"/>
      <c r="J34" s="47"/>
      <c r="K34" s="770">
        <f t="shared" ref="K34:K42" si="3">SUMPRODUCT((YEAR($J$49:$J$97)=G34)*($K$49:$K$97))</f>
        <v>735403.9</v>
      </c>
    </row>
    <row r="35" spans="1:17" x14ac:dyDescent="0.2">
      <c r="G35" s="769">
        <v>2012</v>
      </c>
      <c r="H35" s="770">
        <f t="shared" ref="H35:H42" si="4">SUMPRODUCT((YEAR($G$49:$G$97)=G35)*($H$49:$H$97))</f>
        <v>0</v>
      </c>
      <c r="I35" s="47"/>
      <c r="J35" s="47"/>
      <c r="K35" s="770">
        <f t="shared" si="3"/>
        <v>0</v>
      </c>
    </row>
    <row r="36" spans="1:17" x14ac:dyDescent="0.2">
      <c r="G36" s="769">
        <v>2013</v>
      </c>
      <c r="H36" s="770">
        <f t="shared" si="4"/>
        <v>205000</v>
      </c>
      <c r="I36" s="47"/>
      <c r="J36" s="47"/>
      <c r="K36" s="770">
        <f t="shared" si="3"/>
        <v>205000</v>
      </c>
    </row>
    <row r="37" spans="1:17" x14ac:dyDescent="0.2">
      <c r="G37" s="769">
        <v>2014</v>
      </c>
      <c r="H37" s="770">
        <f t="shared" si="4"/>
        <v>94683.18</v>
      </c>
      <c r="I37" s="47"/>
      <c r="J37" s="47"/>
      <c r="K37" s="770">
        <f t="shared" si="3"/>
        <v>0</v>
      </c>
    </row>
    <row r="38" spans="1:17" x14ac:dyDescent="0.2">
      <c r="G38" s="769">
        <v>2015</v>
      </c>
      <c r="H38" s="770">
        <f t="shared" si="4"/>
        <v>544244.53</v>
      </c>
      <c r="I38" s="47"/>
      <c r="J38" s="47"/>
      <c r="K38" s="770">
        <f t="shared" si="3"/>
        <v>614035.68000000005</v>
      </c>
    </row>
    <row r="39" spans="1:17" x14ac:dyDescent="0.2">
      <c r="G39" s="769">
        <v>2016</v>
      </c>
      <c r="H39" s="770">
        <f t="shared" si="4"/>
        <v>205000</v>
      </c>
      <c r="I39" s="47"/>
      <c r="J39" s="47"/>
      <c r="K39" s="770">
        <f t="shared" si="3"/>
        <v>105000</v>
      </c>
    </row>
    <row r="40" spans="1:17" x14ac:dyDescent="0.2">
      <c r="G40" s="769">
        <v>2017</v>
      </c>
      <c r="H40" s="770">
        <f t="shared" si="4"/>
        <v>0</v>
      </c>
      <c r="I40" s="47"/>
      <c r="J40" s="47"/>
      <c r="K40" s="770">
        <f t="shared" si="3"/>
        <v>100000</v>
      </c>
    </row>
    <row r="41" spans="1:17" ht="12.75" thickBot="1" x14ac:dyDescent="0.25">
      <c r="G41" s="769">
        <v>2018</v>
      </c>
      <c r="H41" s="770">
        <f t="shared" si="4"/>
        <v>941484.5</v>
      </c>
      <c r="I41" s="47"/>
      <c r="J41" s="47"/>
      <c r="K41" s="770">
        <f t="shared" si="3"/>
        <v>941484.5</v>
      </c>
    </row>
    <row r="42" spans="1:17" ht="12.75" thickBot="1" x14ac:dyDescent="0.25">
      <c r="G42" s="772">
        <v>2019</v>
      </c>
      <c r="H42" s="773">
        <f t="shared" si="4"/>
        <v>0</v>
      </c>
      <c r="I42" s="758"/>
      <c r="J42" s="758"/>
      <c r="K42" s="774">
        <f t="shared" si="3"/>
        <v>0</v>
      </c>
    </row>
    <row r="43" spans="1:17" ht="12.75" thickBot="1" x14ac:dyDescent="0.25">
      <c r="H43" s="771">
        <f>SUM(H34:H42)</f>
        <v>2725816.1100000003</v>
      </c>
      <c r="I43" s="747"/>
      <c r="J43" s="747"/>
      <c r="K43" s="771">
        <f>SUM(K34:K42)</f>
        <v>2700924.08</v>
      </c>
    </row>
    <row r="44" spans="1:17" x14ac:dyDescent="0.2">
      <c r="H44" s="166">
        <f>H43-H98</f>
        <v>0</v>
      </c>
      <c r="I44" s="1"/>
      <c r="K44" s="166">
        <f>K43-K98</f>
        <v>0</v>
      </c>
    </row>
    <row r="48" spans="1:17" x14ac:dyDescent="0.2">
      <c r="A48" s="1"/>
      <c r="H48" s="371" t="s">
        <v>219</v>
      </c>
      <c r="K48" s="372" t="s">
        <v>221</v>
      </c>
      <c r="Q48" s="1"/>
    </row>
    <row r="49" spans="1:17" hidden="1" outlineLevel="1" x14ac:dyDescent="0.2">
      <c r="A49" s="1"/>
      <c r="G49" s="380">
        <v>40787</v>
      </c>
      <c r="H49" s="91">
        <f t="shared" ref="H49:H73" si="5">SUMPRODUCT((DateAF_Region&lt;&gt;"")*(MONTH(DateAF_Region)=MONTH(G49))*(YEAR(DateAF_Region)=YEAR(G49))*MontantAF_Region)</f>
        <v>735403.9</v>
      </c>
      <c r="J49" s="380">
        <v>40787</v>
      </c>
      <c r="K49" s="91">
        <f t="shared" ref="K49:K73" si="6">SUMPRODUCT((DatePmt_Region&lt;&gt;"")*(DatePmt_Region&lt;&gt;"en attente")*(MONTH(DatePmt_Region)=MONTH(J49))*(YEAR(DatePmt_Region)=YEAR(J49))*(ISNUMBER(MtntPaye_Region)),MtntPaye_Region)</f>
        <v>0</v>
      </c>
      <c r="Q49" s="1"/>
    </row>
    <row r="50" spans="1:17" hidden="1" outlineLevel="1" x14ac:dyDescent="0.2">
      <c r="A50" s="1"/>
      <c r="G50" s="380">
        <v>40878</v>
      </c>
      <c r="H50" s="91">
        <f t="shared" si="5"/>
        <v>0</v>
      </c>
      <c r="J50" s="380">
        <v>40878</v>
      </c>
      <c r="K50" s="91">
        <f t="shared" si="6"/>
        <v>735403.9</v>
      </c>
      <c r="Q50" s="1"/>
    </row>
    <row r="51" spans="1:17" hidden="1" outlineLevel="1" x14ac:dyDescent="0.2">
      <c r="A51" s="1"/>
      <c r="G51" s="380">
        <v>41456</v>
      </c>
      <c r="H51" s="91">
        <f t="shared" si="5"/>
        <v>205000</v>
      </c>
      <c r="J51" s="380">
        <v>41456</v>
      </c>
      <c r="K51" s="91">
        <f t="shared" si="6"/>
        <v>0</v>
      </c>
      <c r="Q51" s="1"/>
    </row>
    <row r="52" spans="1:17" hidden="1" outlineLevel="1" x14ac:dyDescent="0.2">
      <c r="A52" s="1"/>
      <c r="G52" s="380">
        <v>41518</v>
      </c>
      <c r="H52" s="91">
        <f t="shared" si="5"/>
        <v>0</v>
      </c>
      <c r="J52" s="380">
        <v>41518</v>
      </c>
      <c r="K52" s="91">
        <f t="shared" si="6"/>
        <v>205000</v>
      </c>
      <c r="Q52" s="1"/>
    </row>
    <row r="53" spans="1:17" hidden="1" outlineLevel="1" x14ac:dyDescent="0.2">
      <c r="A53" s="1"/>
      <c r="G53" s="380">
        <v>41640</v>
      </c>
      <c r="H53" s="91">
        <f t="shared" si="5"/>
        <v>20808.98</v>
      </c>
      <c r="J53" s="380">
        <v>41640</v>
      </c>
      <c r="K53" s="91">
        <f t="shared" si="6"/>
        <v>0</v>
      </c>
      <c r="Q53" s="1"/>
    </row>
    <row r="54" spans="1:17" hidden="1" outlineLevel="1" x14ac:dyDescent="0.2">
      <c r="A54" s="1"/>
      <c r="G54" s="380">
        <v>41974</v>
      </c>
      <c r="H54" s="91">
        <f t="shared" si="5"/>
        <v>73874.2</v>
      </c>
      <c r="J54" s="380">
        <v>41974</v>
      </c>
      <c r="K54" s="91">
        <f t="shared" si="6"/>
        <v>0</v>
      </c>
      <c r="Q54" s="1"/>
    </row>
    <row r="55" spans="1:17" hidden="1" outlineLevel="1" x14ac:dyDescent="0.2">
      <c r="A55" s="1"/>
      <c r="G55" s="380">
        <v>42156</v>
      </c>
      <c r="H55" s="91">
        <f t="shared" si="5"/>
        <v>0</v>
      </c>
      <c r="J55" s="380">
        <v>42156</v>
      </c>
      <c r="K55" s="91">
        <f t="shared" si="6"/>
        <v>20808.98</v>
      </c>
      <c r="Q55" s="1"/>
    </row>
    <row r="56" spans="1:17" hidden="1" outlineLevel="1" x14ac:dyDescent="0.2">
      <c r="A56" s="1"/>
      <c r="G56" s="380">
        <v>42217</v>
      </c>
      <c r="H56" s="91">
        <f t="shared" si="5"/>
        <v>44565.760000000002</v>
      </c>
      <c r="J56" s="380">
        <v>42217</v>
      </c>
      <c r="K56" s="91">
        <f t="shared" si="6"/>
        <v>0</v>
      </c>
      <c r="Q56" s="1"/>
    </row>
    <row r="57" spans="1:17" hidden="1" outlineLevel="1" x14ac:dyDescent="0.2">
      <c r="A57" s="1"/>
      <c r="G57" s="380">
        <v>42278</v>
      </c>
      <c r="H57" s="91">
        <f t="shared" si="5"/>
        <v>0</v>
      </c>
      <c r="J57" s="380">
        <v>42278</v>
      </c>
      <c r="K57" s="91">
        <f t="shared" si="6"/>
        <v>38067.93</v>
      </c>
      <c r="Q57" s="1"/>
    </row>
    <row r="58" spans="1:17" hidden="1" outlineLevel="1" x14ac:dyDescent="0.2">
      <c r="A58" s="1"/>
      <c r="G58" s="380">
        <v>42309</v>
      </c>
      <c r="H58" s="91">
        <f t="shared" si="5"/>
        <v>499678.77</v>
      </c>
      <c r="J58" s="380">
        <v>42309</v>
      </c>
      <c r="K58" s="91">
        <f t="shared" si="6"/>
        <v>0</v>
      </c>
      <c r="Q58" s="1"/>
    </row>
    <row r="59" spans="1:17" hidden="1" outlineLevel="1" x14ac:dyDescent="0.2">
      <c r="A59" s="1"/>
      <c r="G59" s="380">
        <v>42339</v>
      </c>
      <c r="H59" s="91">
        <f t="shared" si="5"/>
        <v>0</v>
      </c>
      <c r="J59" s="380">
        <v>42339</v>
      </c>
      <c r="K59" s="91">
        <f t="shared" si="6"/>
        <v>555158.77</v>
      </c>
      <c r="Q59" s="1"/>
    </row>
    <row r="60" spans="1:17" hidden="1" outlineLevel="1" x14ac:dyDescent="0.2">
      <c r="A60" s="1"/>
      <c r="G60" s="380">
        <v>42401</v>
      </c>
      <c r="H60" s="91">
        <f t="shared" si="5"/>
        <v>105000</v>
      </c>
      <c r="J60" s="380">
        <v>42401</v>
      </c>
      <c r="K60" s="91">
        <f t="shared" si="6"/>
        <v>0</v>
      </c>
      <c r="Q60" s="1"/>
    </row>
    <row r="61" spans="1:17" hidden="1" outlineLevel="1" x14ac:dyDescent="0.2">
      <c r="A61" s="1"/>
      <c r="G61" s="380">
        <v>42705</v>
      </c>
      <c r="H61" s="91">
        <f t="shared" si="5"/>
        <v>100000</v>
      </c>
      <c r="J61" s="380">
        <v>42705</v>
      </c>
      <c r="K61" s="91">
        <f t="shared" si="6"/>
        <v>105000</v>
      </c>
      <c r="Q61" s="1"/>
    </row>
    <row r="62" spans="1:17" hidden="1" outlineLevel="1" x14ac:dyDescent="0.2">
      <c r="A62" s="1"/>
      <c r="G62" s="380">
        <v>42736</v>
      </c>
      <c r="H62" s="91">
        <f t="shared" si="5"/>
        <v>0</v>
      </c>
      <c r="J62" s="380">
        <v>42736</v>
      </c>
      <c r="K62" s="91">
        <f t="shared" si="6"/>
        <v>0</v>
      </c>
      <c r="Q62" s="1"/>
    </row>
    <row r="63" spans="1:17" hidden="1" outlineLevel="1" x14ac:dyDescent="0.2">
      <c r="A63" s="1"/>
      <c r="G63" s="380">
        <v>42767</v>
      </c>
      <c r="H63" s="91">
        <f t="shared" si="5"/>
        <v>0</v>
      </c>
      <c r="J63" s="380">
        <v>42767</v>
      </c>
      <c r="K63" s="91">
        <f t="shared" si="6"/>
        <v>100000</v>
      </c>
      <c r="Q63" s="1"/>
    </row>
    <row r="64" spans="1:17" hidden="1" outlineLevel="1" x14ac:dyDescent="0.2">
      <c r="G64" s="380">
        <v>42795</v>
      </c>
      <c r="H64" s="91">
        <f t="shared" si="5"/>
        <v>0</v>
      </c>
      <c r="J64" s="380">
        <v>42795</v>
      </c>
      <c r="K64" s="91">
        <f t="shared" si="6"/>
        <v>0</v>
      </c>
    </row>
    <row r="65" spans="7:11" hidden="1" outlineLevel="1" x14ac:dyDescent="0.2">
      <c r="G65" s="380">
        <v>42826</v>
      </c>
      <c r="H65" s="91">
        <f t="shared" si="5"/>
        <v>0</v>
      </c>
      <c r="J65" s="380">
        <v>42826</v>
      </c>
      <c r="K65" s="91">
        <f t="shared" si="6"/>
        <v>0</v>
      </c>
    </row>
    <row r="66" spans="7:11" hidden="1" outlineLevel="1" x14ac:dyDescent="0.2">
      <c r="G66" s="380">
        <v>42856</v>
      </c>
      <c r="H66" s="91">
        <f t="shared" si="5"/>
        <v>0</v>
      </c>
      <c r="J66" s="380">
        <v>42856</v>
      </c>
      <c r="K66" s="91">
        <f t="shared" si="6"/>
        <v>0</v>
      </c>
    </row>
    <row r="67" spans="7:11" hidden="1" outlineLevel="1" x14ac:dyDescent="0.2">
      <c r="G67" s="380">
        <v>42887</v>
      </c>
      <c r="H67" s="91">
        <f>SUMPRODUCT((DateAF_Region&lt;&gt;"")*(MONTH(DateAF_Region)=MONTH(G67))*(YEAR(DateAF_Region)=YEAR(G67))*MontantAF_Region)</f>
        <v>0</v>
      </c>
      <c r="J67" s="380">
        <v>42887</v>
      </c>
      <c r="K67" s="91">
        <f t="shared" si="6"/>
        <v>0</v>
      </c>
    </row>
    <row r="68" spans="7:11" hidden="1" outlineLevel="1" x14ac:dyDescent="0.2">
      <c r="G68" s="380">
        <v>42917</v>
      </c>
      <c r="H68" s="91">
        <f t="shared" si="5"/>
        <v>0</v>
      </c>
      <c r="J68" s="380">
        <v>42917</v>
      </c>
      <c r="K68" s="91">
        <f t="shared" si="6"/>
        <v>0</v>
      </c>
    </row>
    <row r="69" spans="7:11" hidden="1" outlineLevel="1" x14ac:dyDescent="0.2">
      <c r="G69" s="380">
        <v>42948</v>
      </c>
      <c r="H69" s="91">
        <f t="shared" si="5"/>
        <v>0</v>
      </c>
      <c r="J69" s="380">
        <v>42948</v>
      </c>
      <c r="K69" s="91">
        <f t="shared" si="6"/>
        <v>0</v>
      </c>
    </row>
    <row r="70" spans="7:11" hidden="1" outlineLevel="1" x14ac:dyDescent="0.2">
      <c r="G70" s="380">
        <v>42979</v>
      </c>
      <c r="H70" s="91">
        <f t="shared" si="5"/>
        <v>0</v>
      </c>
      <c r="J70" s="380">
        <v>42979</v>
      </c>
      <c r="K70" s="91">
        <f t="shared" si="6"/>
        <v>0</v>
      </c>
    </row>
    <row r="71" spans="7:11" hidden="1" outlineLevel="1" x14ac:dyDescent="0.2">
      <c r="G71" s="380">
        <v>43009</v>
      </c>
      <c r="H71" s="91">
        <f t="shared" si="5"/>
        <v>0</v>
      </c>
      <c r="J71" s="380">
        <v>43009</v>
      </c>
      <c r="K71" s="91">
        <f t="shared" si="6"/>
        <v>0</v>
      </c>
    </row>
    <row r="72" spans="7:11" hidden="1" outlineLevel="1" x14ac:dyDescent="0.2">
      <c r="G72" s="380">
        <v>43040</v>
      </c>
      <c r="H72" s="91">
        <f t="shared" si="5"/>
        <v>0</v>
      </c>
      <c r="J72" s="380">
        <v>43040</v>
      </c>
      <c r="K72" s="91">
        <f t="shared" si="6"/>
        <v>0</v>
      </c>
    </row>
    <row r="73" spans="7:11" hidden="1" outlineLevel="1" x14ac:dyDescent="0.2">
      <c r="G73" s="380">
        <v>43070</v>
      </c>
      <c r="H73" s="91">
        <f t="shared" si="5"/>
        <v>0</v>
      </c>
      <c r="J73" s="380">
        <v>43070</v>
      </c>
      <c r="K73" s="91">
        <f t="shared" si="6"/>
        <v>0</v>
      </c>
    </row>
    <row r="74" spans="7:11" hidden="1" outlineLevel="1" x14ac:dyDescent="0.2">
      <c r="G74" s="380">
        <v>43101</v>
      </c>
      <c r="H74" s="91">
        <f t="shared" ref="H74:H97" si="7">SUMPRODUCT((DateAF_Region&lt;&gt;"")*(MONTH(DateAF_Region)=MONTH(G74))*(YEAR(DateAF_Region)=YEAR(G74))*MontantAF_Region)</f>
        <v>0</v>
      </c>
      <c r="J74" s="380">
        <v>43101</v>
      </c>
      <c r="K74" s="91">
        <f t="shared" ref="K74:K97" si="8">SUMPRODUCT((DatePmt_Region&lt;&gt;"")*(DatePmt_Region&lt;&gt;"en attente")*(MONTH(DatePmt_Region)=MONTH(J74))*(YEAR(DatePmt_Region)=YEAR(J74))*(ISNUMBER(MtntPaye_Region)),MtntPaye_Region)</f>
        <v>0</v>
      </c>
    </row>
    <row r="75" spans="7:11" hidden="1" outlineLevel="1" x14ac:dyDescent="0.2">
      <c r="G75" s="380">
        <v>43132</v>
      </c>
      <c r="H75" s="91">
        <f t="shared" si="7"/>
        <v>0</v>
      </c>
      <c r="J75" s="380">
        <v>43132</v>
      </c>
      <c r="K75" s="91">
        <f t="shared" si="8"/>
        <v>0</v>
      </c>
    </row>
    <row r="76" spans="7:11" hidden="1" outlineLevel="1" x14ac:dyDescent="0.2">
      <c r="G76" s="380">
        <v>43160</v>
      </c>
      <c r="H76" s="91">
        <f t="shared" si="7"/>
        <v>0</v>
      </c>
      <c r="J76" s="380">
        <v>43160</v>
      </c>
      <c r="K76" s="91">
        <f t="shared" si="8"/>
        <v>0</v>
      </c>
    </row>
    <row r="77" spans="7:11" hidden="1" outlineLevel="1" x14ac:dyDescent="0.2">
      <c r="G77" s="380">
        <v>43191</v>
      </c>
      <c r="H77" s="91">
        <f t="shared" si="7"/>
        <v>0</v>
      </c>
      <c r="J77" s="380">
        <v>43191</v>
      </c>
      <c r="K77" s="91">
        <f t="shared" si="8"/>
        <v>0</v>
      </c>
    </row>
    <row r="78" spans="7:11" hidden="1" outlineLevel="1" x14ac:dyDescent="0.2">
      <c r="G78" s="380">
        <v>43221</v>
      </c>
      <c r="H78" s="91">
        <f t="shared" si="7"/>
        <v>0</v>
      </c>
      <c r="J78" s="380">
        <v>43221</v>
      </c>
      <c r="K78" s="91">
        <f t="shared" si="8"/>
        <v>0</v>
      </c>
    </row>
    <row r="79" spans="7:11" hidden="1" outlineLevel="1" x14ac:dyDescent="0.2">
      <c r="G79" s="380">
        <v>43252</v>
      </c>
      <c r="H79" s="91">
        <f t="shared" si="7"/>
        <v>0</v>
      </c>
      <c r="J79" s="380">
        <v>43252</v>
      </c>
      <c r="K79" s="91">
        <f t="shared" si="8"/>
        <v>0</v>
      </c>
    </row>
    <row r="80" spans="7:11" hidden="1" outlineLevel="1" x14ac:dyDescent="0.2">
      <c r="G80" s="380">
        <v>43282</v>
      </c>
      <c r="H80" s="91">
        <f t="shared" si="7"/>
        <v>613922</v>
      </c>
      <c r="J80" s="380">
        <v>43282</v>
      </c>
      <c r="K80" s="91">
        <f t="shared" si="8"/>
        <v>0</v>
      </c>
    </row>
    <row r="81" spans="7:11" hidden="1" outlineLevel="1" x14ac:dyDescent="0.2">
      <c r="G81" s="380">
        <v>43313</v>
      </c>
      <c r="H81" s="91">
        <f t="shared" si="7"/>
        <v>0</v>
      </c>
      <c r="J81" s="380">
        <v>43313</v>
      </c>
      <c r="K81" s="91">
        <f t="shared" si="8"/>
        <v>613922</v>
      </c>
    </row>
    <row r="82" spans="7:11" hidden="1" outlineLevel="1" x14ac:dyDescent="0.2">
      <c r="G82" s="380">
        <v>43344</v>
      </c>
      <c r="H82" s="91">
        <f t="shared" si="7"/>
        <v>0</v>
      </c>
      <c r="J82" s="380">
        <v>43344</v>
      </c>
      <c r="K82" s="91">
        <f t="shared" si="8"/>
        <v>0</v>
      </c>
    </row>
    <row r="83" spans="7:11" hidden="1" outlineLevel="1" x14ac:dyDescent="0.2">
      <c r="G83" s="380">
        <v>43374</v>
      </c>
      <c r="H83" s="91">
        <f t="shared" si="7"/>
        <v>327562.5</v>
      </c>
      <c r="J83" s="380">
        <v>43374</v>
      </c>
      <c r="K83" s="91">
        <f t="shared" si="8"/>
        <v>0</v>
      </c>
    </row>
    <row r="84" spans="7:11" hidden="1" outlineLevel="1" x14ac:dyDescent="0.2">
      <c r="G84" s="380">
        <v>43405</v>
      </c>
      <c r="H84" s="91">
        <f t="shared" si="7"/>
        <v>0</v>
      </c>
      <c r="J84" s="380">
        <v>43405</v>
      </c>
      <c r="K84" s="91">
        <f t="shared" si="8"/>
        <v>327562.5</v>
      </c>
    </row>
    <row r="85" spans="7:11" hidden="1" outlineLevel="1" x14ac:dyDescent="0.2">
      <c r="G85" s="380">
        <v>43435</v>
      </c>
      <c r="H85" s="91">
        <f t="shared" si="7"/>
        <v>0</v>
      </c>
      <c r="J85" s="380">
        <v>43435</v>
      </c>
      <c r="K85" s="91">
        <f t="shared" si="8"/>
        <v>0</v>
      </c>
    </row>
    <row r="86" spans="7:11" collapsed="1" x14ac:dyDescent="0.2">
      <c r="G86" s="380">
        <v>43466</v>
      </c>
      <c r="H86" s="91">
        <f t="shared" si="7"/>
        <v>0</v>
      </c>
      <c r="J86" s="380">
        <v>43466</v>
      </c>
      <c r="K86" s="91">
        <f t="shared" si="8"/>
        <v>0</v>
      </c>
    </row>
    <row r="87" spans="7:11" x14ac:dyDescent="0.2">
      <c r="G87" s="380">
        <v>43497</v>
      </c>
      <c r="H87" s="91">
        <f t="shared" si="7"/>
        <v>0</v>
      </c>
      <c r="J87" s="380">
        <v>43497</v>
      </c>
      <c r="K87" s="91">
        <f t="shared" si="8"/>
        <v>0</v>
      </c>
    </row>
    <row r="88" spans="7:11" x14ac:dyDescent="0.2">
      <c r="G88" s="380">
        <v>43525</v>
      </c>
      <c r="H88" s="91">
        <f t="shared" si="7"/>
        <v>0</v>
      </c>
      <c r="J88" s="380">
        <v>43525</v>
      </c>
      <c r="K88" s="91">
        <f t="shared" si="8"/>
        <v>0</v>
      </c>
    </row>
    <row r="89" spans="7:11" x14ac:dyDescent="0.2">
      <c r="G89" s="380">
        <v>43556</v>
      </c>
      <c r="H89" s="91">
        <f t="shared" si="7"/>
        <v>0</v>
      </c>
      <c r="J89" s="380">
        <v>43556</v>
      </c>
      <c r="K89" s="91">
        <f t="shared" si="8"/>
        <v>0</v>
      </c>
    </row>
    <row r="90" spans="7:11" x14ac:dyDescent="0.2">
      <c r="G90" s="380">
        <v>43586</v>
      </c>
      <c r="H90" s="91">
        <f t="shared" si="7"/>
        <v>0</v>
      </c>
      <c r="J90" s="380">
        <v>43586</v>
      </c>
      <c r="K90" s="91">
        <f t="shared" si="8"/>
        <v>0</v>
      </c>
    </row>
    <row r="91" spans="7:11" x14ac:dyDescent="0.2">
      <c r="G91" s="380">
        <v>43617</v>
      </c>
      <c r="H91" s="91">
        <f t="shared" si="7"/>
        <v>0</v>
      </c>
      <c r="J91" s="380">
        <v>43617</v>
      </c>
      <c r="K91" s="91">
        <f t="shared" si="8"/>
        <v>0</v>
      </c>
    </row>
    <row r="92" spans="7:11" x14ac:dyDescent="0.2">
      <c r="G92" s="380">
        <v>43647</v>
      </c>
      <c r="H92" s="91">
        <f t="shared" si="7"/>
        <v>0</v>
      </c>
      <c r="J92" s="380">
        <v>43647</v>
      </c>
      <c r="K92" s="91">
        <f t="shared" si="8"/>
        <v>0</v>
      </c>
    </row>
    <row r="93" spans="7:11" x14ac:dyDescent="0.2">
      <c r="G93" s="380">
        <v>43678</v>
      </c>
      <c r="H93" s="91">
        <f t="shared" si="7"/>
        <v>0</v>
      </c>
      <c r="J93" s="380">
        <v>43678</v>
      </c>
      <c r="K93" s="91">
        <f t="shared" si="8"/>
        <v>0</v>
      </c>
    </row>
    <row r="94" spans="7:11" x14ac:dyDescent="0.2">
      <c r="G94" s="380">
        <v>43709</v>
      </c>
      <c r="H94" s="91">
        <f t="shared" si="7"/>
        <v>0</v>
      </c>
      <c r="J94" s="380">
        <v>43709</v>
      </c>
      <c r="K94" s="91">
        <f t="shared" si="8"/>
        <v>0</v>
      </c>
    </row>
    <row r="95" spans="7:11" x14ac:dyDescent="0.2">
      <c r="G95" s="380">
        <v>43739</v>
      </c>
      <c r="H95" s="91">
        <f t="shared" si="7"/>
        <v>0</v>
      </c>
      <c r="J95" s="380">
        <v>43739</v>
      </c>
      <c r="K95" s="91">
        <f t="shared" si="8"/>
        <v>0</v>
      </c>
    </row>
    <row r="96" spans="7:11" x14ac:dyDescent="0.2">
      <c r="G96" s="380">
        <v>43770</v>
      </c>
      <c r="H96" s="91">
        <f t="shared" si="7"/>
        <v>0</v>
      </c>
      <c r="J96" s="380">
        <v>43770</v>
      </c>
      <c r="K96" s="91">
        <f t="shared" si="8"/>
        <v>0</v>
      </c>
    </row>
    <row r="97" spans="1:17" x14ac:dyDescent="0.2">
      <c r="G97" s="380">
        <v>43800</v>
      </c>
      <c r="H97" s="91">
        <f t="shared" si="7"/>
        <v>0</v>
      </c>
      <c r="J97" s="380">
        <v>43800</v>
      </c>
      <c r="K97" s="91">
        <f t="shared" si="8"/>
        <v>0</v>
      </c>
    </row>
    <row r="98" spans="1:17" s="8" customFormat="1" x14ac:dyDescent="0.2">
      <c r="A98" s="460"/>
      <c r="H98" s="462">
        <f>SUM(H49:H97)</f>
        <v>2725816.11</v>
      </c>
      <c r="I98" s="460"/>
      <c r="K98" s="462">
        <f>SUM(K49:K97)</f>
        <v>2700924.08</v>
      </c>
      <c r="M98" s="1"/>
      <c r="N98" s="1"/>
      <c r="O98" s="1"/>
      <c r="Q98" s="466"/>
    </row>
    <row r="99" spans="1:17" s="161" customFormat="1" x14ac:dyDescent="0.2">
      <c r="A99" s="467"/>
      <c r="H99" s="166">
        <f>H98-H30</f>
        <v>0</v>
      </c>
      <c r="I99" s="467"/>
      <c r="K99" s="166">
        <f>K98-K30</f>
        <v>0</v>
      </c>
      <c r="M99" s="1"/>
      <c r="N99" s="1"/>
      <c r="O99" s="1"/>
    </row>
    <row r="100" spans="1:17" x14ac:dyDescent="0.2">
      <c r="M100" s="8"/>
      <c r="N100" s="8"/>
      <c r="O100" s="8"/>
    </row>
    <row r="101" spans="1:17" x14ac:dyDescent="0.2">
      <c r="M101" s="161"/>
      <c r="N101" s="161"/>
      <c r="O101" s="161"/>
    </row>
  </sheetData>
  <autoFilter ref="A4:Q5">
    <filterColumn colId="7" showButton="0"/>
    <filterColumn colId="8" showButton="0"/>
    <filterColumn colId="9" showButton="0"/>
    <filterColumn colId="10" showButton="0"/>
    <filterColumn colId="11" showButton="0"/>
    <filterColumn colId="13" showButton="0"/>
  </autoFilter>
  <mergeCells count="8">
    <mergeCell ref="N31:O31"/>
    <mergeCell ref="A2:N2"/>
    <mergeCell ref="A4:A5"/>
    <mergeCell ref="B4:B5"/>
    <mergeCell ref="C4:C5"/>
    <mergeCell ref="G4:G5"/>
    <mergeCell ref="H4:M4"/>
    <mergeCell ref="N4:O4"/>
  </mergeCells>
  <pageMargins left="0.7" right="0.7" top="0.75" bottom="0.75" header="0.3" footer="0.3"/>
  <pageSetup paperSize="9" scale="76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outlinePr summaryBelow="0"/>
  </sheetPr>
  <dimension ref="A2:R15"/>
  <sheetViews>
    <sheetView workbookViewId="0">
      <selection activeCell="D6" sqref="D6:D13"/>
    </sheetView>
  </sheetViews>
  <sheetFormatPr baseColWidth="10" defaultColWidth="11.42578125" defaultRowHeight="12" outlineLevelRow="1" outlineLevelCol="1" x14ac:dyDescent="0.2"/>
  <cols>
    <col min="1" max="1" width="31.5703125" style="6" bestFit="1" customWidth="1"/>
    <col min="2" max="2" width="30.42578125" style="1" customWidth="1" outlineLevel="1"/>
    <col min="3" max="3" width="15.28515625" style="1" customWidth="1"/>
    <col min="4" max="4" width="17.5703125" style="1" customWidth="1"/>
    <col min="5" max="5" width="22.28515625" style="1" customWidth="1"/>
    <col min="6" max="6" width="13.140625" style="1" customWidth="1"/>
    <col min="7" max="7" width="13.42578125" style="1" bestFit="1" customWidth="1"/>
    <col min="8" max="8" width="14.42578125" style="1" customWidth="1"/>
    <col min="9" max="9" width="4.140625" style="6" bestFit="1" customWidth="1"/>
    <col min="10" max="10" width="10.42578125" style="1" bestFit="1" customWidth="1"/>
    <col min="11" max="11" width="14.5703125" style="1" customWidth="1"/>
    <col min="12" max="12" width="10.42578125" style="1" bestFit="1" customWidth="1"/>
    <col min="13" max="13" width="18.5703125" style="1" bestFit="1" customWidth="1"/>
    <col min="14" max="14" width="14.42578125" style="1" customWidth="1"/>
    <col min="15" max="16" width="14.42578125" style="1" bestFit="1" customWidth="1"/>
    <col min="17" max="17" width="18" style="161" customWidth="1"/>
    <col min="18" max="16384" width="11.42578125" style="1"/>
  </cols>
  <sheetData>
    <row r="2" spans="1:18" x14ac:dyDescent="0.2">
      <c r="A2" s="923" t="s">
        <v>369</v>
      </c>
      <c r="B2" s="923"/>
      <c r="C2" s="923"/>
      <c r="D2" s="923"/>
      <c r="E2" s="923"/>
      <c r="F2" s="923"/>
      <c r="G2" s="923"/>
      <c r="H2" s="923"/>
      <c r="I2" s="923"/>
      <c r="J2" s="923"/>
      <c r="K2" s="923"/>
      <c r="L2" s="923"/>
      <c r="M2" s="923"/>
      <c r="N2" s="923"/>
      <c r="O2" s="9">
        <f ca="1">TODAY()</f>
        <v>43593</v>
      </c>
      <c r="P2" s="9"/>
    </row>
    <row r="4" spans="1:18" s="2" customFormat="1" x14ac:dyDescent="0.2">
      <c r="A4" s="940" t="s">
        <v>2</v>
      </c>
      <c r="B4" s="940" t="s">
        <v>0</v>
      </c>
      <c r="C4" s="928" t="s">
        <v>21</v>
      </c>
      <c r="D4" s="678" t="s">
        <v>126</v>
      </c>
      <c r="E4" s="678" t="s">
        <v>120</v>
      </c>
      <c r="F4" s="678" t="s">
        <v>124</v>
      </c>
      <c r="G4" s="928" t="s">
        <v>12</v>
      </c>
      <c r="H4" s="924" t="s">
        <v>4</v>
      </c>
      <c r="I4" s="925"/>
      <c r="J4" s="925"/>
      <c r="K4" s="925"/>
      <c r="L4" s="925"/>
      <c r="M4" s="926"/>
      <c r="N4" s="927" t="s">
        <v>13</v>
      </c>
      <c r="O4" s="928"/>
      <c r="P4" s="3" t="s">
        <v>123</v>
      </c>
      <c r="Q4" s="210"/>
      <c r="R4" s="63"/>
    </row>
    <row r="5" spans="1:18" s="13" customFormat="1" x14ac:dyDescent="0.2">
      <c r="A5" s="941"/>
      <c r="B5" s="941"/>
      <c r="C5" s="942"/>
      <c r="D5" s="679"/>
      <c r="E5" s="679"/>
      <c r="F5" s="679"/>
      <c r="G5" s="942"/>
      <c r="H5" s="10" t="s">
        <v>1</v>
      </c>
      <c r="I5" s="11" t="s">
        <v>3</v>
      </c>
      <c r="J5" s="11" t="s">
        <v>15</v>
      </c>
      <c r="K5" s="12" t="s">
        <v>14</v>
      </c>
      <c r="L5" s="10" t="s">
        <v>15</v>
      </c>
      <c r="M5" s="11" t="s">
        <v>18</v>
      </c>
      <c r="N5" s="3" t="s">
        <v>20</v>
      </c>
      <c r="O5" s="3" t="s">
        <v>19</v>
      </c>
      <c r="P5" s="3"/>
      <c r="Q5" s="161"/>
    </row>
    <row r="6" spans="1:18" s="8" customFormat="1" x14ac:dyDescent="0.2">
      <c r="A6" s="119" t="s">
        <v>366</v>
      </c>
      <c r="B6" s="775" t="s">
        <v>370</v>
      </c>
      <c r="C6" s="151">
        <v>43283</v>
      </c>
      <c r="D6" s="151">
        <v>44104</v>
      </c>
      <c r="E6" s="151">
        <v>44196</v>
      </c>
      <c r="F6" s="151"/>
      <c r="G6" s="776">
        <v>1227844</v>
      </c>
      <c r="H6" s="123"/>
      <c r="I6" s="777"/>
      <c r="J6" s="151"/>
      <c r="K6" s="126">
        <f>SUM(K7:K9)</f>
        <v>613922</v>
      </c>
      <c r="L6" s="151"/>
      <c r="M6" s="778"/>
      <c r="N6" s="170">
        <f>SUM(N7:N9)</f>
        <v>0</v>
      </c>
      <c r="O6" s="159">
        <f>SUM(O7:O9)</f>
        <v>613922</v>
      </c>
      <c r="P6" s="123"/>
      <c r="Q6" s="686"/>
    </row>
    <row r="7" spans="1:18" outlineLevel="1" x14ac:dyDescent="0.2">
      <c r="A7" s="46"/>
      <c r="B7" s="682"/>
      <c r="C7" s="30"/>
      <c r="D7" s="30"/>
      <c r="E7" s="30" t="s">
        <v>368</v>
      </c>
      <c r="F7" s="30" t="s">
        <v>382</v>
      </c>
      <c r="G7" s="683">
        <v>0.5</v>
      </c>
      <c r="H7" s="23">
        <f>G6*50%</f>
        <v>613922</v>
      </c>
      <c r="I7" s="681">
        <v>1</v>
      </c>
      <c r="J7" s="30">
        <v>43305</v>
      </c>
      <c r="K7" s="24">
        <v>613922</v>
      </c>
      <c r="L7" s="30">
        <v>43342</v>
      </c>
      <c r="M7" s="458"/>
      <c r="N7" s="367" t="str">
        <f>IF(K7="en attente",H7,"")</f>
        <v/>
      </c>
      <c r="O7" s="81"/>
      <c r="P7" s="23"/>
      <c r="Q7" s="212"/>
    </row>
    <row r="8" spans="1:18" outlineLevel="1" x14ac:dyDescent="0.2">
      <c r="A8" s="46"/>
      <c r="B8" s="682"/>
      <c r="C8" s="30"/>
      <c r="D8" s="30"/>
      <c r="E8" s="30"/>
      <c r="F8" s="30" t="s">
        <v>381</v>
      </c>
      <c r="G8" s="683">
        <v>0.25</v>
      </c>
      <c r="H8" s="23">
        <f>+G6*G8</f>
        <v>306961</v>
      </c>
      <c r="I8" s="681">
        <v>2</v>
      </c>
      <c r="J8" s="30"/>
      <c r="K8" s="24"/>
      <c r="L8" s="30"/>
      <c r="M8" s="458"/>
      <c r="N8" s="367" t="str">
        <f>IF(K8="en attente",H8,"")</f>
        <v/>
      </c>
      <c r="O8" s="81">
        <f>+H8</f>
        <v>306961</v>
      </c>
      <c r="P8" s="23"/>
      <c r="Q8" s="212"/>
    </row>
    <row r="9" spans="1:18" outlineLevel="1" x14ac:dyDescent="0.2">
      <c r="A9" s="118"/>
      <c r="B9" s="687"/>
      <c r="C9" s="155"/>
      <c r="D9" s="155"/>
      <c r="E9" s="155"/>
      <c r="F9" s="155" t="s">
        <v>384</v>
      </c>
      <c r="G9" s="688">
        <v>0.25</v>
      </c>
      <c r="H9" s="35">
        <f>+G6*G9</f>
        <v>306961</v>
      </c>
      <c r="I9" s="689">
        <v>3</v>
      </c>
      <c r="J9" s="155"/>
      <c r="K9" s="37"/>
      <c r="L9" s="155"/>
      <c r="M9" s="690"/>
      <c r="N9" s="444" t="str">
        <f>IF(K9="en attente",H9,"")</f>
        <v/>
      </c>
      <c r="O9" s="157">
        <f>+H9</f>
        <v>306961</v>
      </c>
      <c r="P9" s="35"/>
      <c r="Q9" s="212"/>
    </row>
    <row r="10" spans="1:18" x14ac:dyDescent="0.2">
      <c r="A10" s="119" t="s">
        <v>387</v>
      </c>
      <c r="B10" s="775" t="s">
        <v>370</v>
      </c>
      <c r="C10" s="147">
        <v>43283</v>
      </c>
      <c r="D10" s="147">
        <v>44104</v>
      </c>
      <c r="E10" s="147">
        <v>44196</v>
      </c>
      <c r="F10" s="147"/>
      <c r="G10" s="781">
        <v>655125</v>
      </c>
      <c r="H10" s="132"/>
      <c r="I10" s="784"/>
      <c r="J10" s="147"/>
      <c r="K10" s="135">
        <f>SUM(K11:K13)</f>
        <v>327562.5</v>
      </c>
      <c r="L10" s="147"/>
      <c r="M10" s="785"/>
      <c r="N10" s="184">
        <f>SUM(N11:N13)</f>
        <v>0</v>
      </c>
      <c r="O10" s="150">
        <f>SUM(O11:O13)</f>
        <v>327562.5</v>
      </c>
      <c r="P10" s="141"/>
      <c r="Q10" s="212"/>
    </row>
    <row r="11" spans="1:18" outlineLevel="1" x14ac:dyDescent="0.2">
      <c r="A11" s="46"/>
      <c r="B11" s="725"/>
      <c r="C11" s="30"/>
      <c r="D11" s="30"/>
      <c r="E11" s="30" t="s">
        <v>368</v>
      </c>
      <c r="F11" s="30" t="s">
        <v>382</v>
      </c>
      <c r="G11" s="683">
        <v>0.5</v>
      </c>
      <c r="H11" s="23">
        <f>+G10*G11</f>
        <v>327562.5</v>
      </c>
      <c r="I11" s="681">
        <v>1</v>
      </c>
      <c r="J11" s="30">
        <v>43381</v>
      </c>
      <c r="K11" s="24">
        <v>327562.5</v>
      </c>
      <c r="L11" s="30">
        <v>43440</v>
      </c>
      <c r="M11" s="458"/>
      <c r="N11" s="367" t="str">
        <f>IF(K11="en attente",H11,"")</f>
        <v/>
      </c>
      <c r="O11" s="81"/>
      <c r="P11" s="23"/>
      <c r="Q11" s="212"/>
    </row>
    <row r="12" spans="1:18" outlineLevel="1" x14ac:dyDescent="0.2">
      <c r="A12" s="46"/>
      <c r="B12" s="682"/>
      <c r="C12" s="30"/>
      <c r="D12" s="30"/>
      <c r="E12" s="30"/>
      <c r="F12" s="30" t="s">
        <v>381</v>
      </c>
      <c r="G12" s="683">
        <v>0.25</v>
      </c>
      <c r="H12" s="23">
        <f>+G10*G12</f>
        <v>163781.25</v>
      </c>
      <c r="I12" s="681">
        <v>2</v>
      </c>
      <c r="J12" s="30"/>
      <c r="K12" s="24"/>
      <c r="L12" s="30"/>
      <c r="M12" s="458"/>
      <c r="N12" s="367" t="str">
        <f>IF(K12="en attente",H12,"")</f>
        <v/>
      </c>
      <c r="O12" s="81">
        <f>H12</f>
        <v>163781.25</v>
      </c>
      <c r="P12" s="23"/>
      <c r="Q12" s="212"/>
    </row>
    <row r="13" spans="1:18" outlineLevel="1" x14ac:dyDescent="0.2">
      <c r="A13" s="46"/>
      <c r="B13" s="682"/>
      <c r="C13" s="30"/>
      <c r="D13" s="30"/>
      <c r="E13" s="30"/>
      <c r="F13" s="155" t="s">
        <v>384</v>
      </c>
      <c r="G13" s="688">
        <v>0.25</v>
      </c>
      <c r="H13" s="23">
        <f>+G10*G13</f>
        <v>163781.25</v>
      </c>
      <c r="I13" s="681">
        <v>3</v>
      </c>
      <c r="J13" s="30"/>
      <c r="K13" s="24"/>
      <c r="L13" s="30"/>
      <c r="M13" s="458"/>
      <c r="N13" s="367" t="str">
        <f>IF(K13="en attente",H13,"")</f>
        <v/>
      </c>
      <c r="O13" s="81">
        <f>H13</f>
        <v>163781.25</v>
      </c>
      <c r="P13" s="23"/>
      <c r="Q13" s="212"/>
    </row>
    <row r="14" spans="1:18" s="8" customFormat="1" x14ac:dyDescent="0.2">
      <c r="A14" s="48"/>
      <c r="B14" s="48"/>
      <c r="C14" s="48"/>
      <c r="D14" s="48"/>
      <c r="E14" s="48"/>
      <c r="F14" s="48"/>
      <c r="G14" s="691">
        <f>+G6+G10</f>
        <v>1882969</v>
      </c>
      <c r="H14" s="41">
        <f>SUM(H7:H9)</f>
        <v>1227844</v>
      </c>
      <c r="I14" s="692"/>
      <c r="J14" s="50"/>
      <c r="K14" s="693">
        <f>+K6+K10</f>
        <v>941484.5</v>
      </c>
      <c r="L14" s="50"/>
      <c r="M14" s="694"/>
      <c r="N14" s="41">
        <f>N10+N6</f>
        <v>0</v>
      </c>
      <c r="O14" s="695">
        <f>+O6+O10</f>
        <v>941484.5</v>
      </c>
      <c r="P14" s="60"/>
      <c r="Q14" s="166">
        <f>G14-(K14+N14+O14)</f>
        <v>0</v>
      </c>
    </row>
    <row r="15" spans="1:18" x14ac:dyDescent="0.2">
      <c r="A15" s="75"/>
      <c r="B15" s="76"/>
      <c r="C15" s="76"/>
      <c r="D15" s="76"/>
      <c r="E15" s="76"/>
      <c r="F15" s="76"/>
      <c r="G15" s="76"/>
      <c r="H15" s="76"/>
      <c r="I15" s="75"/>
      <c r="J15" s="76"/>
      <c r="K15" s="76"/>
      <c r="L15" s="76"/>
      <c r="M15" s="52"/>
      <c r="N15" s="921">
        <f>SUM(N14:O14)</f>
        <v>941484.5</v>
      </c>
      <c r="O15" s="922"/>
    </row>
  </sheetData>
  <mergeCells count="8">
    <mergeCell ref="N15:O15"/>
    <mergeCell ref="A2:N2"/>
    <mergeCell ref="A4:A5"/>
    <mergeCell ref="B4:B5"/>
    <mergeCell ref="C4:C5"/>
    <mergeCell ref="G4:G5"/>
    <mergeCell ref="H4:M4"/>
    <mergeCell ref="N4:O4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1"/>
    <pageSetUpPr fitToPage="1"/>
  </sheetPr>
  <dimension ref="A1:O26"/>
  <sheetViews>
    <sheetView workbookViewId="0">
      <selection activeCell="K8" sqref="K8"/>
    </sheetView>
  </sheetViews>
  <sheetFormatPr baseColWidth="10" defaultColWidth="11.42578125" defaultRowHeight="12" outlineLevelCol="1" x14ac:dyDescent="0.2"/>
  <cols>
    <col min="1" max="1" width="31.5703125" style="6" bestFit="1" customWidth="1"/>
    <col min="2" max="2" width="30.42578125" style="1" hidden="1" customWidth="1" outlineLevel="1"/>
    <col min="3" max="3" width="11.42578125" style="1" bestFit="1" customWidth="1" collapsed="1"/>
    <col min="4" max="4" width="13.42578125" style="1" bestFit="1" customWidth="1"/>
    <col min="5" max="5" width="14.42578125" style="1" customWidth="1"/>
    <col min="6" max="6" width="4.140625" style="6" bestFit="1" customWidth="1"/>
    <col min="7" max="7" width="10.42578125" style="1" bestFit="1" customWidth="1"/>
    <col min="8" max="8" width="12.42578125" style="1" customWidth="1"/>
    <col min="9" max="9" width="10.42578125" style="1" bestFit="1" customWidth="1"/>
    <col min="10" max="10" width="18.5703125" style="1" bestFit="1" customWidth="1"/>
    <col min="11" max="11" width="14.42578125" style="1" customWidth="1"/>
    <col min="12" max="13" width="14.42578125" style="1" bestFit="1" customWidth="1"/>
    <col min="14" max="14" width="13.42578125" style="1" bestFit="1" customWidth="1"/>
    <col min="15" max="16384" width="11.42578125" style="1"/>
  </cols>
  <sheetData>
    <row r="1" spans="1:15" x14ac:dyDescent="0.2">
      <c r="M1" s="88"/>
      <c r="N1" s="8"/>
    </row>
    <row r="2" spans="1:15" x14ac:dyDescent="0.2">
      <c r="A2" s="923" t="s">
        <v>69</v>
      </c>
      <c r="B2" s="923"/>
      <c r="C2" s="923"/>
      <c r="D2" s="923"/>
      <c r="E2" s="923"/>
      <c r="F2" s="923"/>
      <c r="G2" s="923"/>
      <c r="H2" s="923"/>
      <c r="I2" s="923"/>
      <c r="J2" s="923"/>
      <c r="K2" s="923"/>
      <c r="L2" s="9">
        <f ca="1">TODAY()</f>
        <v>43593</v>
      </c>
      <c r="N2" s="61"/>
    </row>
    <row r="4" spans="1:15" s="2" customFormat="1" x14ac:dyDescent="0.2">
      <c r="A4" s="940" t="s">
        <v>2</v>
      </c>
      <c r="B4" s="940" t="s">
        <v>0</v>
      </c>
      <c r="C4" s="928" t="s">
        <v>21</v>
      </c>
      <c r="D4" s="928" t="s">
        <v>12</v>
      </c>
      <c r="E4" s="924" t="s">
        <v>4</v>
      </c>
      <c r="F4" s="925"/>
      <c r="G4" s="925"/>
      <c r="H4" s="925"/>
      <c r="I4" s="925"/>
      <c r="J4" s="926"/>
      <c r="K4" s="927" t="s">
        <v>13</v>
      </c>
      <c r="L4" s="928"/>
      <c r="N4" s="63"/>
      <c r="O4" s="63"/>
    </row>
    <row r="5" spans="1:15" s="13" customFormat="1" x14ac:dyDescent="0.2">
      <c r="A5" s="941"/>
      <c r="B5" s="941"/>
      <c r="C5" s="942"/>
      <c r="D5" s="942"/>
      <c r="E5" s="10" t="s">
        <v>1</v>
      </c>
      <c r="F5" s="11" t="s">
        <v>3</v>
      </c>
      <c r="G5" s="11" t="s">
        <v>15</v>
      </c>
      <c r="H5" s="12" t="s">
        <v>14</v>
      </c>
      <c r="I5" s="10" t="s">
        <v>15</v>
      </c>
      <c r="J5" s="11" t="s">
        <v>18</v>
      </c>
      <c r="K5" s="3" t="s">
        <v>20</v>
      </c>
      <c r="L5" s="3" t="s">
        <v>19</v>
      </c>
    </row>
    <row r="6" spans="1:15" x14ac:dyDescent="0.2">
      <c r="A6" s="402" t="s">
        <v>68</v>
      </c>
      <c r="B6" s="403"/>
      <c r="C6" s="352">
        <v>41607</v>
      </c>
      <c r="D6" s="355">
        <v>66848.639999999999</v>
      </c>
      <c r="E6" s="404"/>
      <c r="F6" s="405"/>
      <c r="G6" s="406"/>
      <c r="H6" s="407"/>
      <c r="I6" s="408"/>
      <c r="J6" s="406"/>
      <c r="K6" s="409"/>
      <c r="L6" s="409"/>
    </row>
    <row r="7" spans="1:15" x14ac:dyDescent="0.2">
      <c r="A7" s="402"/>
      <c r="B7" s="403"/>
      <c r="C7" s="347"/>
      <c r="D7" s="392">
        <v>-9746.75</v>
      </c>
      <c r="E7" s="349">
        <v>66848.639999999999</v>
      </c>
      <c r="F7" s="405">
        <v>1</v>
      </c>
      <c r="G7" s="406"/>
      <c r="H7" s="351">
        <v>57101.89</v>
      </c>
      <c r="I7" s="352">
        <v>42192</v>
      </c>
      <c r="J7" s="353"/>
      <c r="K7" s="355"/>
      <c r="L7" s="355"/>
    </row>
    <row r="8" spans="1:15" s="26" customFormat="1" x14ac:dyDescent="0.2">
      <c r="A8" s="334" t="s">
        <v>68</v>
      </c>
      <c r="B8" s="353"/>
      <c r="C8" s="347"/>
      <c r="D8" s="355"/>
      <c r="E8" s="349"/>
      <c r="F8" s="350"/>
      <c r="G8" s="352"/>
      <c r="H8" s="349"/>
      <c r="I8" s="352">
        <v>42369</v>
      </c>
      <c r="J8" s="353"/>
      <c r="K8" s="392"/>
      <c r="L8" s="354"/>
      <c r="M8" s="31" t="s">
        <v>248</v>
      </c>
      <c r="N8" s="27"/>
    </row>
    <row r="9" spans="1:15" s="31" customFormat="1" x14ac:dyDescent="0.2">
      <c r="A9" s="476" t="s">
        <v>44</v>
      </c>
      <c r="B9" s="477"/>
      <c r="C9" s="478">
        <v>41091</v>
      </c>
      <c r="D9" s="479">
        <v>38400</v>
      </c>
      <c r="E9" s="480"/>
      <c r="F9" s="481"/>
      <c r="G9" s="478"/>
      <c r="H9" s="482"/>
      <c r="I9" s="483"/>
      <c r="J9" s="477"/>
      <c r="K9" s="484">
        <f>+IF(G9="",0,E9-H9)</f>
        <v>0</v>
      </c>
      <c r="L9" s="484">
        <f>IF(G9="",E9-H9,0)</f>
        <v>0</v>
      </c>
      <c r="M9" s="113"/>
      <c r="N9" s="113"/>
    </row>
    <row r="10" spans="1:15" s="31" customFormat="1" x14ac:dyDescent="0.2">
      <c r="A10" s="485" t="s">
        <v>44</v>
      </c>
      <c r="B10" s="422"/>
      <c r="C10" s="412"/>
      <c r="D10" s="438" t="s">
        <v>106</v>
      </c>
      <c r="E10" s="486">
        <v>38400</v>
      </c>
      <c r="F10" s="487">
        <v>1</v>
      </c>
      <c r="G10" s="412">
        <v>41984</v>
      </c>
      <c r="H10" s="488"/>
      <c r="I10" s="489"/>
      <c r="J10" s="422">
        <f ca="1">$L$2-G10</f>
        <v>1609</v>
      </c>
      <c r="K10" s="392">
        <f>+IF(G10="",0,E10-H10)</f>
        <v>38400</v>
      </c>
      <c r="L10" s="392">
        <f>IF(G10="",E10-H10,0)</f>
        <v>0</v>
      </c>
      <c r="M10" s="113"/>
    </row>
    <row r="11" spans="1:15" s="8" customFormat="1" x14ac:dyDescent="0.2">
      <c r="A11" s="490"/>
      <c r="B11" s="490"/>
      <c r="C11" s="490"/>
      <c r="D11" s="491">
        <f>SUM(D6:D10)</f>
        <v>95501.89</v>
      </c>
      <c r="E11" s="491">
        <f>SUM(E7)</f>
        <v>66848.639999999999</v>
      </c>
      <c r="F11" s="492"/>
      <c r="G11" s="493"/>
      <c r="H11" s="491">
        <f>SUM(H6:H10)</f>
        <v>57101.89</v>
      </c>
      <c r="I11" s="493"/>
      <c r="J11" s="493"/>
      <c r="K11" s="491">
        <f>SUM(K6:K8)</f>
        <v>0</v>
      </c>
      <c r="L11" s="491">
        <f>SUM(L6:L10)</f>
        <v>0</v>
      </c>
      <c r="M11" s="20"/>
      <c r="N11" s="20"/>
    </row>
    <row r="12" spans="1:15" x14ac:dyDescent="0.2">
      <c r="A12" s="75"/>
      <c r="B12" s="76"/>
      <c r="C12" s="76"/>
      <c r="D12" s="76"/>
      <c r="E12" s="76"/>
      <c r="F12" s="75"/>
      <c r="G12" s="76"/>
      <c r="H12" s="76"/>
      <c r="I12" s="76"/>
      <c r="J12" s="52"/>
      <c r="K12" s="921">
        <f>SUM(K11:L11)</f>
        <v>0</v>
      </c>
      <c r="L12" s="922"/>
    </row>
    <row r="26" spans="14:14" x14ac:dyDescent="0.2">
      <c r="N26" s="401"/>
    </row>
  </sheetData>
  <autoFilter ref="A4:M5">
    <filterColumn colId="4" showButton="0"/>
    <filterColumn colId="5" showButton="0"/>
    <filterColumn colId="6" showButton="0"/>
    <filterColumn colId="7" showButton="0"/>
    <filterColumn colId="8" showButton="0"/>
    <filterColumn colId="10" showButton="0"/>
  </autoFilter>
  <mergeCells count="8">
    <mergeCell ref="K12:L12"/>
    <mergeCell ref="A2:K2"/>
    <mergeCell ref="A4:A5"/>
    <mergeCell ref="B4:B5"/>
    <mergeCell ref="C4:C5"/>
    <mergeCell ref="D4:D5"/>
    <mergeCell ref="E4:J4"/>
    <mergeCell ref="K4:L4"/>
  </mergeCells>
  <pageMargins left="0.7" right="0.7" top="0.75" bottom="0.75" header="0.3" footer="0.3"/>
  <pageSetup paperSize="9" scale="76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theme="1"/>
    <pageSetUpPr fitToPage="1"/>
  </sheetPr>
  <dimension ref="A1:S25"/>
  <sheetViews>
    <sheetView zoomScaleNormal="100" workbookViewId="0">
      <pane xSplit="1" ySplit="5" topLeftCell="E9" activePane="bottomRight" state="frozen"/>
      <selection pane="topRight" activeCell="B1" sqref="B1"/>
      <selection pane="bottomLeft" activeCell="A6" sqref="A6"/>
      <selection pane="bottomRight" activeCell="O23" sqref="O23"/>
    </sheetView>
  </sheetViews>
  <sheetFormatPr baseColWidth="10" defaultColWidth="11.42578125" defaultRowHeight="12" outlineLevelCol="1" x14ac:dyDescent="0.2"/>
  <cols>
    <col min="1" max="1" width="31.5703125" style="6" bestFit="1" customWidth="1"/>
    <col min="2" max="2" width="30.42578125" style="1" customWidth="1" outlineLevel="1"/>
    <col min="3" max="3" width="11.42578125" style="1" bestFit="1" customWidth="1"/>
    <col min="4" max="4" width="11.42578125" style="1" customWidth="1"/>
    <col min="5" max="5" width="15.5703125" style="1" customWidth="1"/>
    <col min="6" max="6" width="11.42578125" style="1" customWidth="1"/>
    <col min="7" max="7" width="13.42578125" style="1" bestFit="1" customWidth="1"/>
    <col min="8" max="8" width="14.42578125" style="1" customWidth="1"/>
    <col min="9" max="9" width="4.140625" style="6" bestFit="1" customWidth="1"/>
    <col min="10" max="10" width="10.42578125" style="1" bestFit="1" customWidth="1"/>
    <col min="11" max="11" width="12.42578125" style="1" customWidth="1"/>
    <col min="12" max="12" width="10.42578125" style="1" bestFit="1" customWidth="1"/>
    <col min="13" max="13" width="18.5703125" style="1" bestFit="1" customWidth="1"/>
    <col min="14" max="14" width="17.140625" style="1" customWidth="1"/>
    <col min="15" max="15" width="14.42578125" style="1" bestFit="1" customWidth="1"/>
    <col min="16" max="16" width="23.5703125" style="1" customWidth="1"/>
    <col min="17" max="17" width="14.42578125" style="1" bestFit="1" customWidth="1"/>
    <col min="18" max="18" width="13.42578125" style="1" bestFit="1" customWidth="1"/>
    <col min="19" max="16384" width="11.42578125" style="1"/>
  </cols>
  <sheetData>
    <row r="1" spans="1:19" x14ac:dyDescent="0.2">
      <c r="Q1" s="88"/>
      <c r="R1" s="8"/>
    </row>
    <row r="2" spans="1:19" x14ac:dyDescent="0.2">
      <c r="A2" s="923" t="s">
        <v>66</v>
      </c>
      <c r="B2" s="923"/>
      <c r="C2" s="923"/>
      <c r="D2" s="923"/>
      <c r="E2" s="923"/>
      <c r="F2" s="923"/>
      <c r="G2" s="923"/>
      <c r="H2" s="923"/>
      <c r="I2" s="923"/>
      <c r="J2" s="923"/>
      <c r="K2" s="923"/>
      <c r="L2" s="923"/>
      <c r="M2" s="923"/>
      <c r="N2" s="923"/>
      <c r="O2" s="9">
        <f ca="1">TODAY()</f>
        <v>43593</v>
      </c>
      <c r="P2" s="9"/>
      <c r="R2" s="61"/>
    </row>
    <row r="4" spans="1:19" s="2" customFormat="1" ht="24" x14ac:dyDescent="0.2">
      <c r="A4" s="940" t="s">
        <v>2</v>
      </c>
      <c r="B4" s="940" t="s">
        <v>0</v>
      </c>
      <c r="C4" s="928" t="s">
        <v>21</v>
      </c>
      <c r="D4" s="207" t="s">
        <v>126</v>
      </c>
      <c r="E4" s="207" t="s">
        <v>120</v>
      </c>
      <c r="F4" s="207" t="s">
        <v>124</v>
      </c>
      <c r="G4" s="928" t="s">
        <v>12</v>
      </c>
      <c r="H4" s="924" t="s">
        <v>4</v>
      </c>
      <c r="I4" s="925"/>
      <c r="J4" s="925"/>
      <c r="K4" s="925"/>
      <c r="L4" s="925"/>
      <c r="M4" s="926"/>
      <c r="N4" s="927" t="s">
        <v>13</v>
      </c>
      <c r="O4" s="928"/>
      <c r="P4" s="231" t="s">
        <v>137</v>
      </c>
      <c r="Q4" s="1"/>
      <c r="R4" s="63"/>
      <c r="S4" s="63"/>
    </row>
    <row r="5" spans="1:19" s="13" customFormat="1" x14ac:dyDescent="0.2">
      <c r="A5" s="941"/>
      <c r="B5" s="941"/>
      <c r="C5" s="942"/>
      <c r="D5" s="208"/>
      <c r="E5" s="208"/>
      <c r="F5" s="208"/>
      <c r="G5" s="942"/>
      <c r="H5" s="10" t="s">
        <v>1</v>
      </c>
      <c r="I5" s="11" t="s">
        <v>3</v>
      </c>
      <c r="J5" s="11" t="s">
        <v>15</v>
      </c>
      <c r="K5" s="12" t="s">
        <v>14</v>
      </c>
      <c r="L5" s="10" t="s">
        <v>15</v>
      </c>
      <c r="M5" s="11" t="s">
        <v>18</v>
      </c>
      <c r="N5" s="3" t="s">
        <v>20</v>
      </c>
      <c r="O5" s="3" t="s">
        <v>19</v>
      </c>
      <c r="P5" s="3"/>
    </row>
    <row r="6" spans="1:19" s="8" customFormat="1" x14ac:dyDescent="0.2">
      <c r="A6" s="129" t="s">
        <v>64</v>
      </c>
      <c r="B6" s="130" t="s">
        <v>152</v>
      </c>
      <c r="C6" s="147">
        <v>41010</v>
      </c>
      <c r="D6" s="149"/>
      <c r="E6" s="149">
        <v>42004</v>
      </c>
      <c r="F6" s="149"/>
      <c r="G6" s="137">
        <v>241997.58</v>
      </c>
      <c r="H6" s="132"/>
      <c r="I6" s="215"/>
      <c r="J6" s="134"/>
      <c r="K6" s="135">
        <f>SUM(K7:K9)</f>
        <v>201959.72999999998</v>
      </c>
      <c r="L6" s="136"/>
      <c r="M6" s="134"/>
      <c r="N6" s="137">
        <f>SUM(N7:N9)</f>
        <v>0</v>
      </c>
      <c r="O6" s="137">
        <f>SUM(O7:O9)</f>
        <v>0</v>
      </c>
      <c r="P6" s="137"/>
      <c r="Q6" s="164">
        <f>G6-(K6+N6+O6)</f>
        <v>40037.850000000006</v>
      </c>
    </row>
    <row r="7" spans="1:19" s="26" customFormat="1" ht="24" x14ac:dyDescent="0.2">
      <c r="A7" s="281" t="s">
        <v>64</v>
      </c>
      <c r="B7" s="300"/>
      <c r="C7" s="286"/>
      <c r="D7" s="286"/>
      <c r="E7" s="282" t="s">
        <v>136</v>
      </c>
      <c r="F7" s="286"/>
      <c r="G7" s="283">
        <f>H7/$G$6</f>
        <v>0.51293058385129309</v>
      </c>
      <c r="H7" s="284">
        <v>124127.96</v>
      </c>
      <c r="I7" s="285">
        <v>1</v>
      </c>
      <c r="J7" s="288">
        <v>40800</v>
      </c>
      <c r="K7" s="284">
        <v>124157.04</v>
      </c>
      <c r="L7" s="288">
        <v>40842</v>
      </c>
      <c r="M7" s="323">
        <f>$L$7-J7</f>
        <v>42</v>
      </c>
      <c r="N7" s="290" t="str">
        <f>IF(K7="en attente",H7,"")</f>
        <v/>
      </c>
      <c r="O7" s="290">
        <f>IF(J7="",H7-K7,0)</f>
        <v>0</v>
      </c>
      <c r="P7" s="366" t="s">
        <v>138</v>
      </c>
      <c r="Q7" s="164"/>
      <c r="R7" s="27"/>
    </row>
    <row r="8" spans="1:19" s="26" customFormat="1" x14ac:dyDescent="0.2">
      <c r="A8" s="281" t="s">
        <v>64</v>
      </c>
      <c r="B8" s="300"/>
      <c r="C8" s="286"/>
      <c r="D8" s="286"/>
      <c r="E8" s="286"/>
      <c r="F8" s="286"/>
      <c r="G8" s="283">
        <f>H8/$G$6+G7</f>
        <v>0.51293058385129309</v>
      </c>
      <c r="H8" s="284"/>
      <c r="I8" s="285"/>
      <c r="J8" s="286"/>
      <c r="K8" s="284"/>
      <c r="L8" s="288"/>
      <c r="M8" s="300"/>
      <c r="N8" s="290" t="str">
        <f>IF(K8="en attente",H8,"")</f>
        <v/>
      </c>
      <c r="O8" s="290">
        <f t="shared" ref="O8:O13" si="0">IF(J8="",H8-K8,0)</f>
        <v>0</v>
      </c>
      <c r="P8" s="290" t="s">
        <v>153</v>
      </c>
      <c r="Q8" s="164"/>
      <c r="R8" s="27"/>
    </row>
    <row r="9" spans="1:19" s="26" customFormat="1" x14ac:dyDescent="0.2">
      <c r="A9" s="281" t="s">
        <v>64</v>
      </c>
      <c r="B9" s="300"/>
      <c r="C9" s="286"/>
      <c r="D9" s="286"/>
      <c r="E9" s="286"/>
      <c r="F9" s="286"/>
      <c r="G9" s="431">
        <v>0.83460000000000001</v>
      </c>
      <c r="H9" s="284">
        <v>117869.62</v>
      </c>
      <c r="I9" s="285">
        <v>2</v>
      </c>
      <c r="J9" s="286">
        <v>41171</v>
      </c>
      <c r="K9" s="287">
        <v>77802.69</v>
      </c>
      <c r="L9" s="288">
        <v>42324</v>
      </c>
      <c r="M9" s="300"/>
      <c r="N9" s="290" t="str">
        <f>IF(K9="en attente",H9,"")</f>
        <v/>
      </c>
      <c r="O9" s="290">
        <f t="shared" si="0"/>
        <v>0</v>
      </c>
      <c r="P9" s="290" t="s">
        <v>154</v>
      </c>
      <c r="Q9" s="164"/>
      <c r="R9" s="27"/>
    </row>
    <row r="10" spans="1:19" s="107" customFormat="1" x14ac:dyDescent="0.2">
      <c r="A10" s="119" t="s">
        <v>65</v>
      </c>
      <c r="B10" s="120" t="s">
        <v>129</v>
      </c>
      <c r="C10" s="158">
        <v>40892</v>
      </c>
      <c r="D10" s="158">
        <v>40823</v>
      </c>
      <c r="E10" s="158">
        <v>42277</v>
      </c>
      <c r="F10" s="158">
        <v>41890</v>
      </c>
      <c r="G10" s="128">
        <v>1470807.68</v>
      </c>
      <c r="H10" s="123"/>
      <c r="I10" s="138"/>
      <c r="J10" s="158"/>
      <c r="K10" s="126">
        <f>SUM(K11:K13)</f>
        <v>1290562.67</v>
      </c>
      <c r="L10" s="127"/>
      <c r="M10" s="125"/>
      <c r="N10" s="159">
        <f>SUM(N11:N13)</f>
        <v>0</v>
      </c>
      <c r="O10" s="159">
        <f>SUM(O11:O13)</f>
        <v>0</v>
      </c>
      <c r="P10" s="159"/>
      <c r="Q10" s="164">
        <f>G10-(K10+N10+O10)</f>
        <v>180245.01</v>
      </c>
      <c r="R10" s="209"/>
    </row>
    <row r="11" spans="1:19" s="221" customFormat="1" x14ac:dyDescent="0.2">
      <c r="A11" s="281" t="s">
        <v>65</v>
      </c>
      <c r="B11" s="314"/>
      <c r="C11" s="315"/>
      <c r="D11" s="316"/>
      <c r="E11" s="317">
        <v>42338</v>
      </c>
      <c r="F11" s="317"/>
      <c r="G11" s="318">
        <f>H11/$G$10</f>
        <v>0.55022638989755612</v>
      </c>
      <c r="H11" s="319">
        <v>809277.2</v>
      </c>
      <c r="I11" s="320">
        <v>1</v>
      </c>
      <c r="J11" s="317">
        <v>41947</v>
      </c>
      <c r="K11" s="321"/>
      <c r="L11" s="322"/>
      <c r="M11" s="323">
        <f ca="1">$O$2-J11</f>
        <v>1646</v>
      </c>
      <c r="N11" s="324" t="str">
        <f>IF(K11="en attente",H11,"")</f>
        <v/>
      </c>
      <c r="O11" s="324">
        <f>IF(J11="",H11-K11,0)</f>
        <v>0</v>
      </c>
      <c r="P11" s="324" t="s">
        <v>214</v>
      </c>
      <c r="Q11" s="164"/>
    </row>
    <row r="12" spans="1:19" ht="12.2" customHeight="1" x14ac:dyDescent="0.2">
      <c r="A12" s="281" t="s">
        <v>65</v>
      </c>
      <c r="B12" s="304"/>
      <c r="C12" s="286"/>
      <c r="D12" s="286"/>
      <c r="E12" s="286"/>
      <c r="F12" s="286"/>
      <c r="G12" s="283">
        <f>H12/$G$10+G11</f>
        <v>0.88995725804205761</v>
      </c>
      <c r="H12" s="284">
        <v>499678.77</v>
      </c>
      <c r="I12" s="285">
        <v>2</v>
      </c>
      <c r="J12" s="286">
        <v>42334</v>
      </c>
      <c r="K12" s="287">
        <v>1290562.67</v>
      </c>
      <c r="L12" s="288">
        <v>42381</v>
      </c>
      <c r="M12" s="300"/>
      <c r="N12" s="290" t="str">
        <f>IF(K12="en attente",H12,"")</f>
        <v/>
      </c>
      <c r="O12" s="290">
        <f>IF(J12="",H12-K12,0)</f>
        <v>0</v>
      </c>
      <c r="P12" s="290" t="s">
        <v>215</v>
      </c>
      <c r="Q12" s="164"/>
    </row>
    <row r="13" spans="1:19" x14ac:dyDescent="0.2">
      <c r="A13" s="281"/>
      <c r="B13" s="300"/>
      <c r="C13" s="286"/>
      <c r="D13" s="286"/>
      <c r="E13" s="286"/>
      <c r="F13" s="286"/>
      <c r="G13" s="293"/>
      <c r="H13" s="284"/>
      <c r="I13" s="285"/>
      <c r="J13" s="286"/>
      <c r="K13" s="287"/>
      <c r="L13" s="288"/>
      <c r="M13" s="300"/>
      <c r="N13" s="290"/>
      <c r="O13" s="290">
        <f t="shared" si="0"/>
        <v>0</v>
      </c>
      <c r="P13" s="290"/>
      <c r="Q13" s="164">
        <f>G13-(K13+N13+O13)</f>
        <v>0</v>
      </c>
      <c r="R13" s="27"/>
    </row>
    <row r="14" spans="1:19" s="8" customFormat="1" x14ac:dyDescent="0.2">
      <c r="A14" s="48"/>
      <c r="B14" s="48"/>
      <c r="C14" s="48"/>
      <c r="D14" s="48"/>
      <c r="E14" s="48"/>
      <c r="F14" s="48"/>
      <c r="G14" s="41">
        <f>G6+G10</f>
        <v>1712805.26</v>
      </c>
      <c r="H14" s="41">
        <f>SUMPRODUCT((DateAF_FEDER&lt;&gt;"")*MontantAF_FEDER)</f>
        <v>1550953.55</v>
      </c>
      <c r="I14" s="49"/>
      <c r="J14" s="50"/>
      <c r="K14" s="41">
        <f>K6+K10</f>
        <v>1492522.4</v>
      </c>
      <c r="L14" s="50"/>
      <c r="M14" s="50"/>
      <c r="N14" s="41">
        <f>N6+N10</f>
        <v>0</v>
      </c>
      <c r="O14" s="41">
        <f>O6+O10</f>
        <v>0</v>
      </c>
      <c r="P14" s="41"/>
      <c r="Q14" s="164">
        <f>G14-(K14+N14+O14)</f>
        <v>220282.8600000001</v>
      </c>
      <c r="R14" s="20"/>
    </row>
    <row r="15" spans="1:19" x14ac:dyDescent="0.2">
      <c r="A15" s="75"/>
      <c r="B15" s="76"/>
      <c r="C15" s="76"/>
      <c r="D15" s="76"/>
      <c r="E15" s="76"/>
      <c r="F15" s="76"/>
      <c r="G15" s="76"/>
      <c r="H15" s="76"/>
      <c r="I15" s="75"/>
      <c r="J15" s="76"/>
      <c r="K15" s="475"/>
      <c r="L15" s="76"/>
      <c r="M15" s="52"/>
      <c r="N15" s="921">
        <f>SUM(N14:O14)</f>
        <v>0</v>
      </c>
      <c r="O15" s="922"/>
    </row>
    <row r="17" spans="1:15" x14ac:dyDescent="0.2">
      <c r="H17" s="371" t="s">
        <v>219</v>
      </c>
      <c r="K17" s="372" t="s">
        <v>221</v>
      </c>
      <c r="N17" s="371" t="s">
        <v>219</v>
      </c>
      <c r="O17" s="372" t="s">
        <v>221</v>
      </c>
    </row>
    <row r="18" spans="1:15" x14ac:dyDescent="0.2">
      <c r="G18" s="380">
        <v>40787</v>
      </c>
      <c r="H18" s="91">
        <f t="shared" ref="H18:H23" si="1">SUMPRODUCT((DateAF_FEDER&lt;&gt;"")*(MONTH(DateAF_FEDER)=MONTH(G18))*(YEAR(DateAF_FEDER)=YEAR(G18))*MontantAF_FEDER)</f>
        <v>124127.96</v>
      </c>
      <c r="J18" s="380">
        <v>40787</v>
      </c>
      <c r="K18" s="91">
        <f t="shared" ref="K18:K23" si="2">SUMPRODUCT((DatePmt_FEDER&lt;&gt;"")*(DatePmt_FEDER&lt;&gt;"en attente")*(MONTH(DatePmt_FEDER)=MONTH(J18))*(YEAR(DatePmt_FEDER)=YEAR(J18))*(ISNUMBER(MtntPaye_FEDER)),MtntPaye_FEDER)</f>
        <v>0</v>
      </c>
      <c r="M18" s="1">
        <v>2011</v>
      </c>
      <c r="N18" s="91">
        <f t="shared" ref="N18:N23" si="3">SUMPRODUCT((YEAR($G$18:$G$23)=M18)*($H$18:$H$23))</f>
        <v>124127.96</v>
      </c>
      <c r="O18" s="91">
        <f t="shared" ref="O18:O23" si="4">SUMPRODUCT((YEAR($J$18:$J$23)=M18)*($K$18:$K$23))</f>
        <v>124157.04</v>
      </c>
    </row>
    <row r="19" spans="1:15" x14ac:dyDescent="0.2">
      <c r="G19" s="380">
        <v>40817</v>
      </c>
      <c r="H19" s="91">
        <f t="shared" si="1"/>
        <v>0</v>
      </c>
      <c r="J19" s="380">
        <v>40817</v>
      </c>
      <c r="K19" s="91">
        <f t="shared" si="2"/>
        <v>124157.04</v>
      </c>
      <c r="M19" s="1">
        <v>2012</v>
      </c>
      <c r="N19" s="91">
        <f t="shared" si="3"/>
        <v>117869.62</v>
      </c>
      <c r="O19" s="91">
        <f t="shared" si="4"/>
        <v>0</v>
      </c>
    </row>
    <row r="20" spans="1:15" x14ac:dyDescent="0.2">
      <c r="G20" s="380">
        <v>41153</v>
      </c>
      <c r="H20" s="91">
        <f t="shared" si="1"/>
        <v>117869.62</v>
      </c>
      <c r="J20" s="380">
        <v>41153</v>
      </c>
      <c r="K20" s="91">
        <f t="shared" si="2"/>
        <v>0</v>
      </c>
      <c r="M20" s="1">
        <v>2014</v>
      </c>
      <c r="N20" s="91">
        <f t="shared" si="3"/>
        <v>809277.2</v>
      </c>
      <c r="O20" s="91">
        <f t="shared" si="4"/>
        <v>0</v>
      </c>
    </row>
    <row r="21" spans="1:15" x14ac:dyDescent="0.2">
      <c r="G21" s="380">
        <v>41944</v>
      </c>
      <c r="H21" s="91">
        <f t="shared" si="1"/>
        <v>809277.2</v>
      </c>
      <c r="J21" s="380">
        <v>41944</v>
      </c>
      <c r="K21" s="91">
        <f t="shared" si="2"/>
        <v>0</v>
      </c>
      <c r="M21" s="1">
        <v>2015</v>
      </c>
      <c r="N21" s="91">
        <f t="shared" si="3"/>
        <v>499678.77</v>
      </c>
      <c r="O21" s="91">
        <f t="shared" si="4"/>
        <v>77802.69</v>
      </c>
    </row>
    <row r="22" spans="1:15" x14ac:dyDescent="0.2">
      <c r="G22" s="380">
        <v>42309</v>
      </c>
      <c r="H22" s="91">
        <f t="shared" si="1"/>
        <v>499678.77</v>
      </c>
      <c r="J22" s="380">
        <v>42309</v>
      </c>
      <c r="K22" s="91">
        <f t="shared" si="2"/>
        <v>77802.69</v>
      </c>
      <c r="M22" s="1">
        <v>2016</v>
      </c>
      <c r="N22" s="91">
        <f t="shared" si="3"/>
        <v>0</v>
      </c>
      <c r="O22" s="91">
        <f t="shared" si="4"/>
        <v>1290562.67</v>
      </c>
    </row>
    <row r="23" spans="1:15" x14ac:dyDescent="0.2">
      <c r="G23" s="380">
        <v>42370</v>
      </c>
      <c r="H23" s="91">
        <f t="shared" si="1"/>
        <v>0</v>
      </c>
      <c r="J23" s="380">
        <v>42370</v>
      </c>
      <c r="K23" s="91">
        <f t="shared" si="2"/>
        <v>1290562.67</v>
      </c>
      <c r="M23" s="1">
        <v>2017</v>
      </c>
      <c r="N23" s="1">
        <f t="shared" si="3"/>
        <v>0</v>
      </c>
      <c r="O23" s="1">
        <f t="shared" si="4"/>
        <v>0</v>
      </c>
    </row>
    <row r="24" spans="1:15" s="8" customFormat="1" x14ac:dyDescent="0.2">
      <c r="A24" s="461"/>
      <c r="H24" s="462">
        <f>SUM(H18:H23)</f>
        <v>1550953.55</v>
      </c>
      <c r="I24" s="461"/>
      <c r="K24" s="462">
        <f>SUM(K18:K23)</f>
        <v>1492522.4</v>
      </c>
      <c r="M24" s="1"/>
      <c r="N24" s="462">
        <f>SUM(N18:N23)</f>
        <v>1550953.55</v>
      </c>
      <c r="O24" s="462">
        <f>SUM(O18:O23)</f>
        <v>1492522.4</v>
      </c>
    </row>
    <row r="25" spans="1:15" s="161" customFormat="1" x14ac:dyDescent="0.2">
      <c r="A25" s="467"/>
      <c r="H25" s="166">
        <f>+H24-H14</f>
        <v>0</v>
      </c>
      <c r="I25" s="467"/>
      <c r="K25" s="166">
        <f>+K24-K14</f>
        <v>0</v>
      </c>
      <c r="M25" s="8"/>
      <c r="N25" s="166">
        <f>+N24-H24</f>
        <v>0</v>
      </c>
      <c r="O25" s="166">
        <f>+O24-K24</f>
        <v>0</v>
      </c>
    </row>
  </sheetData>
  <autoFilter ref="A4:Q5">
    <filterColumn colId="7" showButton="0"/>
    <filterColumn colId="8" showButton="0"/>
    <filterColumn colId="9" showButton="0"/>
    <filterColumn colId="10" showButton="0"/>
    <filterColumn colId="11" showButton="0"/>
    <filterColumn colId="13" showButton="0"/>
  </autoFilter>
  <mergeCells count="8">
    <mergeCell ref="N15:O15"/>
    <mergeCell ref="A2:N2"/>
    <mergeCell ref="A4:A5"/>
    <mergeCell ref="B4:B5"/>
    <mergeCell ref="C4:C5"/>
    <mergeCell ref="G4:G5"/>
    <mergeCell ref="H4:M4"/>
    <mergeCell ref="N4:O4"/>
  </mergeCells>
  <pageMargins left="0.7" right="0.7" top="0.75" bottom="0.75" header="0.3" footer="0.3"/>
  <pageSetup paperSize="9" scale="76" orientation="landscape"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theme="1"/>
    <outlinePr summaryBelow="0"/>
    <pageSetUpPr fitToPage="1"/>
  </sheetPr>
  <dimension ref="A1:Q32"/>
  <sheetViews>
    <sheetView zoomScale="85" zoomScaleNormal="85" workbookViewId="0">
      <selection activeCell="G8" sqref="G8"/>
    </sheetView>
  </sheetViews>
  <sheetFormatPr baseColWidth="10" defaultColWidth="11.42578125" defaultRowHeight="12" outlineLevelRow="1" x14ac:dyDescent="0.2"/>
  <cols>
    <col min="1" max="1" width="31.5703125" style="6" bestFit="1" customWidth="1"/>
    <col min="2" max="2" width="11.42578125" style="1" bestFit="1" customWidth="1"/>
    <col min="3" max="4" width="11.42578125" style="1" customWidth="1"/>
    <col min="5" max="5" width="13.42578125" style="1" bestFit="1" customWidth="1"/>
    <col min="6" max="6" width="14.42578125" style="1" customWidth="1"/>
    <col min="7" max="7" width="4.140625" style="6" bestFit="1" customWidth="1"/>
    <col min="8" max="8" width="10.42578125" style="1" bestFit="1" customWidth="1"/>
    <col min="9" max="9" width="12.42578125" style="1" customWidth="1"/>
    <col min="10" max="10" width="10.42578125" style="1" bestFit="1" customWidth="1"/>
    <col min="11" max="11" width="18.5703125" style="1" bestFit="1" customWidth="1"/>
    <col min="12" max="12" width="14.42578125" style="1" customWidth="1"/>
    <col min="13" max="13" width="14.42578125" style="1" bestFit="1" customWidth="1"/>
    <col min="14" max="14" width="13.42578125" style="1" bestFit="1" customWidth="1"/>
    <col min="15" max="15" width="14.42578125" style="1" bestFit="1" customWidth="1"/>
    <col min="16" max="16" width="13.42578125" style="1" bestFit="1" customWidth="1"/>
    <col min="17" max="16384" width="11.42578125" style="1"/>
  </cols>
  <sheetData>
    <row r="1" spans="1:17" x14ac:dyDescent="0.2">
      <c r="O1" s="89"/>
      <c r="P1" s="8"/>
    </row>
    <row r="2" spans="1:17" x14ac:dyDescent="0.2">
      <c r="A2" s="923" t="s">
        <v>72</v>
      </c>
      <c r="B2" s="923"/>
      <c r="C2" s="923"/>
      <c r="D2" s="923"/>
      <c r="E2" s="923"/>
      <c r="F2" s="923"/>
      <c r="G2" s="923"/>
      <c r="H2" s="923"/>
      <c r="I2" s="923"/>
      <c r="J2" s="923"/>
      <c r="K2" s="923"/>
      <c r="L2" s="923"/>
      <c r="M2" s="9">
        <f ca="1">TODAY()</f>
        <v>43593</v>
      </c>
      <c r="P2" s="61"/>
    </row>
    <row r="4" spans="1:17" s="2" customFormat="1" ht="24" x14ac:dyDescent="0.2">
      <c r="A4" s="940" t="s">
        <v>2</v>
      </c>
      <c r="B4" s="928" t="s">
        <v>21</v>
      </c>
      <c r="C4" s="225" t="s">
        <v>120</v>
      </c>
      <c r="D4" s="225" t="s">
        <v>131</v>
      </c>
      <c r="E4" s="928" t="s">
        <v>12</v>
      </c>
      <c r="F4" s="924" t="s">
        <v>4</v>
      </c>
      <c r="G4" s="925"/>
      <c r="H4" s="925"/>
      <c r="I4" s="925"/>
      <c r="J4" s="925"/>
      <c r="K4" s="926"/>
      <c r="L4" s="927" t="s">
        <v>13</v>
      </c>
      <c r="M4" s="928"/>
      <c r="N4" s="928" t="s">
        <v>107</v>
      </c>
      <c r="P4" s="63"/>
      <c r="Q4" s="63"/>
    </row>
    <row r="5" spans="1:17" s="13" customFormat="1" x14ac:dyDescent="0.2">
      <c r="A5" s="941"/>
      <c r="B5" s="942"/>
      <c r="C5" s="226"/>
      <c r="D5" s="226"/>
      <c r="E5" s="942"/>
      <c r="F5" s="10" t="s">
        <v>1</v>
      </c>
      <c r="G5" s="11" t="s">
        <v>3</v>
      </c>
      <c r="H5" s="11" t="s">
        <v>15</v>
      </c>
      <c r="I5" s="12" t="s">
        <v>14</v>
      </c>
      <c r="J5" s="10" t="s">
        <v>15</v>
      </c>
      <c r="K5" s="11" t="s">
        <v>18</v>
      </c>
      <c r="L5" s="3" t="s">
        <v>20</v>
      </c>
      <c r="M5" s="3" t="s">
        <v>19</v>
      </c>
      <c r="N5" s="942"/>
    </row>
    <row r="6" spans="1:17" s="8" customFormat="1" x14ac:dyDescent="0.2">
      <c r="A6" s="129" t="s">
        <v>40</v>
      </c>
      <c r="B6" s="147">
        <v>40452</v>
      </c>
      <c r="C6" s="149"/>
      <c r="D6" s="149"/>
      <c r="E6" s="137">
        <v>340000</v>
      </c>
      <c r="F6" s="132"/>
      <c r="G6" s="215"/>
      <c r="H6" s="134"/>
      <c r="I6" s="135">
        <f>SUM(I7:I10)</f>
        <v>289788.59000000003</v>
      </c>
      <c r="J6" s="147"/>
      <c r="K6" s="134"/>
      <c r="L6" s="137">
        <f>SUM(L7:L10)</f>
        <v>0</v>
      </c>
      <c r="M6" s="137">
        <f>SUM(M7:M10)</f>
        <v>50211.41</v>
      </c>
      <c r="N6" s="137"/>
      <c r="O6" s="166">
        <f>E6-(I6+L6+M6)</f>
        <v>0</v>
      </c>
    </row>
    <row r="7" spans="1:17" s="26" customFormat="1" outlineLevel="1" x14ac:dyDescent="0.2">
      <c r="A7" s="46" t="s">
        <v>40</v>
      </c>
      <c r="B7" s="15"/>
      <c r="C7" s="15"/>
      <c r="D7" s="15"/>
      <c r="E7" s="108">
        <f>F7/$E$6</f>
        <v>0.2</v>
      </c>
      <c r="F7" s="23">
        <v>68000</v>
      </c>
      <c r="G7" s="42">
        <v>1</v>
      </c>
      <c r="H7" s="30">
        <v>40453</v>
      </c>
      <c r="I7" s="23">
        <v>68000</v>
      </c>
      <c r="J7" s="30">
        <v>40514</v>
      </c>
      <c r="K7" s="4"/>
      <c r="L7" s="81" t="str">
        <f>IF(I7="en attente",F7,"")</f>
        <v/>
      </c>
      <c r="M7" s="81">
        <f>IF(H7="",F7-I7,0)</f>
        <v>0</v>
      </c>
      <c r="N7" s="16"/>
      <c r="O7" s="166"/>
      <c r="P7" s="27"/>
    </row>
    <row r="8" spans="1:17" s="26" customFormat="1" outlineLevel="1" x14ac:dyDescent="0.2">
      <c r="A8" s="46" t="s">
        <v>40</v>
      </c>
      <c r="B8" s="15"/>
      <c r="C8" s="15"/>
      <c r="D8" s="15"/>
      <c r="E8" s="108">
        <f>F8/$E$6+E7</f>
        <v>0.8</v>
      </c>
      <c r="F8" s="23">
        <v>204000</v>
      </c>
      <c r="G8" s="42"/>
      <c r="H8" s="15">
        <v>40981</v>
      </c>
      <c r="I8" s="24">
        <v>204000</v>
      </c>
      <c r="J8" s="30">
        <v>41267</v>
      </c>
      <c r="K8" s="4"/>
      <c r="L8" s="81" t="str">
        <f t="shared" ref="L8:L15" si="0">IF(I8="en attente",F8,"")</f>
        <v/>
      </c>
      <c r="M8" s="81">
        <f>IF(H8="",F8-I8,0)</f>
        <v>0</v>
      </c>
      <c r="N8" s="16"/>
      <c r="O8" s="166"/>
      <c r="P8" s="27"/>
    </row>
    <row r="9" spans="1:17" s="26" customFormat="1" outlineLevel="1" x14ac:dyDescent="0.2">
      <c r="A9" s="46" t="s">
        <v>40</v>
      </c>
      <c r="B9" s="15"/>
      <c r="C9" s="15"/>
      <c r="D9" s="15"/>
      <c r="E9" s="108">
        <f>F9/$E$6+E8</f>
        <v>0.85231938235294125</v>
      </c>
      <c r="F9" s="23">
        <v>17788.59</v>
      </c>
      <c r="G9" s="42"/>
      <c r="H9" s="15">
        <v>41290</v>
      </c>
      <c r="I9" s="24">
        <v>17788.59</v>
      </c>
      <c r="J9" s="30">
        <v>41349</v>
      </c>
      <c r="K9" s="4"/>
      <c r="L9" s="81" t="str">
        <f t="shared" si="0"/>
        <v/>
      </c>
      <c r="M9" s="81">
        <f>IF(H9="",F9-I9,0)</f>
        <v>0</v>
      </c>
      <c r="N9" s="16"/>
      <c r="O9" s="166"/>
      <c r="P9" s="27"/>
    </row>
    <row r="10" spans="1:17" s="26" customFormat="1" outlineLevel="1" x14ac:dyDescent="0.2">
      <c r="A10" s="46" t="s">
        <v>40</v>
      </c>
      <c r="B10" s="15"/>
      <c r="C10" s="15"/>
      <c r="D10" s="15"/>
      <c r="E10" s="108">
        <f>F10/$E$6+E9</f>
        <v>1</v>
      </c>
      <c r="F10" s="110">
        <v>50211.41</v>
      </c>
      <c r="G10" s="42"/>
      <c r="H10" s="15"/>
      <c r="I10" s="24"/>
      <c r="J10" s="30"/>
      <c r="K10" s="4"/>
      <c r="L10" s="81" t="str">
        <f t="shared" si="0"/>
        <v/>
      </c>
      <c r="M10" s="81">
        <f>IF(H10="",F10-I10,0)</f>
        <v>50211.41</v>
      </c>
      <c r="N10" s="16"/>
      <c r="O10" s="91" t="s">
        <v>229</v>
      </c>
      <c r="P10" s="27"/>
    </row>
    <row r="11" spans="1:17" s="107" customFormat="1" x14ac:dyDescent="0.2">
      <c r="A11" s="119" t="s">
        <v>73</v>
      </c>
      <c r="B11" s="158">
        <v>41091</v>
      </c>
      <c r="C11" s="158"/>
      <c r="D11" s="158"/>
      <c r="E11" s="128">
        <v>20808.98</v>
      </c>
      <c r="F11" s="123"/>
      <c r="G11" s="138"/>
      <c r="H11" s="158"/>
      <c r="I11" s="126">
        <f>SUM(I12)</f>
        <v>0</v>
      </c>
      <c r="J11" s="151"/>
      <c r="K11" s="125"/>
      <c r="L11" s="159">
        <f>SUM(L12)</f>
        <v>20808.98</v>
      </c>
      <c r="M11" s="223">
        <f>SUM(M12)</f>
        <v>0</v>
      </c>
      <c r="N11" s="128"/>
      <c r="O11" s="166">
        <f t="shared" ref="O11:O16" si="1">E11-(I11+L11+M11)</f>
        <v>0</v>
      </c>
      <c r="P11" s="209"/>
    </row>
    <row r="12" spans="1:17" s="26" customFormat="1" x14ac:dyDescent="0.2">
      <c r="A12" s="118" t="s">
        <v>73</v>
      </c>
      <c r="B12" s="36"/>
      <c r="C12" s="36"/>
      <c r="D12" s="36"/>
      <c r="E12" s="153">
        <f>F12/E11</f>
        <v>1</v>
      </c>
      <c r="F12" s="35">
        <v>20808.98</v>
      </c>
      <c r="G12" s="44">
        <v>1</v>
      </c>
      <c r="H12" s="36">
        <v>41668</v>
      </c>
      <c r="I12" s="154" t="s">
        <v>104</v>
      </c>
      <c r="J12" s="155"/>
      <c r="K12" s="39">
        <f ca="1">$M$2-H12</f>
        <v>1925</v>
      </c>
      <c r="L12" s="157">
        <f t="shared" si="0"/>
        <v>20808.98</v>
      </c>
      <c r="M12" s="222">
        <f>IF(H12="",F12-I12,0)</f>
        <v>0</v>
      </c>
      <c r="N12" s="40"/>
      <c r="O12" s="166"/>
    </row>
    <row r="13" spans="1:17" s="8" customFormat="1" x14ac:dyDescent="0.2">
      <c r="A13" s="129" t="s">
        <v>80</v>
      </c>
      <c r="B13" s="149">
        <v>40578</v>
      </c>
      <c r="C13" s="149">
        <f>DATE(YEAR(B13),MONTH(B110)+18,DAY(B13))</f>
        <v>41094</v>
      </c>
      <c r="D13" s="149">
        <f>DATE(YEAR(C13),MONTH(C13),DAY(C13)-20)</f>
        <v>41074</v>
      </c>
      <c r="E13" s="137">
        <v>140000</v>
      </c>
      <c r="F13" s="132"/>
      <c r="G13" s="133"/>
      <c r="H13" s="149"/>
      <c r="I13" s="135">
        <f>SUM(I14:I15)</f>
        <v>70000</v>
      </c>
      <c r="J13" s="147"/>
      <c r="K13" s="134"/>
      <c r="L13" s="150">
        <f>SUM(L14:L15)</f>
        <v>70000</v>
      </c>
      <c r="M13" s="150">
        <f>SUM(M14:M15)</f>
        <v>0</v>
      </c>
      <c r="N13" s="137"/>
      <c r="O13" s="166">
        <f t="shared" si="1"/>
        <v>0</v>
      </c>
    </row>
    <row r="14" spans="1:17" outlineLevel="1" x14ac:dyDescent="0.2">
      <c r="A14" s="46" t="s">
        <v>80</v>
      </c>
      <c r="B14" s="15"/>
      <c r="C14" s="15"/>
      <c r="D14" s="15"/>
      <c r="E14" s="108">
        <f>F14/$E$13</f>
        <v>0.5</v>
      </c>
      <c r="F14" s="23">
        <v>70000</v>
      </c>
      <c r="G14" s="42">
        <v>1</v>
      </c>
      <c r="H14" s="15">
        <v>41485</v>
      </c>
      <c r="I14" s="24">
        <v>70000</v>
      </c>
      <c r="J14" s="30">
        <v>41522</v>
      </c>
      <c r="K14" s="4"/>
      <c r="L14" s="81" t="str">
        <f t="shared" si="0"/>
        <v/>
      </c>
      <c r="M14" s="81">
        <f>IF(H14="",F14-I14,0)</f>
        <v>0</v>
      </c>
      <c r="N14" s="16"/>
      <c r="O14" s="166"/>
    </row>
    <row r="15" spans="1:17" outlineLevel="1" x14ac:dyDescent="0.2">
      <c r="A15" s="46" t="s">
        <v>80</v>
      </c>
      <c r="B15" s="15"/>
      <c r="C15" s="15"/>
      <c r="D15" s="15"/>
      <c r="E15" s="108">
        <f>F15/$E$13+E14</f>
        <v>1</v>
      </c>
      <c r="F15" s="23">
        <v>70000</v>
      </c>
      <c r="G15" s="42">
        <v>2</v>
      </c>
      <c r="H15" s="15">
        <v>42034</v>
      </c>
      <c r="I15" s="112" t="s">
        <v>104</v>
      </c>
      <c r="J15" s="30"/>
      <c r="K15" s="4"/>
      <c r="L15" s="81">
        <f t="shared" si="0"/>
        <v>70000</v>
      </c>
      <c r="M15" s="81">
        <f>IF(H15="",F15-I15,0)</f>
        <v>0</v>
      </c>
      <c r="N15" s="16"/>
      <c r="O15" s="166"/>
    </row>
    <row r="16" spans="1:17" s="8" customFormat="1" x14ac:dyDescent="0.2">
      <c r="A16" s="48"/>
      <c r="B16" s="48"/>
      <c r="C16" s="48"/>
      <c r="D16" s="48"/>
      <c r="E16" s="41">
        <f>SUM(E6:E15)</f>
        <v>500814.33231938235</v>
      </c>
      <c r="F16" s="41">
        <f>SUMPRODUCT((DateAF_TCO&lt;&gt;"")*MontantAF_TCO)</f>
        <v>450597.57</v>
      </c>
      <c r="G16" s="49"/>
      <c r="H16" s="50"/>
      <c r="I16" s="41">
        <f>I6+I11+I13</f>
        <v>359788.59</v>
      </c>
      <c r="J16" s="50"/>
      <c r="K16" s="50"/>
      <c r="L16" s="41">
        <f>L6+L11+L13</f>
        <v>90808.98</v>
      </c>
      <c r="M16" s="41">
        <f>M6+M11+M13</f>
        <v>50211.41</v>
      </c>
      <c r="N16" s="41"/>
      <c r="O16" s="166">
        <f t="shared" si="1"/>
        <v>5.3523193823639303</v>
      </c>
      <c r="P16" s="20"/>
    </row>
    <row r="17" spans="1:15" x14ac:dyDescent="0.2">
      <c r="A17" s="75"/>
      <c r="B17" s="76"/>
      <c r="C17" s="76"/>
      <c r="D17" s="76"/>
      <c r="E17" s="76"/>
      <c r="F17" s="76"/>
      <c r="G17" s="75"/>
      <c r="H17" s="76"/>
      <c r="I17" s="76"/>
      <c r="J17" s="76"/>
      <c r="K17" s="52"/>
      <c r="L17" s="921">
        <f>SUM(L16:M16)</f>
        <v>141020.39000000001</v>
      </c>
      <c r="M17" s="922"/>
      <c r="N17" s="76"/>
      <c r="O17" s="27"/>
    </row>
    <row r="18" spans="1:15" x14ac:dyDescent="0.2">
      <c r="I18" s="5" t="s">
        <v>256</v>
      </c>
    </row>
    <row r="20" spans="1:15" x14ac:dyDescent="0.2">
      <c r="F20" s="371" t="s">
        <v>219</v>
      </c>
      <c r="I20" s="372" t="s">
        <v>221</v>
      </c>
      <c r="L20" s="371" t="s">
        <v>219</v>
      </c>
      <c r="M20" s="372" t="s">
        <v>221</v>
      </c>
    </row>
    <row r="21" spans="1:15" x14ac:dyDescent="0.2">
      <c r="E21" s="495">
        <v>40453</v>
      </c>
      <c r="F21" s="91">
        <f t="shared" ref="F21:F30" si="2">SUMPRODUCT((DateAF_TCO&lt;&gt;"")*(MONTH(DateAF_TCO)=MONTH(E21))*(YEAR(DateAF_TCO)=YEAR(E21))*MontantAF_TCO)</f>
        <v>68000</v>
      </c>
      <c r="H21" s="495">
        <v>40453</v>
      </c>
      <c r="I21" s="91">
        <f t="shared" ref="I21:I30" si="3">SUMPRODUCT((DatePmt_TCO&lt;&gt;"")*(DatePmt_TCO&lt;&gt;"en attente")*(MONTH(DatePmt_TCO)=MONTH(H21))*(YEAR(DatePmt_TCO)=YEAR(H21))*(ISNUMBER(MtntPaye_TCO)),MtntPaye_TCO)</f>
        <v>0</v>
      </c>
      <c r="K21" s="1">
        <v>2010</v>
      </c>
      <c r="L21" s="91">
        <f>SUMPRODUCT((YEAR($E$21:$E$30)=K21)*($F$21:$F$30))</f>
        <v>68000</v>
      </c>
      <c r="M21" s="91">
        <f>SUMPRODUCT((YEAR($H$21:$H$30)=K21)*($I$21:$I$30))</f>
        <v>68000</v>
      </c>
    </row>
    <row r="22" spans="1:15" x14ac:dyDescent="0.2">
      <c r="E22" s="495">
        <v>40514</v>
      </c>
      <c r="F22" s="91">
        <f t="shared" si="2"/>
        <v>0</v>
      </c>
      <c r="H22" s="495">
        <v>40514</v>
      </c>
      <c r="I22" s="91">
        <f t="shared" si="3"/>
        <v>68000</v>
      </c>
      <c r="K22" s="1">
        <v>2012</v>
      </c>
      <c r="L22" s="91">
        <f>SUMPRODUCT((YEAR($E$21:$E$30)=K22)*($F$21:$F$30))</f>
        <v>204000</v>
      </c>
      <c r="M22" s="91">
        <f>SUMPRODUCT((YEAR($H$21:$H$30)=K22)*($I$21:$I$30))</f>
        <v>204000</v>
      </c>
    </row>
    <row r="23" spans="1:15" x14ac:dyDescent="0.2">
      <c r="E23" s="495">
        <v>40981</v>
      </c>
      <c r="F23" s="91">
        <f t="shared" si="2"/>
        <v>204000</v>
      </c>
      <c r="H23" s="495">
        <v>40981</v>
      </c>
      <c r="I23" s="91">
        <f t="shared" si="3"/>
        <v>0</v>
      </c>
      <c r="K23" s="1">
        <v>2013</v>
      </c>
      <c r="L23" s="91">
        <f>SUMPRODUCT((YEAR($E$21:$E$30)=K23)*($F$21:$F$30))</f>
        <v>87788.59</v>
      </c>
      <c r="M23" s="91">
        <f>SUMPRODUCT((YEAR($H$21:$H$30)=K23)*($I$21:$I$30))</f>
        <v>87788.59</v>
      </c>
    </row>
    <row r="24" spans="1:15" x14ac:dyDescent="0.2">
      <c r="E24" s="495">
        <v>41267</v>
      </c>
      <c r="F24" s="91">
        <f t="shared" si="2"/>
        <v>0</v>
      </c>
      <c r="H24" s="495">
        <v>41267</v>
      </c>
      <c r="I24" s="91">
        <f t="shared" si="3"/>
        <v>204000</v>
      </c>
      <c r="K24" s="1">
        <v>2014</v>
      </c>
      <c r="L24" s="91">
        <f>SUMPRODUCT((YEAR($E$21:$E$30)=K24)*($F$21:$F$30))</f>
        <v>20808.98</v>
      </c>
      <c r="M24" s="91">
        <f>SUMPRODUCT((YEAR($H$21:$H$30)=K24)*($I$21:$I$30))</f>
        <v>0</v>
      </c>
    </row>
    <row r="25" spans="1:15" x14ac:dyDescent="0.2">
      <c r="E25" s="495">
        <v>41290</v>
      </c>
      <c r="F25" s="91">
        <f t="shared" si="2"/>
        <v>17788.59</v>
      </c>
      <c r="H25" s="495">
        <v>41290</v>
      </c>
      <c r="I25" s="91">
        <f t="shared" si="3"/>
        <v>0</v>
      </c>
      <c r="K25" s="1">
        <v>2015</v>
      </c>
      <c r="L25" s="91">
        <f>SUMPRODUCT((YEAR($E$21:$E$30)=K25)*($F$21:$F$30))</f>
        <v>70000</v>
      </c>
      <c r="M25" s="91">
        <f>SUMPRODUCT((YEAR($H$21:$H$30)=K25)*($I$21:$I$30))</f>
        <v>0</v>
      </c>
    </row>
    <row r="26" spans="1:15" x14ac:dyDescent="0.2">
      <c r="E26" s="495">
        <v>41349</v>
      </c>
      <c r="F26" s="91">
        <f t="shared" si="2"/>
        <v>0</v>
      </c>
      <c r="H26" s="495">
        <v>41349</v>
      </c>
      <c r="I26" s="91">
        <f t="shared" si="3"/>
        <v>17788.59</v>
      </c>
      <c r="L26" s="462">
        <f>SUM(L21:L25)</f>
        <v>450597.56999999995</v>
      </c>
      <c r="M26" s="462">
        <f>SUM(M21:M25)</f>
        <v>359788.58999999997</v>
      </c>
    </row>
    <row r="27" spans="1:15" x14ac:dyDescent="0.2">
      <c r="E27" s="495">
        <v>41485</v>
      </c>
      <c r="F27" s="91">
        <f t="shared" si="2"/>
        <v>70000</v>
      </c>
      <c r="H27" s="495">
        <v>41485</v>
      </c>
      <c r="I27" s="91">
        <f t="shared" si="3"/>
        <v>0</v>
      </c>
      <c r="L27" s="166">
        <f>+L26-F31</f>
        <v>0</v>
      </c>
      <c r="M27" s="166">
        <f>+M26-I31</f>
        <v>0</v>
      </c>
    </row>
    <row r="28" spans="1:15" x14ac:dyDescent="0.2">
      <c r="E28" s="495">
        <v>41522</v>
      </c>
      <c r="F28" s="91">
        <f t="shared" si="2"/>
        <v>0</v>
      </c>
      <c r="H28" s="495">
        <v>41522</v>
      </c>
      <c r="I28" s="91">
        <f t="shared" si="3"/>
        <v>70000</v>
      </c>
    </row>
    <row r="29" spans="1:15" x14ac:dyDescent="0.2">
      <c r="E29" s="495">
        <v>41668</v>
      </c>
      <c r="F29" s="91">
        <f t="shared" si="2"/>
        <v>20808.98</v>
      </c>
      <c r="H29" s="495">
        <v>41668</v>
      </c>
      <c r="I29" s="91">
        <f t="shared" si="3"/>
        <v>0</v>
      </c>
    </row>
    <row r="30" spans="1:15" x14ac:dyDescent="0.2">
      <c r="E30" s="495">
        <v>42034</v>
      </c>
      <c r="F30" s="91">
        <f t="shared" si="2"/>
        <v>70000</v>
      </c>
      <c r="H30" s="495">
        <v>42034</v>
      </c>
      <c r="I30" s="91">
        <f t="shared" si="3"/>
        <v>0</v>
      </c>
    </row>
    <row r="31" spans="1:15" x14ac:dyDescent="0.2">
      <c r="F31" s="462">
        <f>SUM(F21:F30)</f>
        <v>450597.57</v>
      </c>
      <c r="I31" s="462">
        <f>SUM(I21:I30)</f>
        <v>359788.59</v>
      </c>
    </row>
    <row r="32" spans="1:15" s="161" customFormat="1" x14ac:dyDescent="0.2">
      <c r="A32" s="467"/>
      <c r="F32" s="166">
        <f>+F31-F16</f>
        <v>0</v>
      </c>
      <c r="G32" s="467"/>
      <c r="I32" s="166">
        <f>+I31-I16</f>
        <v>0</v>
      </c>
    </row>
  </sheetData>
  <autoFilter ref="A4:O5">
    <filterColumn colId="5" showButton="0"/>
    <filterColumn colId="6" showButton="0"/>
    <filterColumn colId="7" showButton="0"/>
    <filterColumn colId="8" showButton="0"/>
    <filterColumn colId="9" showButton="0"/>
    <filterColumn colId="11" showButton="0"/>
  </autoFilter>
  <mergeCells count="8">
    <mergeCell ref="N4:N5"/>
    <mergeCell ref="L17:M17"/>
    <mergeCell ref="A2:L2"/>
    <mergeCell ref="A4:A5"/>
    <mergeCell ref="B4:B5"/>
    <mergeCell ref="E4:E5"/>
    <mergeCell ref="F4:K4"/>
    <mergeCell ref="L4:M4"/>
  </mergeCells>
  <pageMargins left="0.7" right="0.7" top="0.75" bottom="0.75" header="0.3" footer="0.3"/>
  <pageSetup paperSize="9" scale="76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rgb="FF1CA847"/>
    <pageSetUpPr fitToPage="1"/>
  </sheetPr>
  <dimension ref="A1:Q82"/>
  <sheetViews>
    <sheetView topLeftCell="A4" workbookViewId="0">
      <selection activeCell="A14" sqref="A14"/>
    </sheetView>
  </sheetViews>
  <sheetFormatPr baseColWidth="10" defaultColWidth="11.42578125" defaultRowHeight="12" outlineLevelCol="1" x14ac:dyDescent="0.2"/>
  <cols>
    <col min="1" max="1" width="25.28515625" style="6" customWidth="1"/>
    <col min="2" max="2" width="20.7109375" style="1" customWidth="1" outlineLevel="1"/>
    <col min="3" max="3" width="14.28515625" style="1" customWidth="1"/>
    <col min="4" max="4" width="13.85546875" style="1" customWidth="1"/>
    <col min="5" max="5" width="13.42578125" style="1" bestFit="1" customWidth="1"/>
    <col min="6" max="6" width="14.42578125" style="1" customWidth="1"/>
    <col min="7" max="7" width="4.140625" style="6" bestFit="1" customWidth="1"/>
    <col min="8" max="8" width="10.42578125" style="1" bestFit="1" customWidth="1"/>
    <col min="9" max="9" width="12.42578125" style="1" customWidth="1"/>
    <col min="10" max="10" width="10.42578125" style="1" bestFit="1" customWidth="1"/>
    <col min="11" max="11" width="18.5703125" style="1" bestFit="1" customWidth="1"/>
    <col min="12" max="12" width="14.42578125" style="1" customWidth="1"/>
    <col min="13" max="13" width="14.42578125" style="1" bestFit="1" customWidth="1"/>
    <col min="14" max="14" width="4.140625" style="1" customWidth="1"/>
    <col min="15" max="15" width="14.42578125" style="1" bestFit="1" customWidth="1"/>
    <col min="16" max="16" width="13.42578125" style="1" bestFit="1" customWidth="1"/>
    <col min="17" max="16384" width="11.42578125" style="1"/>
  </cols>
  <sheetData>
    <row r="1" spans="1:17" x14ac:dyDescent="0.2">
      <c r="O1" s="88"/>
      <c r="P1" s="8"/>
    </row>
    <row r="2" spans="1:17" x14ac:dyDescent="0.2">
      <c r="A2" s="923" t="s">
        <v>67</v>
      </c>
      <c r="B2" s="923"/>
      <c r="C2" s="923"/>
      <c r="D2" s="923"/>
      <c r="E2" s="923"/>
      <c r="F2" s="923"/>
      <c r="G2" s="923"/>
      <c r="H2" s="923"/>
      <c r="I2" s="923"/>
      <c r="J2" s="923"/>
      <c r="K2" s="923"/>
      <c r="L2" s="923"/>
      <c r="M2" s="9">
        <f ca="1">TODAY()</f>
        <v>43593</v>
      </c>
      <c r="P2" s="61"/>
    </row>
    <row r="4" spans="1:17" s="2" customFormat="1" ht="24" x14ac:dyDescent="0.2">
      <c r="A4" s="940" t="s">
        <v>2</v>
      </c>
      <c r="B4" s="940" t="s">
        <v>0</v>
      </c>
      <c r="C4" s="928" t="s">
        <v>21</v>
      </c>
      <c r="D4" s="517" t="s">
        <v>309</v>
      </c>
      <c r="E4" s="928" t="s">
        <v>12</v>
      </c>
      <c r="F4" s="924" t="s">
        <v>4</v>
      </c>
      <c r="G4" s="925"/>
      <c r="H4" s="925"/>
      <c r="I4" s="925"/>
      <c r="J4" s="925"/>
      <c r="K4" s="926"/>
      <c r="L4" s="927" t="s">
        <v>13</v>
      </c>
      <c r="M4" s="928"/>
      <c r="P4" s="63"/>
      <c r="Q4" s="63"/>
    </row>
    <row r="5" spans="1:17" s="13" customFormat="1" x14ac:dyDescent="0.2">
      <c r="A5" s="941"/>
      <c r="B5" s="941"/>
      <c r="C5" s="942"/>
      <c r="D5" s="518"/>
      <c r="E5" s="942"/>
      <c r="F5" s="10" t="s">
        <v>1</v>
      </c>
      <c r="G5" s="11" t="s">
        <v>3</v>
      </c>
      <c r="H5" s="11" t="s">
        <v>15</v>
      </c>
      <c r="I5" s="12" t="s">
        <v>14</v>
      </c>
      <c r="J5" s="10" t="s">
        <v>15</v>
      </c>
      <c r="K5" s="11" t="s">
        <v>18</v>
      </c>
      <c r="L5" s="3" t="s">
        <v>20</v>
      </c>
      <c r="M5" s="3" t="s">
        <v>19</v>
      </c>
    </row>
    <row r="6" spans="1:17" x14ac:dyDescent="0.2">
      <c r="A6" s="402" t="s">
        <v>44</v>
      </c>
      <c r="B6" s="403"/>
      <c r="C6" s="352">
        <v>40817</v>
      </c>
      <c r="D6" s="347"/>
      <c r="E6" s="409">
        <v>25600</v>
      </c>
      <c r="F6" s="404"/>
      <c r="G6" s="405"/>
      <c r="H6" s="406"/>
      <c r="I6" s="407"/>
      <c r="J6" s="408"/>
      <c r="K6" s="406"/>
      <c r="L6" s="409"/>
      <c r="M6" s="409"/>
    </row>
    <row r="7" spans="1:17" s="26" customFormat="1" x14ac:dyDescent="0.2">
      <c r="A7" s="334"/>
      <c r="B7" s="353"/>
      <c r="C7" s="347"/>
      <c r="D7" s="347"/>
      <c r="E7" s="355"/>
      <c r="F7" s="349">
        <v>12800</v>
      </c>
      <c r="G7" s="350">
        <v>1</v>
      </c>
      <c r="H7" s="352">
        <v>40841</v>
      </c>
      <c r="I7" s="349">
        <v>12800</v>
      </c>
      <c r="J7" s="352">
        <v>40882</v>
      </c>
      <c r="K7" s="353">
        <f>J7-H7</f>
        <v>41</v>
      </c>
      <c r="L7" s="354">
        <f>+IF(H7="",0,F7-I7)</f>
        <v>0</v>
      </c>
      <c r="M7" s="354">
        <f>IF(H7="",F7-I7,0)</f>
        <v>0</v>
      </c>
      <c r="O7" s="27"/>
      <c r="P7" s="27"/>
    </row>
    <row r="8" spans="1:17" s="26" customFormat="1" x14ac:dyDescent="0.2">
      <c r="A8" s="334"/>
      <c r="B8" s="353"/>
      <c r="C8" s="347"/>
      <c r="D8" s="347"/>
      <c r="E8" s="355"/>
      <c r="F8" s="349">
        <v>7680</v>
      </c>
      <c r="G8" s="350">
        <v>2</v>
      </c>
      <c r="H8" s="347">
        <v>41849</v>
      </c>
      <c r="I8" s="349">
        <v>7680</v>
      </c>
      <c r="J8" s="352">
        <v>41891</v>
      </c>
      <c r="K8" s="353">
        <f>J8-H8</f>
        <v>42</v>
      </c>
      <c r="L8" s="354">
        <f>+IF(H8="",0,F8-I8)</f>
        <v>0</v>
      </c>
      <c r="M8" s="354">
        <f>IF(H8="",F8-I8,0)</f>
        <v>0</v>
      </c>
      <c r="O8" s="27"/>
      <c r="P8" s="27"/>
    </row>
    <row r="9" spans="1:17" s="26" customFormat="1" x14ac:dyDescent="0.2">
      <c r="A9" s="334"/>
      <c r="B9" s="353"/>
      <c r="C9" s="347"/>
      <c r="D9" s="347"/>
      <c r="E9" s="355"/>
      <c r="F9" s="349">
        <v>5120</v>
      </c>
      <c r="G9" s="350">
        <v>3</v>
      </c>
      <c r="H9" s="347">
        <v>42005</v>
      </c>
      <c r="I9" s="351">
        <v>5120</v>
      </c>
      <c r="J9" s="352">
        <v>42129</v>
      </c>
      <c r="K9" s="353"/>
      <c r="L9" s="354">
        <f>+IF(H9="",0,F9-I9)</f>
        <v>0</v>
      </c>
      <c r="M9" s="354">
        <f>IF(H9="",F9-I9,0)</f>
        <v>0</v>
      </c>
      <c r="O9" s="27"/>
      <c r="P9" s="27"/>
    </row>
    <row r="10" spans="1:17" s="8" customFormat="1" x14ac:dyDescent="0.2">
      <c r="A10" s="538"/>
      <c r="B10" s="539"/>
      <c r="C10" s="538"/>
      <c r="D10" s="545"/>
      <c r="E10" s="540"/>
      <c r="F10" s="541">
        <f>SUM(F6:F9)-L7</f>
        <v>25600</v>
      </c>
      <c r="G10" s="542"/>
      <c r="H10" s="543"/>
      <c r="I10" s="541">
        <f>SUM(I6:I9)</f>
        <v>25600</v>
      </c>
      <c r="J10" s="543"/>
      <c r="K10" s="543"/>
      <c r="L10" s="541">
        <f>SUM(L6:L9)-L7</f>
        <v>0</v>
      </c>
      <c r="M10" s="541">
        <f>SUM(M6:M9)</f>
        <v>0</v>
      </c>
      <c r="O10" s="20"/>
      <c r="P10" s="20"/>
    </row>
    <row r="11" spans="1:17" s="8" customFormat="1" x14ac:dyDescent="0.2">
      <c r="A11" s="522" t="s">
        <v>422</v>
      </c>
      <c r="B11" s="519" t="s">
        <v>351</v>
      </c>
      <c r="C11" s="544">
        <v>42181</v>
      </c>
      <c r="D11" s="546">
        <v>44008</v>
      </c>
      <c r="E11" s="523">
        <v>9355</v>
      </c>
      <c r="F11" s="523"/>
      <c r="G11" s="530"/>
      <c r="H11" s="524"/>
      <c r="I11" s="520"/>
      <c r="J11" s="524"/>
      <c r="K11" s="521"/>
      <c r="L11" s="523"/>
      <c r="M11" s="81">
        <f>IF(H11="",F11-I11,0)</f>
        <v>0</v>
      </c>
      <c r="O11" s="20" t="s">
        <v>405</v>
      </c>
      <c r="P11" s="20"/>
    </row>
    <row r="12" spans="1:17" s="8" customFormat="1" x14ac:dyDescent="0.2">
      <c r="A12" s="528"/>
      <c r="B12" s="526"/>
      <c r="C12" s="528"/>
      <c r="D12" s="547" t="s">
        <v>404</v>
      </c>
      <c r="E12" s="17"/>
      <c r="F12" s="17">
        <v>9355</v>
      </c>
      <c r="G12" s="531"/>
      <c r="H12" s="535"/>
      <c r="I12" s="20"/>
      <c r="J12" s="535"/>
      <c r="K12" s="527"/>
      <c r="L12" s="367" t="str">
        <f>IF(I12="en attente",F12,"")</f>
        <v/>
      </c>
      <c r="M12" s="81">
        <f>IF(H12="",F12-I12,0)</f>
        <v>9355</v>
      </c>
      <c r="O12" s="20"/>
      <c r="P12" s="20"/>
    </row>
    <row r="13" spans="1:17" s="8" customFormat="1" x14ac:dyDescent="0.2">
      <c r="A13" s="529"/>
      <c r="B13" s="537"/>
      <c r="C13" s="529"/>
      <c r="D13" s="552"/>
      <c r="E13" s="389"/>
      <c r="F13" s="389"/>
      <c r="G13" s="532"/>
      <c r="H13" s="536"/>
      <c r="I13" s="534"/>
      <c r="J13" s="536"/>
      <c r="K13" s="533"/>
      <c r="L13" s="389"/>
      <c r="M13" s="104"/>
      <c r="O13" s="20"/>
      <c r="P13" s="20"/>
    </row>
    <row r="14" spans="1:17" s="8" customFormat="1" x14ac:dyDescent="0.2">
      <c r="A14" s="635" t="s">
        <v>373</v>
      </c>
      <c r="B14" s="636" t="s">
        <v>352</v>
      </c>
      <c r="C14" s="637">
        <v>42923</v>
      </c>
      <c r="D14" s="843">
        <v>43288</v>
      </c>
      <c r="E14" s="277">
        <v>4200</v>
      </c>
      <c r="F14" s="277"/>
      <c r="G14" s="638"/>
      <c r="H14" s="658"/>
      <c r="I14" s="279"/>
      <c r="J14" s="658"/>
      <c r="K14" s="640"/>
      <c r="L14" s="277"/>
      <c r="M14" s="276"/>
      <c r="O14" s="20"/>
      <c r="P14" s="20"/>
    </row>
    <row r="15" spans="1:17" s="8" customFormat="1" x14ac:dyDescent="0.2">
      <c r="A15" s="645"/>
      <c r="B15" s="646"/>
      <c r="C15" s="645"/>
      <c r="D15" s="645"/>
      <c r="E15" s="647"/>
      <c r="F15" s="647">
        <v>4200</v>
      </c>
      <c r="G15" s="648">
        <v>1</v>
      </c>
      <c r="H15" s="659">
        <v>43147</v>
      </c>
      <c r="I15" s="650">
        <v>4200</v>
      </c>
      <c r="J15" s="659">
        <v>43266</v>
      </c>
      <c r="K15" s="651"/>
      <c r="L15" s="647"/>
      <c r="M15" s="652"/>
      <c r="O15" s="20"/>
      <c r="P15" s="20"/>
    </row>
    <row r="16" spans="1:17" s="8" customFormat="1" x14ac:dyDescent="0.2">
      <c r="A16" s="641" t="s">
        <v>314</v>
      </c>
      <c r="B16" s="642" t="s">
        <v>354</v>
      </c>
      <c r="C16" s="708">
        <v>42923</v>
      </c>
      <c r="D16" s="844">
        <v>43288</v>
      </c>
      <c r="E16" s="294">
        <v>13720</v>
      </c>
      <c r="F16" s="294">
        <v>13720</v>
      </c>
      <c r="G16" s="643">
        <v>1</v>
      </c>
      <c r="H16" s="298"/>
      <c r="I16" s="297">
        <v>13720</v>
      </c>
      <c r="J16" s="709">
        <v>43340</v>
      </c>
      <c r="K16" s="644"/>
      <c r="L16" s="294"/>
      <c r="M16" s="299"/>
      <c r="O16" s="20"/>
      <c r="P16" s="20"/>
    </row>
    <row r="17" spans="1:16" s="8" customFormat="1" x14ac:dyDescent="0.2">
      <c r="A17" s="641" t="s">
        <v>315</v>
      </c>
      <c r="B17" s="642"/>
      <c r="C17" s="641"/>
      <c r="D17" s="845"/>
      <c r="E17" s="294"/>
      <c r="F17" s="294"/>
      <c r="G17" s="643"/>
      <c r="H17" s="298"/>
      <c r="I17" s="297"/>
      <c r="J17" s="298"/>
      <c r="K17" s="644"/>
      <c r="L17" s="294"/>
      <c r="M17" s="299"/>
      <c r="O17" s="20"/>
      <c r="P17" s="20"/>
    </row>
    <row r="18" spans="1:16" s="8" customFormat="1" x14ac:dyDescent="0.2">
      <c r="A18" s="641" t="s">
        <v>316</v>
      </c>
      <c r="B18" s="642"/>
      <c r="C18" s="641"/>
      <c r="D18" s="845"/>
      <c r="E18" s="294"/>
      <c r="F18" s="294"/>
      <c r="G18" s="643"/>
      <c r="H18" s="298"/>
      <c r="I18" s="297"/>
      <c r="J18" s="298"/>
      <c r="K18" s="644"/>
      <c r="L18" s="294"/>
      <c r="M18" s="299"/>
      <c r="O18" s="20"/>
      <c r="P18" s="20"/>
    </row>
    <row r="19" spans="1:16" s="8" customFormat="1" x14ac:dyDescent="0.2">
      <c r="A19" s="641"/>
      <c r="B19" s="642"/>
      <c r="C19" s="641"/>
      <c r="D19" s="845"/>
      <c r="E19" s="294"/>
      <c r="F19" s="294"/>
      <c r="G19" s="643"/>
      <c r="H19" s="298"/>
      <c r="I19" s="297"/>
      <c r="J19" s="298"/>
      <c r="K19" s="644"/>
      <c r="L19" s="294"/>
      <c r="M19" s="299"/>
      <c r="O19" s="20"/>
      <c r="P19" s="20"/>
    </row>
    <row r="20" spans="1:16" s="8" customFormat="1" x14ac:dyDescent="0.2">
      <c r="A20" s="635" t="s">
        <v>312</v>
      </c>
      <c r="B20" s="636" t="s">
        <v>353</v>
      </c>
      <c r="C20" s="637">
        <v>42923</v>
      </c>
      <c r="D20" s="843">
        <v>43288</v>
      </c>
      <c r="E20" s="277">
        <v>7700</v>
      </c>
      <c r="F20" s="277">
        <v>7700</v>
      </c>
      <c r="G20" s="638"/>
      <c r="H20" s="639">
        <v>43087</v>
      </c>
      <c r="I20" s="279">
        <v>7700</v>
      </c>
      <c r="J20" s="639">
        <v>43150</v>
      </c>
      <c r="K20" s="640"/>
      <c r="L20" s="277"/>
      <c r="M20" s="276"/>
      <c r="O20" s="20"/>
      <c r="P20" s="20"/>
    </row>
    <row r="21" spans="1:16" s="8" customFormat="1" x14ac:dyDescent="0.2">
      <c r="A21" s="641" t="s">
        <v>313</v>
      </c>
      <c r="B21" s="642"/>
      <c r="C21" s="641"/>
      <c r="D21" s="845"/>
      <c r="E21" s="294"/>
      <c r="F21" s="294"/>
      <c r="G21" s="643"/>
      <c r="H21" s="298"/>
      <c r="I21" s="297"/>
      <c r="J21" s="298"/>
      <c r="K21" s="644"/>
      <c r="L21" s="294"/>
      <c r="M21" s="299"/>
      <c r="O21" s="20"/>
      <c r="P21" s="20"/>
    </row>
    <row r="22" spans="1:16" s="8" customFormat="1" x14ac:dyDescent="0.2">
      <c r="A22" s="645"/>
      <c r="B22" s="646"/>
      <c r="C22" s="645"/>
      <c r="D22" s="645"/>
      <c r="E22" s="647"/>
      <c r="F22" s="647"/>
      <c r="G22" s="648"/>
      <c r="H22" s="649"/>
      <c r="I22" s="650"/>
      <c r="J22" s="649"/>
      <c r="K22" s="651"/>
      <c r="L22" s="647"/>
      <c r="M22" s="652"/>
      <c r="O22" s="20"/>
      <c r="P22" s="20"/>
    </row>
    <row r="23" spans="1:16" s="8" customFormat="1" x14ac:dyDescent="0.2">
      <c r="A23" s="635" t="s">
        <v>349</v>
      </c>
      <c r="B23" s="636" t="s">
        <v>350</v>
      </c>
      <c r="C23" s="637">
        <v>43055</v>
      </c>
      <c r="D23" s="843">
        <v>43420</v>
      </c>
      <c r="E23" s="277">
        <v>6860</v>
      </c>
      <c r="F23" s="277"/>
      <c r="G23" s="638"/>
      <c r="H23" s="639"/>
      <c r="I23" s="279"/>
      <c r="J23" s="658"/>
      <c r="K23" s="640"/>
      <c r="L23" s="277"/>
      <c r="M23" s="276"/>
      <c r="O23" s="20"/>
      <c r="P23" s="20"/>
    </row>
    <row r="24" spans="1:16" s="8" customFormat="1" x14ac:dyDescent="0.2">
      <c r="A24" s="645"/>
      <c r="B24" s="646"/>
      <c r="C24" s="645"/>
      <c r="D24" s="645"/>
      <c r="E24" s="647"/>
      <c r="F24" s="647">
        <v>6860</v>
      </c>
      <c r="G24" s="648">
        <v>1</v>
      </c>
      <c r="H24" s="659">
        <v>43355</v>
      </c>
      <c r="I24" s="650">
        <v>6860</v>
      </c>
      <c r="J24" s="659">
        <v>43462</v>
      </c>
      <c r="K24" s="651"/>
      <c r="L24" s="647"/>
      <c r="M24" s="652"/>
      <c r="O24" s="20"/>
      <c r="P24" s="20"/>
    </row>
    <row r="25" spans="1:16" s="8" customFormat="1" x14ac:dyDescent="0.2">
      <c r="A25" s="641" t="s">
        <v>362</v>
      </c>
      <c r="B25" s="642" t="s">
        <v>363</v>
      </c>
      <c r="C25" s="708">
        <v>43206</v>
      </c>
      <c r="D25" s="844">
        <v>43481</v>
      </c>
      <c r="E25" s="294">
        <v>5600</v>
      </c>
      <c r="F25" s="737"/>
      <c r="G25" s="643"/>
      <c r="H25" s="709"/>
      <c r="I25" s="297"/>
      <c r="J25" s="298"/>
      <c r="K25" s="644"/>
      <c r="L25" s="294"/>
      <c r="M25" s="299"/>
      <c r="O25" s="20"/>
      <c r="P25" s="20"/>
    </row>
    <row r="26" spans="1:16" s="8" customFormat="1" x14ac:dyDescent="0.2">
      <c r="A26" s="641"/>
      <c r="B26" s="642"/>
      <c r="C26" s="641"/>
      <c r="D26" s="641"/>
      <c r="E26" s="294"/>
      <c r="F26" s="294">
        <v>5600</v>
      </c>
      <c r="G26" s="643">
        <v>1</v>
      </c>
      <c r="H26" s="709">
        <v>43328</v>
      </c>
      <c r="I26" s="297">
        <v>5600</v>
      </c>
      <c r="J26" s="709">
        <v>43462</v>
      </c>
      <c r="K26" s="644"/>
      <c r="L26" s="294"/>
      <c r="M26" s="299"/>
      <c r="O26" s="20"/>
      <c r="P26" s="20"/>
    </row>
    <row r="27" spans="1:16" s="8" customFormat="1" x14ac:dyDescent="0.2">
      <c r="A27" s="645"/>
      <c r="B27" s="646"/>
      <c r="C27" s="645"/>
      <c r="D27" s="645"/>
      <c r="E27" s="647"/>
      <c r="F27" s="647"/>
      <c r="G27" s="648"/>
      <c r="H27" s="649"/>
      <c r="I27" s="650"/>
      <c r="J27" s="649"/>
      <c r="K27" s="651"/>
      <c r="L27" s="647"/>
      <c r="M27" s="652"/>
      <c r="O27" s="20"/>
      <c r="P27" s="20"/>
    </row>
    <row r="28" spans="1:16" s="8" customFormat="1" x14ac:dyDescent="0.2">
      <c r="A28" s="894" t="s">
        <v>407</v>
      </c>
      <c r="B28" s="895" t="s">
        <v>408</v>
      </c>
      <c r="C28" s="896">
        <v>43272</v>
      </c>
      <c r="D28" s="897">
        <v>43637</v>
      </c>
      <c r="E28" s="17">
        <v>1575</v>
      </c>
      <c r="F28" s="898"/>
      <c r="G28" s="899"/>
      <c r="H28" s="85"/>
      <c r="I28" s="20"/>
      <c r="J28" s="21"/>
      <c r="K28" s="183"/>
      <c r="L28" s="17"/>
      <c r="M28" s="22"/>
      <c r="O28" s="20"/>
      <c r="P28" s="20"/>
    </row>
    <row r="29" spans="1:16" s="8" customFormat="1" x14ac:dyDescent="0.2">
      <c r="A29" s="894"/>
      <c r="B29" s="895"/>
      <c r="C29" s="894"/>
      <c r="D29" s="894"/>
      <c r="E29" s="17"/>
      <c r="F29" s="17">
        <v>1575</v>
      </c>
      <c r="G29" s="899"/>
      <c r="H29" s="85">
        <v>43571</v>
      </c>
      <c r="I29" s="880" t="s">
        <v>294</v>
      </c>
      <c r="J29" s="85"/>
      <c r="K29" s="183"/>
      <c r="L29" s="367">
        <f>IF(I29="en attente",F29,"")</f>
        <v>1575</v>
      </c>
      <c r="M29" s="367">
        <f>IF(H29="",F29-I29,0)</f>
        <v>0</v>
      </c>
      <c r="O29" s="20"/>
      <c r="P29" s="20"/>
    </row>
    <row r="30" spans="1:16" s="8" customFormat="1" x14ac:dyDescent="0.2">
      <c r="A30" s="900"/>
      <c r="B30" s="901"/>
      <c r="C30" s="900"/>
      <c r="D30" s="900"/>
      <c r="E30" s="389"/>
      <c r="F30" s="389"/>
      <c r="G30" s="902"/>
      <c r="H30" s="903"/>
      <c r="I30" s="534"/>
      <c r="J30" s="903"/>
      <c r="K30" s="904"/>
      <c r="L30" s="389"/>
      <c r="M30" s="104"/>
      <c r="O30" s="20"/>
      <c r="P30" s="20"/>
    </row>
    <row r="31" spans="1:16" x14ac:dyDescent="0.2">
      <c r="E31" s="62">
        <f>SUM(E6:E30)</f>
        <v>74610</v>
      </c>
      <c r="F31" s="62">
        <f>SUMPRODUCT((DateAF_ADEME&lt;&gt;"")*MontantAF_ADEME)</f>
        <v>51535</v>
      </c>
      <c r="I31" s="62">
        <f>I10+I15+I16+I20+I24+I26</f>
        <v>63680</v>
      </c>
      <c r="L31" s="62">
        <f>SUM(L6:L30)</f>
        <v>1575</v>
      </c>
      <c r="M31" s="62">
        <f>SUM(M6:M30)</f>
        <v>9355</v>
      </c>
    </row>
    <row r="32" spans="1:16" ht="12.75" thickBot="1" x14ac:dyDescent="0.25"/>
    <row r="33" spans="5:9" ht="12.75" thickBot="1" x14ac:dyDescent="0.25">
      <c r="F33" s="748" t="s">
        <v>219</v>
      </c>
      <c r="G33" s="741"/>
      <c r="H33" s="742"/>
      <c r="I33" s="752" t="s">
        <v>221</v>
      </c>
    </row>
    <row r="34" spans="5:9" x14ac:dyDescent="0.2">
      <c r="E34" s="755">
        <v>2011</v>
      </c>
      <c r="F34" s="749">
        <f>SUMPRODUCT((YEAR($E$47:$E$80)=E34)*($F$47:$F$80))</f>
        <v>12800</v>
      </c>
      <c r="G34" s="525"/>
      <c r="H34" s="47"/>
      <c r="I34" s="749">
        <f>SUMPRODUCT((YEAR($E$47:$E$80)=E34)*($I$47:$I$80))</f>
        <v>12800</v>
      </c>
    </row>
    <row r="35" spans="5:9" x14ac:dyDescent="0.2">
      <c r="E35" s="754">
        <v>2012</v>
      </c>
      <c r="F35" s="749">
        <f t="shared" ref="F35:F42" si="0">SUMPRODUCT((YEAR($E$47:$E$80)=E35)*($F$47:$F$80))</f>
        <v>0</v>
      </c>
      <c r="G35" s="525"/>
      <c r="H35" s="47"/>
      <c r="I35" s="749">
        <f t="shared" ref="I35:I42" si="1">SUMPRODUCT((YEAR($E$47:$E$80)=E35)*($I$47:$I$80))</f>
        <v>0</v>
      </c>
    </row>
    <row r="36" spans="5:9" x14ac:dyDescent="0.2">
      <c r="E36" s="754">
        <v>2013</v>
      </c>
      <c r="F36" s="749">
        <f t="shared" si="0"/>
        <v>0</v>
      </c>
      <c r="G36" s="525"/>
      <c r="H36" s="47"/>
      <c r="I36" s="749">
        <f t="shared" si="1"/>
        <v>0</v>
      </c>
    </row>
    <row r="37" spans="5:9" x14ac:dyDescent="0.2">
      <c r="E37" s="754">
        <v>2014</v>
      </c>
      <c r="F37" s="749">
        <f t="shared" si="0"/>
        <v>7680</v>
      </c>
      <c r="G37" s="525"/>
      <c r="H37" s="47"/>
      <c r="I37" s="749">
        <f t="shared" si="1"/>
        <v>7680</v>
      </c>
    </row>
    <row r="38" spans="5:9" x14ac:dyDescent="0.2">
      <c r="E38" s="754">
        <v>2015</v>
      </c>
      <c r="F38" s="749">
        <f t="shared" si="0"/>
        <v>5120</v>
      </c>
      <c r="G38" s="525"/>
      <c r="H38" s="47"/>
      <c r="I38" s="749">
        <f t="shared" si="1"/>
        <v>5120</v>
      </c>
    </row>
    <row r="39" spans="5:9" x14ac:dyDescent="0.2">
      <c r="E39" s="754">
        <v>2016</v>
      </c>
      <c r="F39" s="749">
        <f t="shared" si="0"/>
        <v>0</v>
      </c>
      <c r="G39" s="525"/>
      <c r="H39" s="47"/>
      <c r="I39" s="749">
        <f t="shared" si="1"/>
        <v>0</v>
      </c>
    </row>
    <row r="40" spans="5:9" x14ac:dyDescent="0.2">
      <c r="E40" s="754">
        <v>2017</v>
      </c>
      <c r="F40" s="749">
        <f t="shared" si="0"/>
        <v>7700</v>
      </c>
      <c r="G40" s="525"/>
      <c r="H40" s="47"/>
      <c r="I40" s="749">
        <f t="shared" si="1"/>
        <v>0</v>
      </c>
    </row>
    <row r="41" spans="5:9" ht="12.75" thickBot="1" x14ac:dyDescent="0.25">
      <c r="E41" s="754">
        <v>2018</v>
      </c>
      <c r="F41" s="749">
        <f t="shared" si="0"/>
        <v>16660</v>
      </c>
      <c r="G41" s="525"/>
      <c r="H41" s="47"/>
      <c r="I41" s="749">
        <f t="shared" si="1"/>
        <v>38080</v>
      </c>
    </row>
    <row r="42" spans="5:9" ht="12.75" thickBot="1" x14ac:dyDescent="0.25">
      <c r="E42" s="756">
        <v>2019</v>
      </c>
      <c r="F42" s="750">
        <f t="shared" si="0"/>
        <v>1575</v>
      </c>
      <c r="G42" s="757"/>
      <c r="H42" s="758"/>
      <c r="I42" s="759">
        <f t="shared" si="1"/>
        <v>0</v>
      </c>
    </row>
    <row r="43" spans="5:9" ht="12.75" thickBot="1" x14ac:dyDescent="0.25">
      <c r="E43" s="77"/>
      <c r="F43" s="751">
        <f>SUM(F34:F42)</f>
        <v>51535</v>
      </c>
      <c r="G43" s="746"/>
      <c r="H43" s="747"/>
      <c r="I43" s="751">
        <f>SUM(I34:I41)</f>
        <v>63680</v>
      </c>
    </row>
    <row r="44" spans="5:9" x14ac:dyDescent="0.2">
      <c r="E44" s="77"/>
      <c r="F44" s="91">
        <f>F43-F81</f>
        <v>0</v>
      </c>
      <c r="I44" s="91">
        <f>I43-I81</f>
        <v>0</v>
      </c>
    </row>
    <row r="45" spans="5:9" x14ac:dyDescent="0.2">
      <c r="F45" s="91"/>
    </row>
    <row r="46" spans="5:9" x14ac:dyDescent="0.2">
      <c r="F46" s="371" t="s">
        <v>219</v>
      </c>
      <c r="I46" s="372" t="s">
        <v>221</v>
      </c>
    </row>
    <row r="47" spans="5:9" x14ac:dyDescent="0.2">
      <c r="E47" s="368">
        <v>40817</v>
      </c>
      <c r="F47" s="375">
        <f t="shared" ref="F47:F80" si="2">SUMPRODUCT((DateAF_ADEME&lt;&gt;"")*(MONTH(DateAF_ADEME)=MONTH(E47))*(YEAR(DateAF_ADEME)=YEAR(E47))*MontantAF_ADEME)</f>
        <v>12800</v>
      </c>
      <c r="I47" s="375">
        <f t="shared" ref="I47:I80" si="3">SUMPRODUCT((DatePmt_ADEME&lt;&gt;"")*(DatePmt_ADEME&lt;&gt;"en attente")*(MONTH(DatePmt_ADEME)=MONTH(E47))*(YEAR(DatePmt_ADEME)=YEAR(E47))*(ISNUMBER(MtntPaye_ADEME)),MtntPaye_ADEME)</f>
        <v>0</v>
      </c>
    </row>
    <row r="48" spans="5:9" x14ac:dyDescent="0.2">
      <c r="E48" s="368">
        <v>40848</v>
      </c>
      <c r="F48" s="375">
        <f t="shared" si="2"/>
        <v>0</v>
      </c>
      <c r="I48" s="375">
        <f t="shared" si="3"/>
        <v>0</v>
      </c>
    </row>
    <row r="49" spans="5:9" x14ac:dyDescent="0.2">
      <c r="E49" s="368">
        <v>40878</v>
      </c>
      <c r="F49" s="375">
        <f t="shared" si="2"/>
        <v>0</v>
      </c>
      <c r="I49" s="375">
        <f t="shared" si="3"/>
        <v>12800</v>
      </c>
    </row>
    <row r="50" spans="5:9" x14ac:dyDescent="0.2">
      <c r="E50" s="368">
        <v>40909</v>
      </c>
      <c r="F50" s="375">
        <f t="shared" si="2"/>
        <v>0</v>
      </c>
      <c r="G50" s="376"/>
      <c r="H50" s="375"/>
      <c r="I50" s="375">
        <f t="shared" si="3"/>
        <v>0</v>
      </c>
    </row>
    <row r="51" spans="5:9" x14ac:dyDescent="0.2">
      <c r="E51" s="368">
        <v>41640</v>
      </c>
      <c r="F51" s="375">
        <f t="shared" si="2"/>
        <v>0</v>
      </c>
      <c r="G51" s="376"/>
      <c r="H51" s="370"/>
      <c r="I51" s="375">
        <f t="shared" si="3"/>
        <v>0</v>
      </c>
    </row>
    <row r="52" spans="5:9" x14ac:dyDescent="0.2">
      <c r="E52" s="368">
        <v>41821</v>
      </c>
      <c r="F52" s="375">
        <f t="shared" si="2"/>
        <v>7680</v>
      </c>
      <c r="G52" s="376"/>
      <c r="H52" s="370"/>
      <c r="I52" s="375">
        <f t="shared" si="3"/>
        <v>0</v>
      </c>
    </row>
    <row r="53" spans="5:9" x14ac:dyDescent="0.2">
      <c r="E53" s="368">
        <v>41883</v>
      </c>
      <c r="F53" s="375">
        <f t="shared" si="2"/>
        <v>0</v>
      </c>
      <c r="G53" s="376"/>
      <c r="H53" s="370"/>
      <c r="I53" s="375">
        <f t="shared" si="3"/>
        <v>7680</v>
      </c>
    </row>
    <row r="54" spans="5:9" x14ac:dyDescent="0.2">
      <c r="E54" s="368">
        <v>42005</v>
      </c>
      <c r="F54" s="375">
        <f t="shared" si="2"/>
        <v>5120</v>
      </c>
      <c r="G54" s="376"/>
      <c r="H54" s="370"/>
      <c r="I54" s="375">
        <f t="shared" si="3"/>
        <v>0</v>
      </c>
    </row>
    <row r="55" spans="5:9" x14ac:dyDescent="0.2">
      <c r="E55" s="368">
        <v>42125</v>
      </c>
      <c r="F55" s="375">
        <f t="shared" si="2"/>
        <v>0</v>
      </c>
      <c r="G55" s="376"/>
      <c r="H55" s="370"/>
      <c r="I55" s="375">
        <f t="shared" si="3"/>
        <v>5120</v>
      </c>
    </row>
    <row r="56" spans="5:9" x14ac:dyDescent="0.2">
      <c r="E56" s="368">
        <v>43070</v>
      </c>
      <c r="F56" s="375">
        <f t="shared" si="2"/>
        <v>7700</v>
      </c>
      <c r="G56" s="376"/>
      <c r="H56" s="370"/>
      <c r="I56" s="375">
        <f t="shared" si="3"/>
        <v>0</v>
      </c>
    </row>
    <row r="57" spans="5:9" x14ac:dyDescent="0.2">
      <c r="E57" s="368">
        <v>43101</v>
      </c>
      <c r="F57" s="375">
        <f t="shared" si="2"/>
        <v>0</v>
      </c>
      <c r="G57" s="376"/>
      <c r="H57" s="370"/>
      <c r="I57" s="375">
        <f t="shared" si="3"/>
        <v>0</v>
      </c>
    </row>
    <row r="58" spans="5:9" x14ac:dyDescent="0.2">
      <c r="E58" s="368">
        <v>43132</v>
      </c>
      <c r="F58" s="375">
        <f t="shared" si="2"/>
        <v>4200</v>
      </c>
      <c r="G58" s="376"/>
      <c r="H58" s="370"/>
      <c r="I58" s="375">
        <f t="shared" si="3"/>
        <v>7700</v>
      </c>
    </row>
    <row r="59" spans="5:9" x14ac:dyDescent="0.2">
      <c r="E59" s="368">
        <v>43160</v>
      </c>
      <c r="F59" s="375">
        <f t="shared" si="2"/>
        <v>0</v>
      </c>
      <c r="G59" s="376"/>
      <c r="H59" s="370"/>
      <c r="I59" s="375">
        <f t="shared" si="3"/>
        <v>0</v>
      </c>
    </row>
    <row r="60" spans="5:9" x14ac:dyDescent="0.2">
      <c r="E60" s="368">
        <v>43191</v>
      </c>
      <c r="F60" s="375">
        <f t="shared" si="2"/>
        <v>0</v>
      </c>
      <c r="G60" s="376"/>
      <c r="H60" s="370"/>
      <c r="I60" s="375">
        <f t="shared" si="3"/>
        <v>0</v>
      </c>
    </row>
    <row r="61" spans="5:9" x14ac:dyDescent="0.2">
      <c r="E61" s="368">
        <v>43221</v>
      </c>
      <c r="F61" s="375">
        <f t="shared" si="2"/>
        <v>0</v>
      </c>
      <c r="G61" s="376"/>
      <c r="H61" s="370"/>
      <c r="I61" s="375">
        <f t="shared" si="3"/>
        <v>0</v>
      </c>
    </row>
    <row r="62" spans="5:9" x14ac:dyDescent="0.2">
      <c r="E62" s="368">
        <v>43252</v>
      </c>
      <c r="F62" s="375">
        <f t="shared" si="2"/>
        <v>0</v>
      </c>
      <c r="G62" s="376"/>
      <c r="H62" s="370"/>
      <c r="I62" s="375">
        <f t="shared" si="3"/>
        <v>4200</v>
      </c>
    </row>
    <row r="63" spans="5:9" x14ac:dyDescent="0.2">
      <c r="E63" s="368">
        <v>43282</v>
      </c>
      <c r="F63" s="375">
        <f t="shared" si="2"/>
        <v>0</v>
      </c>
      <c r="G63" s="376"/>
      <c r="H63" s="370"/>
      <c r="I63" s="375">
        <f t="shared" si="3"/>
        <v>0</v>
      </c>
    </row>
    <row r="64" spans="5:9" x14ac:dyDescent="0.2">
      <c r="E64" s="368">
        <v>43313</v>
      </c>
      <c r="F64" s="375">
        <f t="shared" si="2"/>
        <v>5600</v>
      </c>
      <c r="G64" s="376"/>
      <c r="H64" s="370"/>
      <c r="I64" s="375">
        <f t="shared" si="3"/>
        <v>13720</v>
      </c>
    </row>
    <row r="65" spans="5:9" x14ac:dyDescent="0.2">
      <c r="E65" s="368">
        <v>43344</v>
      </c>
      <c r="F65" s="375">
        <f t="shared" si="2"/>
        <v>6860</v>
      </c>
      <c r="G65" s="376"/>
      <c r="H65" s="370"/>
      <c r="I65" s="375">
        <f t="shared" si="3"/>
        <v>0</v>
      </c>
    </row>
    <row r="66" spans="5:9" x14ac:dyDescent="0.2">
      <c r="E66" s="368">
        <v>43374</v>
      </c>
      <c r="F66" s="375">
        <f t="shared" si="2"/>
        <v>0</v>
      </c>
      <c r="G66" s="376"/>
      <c r="H66" s="370"/>
      <c r="I66" s="375">
        <f t="shared" si="3"/>
        <v>0</v>
      </c>
    </row>
    <row r="67" spans="5:9" x14ac:dyDescent="0.2">
      <c r="E67" s="368">
        <v>43405</v>
      </c>
      <c r="F67" s="375">
        <f t="shared" si="2"/>
        <v>0</v>
      </c>
      <c r="G67" s="376"/>
      <c r="H67" s="370"/>
      <c r="I67" s="375">
        <f t="shared" si="3"/>
        <v>0</v>
      </c>
    </row>
    <row r="68" spans="5:9" x14ac:dyDescent="0.2">
      <c r="E68" s="368">
        <v>43435</v>
      </c>
      <c r="F68" s="375">
        <f t="shared" si="2"/>
        <v>0</v>
      </c>
      <c r="G68" s="376"/>
      <c r="H68" s="370"/>
      <c r="I68" s="375">
        <f t="shared" si="3"/>
        <v>12460</v>
      </c>
    </row>
    <row r="69" spans="5:9" x14ac:dyDescent="0.2">
      <c r="E69" s="368">
        <v>43466</v>
      </c>
      <c r="F69" s="375">
        <f t="shared" si="2"/>
        <v>0</v>
      </c>
      <c r="G69" s="376"/>
      <c r="H69" s="370"/>
      <c r="I69" s="375">
        <f t="shared" si="3"/>
        <v>0</v>
      </c>
    </row>
    <row r="70" spans="5:9" x14ac:dyDescent="0.2">
      <c r="E70" s="368">
        <v>43497</v>
      </c>
      <c r="F70" s="375">
        <f t="shared" si="2"/>
        <v>0</v>
      </c>
      <c r="G70" s="376"/>
      <c r="H70" s="370"/>
      <c r="I70" s="375">
        <f t="shared" si="3"/>
        <v>0</v>
      </c>
    </row>
    <row r="71" spans="5:9" x14ac:dyDescent="0.2">
      <c r="E71" s="368">
        <v>43525</v>
      </c>
      <c r="F71" s="375">
        <f t="shared" si="2"/>
        <v>0</v>
      </c>
      <c r="G71" s="376"/>
      <c r="H71" s="370"/>
      <c r="I71" s="375">
        <f t="shared" si="3"/>
        <v>0</v>
      </c>
    </row>
    <row r="72" spans="5:9" x14ac:dyDescent="0.2">
      <c r="E72" s="368">
        <v>43556</v>
      </c>
      <c r="F72" s="375">
        <f t="shared" si="2"/>
        <v>1575</v>
      </c>
      <c r="G72" s="376"/>
      <c r="H72" s="370"/>
      <c r="I72" s="375">
        <f t="shared" si="3"/>
        <v>0</v>
      </c>
    </row>
    <row r="73" spans="5:9" x14ac:dyDescent="0.2">
      <c r="E73" s="368">
        <v>43586</v>
      </c>
      <c r="F73" s="375">
        <f t="shared" si="2"/>
        <v>0</v>
      </c>
      <c r="G73" s="376"/>
      <c r="H73" s="370"/>
      <c r="I73" s="375">
        <f t="shared" si="3"/>
        <v>0</v>
      </c>
    </row>
    <row r="74" spans="5:9" x14ac:dyDescent="0.2">
      <c r="E74" s="368">
        <v>43617</v>
      </c>
      <c r="F74" s="375">
        <f t="shared" si="2"/>
        <v>0</v>
      </c>
      <c r="G74" s="376"/>
      <c r="H74" s="370"/>
      <c r="I74" s="375">
        <f t="shared" si="3"/>
        <v>0</v>
      </c>
    </row>
    <row r="75" spans="5:9" x14ac:dyDescent="0.2">
      <c r="E75" s="368">
        <v>43647</v>
      </c>
      <c r="F75" s="375">
        <f t="shared" si="2"/>
        <v>0</v>
      </c>
      <c r="G75" s="376"/>
      <c r="H75" s="370"/>
      <c r="I75" s="375">
        <f t="shared" si="3"/>
        <v>0</v>
      </c>
    </row>
    <row r="76" spans="5:9" x14ac:dyDescent="0.2">
      <c r="E76" s="368">
        <v>43678</v>
      </c>
      <c r="F76" s="375">
        <f t="shared" si="2"/>
        <v>0</v>
      </c>
      <c r="G76" s="376"/>
      <c r="H76" s="370"/>
      <c r="I76" s="375">
        <f t="shared" si="3"/>
        <v>0</v>
      </c>
    </row>
    <row r="77" spans="5:9" x14ac:dyDescent="0.2">
      <c r="E77" s="368">
        <v>43709</v>
      </c>
      <c r="F77" s="375">
        <f t="shared" si="2"/>
        <v>0</v>
      </c>
      <c r="G77" s="376"/>
      <c r="H77" s="370"/>
      <c r="I77" s="375">
        <f t="shared" si="3"/>
        <v>0</v>
      </c>
    </row>
    <row r="78" spans="5:9" x14ac:dyDescent="0.2">
      <c r="E78" s="368">
        <v>43739</v>
      </c>
      <c r="F78" s="375">
        <f t="shared" si="2"/>
        <v>0</v>
      </c>
      <c r="G78" s="376"/>
      <c r="H78" s="370"/>
      <c r="I78" s="375">
        <f t="shared" si="3"/>
        <v>0</v>
      </c>
    </row>
    <row r="79" spans="5:9" x14ac:dyDescent="0.2">
      <c r="E79" s="368">
        <v>43770</v>
      </c>
      <c r="F79" s="375">
        <f t="shared" si="2"/>
        <v>0</v>
      </c>
      <c r="G79" s="376"/>
      <c r="H79" s="370"/>
      <c r="I79" s="375">
        <f t="shared" si="3"/>
        <v>0</v>
      </c>
    </row>
    <row r="80" spans="5:9" x14ac:dyDescent="0.2">
      <c r="E80" s="368">
        <v>43800</v>
      </c>
      <c r="F80" s="375">
        <f t="shared" si="2"/>
        <v>0</v>
      </c>
      <c r="G80" s="376"/>
      <c r="H80" s="370"/>
      <c r="I80" s="375">
        <f t="shared" si="3"/>
        <v>0</v>
      </c>
    </row>
    <row r="81" spans="6:9" x14ac:dyDescent="0.2">
      <c r="F81" s="377">
        <f>SUM(F47:F80)</f>
        <v>51535</v>
      </c>
      <c r="G81" s="376"/>
      <c r="H81" s="370"/>
      <c r="I81" s="377">
        <f>SUM(I47:I80)</f>
        <v>63680</v>
      </c>
    </row>
    <row r="82" spans="6:9" x14ac:dyDescent="0.2">
      <c r="F82" s="91">
        <f>F81-F31</f>
        <v>0</v>
      </c>
      <c r="I82" s="91">
        <f>I81-I31</f>
        <v>0</v>
      </c>
    </row>
  </sheetData>
  <mergeCells count="7">
    <mergeCell ref="A2:L2"/>
    <mergeCell ref="A4:A5"/>
    <mergeCell ref="B4:B5"/>
    <mergeCell ref="C4:C5"/>
    <mergeCell ref="E4:E5"/>
    <mergeCell ref="F4:K4"/>
    <mergeCell ref="L4:M4"/>
  </mergeCells>
  <pageMargins left="0.7" right="0.7" top="0.75" bottom="0.75" header="0.3" footer="0.3"/>
  <pageSetup paperSize="9" scale="85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rgb="FF1CA847"/>
    <pageSetUpPr fitToPage="1"/>
  </sheetPr>
  <dimension ref="A1:P55"/>
  <sheetViews>
    <sheetView workbookViewId="0">
      <selection activeCell="A14" sqref="A14"/>
    </sheetView>
  </sheetViews>
  <sheetFormatPr baseColWidth="10" defaultColWidth="11.42578125" defaultRowHeight="12" x14ac:dyDescent="0.2"/>
  <cols>
    <col min="1" max="1" width="31.5703125" style="6" bestFit="1" customWidth="1"/>
    <col min="2" max="2" width="11.42578125" style="1" bestFit="1" customWidth="1"/>
    <col min="3" max="3" width="13.42578125" style="1" bestFit="1" customWidth="1"/>
    <col min="4" max="4" width="14.42578125" style="1" customWidth="1"/>
    <col min="5" max="5" width="4.140625" style="6" bestFit="1" customWidth="1"/>
    <col min="6" max="6" width="10.42578125" style="1" bestFit="1" customWidth="1"/>
    <col min="7" max="7" width="12.42578125" style="1" customWidth="1"/>
    <col min="8" max="8" width="10.42578125" style="1" bestFit="1" customWidth="1"/>
    <col min="9" max="9" width="18.5703125" style="1" bestFit="1" customWidth="1"/>
    <col min="10" max="10" width="14.42578125" style="1" customWidth="1"/>
    <col min="11" max="11" width="14.42578125" style="1" bestFit="1" customWidth="1"/>
    <col min="12" max="12" width="12.28515625" style="1" customWidth="1"/>
    <col min="13" max="13" width="14.42578125" style="1" bestFit="1" customWidth="1"/>
    <col min="14" max="14" width="13.42578125" style="1" bestFit="1" customWidth="1"/>
    <col min="15" max="16384" width="11.42578125" style="1"/>
  </cols>
  <sheetData>
    <row r="1" spans="1:16" x14ac:dyDescent="0.2">
      <c r="M1" s="92"/>
      <c r="N1" s="8"/>
    </row>
    <row r="2" spans="1:16" x14ac:dyDescent="0.2">
      <c r="A2" s="923" t="s">
        <v>92</v>
      </c>
      <c r="B2" s="923"/>
      <c r="C2" s="923"/>
      <c r="D2" s="923"/>
      <c r="E2" s="923"/>
      <c r="F2" s="923"/>
      <c r="G2" s="923"/>
      <c r="H2" s="923"/>
      <c r="I2" s="923"/>
      <c r="J2" s="923"/>
      <c r="K2" s="9">
        <f ca="1">TODAY()</f>
        <v>43593</v>
      </c>
      <c r="N2" s="61"/>
    </row>
    <row r="4" spans="1:16" s="2" customFormat="1" x14ac:dyDescent="0.2">
      <c r="A4" s="940" t="s">
        <v>2</v>
      </c>
      <c r="B4" s="928" t="s">
        <v>21</v>
      </c>
      <c r="C4" s="928" t="s">
        <v>12</v>
      </c>
      <c r="D4" s="924" t="s">
        <v>4</v>
      </c>
      <c r="E4" s="925"/>
      <c r="F4" s="925"/>
      <c r="G4" s="925"/>
      <c r="H4" s="925"/>
      <c r="I4" s="926"/>
      <c r="J4" s="927" t="s">
        <v>13</v>
      </c>
      <c r="K4" s="928"/>
      <c r="N4" s="63"/>
      <c r="O4" s="63"/>
    </row>
    <row r="5" spans="1:16" s="13" customFormat="1" x14ac:dyDescent="0.2">
      <c r="A5" s="941"/>
      <c r="B5" s="942"/>
      <c r="C5" s="942"/>
      <c r="D5" s="10" t="s">
        <v>1</v>
      </c>
      <c r="E5" s="11" t="s">
        <v>3</v>
      </c>
      <c r="F5" s="11" t="s">
        <v>15</v>
      </c>
      <c r="G5" s="12" t="s">
        <v>14</v>
      </c>
      <c r="H5" s="10" t="s">
        <v>15</v>
      </c>
      <c r="I5" s="11" t="s">
        <v>18</v>
      </c>
      <c r="J5" s="3" t="s">
        <v>20</v>
      </c>
      <c r="K5" s="3" t="s">
        <v>19</v>
      </c>
    </row>
    <row r="6" spans="1:16" s="107" customFormat="1" x14ac:dyDescent="0.2">
      <c r="A6" s="274" t="s">
        <v>78</v>
      </c>
      <c r="B6" s="275">
        <v>40449</v>
      </c>
      <c r="C6" s="276">
        <v>1125260</v>
      </c>
      <c r="D6" s="275"/>
      <c r="E6" s="276"/>
      <c r="F6" s="277"/>
      <c r="G6" s="278">
        <f>SUM(G7:G9)</f>
        <v>1125260</v>
      </c>
      <c r="H6" s="275"/>
      <c r="I6" s="279"/>
      <c r="J6" s="280">
        <f>SUM(J7:J9)</f>
        <v>0</v>
      </c>
      <c r="K6" s="280">
        <f>SUM(K7:K9)</f>
        <v>0</v>
      </c>
      <c r="L6" s="228">
        <f>C6-(G6+J6+K6)</f>
        <v>0</v>
      </c>
      <c r="M6" s="13"/>
      <c r="N6" s="13"/>
      <c r="O6" s="166"/>
      <c r="P6" s="209"/>
    </row>
    <row r="7" spans="1:16" s="26" customFormat="1" x14ac:dyDescent="0.2">
      <c r="A7" s="281" t="s">
        <v>78</v>
      </c>
      <c r="B7" s="286"/>
      <c r="C7" s="283">
        <f>D7/$C$6</f>
        <v>0.32881289657501378</v>
      </c>
      <c r="D7" s="284">
        <v>370000</v>
      </c>
      <c r="E7" s="285">
        <v>1</v>
      </c>
      <c r="F7" s="288">
        <v>40666</v>
      </c>
      <c r="G7" s="284">
        <v>370000</v>
      </c>
      <c r="H7" s="288">
        <v>40710</v>
      </c>
      <c r="I7" s="289">
        <f>IF(H7="",$K$2-F7,H7-F7)</f>
        <v>44</v>
      </c>
      <c r="J7" s="290" t="str">
        <f>IF(G7="en attente",F7,"")</f>
        <v/>
      </c>
      <c r="K7" s="290">
        <f>IF(F7="",D7-G7,0)</f>
        <v>0</v>
      </c>
      <c r="L7" s="227"/>
      <c r="M7" s="13"/>
      <c r="N7" s="13"/>
    </row>
    <row r="8" spans="1:16" s="26" customFormat="1" x14ac:dyDescent="0.2">
      <c r="A8" s="281" t="s">
        <v>78</v>
      </c>
      <c r="B8" s="286"/>
      <c r="C8" s="283">
        <f>D8/$C$6+C7</f>
        <v>0.65499973339494866</v>
      </c>
      <c r="D8" s="284">
        <v>367045</v>
      </c>
      <c r="E8" s="285">
        <v>2</v>
      </c>
      <c r="F8" s="286">
        <v>41003</v>
      </c>
      <c r="G8" s="287">
        <v>367045</v>
      </c>
      <c r="H8" s="288">
        <v>41247</v>
      </c>
      <c r="I8" s="289">
        <f t="shared" ref="I8:I13" si="0">IF(H8="",$K$2-F8,H8-F8)</f>
        <v>244</v>
      </c>
      <c r="J8" s="290" t="str">
        <f>IF(G8="en attente",F8,"")</f>
        <v/>
      </c>
      <c r="K8" s="290">
        <f>IF(F8="",D8-G8,0)</f>
        <v>0</v>
      </c>
      <c r="L8" s="227"/>
      <c r="M8" s="13"/>
      <c r="N8" s="13"/>
    </row>
    <row r="9" spans="1:16" s="26" customFormat="1" x14ac:dyDescent="0.2">
      <c r="A9" s="281" t="s">
        <v>78</v>
      </c>
      <c r="B9" s="286"/>
      <c r="C9" s="283">
        <f>D9/$C$6+C8</f>
        <v>1</v>
      </c>
      <c r="D9" s="284">
        <v>388215</v>
      </c>
      <c r="E9" s="285">
        <v>3</v>
      </c>
      <c r="F9" s="286">
        <v>42206</v>
      </c>
      <c r="G9" s="287">
        <v>388215</v>
      </c>
      <c r="H9" s="288">
        <v>42380</v>
      </c>
      <c r="I9" s="289">
        <f t="shared" si="0"/>
        <v>174</v>
      </c>
      <c r="J9" s="290" t="str">
        <f>IF(G9="en attente",D9,"")</f>
        <v/>
      </c>
      <c r="K9" s="290">
        <f>IF(F9="",D9-G9,0)</f>
        <v>0</v>
      </c>
      <c r="L9" s="227"/>
      <c r="M9" s="13"/>
      <c r="N9" s="13"/>
    </row>
    <row r="10" spans="1:16" s="107" customFormat="1" x14ac:dyDescent="0.2">
      <c r="A10" s="274" t="s">
        <v>79</v>
      </c>
      <c r="B10" s="275">
        <v>40449</v>
      </c>
      <c r="C10" s="276">
        <f>706937</f>
        <v>706937</v>
      </c>
      <c r="D10" s="275"/>
      <c r="E10" s="276"/>
      <c r="F10" s="277"/>
      <c r="G10" s="278">
        <f>SUM(G11:G13)</f>
        <v>701154</v>
      </c>
      <c r="H10" s="275"/>
      <c r="I10" s="279"/>
      <c r="J10" s="280">
        <f>SUM(J11:J13)</f>
        <v>0</v>
      </c>
      <c r="K10" s="280">
        <f>SUM(K11:K13)</f>
        <v>0</v>
      </c>
      <c r="L10" s="228">
        <f>C10-(G10+J10+K10)</f>
        <v>5783</v>
      </c>
      <c r="M10" s="13"/>
      <c r="N10" s="13"/>
      <c r="O10" s="166"/>
      <c r="P10" s="209"/>
    </row>
    <row r="11" spans="1:16" s="26" customFormat="1" x14ac:dyDescent="0.2">
      <c r="A11" s="281" t="s">
        <v>79</v>
      </c>
      <c r="B11" s="282"/>
      <c r="C11" s="283">
        <f>D11/$C$10</f>
        <v>0.35363830157425624</v>
      </c>
      <c r="D11" s="284">
        <v>250000</v>
      </c>
      <c r="E11" s="285">
        <v>1</v>
      </c>
      <c r="F11" s="286">
        <v>40666</v>
      </c>
      <c r="G11" s="287">
        <v>250000</v>
      </c>
      <c r="H11" s="288">
        <v>40710</v>
      </c>
      <c r="I11" s="289">
        <f t="shared" si="0"/>
        <v>44</v>
      </c>
      <c r="J11" s="290" t="str">
        <f>IF(G11="en attente",F11,"")</f>
        <v/>
      </c>
      <c r="K11" s="290">
        <f>IF(F11="",D11-G11,0)</f>
        <v>0</v>
      </c>
      <c r="L11" s="227"/>
      <c r="M11" s="13"/>
      <c r="N11" s="13"/>
    </row>
    <row r="12" spans="1:16" s="26" customFormat="1" x14ac:dyDescent="0.2">
      <c r="A12" s="281" t="s">
        <v>79</v>
      </c>
      <c r="B12" s="282"/>
      <c r="C12" s="283">
        <f>D12/$C$10+C11</f>
        <v>0.70000014145532063</v>
      </c>
      <c r="D12" s="284">
        <v>244856</v>
      </c>
      <c r="E12" s="285">
        <v>2</v>
      </c>
      <c r="F12" s="286">
        <v>41003</v>
      </c>
      <c r="G12" s="287">
        <v>244856</v>
      </c>
      <c r="H12" s="288">
        <v>41247</v>
      </c>
      <c r="I12" s="289">
        <f t="shared" si="0"/>
        <v>244</v>
      </c>
      <c r="J12" s="290" t="str">
        <f>IF(G12="en attente",F12,"")</f>
        <v/>
      </c>
      <c r="K12" s="290"/>
      <c r="L12" s="227"/>
      <c r="M12" s="13"/>
      <c r="N12" s="13"/>
    </row>
    <row r="13" spans="1:16" x14ac:dyDescent="0.2">
      <c r="A13" s="281" t="s">
        <v>79</v>
      </c>
      <c r="B13" s="286"/>
      <c r="C13" s="283">
        <f>D13/$C$10+C12</f>
        <v>0.99181963880798429</v>
      </c>
      <c r="D13" s="284">
        <v>206298</v>
      </c>
      <c r="E13" s="285">
        <v>3</v>
      </c>
      <c r="F13" s="286">
        <v>42208</v>
      </c>
      <c r="G13" s="287">
        <v>206298</v>
      </c>
      <c r="H13" s="288">
        <v>42353</v>
      </c>
      <c r="I13" s="289">
        <f t="shared" si="0"/>
        <v>145</v>
      </c>
      <c r="J13" s="290" t="str">
        <f>IF(G13="en attente",D13,"")</f>
        <v/>
      </c>
      <c r="K13" s="290">
        <f>IF(F13="",D13-G13,0)</f>
        <v>0</v>
      </c>
      <c r="L13" s="273" t="s">
        <v>166</v>
      </c>
      <c r="M13" s="13"/>
      <c r="N13" s="13"/>
    </row>
    <row r="14" spans="1:16" s="458" customFormat="1" x14ac:dyDescent="0.2">
      <c r="A14" s="263" t="s">
        <v>274</v>
      </c>
      <c r="B14" s="511">
        <v>42650</v>
      </c>
      <c r="C14" s="512">
        <v>92042.64</v>
      </c>
      <c r="D14" s="523"/>
      <c r="E14" s="727"/>
      <c r="F14" s="511"/>
      <c r="G14" s="520">
        <f>SUM(G15:G16)</f>
        <v>46021.32</v>
      </c>
      <c r="H14" s="684"/>
      <c r="I14" s="728"/>
      <c r="J14" s="685">
        <f>SUM(J15:J16)</f>
        <v>0</v>
      </c>
      <c r="K14" s="685">
        <f>SUM(K15:K16)</f>
        <v>46021.32</v>
      </c>
      <c r="L14" s="507"/>
      <c r="M14" s="508"/>
      <c r="N14" s="508"/>
    </row>
    <row r="15" spans="1:16" s="458" customFormat="1" x14ac:dyDescent="0.2">
      <c r="A15" s="45"/>
      <c r="B15" s="105"/>
      <c r="C15" s="108">
        <v>0.5</v>
      </c>
      <c r="D15" s="23">
        <f>+C14*C15</f>
        <v>46021.32</v>
      </c>
      <c r="E15" s="42">
        <v>1</v>
      </c>
      <c r="F15" s="15">
        <v>43264</v>
      </c>
      <c r="G15" s="24">
        <v>46021.32</v>
      </c>
      <c r="H15" s="30">
        <v>43370</v>
      </c>
      <c r="I15" s="43"/>
      <c r="J15" s="81" t="str">
        <f>IF(G15="en attente",F15,"")</f>
        <v/>
      </c>
      <c r="K15" s="81">
        <f>IF(F15="",D15-G15,0)</f>
        <v>0</v>
      </c>
      <c r="L15" s="507"/>
      <c r="M15" s="508"/>
      <c r="N15" s="508"/>
    </row>
    <row r="16" spans="1:16" s="458" customFormat="1" x14ac:dyDescent="0.2">
      <c r="A16" s="118"/>
      <c r="B16" s="36"/>
      <c r="C16" s="153">
        <v>0.5</v>
      </c>
      <c r="D16" s="35">
        <f>+C14*C16</f>
        <v>46021.32</v>
      </c>
      <c r="E16" s="44">
        <v>2</v>
      </c>
      <c r="F16" s="36"/>
      <c r="G16" s="37"/>
      <c r="H16" s="155"/>
      <c r="I16" s="156"/>
      <c r="J16" s="81" t="str">
        <f>IF(G16="en attente",F16,"")</f>
        <v/>
      </c>
      <c r="K16" s="81">
        <f>IF(F16="",D16-G16,0)</f>
        <v>46021.32</v>
      </c>
      <c r="L16" s="507"/>
      <c r="M16" s="508"/>
      <c r="N16" s="508"/>
    </row>
    <row r="17" spans="1:14" s="8" customFormat="1" x14ac:dyDescent="0.2">
      <c r="A17" s="48"/>
      <c r="B17" s="48"/>
      <c r="C17" s="41">
        <f>C6+C10+C14</f>
        <v>1924239.64</v>
      </c>
      <c r="D17" s="41">
        <f>SUMPRODUCT((DateAF_P_ILE&lt;&gt;"")*MontantAF_P_ILE)</f>
        <v>1872435.32</v>
      </c>
      <c r="E17" s="49"/>
      <c r="F17" s="50"/>
      <c r="G17" s="41">
        <f>G6+G10+G14</f>
        <v>1872435.32</v>
      </c>
      <c r="H17" s="50"/>
      <c r="I17" s="50"/>
      <c r="J17" s="41">
        <f>J6+J10+J14</f>
        <v>0</v>
      </c>
      <c r="K17" s="41">
        <f>K6+K10+K14</f>
        <v>46021.32</v>
      </c>
      <c r="L17" s="228">
        <f>C17-(G17+J17+K17)</f>
        <v>5782.9999999997672</v>
      </c>
      <c r="M17" s="13"/>
      <c r="N17" s="13"/>
    </row>
    <row r="18" spans="1:14" x14ac:dyDescent="0.2">
      <c r="A18" s="75"/>
      <c r="B18" s="76"/>
      <c r="C18" s="76"/>
      <c r="D18" s="76"/>
      <c r="E18" s="75"/>
      <c r="F18" s="76"/>
      <c r="G18" s="76"/>
      <c r="H18" s="76"/>
      <c r="I18" s="52"/>
      <c r="J18" s="921">
        <f>SUM(J17:K17)</f>
        <v>46021.32</v>
      </c>
      <c r="K18" s="922"/>
      <c r="L18" s="227"/>
      <c r="M18" s="13"/>
      <c r="N18" s="13"/>
    </row>
    <row r="19" spans="1:14" x14ac:dyDescent="0.2">
      <c r="C19" s="26"/>
      <c r="L19" s="13"/>
      <c r="M19" s="13"/>
      <c r="N19" s="13"/>
    </row>
    <row r="20" spans="1:14" x14ac:dyDescent="0.2">
      <c r="C20" s="26"/>
      <c r="L20" s="13"/>
      <c r="M20" s="13"/>
      <c r="N20" s="13"/>
    </row>
    <row r="21" spans="1:14" x14ac:dyDescent="0.2">
      <c r="C21" s="458"/>
      <c r="D21" s="371" t="s">
        <v>219</v>
      </c>
      <c r="G21" s="372" t="s">
        <v>221</v>
      </c>
      <c r="J21" s="371" t="s">
        <v>219</v>
      </c>
      <c r="K21" s="372" t="s">
        <v>221</v>
      </c>
    </row>
    <row r="22" spans="1:14" x14ac:dyDescent="0.2">
      <c r="C22" s="494">
        <v>40666</v>
      </c>
      <c r="D22" s="91">
        <f>SUMPRODUCT((DateAF_P_ILE&lt;&gt;"")*(MONTH(DateAF_P_ILE)=MONTH(C22))*(YEAR(DateAF_P_ILE)=YEAR(C22))*MontantAF_P_ILE)</f>
        <v>620000</v>
      </c>
      <c r="F22" s="494">
        <v>40666</v>
      </c>
      <c r="G22" s="91">
        <f t="shared" ref="G22:G52" si="1">SUMPRODUCT((DatePmt_P_ILE&lt;&gt;"")*(DatePmt_P_ILE&lt;&gt;"en attente")*(MONTH(DatePmt_P_ILE)=MONTH(F22))*(YEAR(DatePmt_P_ILE)=YEAR(F22))*(ISNUMBER(MtntPaye_P_ILE)),MtntPaye_P_ILE)</f>
        <v>0</v>
      </c>
      <c r="I22" s="1">
        <v>2011</v>
      </c>
      <c r="J22" s="91">
        <f>SUMPRODUCT((YEAR($C$22:$C$28)=I22)*($D$22:$D$28))</f>
        <v>620000</v>
      </c>
      <c r="K22" s="91">
        <f>SUMPRODUCT((YEAR($F$22:$F$28)=I22)*($G$22:$G$28))</f>
        <v>620000</v>
      </c>
    </row>
    <row r="23" spans="1:14" x14ac:dyDescent="0.2">
      <c r="C23" s="494">
        <v>40710</v>
      </c>
      <c r="D23" s="91">
        <f t="shared" ref="D23:D52" si="2">SUMPRODUCT((DateAF_P_ILE&lt;&gt;"")*(MONTH(DateAF_P_ILE)=MONTH(C23))*(YEAR(DateAF_P_ILE)=YEAR(C23))*MontantAF_P_ILE)</f>
        <v>0</v>
      </c>
      <c r="F23" s="494">
        <v>40710</v>
      </c>
      <c r="G23" s="91">
        <f t="shared" si="1"/>
        <v>620000</v>
      </c>
      <c r="I23" s="1">
        <v>2012</v>
      </c>
      <c r="J23" s="91">
        <f>SUMPRODUCT((YEAR($C$22:$C$28)=I23)*($D$22:$D$28))</f>
        <v>611901</v>
      </c>
      <c r="K23" s="91">
        <f>SUMPRODUCT((YEAR($F$22:$F$28)=I23)*($G$22:$G$28))</f>
        <v>611901</v>
      </c>
    </row>
    <row r="24" spans="1:14" x14ac:dyDescent="0.2">
      <c r="C24" s="494">
        <v>41003</v>
      </c>
      <c r="D24" s="91">
        <f t="shared" si="2"/>
        <v>611901</v>
      </c>
      <c r="F24" s="494">
        <v>41003</v>
      </c>
      <c r="G24" s="91">
        <f t="shared" si="1"/>
        <v>0</v>
      </c>
      <c r="I24" s="1">
        <v>2015</v>
      </c>
      <c r="J24" s="91">
        <f>SUMPRODUCT((YEAR($C$22:$C$28)=I24)*($D$22:$D$28))</f>
        <v>594513</v>
      </c>
      <c r="K24" s="91">
        <f>SUMPRODUCT((YEAR($F$22:$F$28)=I24)*($G$22:$G$28))</f>
        <v>206298</v>
      </c>
    </row>
    <row r="25" spans="1:14" x14ac:dyDescent="0.2">
      <c r="C25" s="494">
        <v>41247</v>
      </c>
      <c r="D25" s="91">
        <f t="shared" si="2"/>
        <v>0</v>
      </c>
      <c r="F25" s="494">
        <v>41247</v>
      </c>
      <c r="G25" s="91">
        <f t="shared" si="1"/>
        <v>611901</v>
      </c>
      <c r="I25" s="1">
        <v>2016</v>
      </c>
      <c r="J25" s="91">
        <f>SUMPRODUCT((YEAR($C$22:$C$28)=I25)*($D$22:$D$28))</f>
        <v>0</v>
      </c>
      <c r="K25" s="91">
        <f>SUMPRODUCT((YEAR($F$22:$F$28)=I25)*($G$22:$G$28))</f>
        <v>388215</v>
      </c>
    </row>
    <row r="26" spans="1:14" x14ac:dyDescent="0.2">
      <c r="C26" s="494">
        <v>42206</v>
      </c>
      <c r="D26" s="91">
        <f t="shared" si="2"/>
        <v>594513</v>
      </c>
      <c r="F26" s="494">
        <v>42206</v>
      </c>
      <c r="G26" s="91">
        <f t="shared" si="1"/>
        <v>0</v>
      </c>
      <c r="I26" s="1">
        <v>2018</v>
      </c>
      <c r="J26" s="91">
        <f>SUMPRODUCT((YEAR($C$22:$C$40)=I26)*($D$22:$D$40))</f>
        <v>46021.32</v>
      </c>
      <c r="K26" s="91">
        <f>SUMPRODUCT((YEAR($F$22:$F$40)=I26)*($G$22:$G$40))</f>
        <v>46021.32</v>
      </c>
    </row>
    <row r="27" spans="1:14" x14ac:dyDescent="0.2">
      <c r="C27" s="494">
        <v>42353</v>
      </c>
      <c r="D27" s="91">
        <f t="shared" si="2"/>
        <v>0</v>
      </c>
      <c r="F27" s="494">
        <v>42353</v>
      </c>
      <c r="G27" s="91">
        <f t="shared" si="1"/>
        <v>206298</v>
      </c>
      <c r="I27" s="1">
        <v>2019</v>
      </c>
      <c r="J27" s="91">
        <f>SUMPRODUCT((YEAR($C$22:$C$52)=I27)*($D$22:$D$52))</f>
        <v>0</v>
      </c>
      <c r="K27" s="91">
        <f>SUMPRODUCT((YEAR($F$22:$F$52)=I27)*($G$22:$G$52))</f>
        <v>0</v>
      </c>
    </row>
    <row r="28" spans="1:14" x14ac:dyDescent="0.2">
      <c r="C28" s="494">
        <v>42380</v>
      </c>
      <c r="D28" s="91">
        <f t="shared" si="2"/>
        <v>0</v>
      </c>
      <c r="F28" s="494">
        <v>42380</v>
      </c>
      <c r="G28" s="91">
        <f t="shared" si="1"/>
        <v>388215</v>
      </c>
      <c r="J28" s="462">
        <f>SUM(J22:J27)</f>
        <v>1872435.32</v>
      </c>
      <c r="K28" s="462">
        <f>SUM(K22:K27)</f>
        <v>1872435.32</v>
      </c>
    </row>
    <row r="29" spans="1:14" x14ac:dyDescent="0.2">
      <c r="C29" s="495">
        <v>43101</v>
      </c>
      <c r="D29" s="91">
        <f t="shared" si="2"/>
        <v>0</v>
      </c>
      <c r="F29" s="495">
        <v>43101</v>
      </c>
      <c r="G29" s="91">
        <f t="shared" si="1"/>
        <v>0</v>
      </c>
      <c r="J29" s="166">
        <f>+J28-D53</f>
        <v>0</v>
      </c>
      <c r="K29" s="166">
        <f>+K28-G53</f>
        <v>0</v>
      </c>
    </row>
    <row r="30" spans="1:14" x14ac:dyDescent="0.2">
      <c r="C30" s="495">
        <v>43132</v>
      </c>
      <c r="D30" s="91">
        <f t="shared" si="2"/>
        <v>0</v>
      </c>
      <c r="F30" s="495">
        <v>43132</v>
      </c>
      <c r="G30" s="91">
        <f t="shared" si="1"/>
        <v>0</v>
      </c>
    </row>
    <row r="31" spans="1:14" x14ac:dyDescent="0.2">
      <c r="C31" s="495">
        <v>43160</v>
      </c>
      <c r="D31" s="91">
        <f t="shared" si="2"/>
        <v>0</v>
      </c>
      <c r="F31" s="495">
        <v>43160</v>
      </c>
      <c r="G31" s="91">
        <f t="shared" si="1"/>
        <v>0</v>
      </c>
    </row>
    <row r="32" spans="1:14" x14ac:dyDescent="0.2">
      <c r="C32" s="495">
        <v>43191</v>
      </c>
      <c r="D32" s="91">
        <f t="shared" si="2"/>
        <v>0</v>
      </c>
      <c r="F32" s="495">
        <v>43191</v>
      </c>
      <c r="G32" s="91">
        <f t="shared" si="1"/>
        <v>0</v>
      </c>
    </row>
    <row r="33" spans="3:7" x14ac:dyDescent="0.2">
      <c r="C33" s="495">
        <v>43221</v>
      </c>
      <c r="D33" s="91">
        <f t="shared" si="2"/>
        <v>0</v>
      </c>
      <c r="F33" s="495">
        <v>43221</v>
      </c>
      <c r="G33" s="91">
        <f t="shared" si="1"/>
        <v>0</v>
      </c>
    </row>
    <row r="34" spans="3:7" x14ac:dyDescent="0.2">
      <c r="C34" s="495">
        <v>43252</v>
      </c>
      <c r="D34" s="91">
        <f t="shared" si="2"/>
        <v>46021.32</v>
      </c>
      <c r="F34" s="495">
        <v>43252</v>
      </c>
      <c r="G34" s="91">
        <f t="shared" si="1"/>
        <v>0</v>
      </c>
    </row>
    <row r="35" spans="3:7" x14ac:dyDescent="0.2">
      <c r="C35" s="495">
        <v>43282</v>
      </c>
      <c r="D35" s="91">
        <f t="shared" si="2"/>
        <v>0</v>
      </c>
      <c r="F35" s="495">
        <v>43282</v>
      </c>
      <c r="G35" s="91">
        <f t="shared" si="1"/>
        <v>0</v>
      </c>
    </row>
    <row r="36" spans="3:7" x14ac:dyDescent="0.2">
      <c r="C36" s="495">
        <v>43313</v>
      </c>
      <c r="D36" s="91">
        <f t="shared" si="2"/>
        <v>0</v>
      </c>
      <c r="F36" s="495">
        <v>43313</v>
      </c>
      <c r="G36" s="91">
        <f t="shared" si="1"/>
        <v>0</v>
      </c>
    </row>
    <row r="37" spans="3:7" x14ac:dyDescent="0.2">
      <c r="C37" s="495">
        <v>43344</v>
      </c>
      <c r="D37" s="91">
        <f t="shared" si="2"/>
        <v>0</v>
      </c>
      <c r="F37" s="495">
        <v>43344</v>
      </c>
      <c r="G37" s="91">
        <f t="shared" si="1"/>
        <v>46021.32</v>
      </c>
    </row>
    <row r="38" spans="3:7" x14ac:dyDescent="0.2">
      <c r="C38" s="495">
        <v>43374</v>
      </c>
      <c r="D38" s="91">
        <f t="shared" si="2"/>
        <v>0</v>
      </c>
      <c r="F38" s="495">
        <v>43374</v>
      </c>
      <c r="G38" s="91">
        <f t="shared" si="1"/>
        <v>0</v>
      </c>
    </row>
    <row r="39" spans="3:7" x14ac:dyDescent="0.2">
      <c r="C39" s="495">
        <v>43405</v>
      </c>
      <c r="D39" s="91">
        <f t="shared" si="2"/>
        <v>0</v>
      </c>
      <c r="F39" s="495">
        <v>43405</v>
      </c>
      <c r="G39" s="91">
        <f t="shared" si="1"/>
        <v>0</v>
      </c>
    </row>
    <row r="40" spans="3:7" x14ac:dyDescent="0.2">
      <c r="C40" s="495">
        <v>43435</v>
      </c>
      <c r="D40" s="91">
        <f t="shared" si="2"/>
        <v>0</v>
      </c>
      <c r="F40" s="495">
        <v>43435</v>
      </c>
      <c r="G40" s="91">
        <f>SUMPRODUCT((DatePmt_P_ILE&lt;&gt;"")*(DatePmt_P_ILE&lt;&gt;"en attente")*(MONTH(DatePmt_P_ILE)=MONTH(F40))*(YEAR(DatePmt_P_ILE)=YEAR(F40))*(ISNUMBER(MtntPaye_P_ILE)),MtntPaye_P_ILE)</f>
        <v>0</v>
      </c>
    </row>
    <row r="41" spans="3:7" x14ac:dyDescent="0.2">
      <c r="C41" s="495">
        <v>43466</v>
      </c>
      <c r="D41" s="91">
        <f t="shared" si="2"/>
        <v>0</v>
      </c>
      <c r="F41" s="495">
        <v>43466</v>
      </c>
      <c r="G41" s="91">
        <f t="shared" si="1"/>
        <v>0</v>
      </c>
    </row>
    <row r="42" spans="3:7" x14ac:dyDescent="0.2">
      <c r="C42" s="495">
        <v>43497</v>
      </c>
      <c r="D42" s="91">
        <f t="shared" si="2"/>
        <v>0</v>
      </c>
      <c r="F42" s="495">
        <v>43497</v>
      </c>
      <c r="G42" s="91">
        <f t="shared" si="1"/>
        <v>0</v>
      </c>
    </row>
    <row r="43" spans="3:7" x14ac:dyDescent="0.2">
      <c r="C43" s="495">
        <v>43525</v>
      </c>
      <c r="D43" s="91">
        <f t="shared" si="2"/>
        <v>0</v>
      </c>
      <c r="F43" s="495">
        <v>43525</v>
      </c>
      <c r="G43" s="91">
        <f t="shared" si="1"/>
        <v>0</v>
      </c>
    </row>
    <row r="44" spans="3:7" x14ac:dyDescent="0.2">
      <c r="C44" s="495">
        <v>43556</v>
      </c>
      <c r="D44" s="91">
        <f t="shared" si="2"/>
        <v>0</v>
      </c>
      <c r="F44" s="495">
        <v>43556</v>
      </c>
      <c r="G44" s="91">
        <f t="shared" si="1"/>
        <v>0</v>
      </c>
    </row>
    <row r="45" spans="3:7" x14ac:dyDescent="0.2">
      <c r="C45" s="495">
        <v>43586</v>
      </c>
      <c r="D45" s="91">
        <f t="shared" si="2"/>
        <v>0</v>
      </c>
      <c r="F45" s="495">
        <v>43586</v>
      </c>
      <c r="G45" s="91">
        <f t="shared" si="1"/>
        <v>0</v>
      </c>
    </row>
    <row r="46" spans="3:7" x14ac:dyDescent="0.2">
      <c r="C46" s="495">
        <v>43617</v>
      </c>
      <c r="D46" s="91">
        <f t="shared" si="2"/>
        <v>0</v>
      </c>
      <c r="F46" s="495">
        <v>43617</v>
      </c>
      <c r="G46" s="91">
        <f t="shared" si="1"/>
        <v>0</v>
      </c>
    </row>
    <row r="47" spans="3:7" x14ac:dyDescent="0.2">
      <c r="C47" s="495">
        <v>43647</v>
      </c>
      <c r="D47" s="91">
        <f t="shared" si="2"/>
        <v>0</v>
      </c>
      <c r="F47" s="495">
        <v>43647</v>
      </c>
      <c r="G47" s="91">
        <f t="shared" si="1"/>
        <v>0</v>
      </c>
    </row>
    <row r="48" spans="3:7" x14ac:dyDescent="0.2">
      <c r="C48" s="495">
        <v>43678</v>
      </c>
      <c r="D48" s="91">
        <f t="shared" si="2"/>
        <v>0</v>
      </c>
      <c r="F48" s="495">
        <v>43678</v>
      </c>
      <c r="G48" s="91">
        <f t="shared" si="1"/>
        <v>0</v>
      </c>
    </row>
    <row r="49" spans="3:8" x14ac:dyDescent="0.2">
      <c r="C49" s="495">
        <v>43709</v>
      </c>
      <c r="D49" s="91">
        <f t="shared" si="2"/>
        <v>0</v>
      </c>
      <c r="F49" s="495">
        <v>43709</v>
      </c>
      <c r="G49" s="91">
        <f t="shared" si="1"/>
        <v>0</v>
      </c>
    </row>
    <row r="50" spans="3:8" x14ac:dyDescent="0.2">
      <c r="C50" s="495">
        <v>43739</v>
      </c>
      <c r="D50" s="91">
        <f t="shared" si="2"/>
        <v>0</v>
      </c>
      <c r="F50" s="495">
        <v>43739</v>
      </c>
      <c r="G50" s="91">
        <f t="shared" si="1"/>
        <v>0</v>
      </c>
    </row>
    <row r="51" spans="3:8" x14ac:dyDescent="0.2">
      <c r="C51" s="495">
        <v>43770</v>
      </c>
      <c r="D51" s="91">
        <f t="shared" si="2"/>
        <v>0</v>
      </c>
      <c r="F51" s="495">
        <v>43770</v>
      </c>
      <c r="G51" s="91">
        <f t="shared" si="1"/>
        <v>0</v>
      </c>
    </row>
    <row r="52" spans="3:8" x14ac:dyDescent="0.2">
      <c r="C52" s="495">
        <v>43800</v>
      </c>
      <c r="D52" s="91">
        <f t="shared" si="2"/>
        <v>0</v>
      </c>
      <c r="F52" s="495">
        <v>43800</v>
      </c>
      <c r="G52" s="91">
        <f t="shared" si="1"/>
        <v>0</v>
      </c>
    </row>
    <row r="53" spans="3:8" x14ac:dyDescent="0.2">
      <c r="D53" s="462">
        <f>SUM(D22:D40)</f>
        <v>1872435.32</v>
      </c>
      <c r="E53" s="461"/>
      <c r="F53" s="8"/>
      <c r="G53" s="462">
        <f>SUM(G22:G40)</f>
        <v>1872435.32</v>
      </c>
    </row>
    <row r="54" spans="3:8" x14ac:dyDescent="0.2">
      <c r="D54" s="166">
        <f>+D53-D17</f>
        <v>0</v>
      </c>
      <c r="E54" s="467"/>
      <c r="F54" s="161"/>
      <c r="G54" s="166">
        <f>+G53-G17</f>
        <v>0</v>
      </c>
      <c r="H54" s="161"/>
    </row>
    <row r="55" spans="3:8" x14ac:dyDescent="0.2">
      <c r="D55" s="161"/>
      <c r="E55" s="467"/>
      <c r="F55" s="161"/>
      <c r="G55" s="161"/>
      <c r="H55" s="161"/>
    </row>
  </sheetData>
  <mergeCells count="7">
    <mergeCell ref="J18:K18"/>
    <mergeCell ref="A2:J2"/>
    <mergeCell ref="A4:A5"/>
    <mergeCell ref="B4:B5"/>
    <mergeCell ref="C4:C5"/>
    <mergeCell ref="D4:I4"/>
    <mergeCell ref="J4:K4"/>
  </mergeCells>
  <pageMargins left="0.7" right="0.7" top="0.75" bottom="0.75" header="0.3" footer="0.3"/>
  <pageSetup paperSize="9" scale="76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rgb="FF00B050"/>
  </sheetPr>
  <dimension ref="A1:R129"/>
  <sheetViews>
    <sheetView topLeftCell="A13" workbookViewId="0">
      <pane ySplit="735" topLeftCell="A64" activePane="bottomLeft"/>
      <selection activeCell="C13" sqref="C1:D1048576"/>
      <selection pane="bottomLeft" activeCell="A40" sqref="A40"/>
    </sheetView>
  </sheetViews>
  <sheetFormatPr baseColWidth="10" defaultColWidth="11.42578125" defaultRowHeight="12" x14ac:dyDescent="0.2"/>
  <cols>
    <col min="1" max="1" width="31.5703125" style="6" bestFit="1" customWidth="1"/>
    <col min="2" max="2" width="31.5703125" style="6" customWidth="1"/>
    <col min="3" max="4" width="11.42578125" style="1" hidden="1" customWidth="1"/>
    <col min="5" max="5" width="13.42578125" style="1" bestFit="1" customWidth="1"/>
    <col min="6" max="6" width="14.42578125" style="91" customWidth="1"/>
    <col min="7" max="7" width="4.140625" style="6" bestFit="1" customWidth="1"/>
    <col min="8" max="8" width="10.42578125" style="787" bestFit="1" customWidth="1"/>
    <col min="9" max="9" width="12.42578125" style="1" customWidth="1"/>
    <col min="10" max="10" width="10.42578125" style="1" bestFit="1" customWidth="1"/>
    <col min="11" max="11" width="18.5703125" style="6" bestFit="1" customWidth="1"/>
    <col min="12" max="12" width="14.42578125" style="1" customWidth="1"/>
    <col min="13" max="13" width="14.42578125" style="1" bestFit="1" customWidth="1"/>
    <col min="14" max="14" width="12.28515625" style="882" customWidth="1"/>
    <col min="15" max="15" width="16.140625" style="1" customWidth="1"/>
    <col min="16" max="16" width="13.42578125" style="1" bestFit="1" customWidth="1"/>
    <col min="17" max="16384" width="11.42578125" style="1"/>
  </cols>
  <sheetData>
    <row r="1" spans="1:18" x14ac:dyDescent="0.2">
      <c r="O1" s="224"/>
      <c r="P1" s="8"/>
    </row>
    <row r="2" spans="1:18" x14ac:dyDescent="0.2">
      <c r="A2" s="923" t="s">
        <v>132</v>
      </c>
      <c r="B2" s="923"/>
      <c r="C2" s="923"/>
      <c r="D2" s="923"/>
      <c r="E2" s="923"/>
      <c r="F2" s="923"/>
      <c r="G2" s="923"/>
      <c r="H2" s="923"/>
      <c r="I2" s="923"/>
      <c r="J2" s="923"/>
      <c r="K2" s="923"/>
      <c r="L2" s="923"/>
      <c r="M2" s="9">
        <f ca="1">TODAY()</f>
        <v>43593</v>
      </c>
      <c r="P2" s="61"/>
    </row>
    <row r="4" spans="1:18" s="2" customFormat="1" x14ac:dyDescent="0.2">
      <c r="A4" s="940" t="s">
        <v>2</v>
      </c>
      <c r="B4" s="453" t="s">
        <v>276</v>
      </c>
      <c r="C4" s="928" t="s">
        <v>21</v>
      </c>
      <c r="D4" s="225" t="s">
        <v>133</v>
      </c>
      <c r="E4" s="928" t="s">
        <v>282</v>
      </c>
      <c r="F4" s="924" t="s">
        <v>4</v>
      </c>
      <c r="G4" s="925"/>
      <c r="H4" s="925"/>
      <c r="I4" s="925"/>
      <c r="J4" s="925"/>
      <c r="K4" s="926"/>
      <c r="L4" s="927" t="s">
        <v>13</v>
      </c>
      <c r="M4" s="928"/>
      <c r="N4" s="856"/>
      <c r="P4" s="63"/>
      <c r="Q4" s="63"/>
    </row>
    <row r="5" spans="1:18" s="13" customFormat="1" x14ac:dyDescent="0.2">
      <c r="A5" s="941"/>
      <c r="B5" s="454"/>
      <c r="C5" s="942"/>
      <c r="D5" s="226"/>
      <c r="E5" s="942"/>
      <c r="F5" s="10" t="s">
        <v>1</v>
      </c>
      <c r="G5" s="11" t="s">
        <v>3</v>
      </c>
      <c r="H5" s="788" t="s">
        <v>15</v>
      </c>
      <c r="I5" s="12" t="s">
        <v>14</v>
      </c>
      <c r="J5" s="10" t="s">
        <v>15</v>
      </c>
      <c r="K5" s="11" t="s">
        <v>18</v>
      </c>
      <c r="L5" s="3" t="s">
        <v>20</v>
      </c>
      <c r="M5" s="3" t="s">
        <v>19</v>
      </c>
      <c r="N5" s="856"/>
    </row>
    <row r="6" spans="1:18" s="107" customFormat="1" ht="14.25" customHeight="1" x14ac:dyDescent="0.2">
      <c r="A6" s="798" t="s">
        <v>406</v>
      </c>
      <c r="B6" s="802" t="s">
        <v>277</v>
      </c>
      <c r="C6" s="830"/>
      <c r="D6" s="830"/>
      <c r="E6" s="491">
        <v>17204.37</v>
      </c>
      <c r="F6" s="826">
        <v>17204.37</v>
      </c>
      <c r="G6" s="491"/>
      <c r="H6" s="799">
        <v>43551</v>
      </c>
      <c r="I6" s="868">
        <v>17204.37</v>
      </c>
      <c r="J6" s="869">
        <v>43573</v>
      </c>
      <c r="K6" s="868"/>
      <c r="L6" s="826" t="str">
        <f t="shared" ref="L6:L37" si="0">IF(I6="en attente",F6,"")</f>
        <v/>
      </c>
      <c r="M6" s="801">
        <f>IF(H6="",F6-I6,0)</f>
        <v>0</v>
      </c>
      <c r="N6" s="856"/>
      <c r="O6" s="13"/>
      <c r="P6" s="13"/>
      <c r="Q6" s="166"/>
      <c r="R6" s="209"/>
    </row>
    <row r="7" spans="1:18" s="107" customFormat="1" ht="14.25" customHeight="1" x14ac:dyDescent="0.2">
      <c r="A7" s="798" t="s">
        <v>44</v>
      </c>
      <c r="B7" s="802" t="s">
        <v>277</v>
      </c>
      <c r="C7" s="830"/>
      <c r="D7" s="830"/>
      <c r="E7" s="491">
        <v>24360.32</v>
      </c>
      <c r="F7" s="826">
        <v>24360.32</v>
      </c>
      <c r="G7" s="491"/>
      <c r="H7" s="799">
        <v>43481</v>
      </c>
      <c r="I7" s="868">
        <v>24360.32</v>
      </c>
      <c r="J7" s="869">
        <v>43539</v>
      </c>
      <c r="K7" s="868">
        <f>IF(J7="",$M$2-H7,J7-H7)</f>
        <v>58</v>
      </c>
      <c r="L7" s="826" t="str">
        <f t="shared" si="0"/>
        <v/>
      </c>
      <c r="M7" s="801">
        <f>IF(H7="",F7-I7,0)</f>
        <v>0</v>
      </c>
      <c r="N7" s="856"/>
      <c r="O7" s="13"/>
      <c r="P7" s="13"/>
      <c r="Q7" s="166"/>
      <c r="R7" s="209"/>
    </row>
    <row r="8" spans="1:18" s="107" customFormat="1" x14ac:dyDescent="0.2">
      <c r="A8" s="798" t="s">
        <v>47</v>
      </c>
      <c r="B8" s="802" t="s">
        <v>277</v>
      </c>
      <c r="C8" s="830">
        <v>41094</v>
      </c>
      <c r="D8" s="830"/>
      <c r="E8" s="491">
        <v>9449.1</v>
      </c>
      <c r="F8" s="805">
        <v>9449.1</v>
      </c>
      <c r="G8" s="491"/>
      <c r="H8" s="799">
        <v>43481</v>
      </c>
      <c r="I8" s="807">
        <v>9449.1299999999992</v>
      </c>
      <c r="J8" s="869">
        <v>43539</v>
      </c>
      <c r="K8" s="868">
        <f t="shared" ref="K8:K59" si="1">IF(J8="",$M$2-H8,J8-H8)</f>
        <v>58</v>
      </c>
      <c r="L8" s="826" t="str">
        <f t="shared" si="0"/>
        <v/>
      </c>
      <c r="M8" s="801">
        <f t="shared" ref="M8:M11" si="2">IF(H8="",F8-I8,0)</f>
        <v>0</v>
      </c>
      <c r="N8" s="856"/>
      <c r="O8" s="13"/>
      <c r="P8" s="13"/>
      <c r="Q8" s="166"/>
      <c r="R8" s="209"/>
    </row>
    <row r="9" spans="1:18" s="230" customFormat="1" x14ac:dyDescent="0.2">
      <c r="A9" s="798" t="s">
        <v>50</v>
      </c>
      <c r="B9" s="802" t="s">
        <v>277</v>
      </c>
      <c r="C9" s="803"/>
      <c r="D9" s="804"/>
      <c r="E9" s="491">
        <v>51875.6</v>
      </c>
      <c r="F9" s="805">
        <v>51875.6</v>
      </c>
      <c r="G9" s="806"/>
      <c r="H9" s="799">
        <v>42452</v>
      </c>
      <c r="I9" s="807">
        <v>51875.6</v>
      </c>
      <c r="J9" s="803">
        <v>42513</v>
      </c>
      <c r="K9" s="806">
        <f t="shared" si="1"/>
        <v>61</v>
      </c>
      <c r="L9" s="491" t="str">
        <f t="shared" si="0"/>
        <v/>
      </c>
      <c r="M9" s="801">
        <f t="shared" si="2"/>
        <v>0</v>
      </c>
      <c r="N9" s="856"/>
    </row>
    <row r="10" spans="1:18" s="230" customFormat="1" x14ac:dyDescent="0.2">
      <c r="A10" s="798" t="s">
        <v>9</v>
      </c>
      <c r="B10" s="802" t="s">
        <v>277</v>
      </c>
      <c r="C10" s="803"/>
      <c r="D10" s="804"/>
      <c r="E10" s="491">
        <v>42015.88</v>
      </c>
      <c r="F10" s="805">
        <v>42015.88</v>
      </c>
      <c r="G10" s="806"/>
      <c r="H10" s="799">
        <v>42660</v>
      </c>
      <c r="I10" s="807">
        <v>42015.88</v>
      </c>
      <c r="J10" s="803">
        <v>42836</v>
      </c>
      <c r="K10" s="806">
        <f t="shared" si="1"/>
        <v>176</v>
      </c>
      <c r="L10" s="800" t="str">
        <f t="shared" si="0"/>
        <v/>
      </c>
      <c r="M10" s="801">
        <f>IF(H10="",F10-I10,0)</f>
        <v>0</v>
      </c>
      <c r="N10" s="856"/>
    </row>
    <row r="11" spans="1:18" s="230" customFormat="1" x14ac:dyDescent="0.2">
      <c r="A11" s="798" t="s">
        <v>8</v>
      </c>
      <c r="B11" s="802" t="s">
        <v>277</v>
      </c>
      <c r="C11" s="830"/>
      <c r="D11" s="830"/>
      <c r="E11" s="491">
        <v>46495.98</v>
      </c>
      <c r="F11" s="805">
        <v>46495.98</v>
      </c>
      <c r="G11" s="491"/>
      <c r="H11" s="799">
        <v>42660</v>
      </c>
      <c r="I11" s="807">
        <v>46495.48</v>
      </c>
      <c r="J11" s="869">
        <v>43542</v>
      </c>
      <c r="K11" s="868">
        <f t="shared" si="1"/>
        <v>882</v>
      </c>
      <c r="L11" s="491" t="str">
        <f t="shared" si="0"/>
        <v/>
      </c>
      <c r="M11" s="801">
        <f t="shared" si="2"/>
        <v>0</v>
      </c>
      <c r="N11" s="856"/>
    </row>
    <row r="12" spans="1:18" s="230" customFormat="1" x14ac:dyDescent="0.2">
      <c r="A12" s="798" t="s">
        <v>279</v>
      </c>
      <c r="B12" s="802" t="s">
        <v>277</v>
      </c>
      <c r="C12" s="803"/>
      <c r="D12" s="804"/>
      <c r="E12" s="491">
        <v>37827.35</v>
      </c>
      <c r="F12" s="805">
        <v>37827.35</v>
      </c>
      <c r="G12" s="806"/>
      <c r="H12" s="799">
        <v>42660</v>
      </c>
      <c r="I12" s="807">
        <v>37825.35</v>
      </c>
      <c r="J12" s="803">
        <v>42989</v>
      </c>
      <c r="K12" s="806">
        <f t="shared" si="1"/>
        <v>329</v>
      </c>
      <c r="L12" s="800" t="str">
        <f t="shared" si="0"/>
        <v/>
      </c>
      <c r="M12" s="808">
        <f t="shared" ref="M12:M27" si="3">IF(H12="",F12-I12,0)</f>
        <v>0</v>
      </c>
      <c r="N12" s="856"/>
    </row>
    <row r="13" spans="1:18" s="230" customFormat="1" x14ac:dyDescent="0.2">
      <c r="A13" s="798" t="s">
        <v>280</v>
      </c>
      <c r="B13" s="802" t="s">
        <v>277</v>
      </c>
      <c r="C13" s="803"/>
      <c r="D13" s="804"/>
      <c r="E13" s="491">
        <v>93111.2</v>
      </c>
      <c r="F13" s="805">
        <v>93111.2</v>
      </c>
      <c r="G13" s="806"/>
      <c r="H13" s="799">
        <v>42829</v>
      </c>
      <c r="I13" s="807">
        <v>93111.2</v>
      </c>
      <c r="J13" s="803">
        <v>42892</v>
      </c>
      <c r="K13" s="806">
        <f t="shared" si="1"/>
        <v>63</v>
      </c>
      <c r="L13" s="800" t="str">
        <f t="shared" si="0"/>
        <v/>
      </c>
      <c r="M13" s="808">
        <f t="shared" si="3"/>
        <v>0</v>
      </c>
      <c r="N13" s="856"/>
    </row>
    <row r="14" spans="1:18" s="230" customFormat="1" x14ac:dyDescent="0.2">
      <c r="A14" s="798" t="s">
        <v>48</v>
      </c>
      <c r="B14" s="802" t="s">
        <v>277</v>
      </c>
      <c r="C14" s="803"/>
      <c r="D14" s="804"/>
      <c r="E14" s="491">
        <v>17009.03</v>
      </c>
      <c r="F14" s="805">
        <v>17009.03</v>
      </c>
      <c r="G14" s="806"/>
      <c r="H14" s="799">
        <v>42803</v>
      </c>
      <c r="I14" s="807">
        <v>17009.03</v>
      </c>
      <c r="J14" s="803">
        <v>42877</v>
      </c>
      <c r="K14" s="806">
        <f t="shared" si="1"/>
        <v>74</v>
      </c>
      <c r="L14" s="800" t="str">
        <f t="shared" si="0"/>
        <v/>
      </c>
      <c r="M14" s="808">
        <f t="shared" si="3"/>
        <v>0</v>
      </c>
      <c r="N14" s="856"/>
      <c r="O14" s="513"/>
    </row>
    <row r="15" spans="1:18" s="230" customFormat="1" x14ac:dyDescent="0.2">
      <c r="A15" s="798" t="s">
        <v>51</v>
      </c>
      <c r="B15" s="802" t="s">
        <v>277</v>
      </c>
      <c r="C15" s="803"/>
      <c r="D15" s="804"/>
      <c r="E15" s="491">
        <v>28319.18</v>
      </c>
      <c r="F15" s="805">
        <v>28319.18</v>
      </c>
      <c r="G15" s="806"/>
      <c r="H15" s="799">
        <v>42660</v>
      </c>
      <c r="I15" s="807">
        <v>28319.18</v>
      </c>
      <c r="J15" s="803">
        <v>42797</v>
      </c>
      <c r="K15" s="806">
        <f t="shared" si="1"/>
        <v>137</v>
      </c>
      <c r="L15" s="800" t="str">
        <f t="shared" si="0"/>
        <v/>
      </c>
      <c r="M15" s="808">
        <f t="shared" si="3"/>
        <v>0</v>
      </c>
      <c r="N15" s="856"/>
    </row>
    <row r="16" spans="1:18" s="230" customFormat="1" x14ac:dyDescent="0.2">
      <c r="A16" s="798" t="s">
        <v>52</v>
      </c>
      <c r="B16" s="802" t="s">
        <v>277</v>
      </c>
      <c r="C16" s="803"/>
      <c r="D16" s="804"/>
      <c r="E16" s="491">
        <v>58548.7</v>
      </c>
      <c r="F16" s="805">
        <v>58548.7</v>
      </c>
      <c r="G16" s="806"/>
      <c r="H16" s="799">
        <v>42781</v>
      </c>
      <c r="I16" s="807">
        <v>58548.68</v>
      </c>
      <c r="J16" s="803">
        <v>43542</v>
      </c>
      <c r="K16" s="806">
        <f t="shared" si="1"/>
        <v>761</v>
      </c>
      <c r="L16" s="800" t="str">
        <f t="shared" si="0"/>
        <v/>
      </c>
      <c r="M16" s="808">
        <f t="shared" si="3"/>
        <v>0</v>
      </c>
      <c r="N16" s="856"/>
      <c r="O16" s="513"/>
    </row>
    <row r="17" spans="1:16" s="230" customFormat="1" x14ac:dyDescent="0.2">
      <c r="A17" s="798" t="s">
        <v>56</v>
      </c>
      <c r="B17" s="802" t="s">
        <v>277</v>
      </c>
      <c r="C17" s="803"/>
      <c r="D17" s="804"/>
      <c r="E17" s="491">
        <v>120804.55</v>
      </c>
      <c r="F17" s="805">
        <v>120804.55</v>
      </c>
      <c r="G17" s="806"/>
      <c r="H17" s="799">
        <v>43060</v>
      </c>
      <c r="I17" s="807">
        <v>120804.55</v>
      </c>
      <c r="J17" s="803">
        <v>43406</v>
      </c>
      <c r="K17" s="806">
        <f t="shared" si="1"/>
        <v>346</v>
      </c>
      <c r="L17" s="800" t="str">
        <f t="shared" si="0"/>
        <v/>
      </c>
      <c r="M17" s="808">
        <f t="shared" si="3"/>
        <v>0</v>
      </c>
      <c r="N17" s="856"/>
    </row>
    <row r="18" spans="1:16" s="230" customFormat="1" x14ac:dyDescent="0.2">
      <c r="A18" s="798" t="s">
        <v>57</v>
      </c>
      <c r="B18" s="802" t="s">
        <v>277</v>
      </c>
      <c r="C18" s="803"/>
      <c r="D18" s="804"/>
      <c r="E18" s="491">
        <v>34402.42</v>
      </c>
      <c r="F18" s="805">
        <v>34402.42</v>
      </c>
      <c r="G18" s="806"/>
      <c r="H18" s="799">
        <v>42761</v>
      </c>
      <c r="I18" s="807">
        <v>34402.410000000003</v>
      </c>
      <c r="J18" s="803">
        <v>42838</v>
      </c>
      <c r="K18" s="806">
        <f t="shared" si="1"/>
        <v>77</v>
      </c>
      <c r="L18" s="800" t="str">
        <f t="shared" si="0"/>
        <v/>
      </c>
      <c r="M18" s="808">
        <f t="shared" si="3"/>
        <v>0</v>
      </c>
      <c r="N18" s="856"/>
    </row>
    <row r="19" spans="1:16" s="230" customFormat="1" x14ac:dyDescent="0.2">
      <c r="A19" s="798" t="s">
        <v>59</v>
      </c>
      <c r="B19" s="802" t="s">
        <v>277</v>
      </c>
      <c r="C19" s="803"/>
      <c r="D19" s="804"/>
      <c r="E19" s="491">
        <f>26523.95*1.085</f>
        <v>28778.48575</v>
      </c>
      <c r="F19" s="805">
        <v>28778.49</v>
      </c>
      <c r="G19" s="806"/>
      <c r="H19" s="799">
        <v>42765</v>
      </c>
      <c r="I19" s="807">
        <v>28778.48</v>
      </c>
      <c r="J19" s="803">
        <v>42983</v>
      </c>
      <c r="K19" s="806">
        <f t="shared" si="1"/>
        <v>218</v>
      </c>
      <c r="L19" s="800" t="str">
        <f t="shared" si="0"/>
        <v/>
      </c>
      <c r="M19" s="808">
        <f t="shared" si="3"/>
        <v>0</v>
      </c>
      <c r="N19" s="856"/>
    </row>
    <row r="20" spans="1:16" s="230" customFormat="1" x14ac:dyDescent="0.2">
      <c r="A20" s="798" t="s">
        <v>281</v>
      </c>
      <c r="B20" s="802" t="s">
        <v>277</v>
      </c>
      <c r="C20" s="803"/>
      <c r="D20" s="804"/>
      <c r="E20" s="491">
        <f>99805.82*1.085</f>
        <v>108289.3147</v>
      </c>
      <c r="F20" s="805">
        <v>108289.31</v>
      </c>
      <c r="G20" s="806"/>
      <c r="H20" s="799">
        <v>43171</v>
      </c>
      <c r="I20" s="807">
        <v>108289.31</v>
      </c>
      <c r="J20" s="803">
        <v>43475</v>
      </c>
      <c r="K20" s="806">
        <f t="shared" si="1"/>
        <v>304</v>
      </c>
      <c r="L20" s="800" t="str">
        <f t="shared" si="0"/>
        <v/>
      </c>
      <c r="M20" s="808">
        <f t="shared" si="3"/>
        <v>0</v>
      </c>
      <c r="N20" s="856"/>
    </row>
    <row r="21" spans="1:16" s="230" customFormat="1" x14ac:dyDescent="0.2">
      <c r="A21" s="798" t="s">
        <v>60</v>
      </c>
      <c r="B21" s="802" t="s">
        <v>277</v>
      </c>
      <c r="C21" s="803"/>
      <c r="D21" s="804"/>
      <c r="E21" s="491">
        <f>37161.21*1.085</f>
        <v>40319.912850000001</v>
      </c>
      <c r="F21" s="805">
        <v>40319.910000000003</v>
      </c>
      <c r="G21" s="806"/>
      <c r="H21" s="799">
        <v>43076</v>
      </c>
      <c r="I21" s="807">
        <v>40319.910000000003</v>
      </c>
      <c r="J21" s="803">
        <v>43258</v>
      </c>
      <c r="K21" s="806">
        <f t="shared" si="1"/>
        <v>182</v>
      </c>
      <c r="L21" s="800" t="str">
        <f t="shared" si="0"/>
        <v/>
      </c>
      <c r="M21" s="808">
        <f t="shared" si="3"/>
        <v>0</v>
      </c>
      <c r="N21" s="856"/>
    </row>
    <row r="22" spans="1:16" s="230" customFormat="1" x14ac:dyDescent="0.2">
      <c r="A22" s="798" t="s">
        <v>61</v>
      </c>
      <c r="B22" s="802" t="s">
        <v>277</v>
      </c>
      <c r="C22" s="803"/>
      <c r="D22" s="804"/>
      <c r="E22" s="491">
        <f>17785.2*1.085</f>
        <v>19296.941999999999</v>
      </c>
      <c r="F22" s="805">
        <v>19296.939999999999</v>
      </c>
      <c r="G22" s="806"/>
      <c r="H22" s="799">
        <v>43062</v>
      </c>
      <c r="I22" s="807">
        <v>19296.939999999999</v>
      </c>
      <c r="J22" s="803">
        <v>43326</v>
      </c>
      <c r="K22" s="806">
        <f t="shared" si="1"/>
        <v>264</v>
      </c>
      <c r="L22" s="800" t="str">
        <f t="shared" si="0"/>
        <v/>
      </c>
      <c r="M22" s="808">
        <f t="shared" si="3"/>
        <v>0</v>
      </c>
      <c r="N22" s="856"/>
    </row>
    <row r="23" spans="1:16" s="230" customFormat="1" x14ac:dyDescent="0.2">
      <c r="A23" s="798" t="s">
        <v>62</v>
      </c>
      <c r="B23" s="802" t="s">
        <v>277</v>
      </c>
      <c r="C23" s="803"/>
      <c r="D23" s="804"/>
      <c r="E23" s="491">
        <f>29590.37</f>
        <v>29590.37</v>
      </c>
      <c r="F23" s="805">
        <v>29590.37</v>
      </c>
      <c r="G23" s="806"/>
      <c r="H23" s="799">
        <v>42717</v>
      </c>
      <c r="I23" s="807">
        <v>29590.37</v>
      </c>
      <c r="J23" s="803">
        <v>43266</v>
      </c>
      <c r="K23" s="806">
        <f t="shared" si="1"/>
        <v>549</v>
      </c>
      <c r="L23" s="800" t="str">
        <f t="shared" si="0"/>
        <v/>
      </c>
      <c r="M23" s="808">
        <f t="shared" si="3"/>
        <v>0</v>
      </c>
      <c r="N23" s="856"/>
      <c r="O23" s="513"/>
    </row>
    <row r="24" spans="1:16" s="230" customFormat="1" x14ac:dyDescent="0.2">
      <c r="A24" s="795" t="s">
        <v>323</v>
      </c>
      <c r="B24" s="810" t="s">
        <v>277</v>
      </c>
      <c r="C24" s="811"/>
      <c r="D24" s="812"/>
      <c r="E24" s="796">
        <v>18729.66</v>
      </c>
      <c r="F24" s="814">
        <v>18729.66</v>
      </c>
      <c r="G24" s="815"/>
      <c r="H24" s="816">
        <v>42949</v>
      </c>
      <c r="I24" s="817" t="s">
        <v>104</v>
      </c>
      <c r="J24" s="811"/>
      <c r="K24" s="815">
        <f t="shared" ca="1" si="1"/>
        <v>644</v>
      </c>
      <c r="L24" s="818">
        <f t="shared" si="0"/>
        <v>18729.66</v>
      </c>
      <c r="M24" s="819">
        <f t="shared" si="3"/>
        <v>0</v>
      </c>
      <c r="N24" s="856"/>
      <c r="O24" s="513"/>
    </row>
    <row r="25" spans="1:16" s="26" customFormat="1" x14ac:dyDescent="0.2">
      <c r="A25" s="795" t="s">
        <v>249</v>
      </c>
      <c r="B25" s="810" t="s">
        <v>277</v>
      </c>
      <c r="C25" s="820"/>
      <c r="D25" s="820"/>
      <c r="E25" s="796">
        <v>15338</v>
      </c>
      <c r="F25" s="821">
        <v>15338</v>
      </c>
      <c r="G25" s="822"/>
      <c r="H25" s="823"/>
      <c r="I25" s="821"/>
      <c r="J25" s="824"/>
      <c r="K25" s="815">
        <f t="shared" ca="1" si="1"/>
        <v>43593</v>
      </c>
      <c r="L25" s="818" t="str">
        <f t="shared" si="0"/>
        <v/>
      </c>
      <c r="M25" s="818">
        <f t="shared" si="3"/>
        <v>15338</v>
      </c>
      <c r="N25" s="856"/>
      <c r="O25" s="13"/>
      <c r="P25" s="13"/>
    </row>
    <row r="26" spans="1:16" s="26" customFormat="1" x14ac:dyDescent="0.2">
      <c r="A26" s="798" t="s">
        <v>250</v>
      </c>
      <c r="B26" s="802" t="s">
        <v>277</v>
      </c>
      <c r="C26" s="825"/>
      <c r="D26" s="825"/>
      <c r="E26" s="491">
        <v>18573.52</v>
      </c>
      <c r="F26" s="826">
        <v>18573.52</v>
      </c>
      <c r="G26" s="827"/>
      <c r="H26" s="828">
        <v>42969</v>
      </c>
      <c r="I26" s="826">
        <v>18573.52</v>
      </c>
      <c r="J26" s="829">
        <v>43224</v>
      </c>
      <c r="K26" s="806">
        <f t="shared" si="1"/>
        <v>255</v>
      </c>
      <c r="L26" s="800" t="str">
        <f t="shared" si="0"/>
        <v/>
      </c>
      <c r="M26" s="800">
        <f t="shared" si="3"/>
        <v>0</v>
      </c>
      <c r="N26" s="856"/>
      <c r="O26" s="13"/>
      <c r="P26" s="13"/>
    </row>
    <row r="27" spans="1:16" s="26" customFormat="1" x14ac:dyDescent="0.2">
      <c r="A27" s="798" t="s">
        <v>355</v>
      </c>
      <c r="B27" s="802" t="s">
        <v>277</v>
      </c>
      <c r="C27" s="830"/>
      <c r="D27" s="825"/>
      <c r="E27" s="491">
        <f>25031.85*1.085</f>
        <v>27159.557249999998</v>
      </c>
      <c r="F27" s="826">
        <v>27159.56</v>
      </c>
      <c r="G27" s="827"/>
      <c r="H27" s="828">
        <v>43179</v>
      </c>
      <c r="I27" s="826">
        <v>27159.56</v>
      </c>
      <c r="J27" s="829">
        <v>43448</v>
      </c>
      <c r="K27" s="806">
        <f t="shared" si="1"/>
        <v>269</v>
      </c>
      <c r="L27" s="800" t="str">
        <f t="shared" si="0"/>
        <v/>
      </c>
      <c r="M27" s="800">
        <f t="shared" si="3"/>
        <v>0</v>
      </c>
      <c r="N27" s="856"/>
      <c r="O27" s="13"/>
      <c r="P27" s="13"/>
    </row>
    <row r="28" spans="1:16" s="26" customFormat="1" x14ac:dyDescent="0.2">
      <c r="A28" s="795" t="s">
        <v>286</v>
      </c>
      <c r="B28" s="810" t="s">
        <v>277</v>
      </c>
      <c r="C28" s="831"/>
      <c r="D28" s="820"/>
      <c r="E28" s="796">
        <v>29077.75</v>
      </c>
      <c r="F28" s="821">
        <v>29077.75</v>
      </c>
      <c r="G28" s="822"/>
      <c r="H28" s="823">
        <v>43272</v>
      </c>
      <c r="I28" s="832" t="s">
        <v>104</v>
      </c>
      <c r="J28" s="824"/>
      <c r="K28" s="815">
        <f t="shared" ca="1" si="1"/>
        <v>321</v>
      </c>
      <c r="L28" s="818">
        <f t="shared" si="0"/>
        <v>29077.75</v>
      </c>
      <c r="M28" s="818"/>
      <c r="N28" s="856"/>
      <c r="O28" s="13"/>
      <c r="P28" s="13"/>
    </row>
    <row r="29" spans="1:16" s="26" customFormat="1" x14ac:dyDescent="0.2">
      <c r="A29" s="795" t="s">
        <v>273</v>
      </c>
      <c r="B29" s="810" t="s">
        <v>277</v>
      </c>
      <c r="C29" s="831"/>
      <c r="D29" s="820"/>
      <c r="E29" s="796">
        <f>81795.02*1.085</f>
        <v>88747.596699999995</v>
      </c>
      <c r="F29" s="821">
        <v>88747.596699999995</v>
      </c>
      <c r="G29" s="822"/>
      <c r="H29" s="823"/>
      <c r="I29" s="821"/>
      <c r="J29" s="824"/>
      <c r="K29" s="815">
        <f t="shared" ca="1" si="1"/>
        <v>43593</v>
      </c>
      <c r="L29" s="818" t="str">
        <f t="shared" si="0"/>
        <v/>
      </c>
      <c r="M29" s="818">
        <f t="shared" ref="M29:M37" si="4">IF(H29="",F29-I29,0)</f>
        <v>88747.596699999995</v>
      </c>
      <c r="N29" s="856"/>
      <c r="O29" s="13"/>
      <c r="P29" s="13"/>
    </row>
    <row r="30" spans="1:16" s="26" customFormat="1" x14ac:dyDescent="0.2">
      <c r="A30" s="798" t="s">
        <v>142</v>
      </c>
      <c r="B30" s="802" t="s">
        <v>277</v>
      </c>
      <c r="C30" s="830"/>
      <c r="D30" s="825"/>
      <c r="E30" s="491">
        <v>18371</v>
      </c>
      <c r="F30" s="826">
        <v>18371</v>
      </c>
      <c r="G30" s="827"/>
      <c r="H30" s="828">
        <v>43336</v>
      </c>
      <c r="I30" s="826">
        <v>18371</v>
      </c>
      <c r="J30" s="829">
        <v>43395</v>
      </c>
      <c r="K30" s="806">
        <f t="shared" si="1"/>
        <v>59</v>
      </c>
      <c r="L30" s="800" t="str">
        <f t="shared" si="0"/>
        <v/>
      </c>
      <c r="M30" s="800">
        <f t="shared" si="4"/>
        <v>0</v>
      </c>
      <c r="N30" s="856"/>
      <c r="O30" s="13"/>
      <c r="P30" s="13"/>
    </row>
    <row r="31" spans="1:16" s="26" customFormat="1" x14ac:dyDescent="0.2">
      <c r="A31" s="798" t="s">
        <v>386</v>
      </c>
      <c r="B31" s="802" t="s">
        <v>277</v>
      </c>
      <c r="C31" s="830"/>
      <c r="D31" s="825"/>
      <c r="E31" s="833">
        <v>36226.06</v>
      </c>
      <c r="F31" s="826">
        <v>36226.06</v>
      </c>
      <c r="G31" s="827"/>
      <c r="H31" s="828">
        <v>43354</v>
      </c>
      <c r="I31" s="826">
        <v>36226.06</v>
      </c>
      <c r="J31" s="829">
        <v>43409</v>
      </c>
      <c r="K31" s="806">
        <f t="shared" si="1"/>
        <v>55</v>
      </c>
      <c r="L31" s="800" t="str">
        <f t="shared" si="0"/>
        <v/>
      </c>
      <c r="M31" s="800">
        <f t="shared" si="4"/>
        <v>0</v>
      </c>
      <c r="N31" s="856"/>
      <c r="O31" s="13"/>
      <c r="P31" s="13"/>
    </row>
    <row r="32" spans="1:16" s="26" customFormat="1" x14ac:dyDescent="0.2">
      <c r="A32" s="795" t="s">
        <v>155</v>
      </c>
      <c r="B32" s="810" t="s">
        <v>277</v>
      </c>
      <c r="C32" s="831"/>
      <c r="D32" s="820"/>
      <c r="E32" s="835">
        <f>14221.78*1.085</f>
        <v>15430.631300000001</v>
      </c>
      <c r="F32" s="821">
        <v>15430.63</v>
      </c>
      <c r="G32" s="822"/>
      <c r="H32" s="823">
        <v>43397</v>
      </c>
      <c r="I32" s="832" t="s">
        <v>104</v>
      </c>
      <c r="J32" s="824"/>
      <c r="K32" s="815">
        <f t="shared" ca="1" si="1"/>
        <v>196</v>
      </c>
      <c r="L32" s="818">
        <f t="shared" si="0"/>
        <v>15430.63</v>
      </c>
      <c r="M32" s="818">
        <f t="shared" si="4"/>
        <v>0</v>
      </c>
      <c r="N32" s="856"/>
      <c r="O32" s="13"/>
      <c r="P32" s="13"/>
    </row>
    <row r="33" spans="1:16" s="26" customFormat="1" x14ac:dyDescent="0.2">
      <c r="A33" s="798" t="s">
        <v>272</v>
      </c>
      <c r="B33" s="802" t="s">
        <v>277</v>
      </c>
      <c r="C33" s="830"/>
      <c r="D33" s="825"/>
      <c r="E33" s="833">
        <v>92098.45</v>
      </c>
      <c r="F33" s="826">
        <v>92098.45</v>
      </c>
      <c r="G33" s="827"/>
      <c r="H33" s="828">
        <v>43514</v>
      </c>
      <c r="I33" s="826">
        <v>92098.45</v>
      </c>
      <c r="J33" s="829">
        <v>43570</v>
      </c>
      <c r="K33" s="806">
        <f t="shared" si="1"/>
        <v>56</v>
      </c>
      <c r="L33" s="800" t="str">
        <f t="shared" si="0"/>
        <v/>
      </c>
      <c r="M33" s="800">
        <f t="shared" si="4"/>
        <v>0</v>
      </c>
      <c r="N33" s="856"/>
      <c r="O33" s="13"/>
      <c r="P33" s="13"/>
    </row>
    <row r="34" spans="1:16" s="26" customFormat="1" x14ac:dyDescent="0.2">
      <c r="A34" s="795" t="s">
        <v>143</v>
      </c>
      <c r="B34" s="810" t="s">
        <v>277</v>
      </c>
      <c r="C34" s="831"/>
      <c r="D34" s="820"/>
      <c r="E34" s="835">
        <f>45234.05*1.085</f>
        <v>49078.94425</v>
      </c>
      <c r="F34" s="821">
        <v>49078.94425</v>
      </c>
      <c r="G34" s="822"/>
      <c r="H34" s="823">
        <v>43425</v>
      </c>
      <c r="I34" s="832" t="s">
        <v>104</v>
      </c>
      <c r="J34" s="824"/>
      <c r="K34" s="815">
        <f t="shared" ca="1" si="1"/>
        <v>168</v>
      </c>
      <c r="L34" s="818">
        <f t="shared" si="0"/>
        <v>49078.94425</v>
      </c>
      <c r="M34" s="818">
        <f t="shared" si="4"/>
        <v>0</v>
      </c>
      <c r="N34" s="856"/>
      <c r="O34" s="13"/>
      <c r="P34" s="13"/>
    </row>
    <row r="35" spans="1:16" s="26" customFormat="1" x14ac:dyDescent="0.2">
      <c r="A35" s="795" t="s">
        <v>159</v>
      </c>
      <c r="B35" s="810" t="s">
        <v>277</v>
      </c>
      <c r="C35" s="831"/>
      <c r="D35" s="820"/>
      <c r="E35" s="892">
        <f>12035.96*1.085</f>
        <v>13059.016599999999</v>
      </c>
      <c r="F35" s="821">
        <f>E35</f>
        <v>13059.016599999999</v>
      </c>
      <c r="G35" s="822"/>
      <c r="H35" s="823"/>
      <c r="I35" s="821"/>
      <c r="J35" s="824"/>
      <c r="K35" s="815">
        <f t="shared" ca="1" si="1"/>
        <v>43593</v>
      </c>
      <c r="L35" s="818" t="str">
        <f t="shared" si="0"/>
        <v/>
      </c>
      <c r="M35" s="818">
        <f t="shared" si="4"/>
        <v>13059.016599999999</v>
      </c>
      <c r="N35" s="856"/>
      <c r="O35" s="13"/>
      <c r="P35" s="13"/>
    </row>
    <row r="36" spans="1:16" s="26" customFormat="1" x14ac:dyDescent="0.2">
      <c r="A36" s="795" t="s">
        <v>37</v>
      </c>
      <c r="B36" s="810" t="s">
        <v>277</v>
      </c>
      <c r="C36" s="831"/>
      <c r="D36" s="820"/>
      <c r="E36" s="835">
        <f>72447.32*1.085</f>
        <v>78605.342199999999</v>
      </c>
      <c r="F36" s="821">
        <v>78605.342199999999</v>
      </c>
      <c r="G36" s="822"/>
      <c r="H36" s="823">
        <v>43425</v>
      </c>
      <c r="I36" s="832" t="s">
        <v>104</v>
      </c>
      <c r="J36" s="824"/>
      <c r="K36" s="815">
        <f t="shared" ca="1" si="1"/>
        <v>168</v>
      </c>
      <c r="L36" s="818">
        <f t="shared" si="0"/>
        <v>78605.342199999999</v>
      </c>
      <c r="M36" s="818">
        <f t="shared" si="4"/>
        <v>0</v>
      </c>
      <c r="N36" s="856"/>
      <c r="O36" s="13"/>
      <c r="P36" s="13"/>
    </row>
    <row r="37" spans="1:16" s="26" customFormat="1" x14ac:dyDescent="0.2">
      <c r="A37" s="798" t="s">
        <v>37</v>
      </c>
      <c r="B37" s="802" t="s">
        <v>277</v>
      </c>
      <c r="C37" s="326"/>
      <c r="D37" s="478"/>
      <c r="E37" s="870">
        <v>21718.06</v>
      </c>
      <c r="F37" s="871">
        <v>21718.06</v>
      </c>
      <c r="G37" s="703"/>
      <c r="H37" s="872">
        <v>43425</v>
      </c>
      <c r="I37" s="826">
        <v>21718.06</v>
      </c>
      <c r="J37" s="705">
        <v>43479</v>
      </c>
      <c r="K37" s="873">
        <f t="shared" si="1"/>
        <v>54</v>
      </c>
      <c r="L37" s="800" t="str">
        <f t="shared" si="0"/>
        <v/>
      </c>
      <c r="M37" s="800">
        <f t="shared" si="4"/>
        <v>0</v>
      </c>
      <c r="N37" s="856"/>
      <c r="O37" s="13"/>
      <c r="P37" s="13"/>
    </row>
    <row r="38" spans="1:16" s="26" customFormat="1" x14ac:dyDescent="0.2">
      <c r="A38" s="263" t="s">
        <v>293</v>
      </c>
      <c r="B38" s="885" t="s">
        <v>277</v>
      </c>
      <c r="C38" s="511"/>
      <c r="D38" s="262"/>
      <c r="E38" s="512">
        <f>61533.1*1.085</f>
        <v>66763.413499999995</v>
      </c>
      <c r="F38" s="56">
        <v>66763.41</v>
      </c>
      <c r="G38" s="266"/>
      <c r="H38" s="886"/>
      <c r="I38" s="267"/>
      <c r="J38" s="268"/>
      <c r="K38" s="887"/>
      <c r="L38" s="888"/>
      <c r="M38" s="269"/>
      <c r="N38" s="884" t="s">
        <v>413</v>
      </c>
      <c r="O38" s="13"/>
      <c r="P38" s="13"/>
    </row>
    <row r="39" spans="1:16" s="26" customFormat="1" x14ac:dyDescent="0.2">
      <c r="A39" s="263" t="s">
        <v>268</v>
      </c>
      <c r="B39" s="885" t="s">
        <v>277</v>
      </c>
      <c r="C39" s="511"/>
      <c r="D39" s="262"/>
      <c r="E39" s="512">
        <f>16717.31*1.085</f>
        <v>18138.281350000001</v>
      </c>
      <c r="F39" s="56">
        <f>E39</f>
        <v>18138.281350000001</v>
      </c>
      <c r="G39" s="266"/>
      <c r="H39" s="886"/>
      <c r="I39" s="267"/>
      <c r="J39" s="268"/>
      <c r="K39" s="887"/>
      <c r="L39" s="888"/>
      <c r="M39" s="269"/>
      <c r="N39" s="884"/>
      <c r="O39" s="13"/>
      <c r="P39" s="13"/>
    </row>
    <row r="40" spans="1:16" s="26" customFormat="1" x14ac:dyDescent="0.2">
      <c r="A40" s="263" t="s">
        <v>270</v>
      </c>
      <c r="B40" s="885" t="s">
        <v>277</v>
      </c>
      <c r="C40" s="511"/>
      <c r="D40" s="262"/>
      <c r="E40" s="512">
        <f>23733.45*1.085</f>
        <v>25750.793249999999</v>
      </c>
      <c r="F40" s="56">
        <f>+E40</f>
        <v>25750.793249999999</v>
      </c>
      <c r="G40" s="266"/>
      <c r="H40" s="886"/>
      <c r="I40" s="267"/>
      <c r="J40" s="268"/>
      <c r="K40" s="887"/>
      <c r="L40" s="888"/>
      <c r="M40" s="269"/>
      <c r="N40" s="884"/>
      <c r="O40" s="13"/>
      <c r="P40" s="13"/>
    </row>
    <row r="41" spans="1:16" s="26" customFormat="1" x14ac:dyDescent="0.2">
      <c r="A41" s="263" t="s">
        <v>331</v>
      </c>
      <c r="B41" s="885" t="s">
        <v>277</v>
      </c>
      <c r="C41" s="511"/>
      <c r="D41" s="262"/>
      <c r="E41" s="512">
        <f>44959.45*1.085</f>
        <v>48781.003249999994</v>
      </c>
      <c r="F41" s="56">
        <f>E41</f>
        <v>48781.003249999994</v>
      </c>
      <c r="G41" s="266"/>
      <c r="H41" s="886"/>
      <c r="I41" s="267"/>
      <c r="J41" s="268"/>
      <c r="K41" s="887"/>
      <c r="L41" s="888"/>
      <c r="M41" s="269"/>
      <c r="N41" s="884" t="s">
        <v>413</v>
      </c>
      <c r="O41" s="13"/>
      <c r="P41" s="13"/>
    </row>
    <row r="42" spans="1:16" s="26" customFormat="1" x14ac:dyDescent="0.2">
      <c r="A42" s="119"/>
      <c r="B42" s="717"/>
      <c r="C42" s="158"/>
      <c r="D42" s="718"/>
      <c r="E42" s="445"/>
      <c r="F42" s="122"/>
      <c r="G42" s="254"/>
      <c r="H42" s="790"/>
      <c r="I42" s="452">
        <f>SUM(I43)</f>
        <v>0</v>
      </c>
      <c r="J42" s="216"/>
      <c r="K42" s="719">
        <f t="shared" ca="1" si="1"/>
        <v>43593</v>
      </c>
      <c r="L42" s="123"/>
      <c r="M42" s="256">
        <f>SUM(M43)</f>
        <v>0</v>
      </c>
      <c r="N42" s="856"/>
      <c r="O42" s="13"/>
      <c r="P42" s="13"/>
    </row>
    <row r="43" spans="1:16" s="26" customFormat="1" x14ac:dyDescent="0.2">
      <c r="A43" s="45"/>
      <c r="B43" s="455"/>
      <c r="C43" s="105"/>
      <c r="D43" s="29"/>
      <c r="E43" s="450"/>
      <c r="F43" s="16"/>
      <c r="G43" s="42"/>
      <c r="H43" s="789"/>
      <c r="I43" s="24"/>
      <c r="J43" s="30"/>
      <c r="K43" s="567">
        <f t="shared" ca="1" si="1"/>
        <v>43593</v>
      </c>
      <c r="L43" s="367"/>
      <c r="M43" s="157"/>
      <c r="N43" s="856"/>
      <c r="O43" s="13"/>
      <c r="P43" s="13"/>
    </row>
    <row r="44" spans="1:16" s="26" customFormat="1" x14ac:dyDescent="0.2">
      <c r="A44" s="616"/>
      <c r="B44" s="617"/>
      <c r="C44" s="618"/>
      <c r="D44" s="618"/>
      <c r="E44" s="619"/>
      <c r="F44" s="620"/>
      <c r="G44" s="621"/>
      <c r="H44" s="791"/>
      <c r="I44" s="622"/>
      <c r="J44" s="623"/>
      <c r="K44" s="836">
        <f t="shared" ca="1" si="1"/>
        <v>43593</v>
      </c>
      <c r="L44" s="837"/>
      <c r="M44" s="838"/>
      <c r="N44" s="856"/>
      <c r="O44" s="13"/>
      <c r="P44" s="13"/>
    </row>
    <row r="45" spans="1:16" s="26" customFormat="1" x14ac:dyDescent="0.2">
      <c r="A45" s="881" t="s">
        <v>59</v>
      </c>
      <c r="B45" s="810" t="s">
        <v>278</v>
      </c>
      <c r="C45" s="820"/>
      <c r="D45" s="820"/>
      <c r="E45" s="813">
        <v>15485</v>
      </c>
      <c r="F45" s="821">
        <v>15485</v>
      </c>
      <c r="G45" s="822"/>
      <c r="H45" s="823">
        <v>42761</v>
      </c>
      <c r="I45" s="832" t="s">
        <v>104</v>
      </c>
      <c r="J45" s="824"/>
      <c r="K45" s="815">
        <f t="shared" ca="1" si="1"/>
        <v>832</v>
      </c>
      <c r="L45" s="818">
        <f>IF(I45="en attente",F45,"")</f>
        <v>15485</v>
      </c>
      <c r="M45" s="818">
        <f t="shared" ref="M45:M63" si="5">IF(H45="",F45-I45,0)</f>
        <v>0</v>
      </c>
      <c r="N45" s="856"/>
      <c r="O45" s="13"/>
      <c r="P45" s="13"/>
    </row>
    <row r="46" spans="1:16" s="26" customFormat="1" x14ac:dyDescent="0.2">
      <c r="A46" s="881" t="s">
        <v>62</v>
      </c>
      <c r="B46" s="810" t="s">
        <v>278</v>
      </c>
      <c r="C46" s="820"/>
      <c r="D46" s="820"/>
      <c r="E46" s="813">
        <v>24894</v>
      </c>
      <c r="F46" s="821">
        <v>24894</v>
      </c>
      <c r="G46" s="822"/>
      <c r="H46" s="823">
        <v>42830</v>
      </c>
      <c r="I46" s="832" t="s">
        <v>104</v>
      </c>
      <c r="J46" s="824"/>
      <c r="K46" s="815">
        <f t="shared" ca="1" si="1"/>
        <v>763</v>
      </c>
      <c r="L46" s="818">
        <f>IF(I46="en attente",F46,"")</f>
        <v>24894</v>
      </c>
      <c r="M46" s="818">
        <f t="shared" si="5"/>
        <v>0</v>
      </c>
      <c r="N46" s="856"/>
      <c r="O46" s="13"/>
      <c r="P46" s="13"/>
    </row>
    <row r="47" spans="1:16" s="26" customFormat="1" x14ac:dyDescent="0.2">
      <c r="A47" s="881" t="s">
        <v>60</v>
      </c>
      <c r="B47" s="810" t="s">
        <v>278</v>
      </c>
      <c r="C47" s="820"/>
      <c r="D47" s="820"/>
      <c r="E47" s="813">
        <v>17350</v>
      </c>
      <c r="F47" s="821">
        <v>17350</v>
      </c>
      <c r="G47" s="822"/>
      <c r="H47" s="823">
        <v>43188</v>
      </c>
      <c r="I47" s="832" t="s">
        <v>104</v>
      </c>
      <c r="J47" s="824"/>
      <c r="K47" s="815">
        <f t="shared" ca="1" si="1"/>
        <v>405</v>
      </c>
      <c r="L47" s="818">
        <f>IF(I47="en attente",F47,"")</f>
        <v>17350</v>
      </c>
      <c r="M47" s="818">
        <f t="shared" si="5"/>
        <v>0</v>
      </c>
      <c r="N47" s="856"/>
      <c r="O47" s="13"/>
      <c r="P47" s="13"/>
    </row>
    <row r="48" spans="1:16" s="26" customFormat="1" x14ac:dyDescent="0.2">
      <c r="A48" s="881" t="s">
        <v>285</v>
      </c>
      <c r="B48" s="810" t="s">
        <v>278</v>
      </c>
      <c r="C48" s="820"/>
      <c r="D48" s="820"/>
      <c r="E48" s="813">
        <f>12414</f>
        <v>12414</v>
      </c>
      <c r="F48" s="839">
        <f>+E48</f>
        <v>12414</v>
      </c>
      <c r="G48" s="822"/>
      <c r="H48" s="823">
        <v>43453</v>
      </c>
      <c r="I48" s="832" t="s">
        <v>104</v>
      </c>
      <c r="J48" s="824"/>
      <c r="K48" s="815">
        <f t="shared" ca="1" si="1"/>
        <v>140</v>
      </c>
      <c r="L48" s="818">
        <f t="shared" ref="L48:L63" si="6">IF(I48="en attente",F48,"")</f>
        <v>12414</v>
      </c>
      <c r="M48" s="818">
        <f t="shared" si="5"/>
        <v>0</v>
      </c>
      <c r="N48" s="856"/>
      <c r="O48" s="13"/>
      <c r="P48" s="13"/>
    </row>
    <row r="49" spans="1:17" s="26" customFormat="1" ht="60" x14ac:dyDescent="0.2">
      <c r="A49" s="881" t="s">
        <v>286</v>
      </c>
      <c r="B49" s="810" t="s">
        <v>278</v>
      </c>
      <c r="C49" s="820"/>
      <c r="D49" s="820"/>
      <c r="E49" s="813">
        <v>9265</v>
      </c>
      <c r="F49" s="839">
        <f>+E49</f>
        <v>9265</v>
      </c>
      <c r="G49" s="822"/>
      <c r="H49" s="823">
        <v>43451</v>
      </c>
      <c r="I49" s="832" t="s">
        <v>104</v>
      </c>
      <c r="J49" s="824"/>
      <c r="K49" s="815">
        <f t="shared" ca="1" si="1"/>
        <v>142</v>
      </c>
      <c r="L49" s="818">
        <f t="shared" si="6"/>
        <v>9265</v>
      </c>
      <c r="M49" s="818">
        <f t="shared" si="5"/>
        <v>0</v>
      </c>
      <c r="N49" s="883" t="s">
        <v>409</v>
      </c>
      <c r="O49" s="13"/>
      <c r="P49" s="13"/>
    </row>
    <row r="50" spans="1:17" s="26" customFormat="1" x14ac:dyDescent="0.2">
      <c r="A50" s="798" t="s">
        <v>250</v>
      </c>
      <c r="B50" s="802" t="s">
        <v>278</v>
      </c>
      <c r="C50" s="825"/>
      <c r="D50" s="825"/>
      <c r="E50" s="491">
        <f>5055*1.085</f>
        <v>5484.6750000000002</v>
      </c>
      <c r="F50" s="826">
        <v>5484.6750000000002</v>
      </c>
      <c r="G50" s="827"/>
      <c r="H50" s="828">
        <v>43060</v>
      </c>
      <c r="I50" s="826">
        <v>4438</v>
      </c>
      <c r="J50" s="829">
        <v>43474</v>
      </c>
      <c r="K50" s="806">
        <f t="shared" si="1"/>
        <v>414</v>
      </c>
      <c r="L50" s="800" t="str">
        <f t="shared" si="6"/>
        <v/>
      </c>
      <c r="M50" s="800">
        <f t="shared" si="5"/>
        <v>0</v>
      </c>
      <c r="N50" s="856" t="s">
        <v>401</v>
      </c>
      <c r="O50" s="13"/>
      <c r="P50" s="451">
        <f>F50-I50</f>
        <v>1046.6750000000002</v>
      </c>
    </row>
    <row r="51" spans="1:17" s="26" customFormat="1" x14ac:dyDescent="0.2">
      <c r="A51" s="881" t="s">
        <v>159</v>
      </c>
      <c r="B51" s="810" t="s">
        <v>278</v>
      </c>
      <c r="C51" s="820"/>
      <c r="D51" s="820"/>
      <c r="E51" s="813">
        <f>8336*1.085</f>
        <v>9044.56</v>
      </c>
      <c r="F51" s="821">
        <v>9044.56</v>
      </c>
      <c r="G51" s="822"/>
      <c r="H51" s="823"/>
      <c r="I51" s="821"/>
      <c r="J51" s="824"/>
      <c r="K51" s="815">
        <f t="shared" ca="1" si="1"/>
        <v>43593</v>
      </c>
      <c r="L51" s="818" t="str">
        <f t="shared" si="6"/>
        <v/>
      </c>
      <c r="M51" s="818">
        <f t="shared" si="5"/>
        <v>9044.56</v>
      </c>
      <c r="N51" s="856"/>
      <c r="O51" s="13"/>
      <c r="P51" s="13"/>
    </row>
    <row r="52" spans="1:17" s="26" customFormat="1" x14ac:dyDescent="0.2">
      <c r="A52" s="881" t="s">
        <v>155</v>
      </c>
      <c r="B52" s="810" t="s">
        <v>278</v>
      </c>
      <c r="C52" s="820"/>
      <c r="D52" s="820"/>
      <c r="E52" s="813">
        <f>11840*1.085</f>
        <v>12846.4</v>
      </c>
      <c r="F52" s="839">
        <v>12846.4</v>
      </c>
      <c r="G52" s="822"/>
      <c r="H52" s="823">
        <v>43411</v>
      </c>
      <c r="I52" s="832" t="s">
        <v>104</v>
      </c>
      <c r="J52" s="824"/>
      <c r="K52" s="815">
        <f t="shared" ca="1" si="1"/>
        <v>182</v>
      </c>
      <c r="L52" s="818">
        <f t="shared" si="6"/>
        <v>12846.4</v>
      </c>
      <c r="M52" s="818">
        <f t="shared" si="5"/>
        <v>0</v>
      </c>
      <c r="N52" s="856" t="s">
        <v>416</v>
      </c>
      <c r="O52" s="13"/>
      <c r="P52" s="13"/>
    </row>
    <row r="53" spans="1:17" s="26" customFormat="1" x14ac:dyDescent="0.2">
      <c r="A53" s="881" t="s">
        <v>37</v>
      </c>
      <c r="B53" s="810" t="s">
        <v>278</v>
      </c>
      <c r="C53" s="824"/>
      <c r="D53" s="820"/>
      <c r="E53" s="834">
        <f>20936*1.085</f>
        <v>22715.559999999998</v>
      </c>
      <c r="F53" s="821">
        <v>22715.559999999998</v>
      </c>
      <c r="G53" s="822"/>
      <c r="H53" s="823"/>
      <c r="I53" s="840"/>
      <c r="J53" s="824"/>
      <c r="K53" s="815">
        <f t="shared" ca="1" si="1"/>
        <v>43593</v>
      </c>
      <c r="L53" s="818" t="str">
        <f t="shared" si="6"/>
        <v/>
      </c>
      <c r="M53" s="818">
        <f t="shared" si="5"/>
        <v>22715.559999999998</v>
      </c>
      <c r="N53" s="856"/>
      <c r="O53" s="13"/>
      <c r="P53" s="13"/>
      <c r="Q53" s="166"/>
    </row>
    <row r="54" spans="1:17" s="26" customFormat="1" x14ac:dyDescent="0.2">
      <c r="A54" s="881" t="s">
        <v>272</v>
      </c>
      <c r="B54" s="810" t="s">
        <v>278</v>
      </c>
      <c r="C54" s="824"/>
      <c r="D54" s="820"/>
      <c r="E54" s="834">
        <f>66468*1.085</f>
        <v>72117.78</v>
      </c>
      <c r="F54" s="821">
        <v>72117.78</v>
      </c>
      <c r="G54" s="822"/>
      <c r="H54" s="823"/>
      <c r="I54" s="840"/>
      <c r="J54" s="824"/>
      <c r="K54" s="815">
        <f t="shared" ca="1" si="1"/>
        <v>43593</v>
      </c>
      <c r="L54" s="818" t="str">
        <f t="shared" si="6"/>
        <v/>
      </c>
      <c r="M54" s="818">
        <f t="shared" si="5"/>
        <v>72117.78</v>
      </c>
      <c r="N54" s="856"/>
      <c r="O54" s="13"/>
      <c r="P54" s="13"/>
      <c r="Q54" s="166"/>
    </row>
    <row r="55" spans="1:17" s="26" customFormat="1" x14ac:dyDescent="0.2">
      <c r="A55" s="881" t="s">
        <v>142</v>
      </c>
      <c r="B55" s="810" t="s">
        <v>278</v>
      </c>
      <c r="C55" s="824"/>
      <c r="D55" s="820"/>
      <c r="E55" s="834">
        <f>10836*1.085</f>
        <v>11757.06</v>
      </c>
      <c r="F55" s="839">
        <v>11757.06</v>
      </c>
      <c r="G55" s="822"/>
      <c r="H55" s="823">
        <v>43516</v>
      </c>
      <c r="I55" s="891" t="s">
        <v>104</v>
      </c>
      <c r="J55" s="824"/>
      <c r="K55" s="815">
        <f t="shared" ca="1" si="1"/>
        <v>77</v>
      </c>
      <c r="L55" s="818">
        <f t="shared" si="6"/>
        <v>11757.06</v>
      </c>
      <c r="M55" s="818">
        <f t="shared" si="5"/>
        <v>0</v>
      </c>
      <c r="N55" s="856" t="s">
        <v>411</v>
      </c>
      <c r="O55" s="13"/>
      <c r="P55" s="13"/>
    </row>
    <row r="56" spans="1:17" s="26" customFormat="1" x14ac:dyDescent="0.2">
      <c r="A56" s="881" t="s">
        <v>422</v>
      </c>
      <c r="B56" s="810" t="s">
        <v>278</v>
      </c>
      <c r="C56" s="824"/>
      <c r="D56" s="820"/>
      <c r="E56" s="834">
        <f>60104*1.085</f>
        <v>65212.84</v>
      </c>
      <c r="F56" s="821">
        <v>65212.84</v>
      </c>
      <c r="G56" s="822"/>
      <c r="H56" s="823"/>
      <c r="I56" s="821"/>
      <c r="J56" s="824"/>
      <c r="K56" s="815">
        <f t="shared" ca="1" si="1"/>
        <v>43593</v>
      </c>
      <c r="L56" s="818" t="str">
        <f t="shared" si="6"/>
        <v/>
      </c>
      <c r="M56" s="818">
        <f t="shared" si="5"/>
        <v>65212.84</v>
      </c>
      <c r="N56" s="856"/>
      <c r="O56" s="13"/>
      <c r="P56" s="13"/>
    </row>
    <row r="57" spans="1:17" s="26" customFormat="1" x14ac:dyDescent="0.2">
      <c r="A57" s="881" t="s">
        <v>143</v>
      </c>
      <c r="B57" s="810" t="s">
        <v>278</v>
      </c>
      <c r="C57" s="824"/>
      <c r="D57" s="820"/>
      <c r="E57" s="834">
        <f>21616*1.085</f>
        <v>23453.360000000001</v>
      </c>
      <c r="F57" s="821">
        <v>23453.360000000001</v>
      </c>
      <c r="G57" s="822"/>
      <c r="H57" s="823"/>
      <c r="I57" s="821"/>
      <c r="J57" s="824"/>
      <c r="K57" s="815">
        <f t="shared" ca="1" si="1"/>
        <v>43593</v>
      </c>
      <c r="L57" s="818" t="str">
        <f t="shared" si="6"/>
        <v/>
      </c>
      <c r="M57" s="818">
        <f t="shared" si="5"/>
        <v>23453.360000000001</v>
      </c>
      <c r="N57" s="856"/>
      <c r="O57" s="13"/>
      <c r="P57" s="13"/>
    </row>
    <row r="58" spans="1:17" s="26" customFormat="1" x14ac:dyDescent="0.2">
      <c r="A58" s="881" t="s">
        <v>274</v>
      </c>
      <c r="B58" s="810" t="s">
        <v>278</v>
      </c>
      <c r="C58" s="824"/>
      <c r="D58" s="820"/>
      <c r="E58" s="834">
        <f>68840*1.085</f>
        <v>74691.399999999994</v>
      </c>
      <c r="F58" s="821">
        <f t="shared" ref="F58:F63" si="7">E58</f>
        <v>74691.399999999994</v>
      </c>
      <c r="G58" s="822"/>
      <c r="H58" s="823"/>
      <c r="I58" s="821"/>
      <c r="J58" s="824"/>
      <c r="K58" s="815">
        <f t="shared" ca="1" si="1"/>
        <v>43593</v>
      </c>
      <c r="L58" s="818" t="str">
        <f t="shared" si="6"/>
        <v/>
      </c>
      <c r="M58" s="818">
        <f t="shared" si="5"/>
        <v>74691.399999999994</v>
      </c>
      <c r="N58" s="856"/>
      <c r="O58" s="13"/>
      <c r="P58" s="13"/>
    </row>
    <row r="59" spans="1:17" s="26" customFormat="1" x14ac:dyDescent="0.2">
      <c r="A59" s="881" t="s">
        <v>263</v>
      </c>
      <c r="B59" s="810" t="s">
        <v>278</v>
      </c>
      <c r="C59" s="824"/>
      <c r="D59" s="820"/>
      <c r="E59" s="834">
        <f>14823*1.085</f>
        <v>16082.955</v>
      </c>
      <c r="F59" s="821">
        <f t="shared" si="7"/>
        <v>16082.955</v>
      </c>
      <c r="G59" s="822"/>
      <c r="H59" s="823"/>
      <c r="I59" s="821"/>
      <c r="J59" s="824"/>
      <c r="K59" s="815">
        <f t="shared" ca="1" si="1"/>
        <v>43593</v>
      </c>
      <c r="L59" s="818" t="str">
        <f t="shared" si="6"/>
        <v/>
      </c>
      <c r="M59" s="818">
        <f t="shared" si="5"/>
        <v>16082.955</v>
      </c>
      <c r="N59" s="856" t="s">
        <v>106</v>
      </c>
      <c r="O59" s="13"/>
      <c r="P59" s="13"/>
    </row>
    <row r="60" spans="1:17" s="26" customFormat="1" x14ac:dyDescent="0.2">
      <c r="A60" s="881" t="s">
        <v>268</v>
      </c>
      <c r="B60" s="810" t="s">
        <v>278</v>
      </c>
      <c r="C60" s="824"/>
      <c r="D60" s="820"/>
      <c r="E60" s="834">
        <f>47790*1.085</f>
        <v>51852.15</v>
      </c>
      <c r="F60" s="821">
        <f t="shared" si="7"/>
        <v>51852.15</v>
      </c>
      <c r="G60" s="822"/>
      <c r="H60" s="823"/>
      <c r="I60" s="821"/>
      <c r="J60" s="824"/>
      <c r="K60" s="815"/>
      <c r="L60" s="818" t="str">
        <f t="shared" si="6"/>
        <v/>
      </c>
      <c r="M60" s="818">
        <f t="shared" si="5"/>
        <v>51852.15</v>
      </c>
      <c r="N60" s="856"/>
      <c r="O60" s="13"/>
      <c r="P60" s="13"/>
    </row>
    <row r="61" spans="1:17" s="26" customFormat="1" x14ac:dyDescent="0.2">
      <c r="A61" s="881" t="s">
        <v>331</v>
      </c>
      <c r="B61" s="810" t="s">
        <v>403</v>
      </c>
      <c r="C61" s="824"/>
      <c r="D61" s="820"/>
      <c r="E61" s="834">
        <f>49964*1.085</f>
        <v>54210.939999999995</v>
      </c>
      <c r="F61" s="821">
        <f t="shared" si="7"/>
        <v>54210.939999999995</v>
      </c>
      <c r="G61" s="822"/>
      <c r="H61" s="823"/>
      <c r="I61" s="821"/>
      <c r="J61" s="824"/>
      <c r="K61" s="815"/>
      <c r="L61" s="818" t="str">
        <f t="shared" si="6"/>
        <v/>
      </c>
      <c r="M61" s="818">
        <f t="shared" si="5"/>
        <v>54210.939999999995</v>
      </c>
      <c r="N61" s="856"/>
      <c r="O61" s="13"/>
      <c r="P61" s="13"/>
    </row>
    <row r="62" spans="1:17" s="26" customFormat="1" x14ac:dyDescent="0.2">
      <c r="A62" s="881" t="s">
        <v>293</v>
      </c>
      <c r="B62" s="810" t="s">
        <v>410</v>
      </c>
      <c r="C62" s="824"/>
      <c r="D62" s="820"/>
      <c r="E62" s="834">
        <f>98780*1.085</f>
        <v>107176.3</v>
      </c>
      <c r="F62" s="821">
        <f t="shared" si="7"/>
        <v>107176.3</v>
      </c>
      <c r="G62" s="822"/>
      <c r="H62" s="823"/>
      <c r="I62" s="821"/>
      <c r="J62" s="824"/>
      <c r="K62" s="815"/>
      <c r="L62" s="818" t="str">
        <f t="shared" si="6"/>
        <v/>
      </c>
      <c r="M62" s="818">
        <f t="shared" si="5"/>
        <v>107176.3</v>
      </c>
      <c r="N62" s="856"/>
      <c r="O62" s="13"/>
      <c r="P62" s="13"/>
    </row>
    <row r="63" spans="1:17" s="26" customFormat="1" x14ac:dyDescent="0.2">
      <c r="A63" s="881" t="s">
        <v>319</v>
      </c>
      <c r="B63" s="810" t="s">
        <v>410</v>
      </c>
      <c r="C63" s="824"/>
      <c r="D63" s="820"/>
      <c r="E63" s="834">
        <f>43630*1.085</f>
        <v>47338.549999999996</v>
      </c>
      <c r="F63" s="821">
        <f t="shared" si="7"/>
        <v>47338.549999999996</v>
      </c>
      <c r="G63" s="822"/>
      <c r="H63" s="823"/>
      <c r="I63" s="821"/>
      <c r="J63" s="824"/>
      <c r="K63" s="815"/>
      <c r="L63" s="818" t="str">
        <f t="shared" si="6"/>
        <v/>
      </c>
      <c r="M63" s="818">
        <f t="shared" si="5"/>
        <v>47338.549999999996</v>
      </c>
      <c r="N63" s="856"/>
      <c r="O63" s="13"/>
      <c r="P63" s="13"/>
    </row>
    <row r="64" spans="1:17" s="26" customFormat="1" x14ac:dyDescent="0.2">
      <c r="A64" s="881" t="s">
        <v>373</v>
      </c>
      <c r="B64" s="810"/>
      <c r="C64" s="824"/>
      <c r="D64" s="820"/>
      <c r="E64" s="834"/>
      <c r="F64" s="821"/>
      <c r="G64" s="822"/>
      <c r="H64" s="823"/>
      <c r="I64" s="821"/>
      <c r="J64" s="824"/>
      <c r="K64" s="815"/>
      <c r="L64" s="818"/>
      <c r="M64" s="818"/>
      <c r="N64" s="856"/>
      <c r="O64" s="13"/>
      <c r="P64" s="13"/>
    </row>
    <row r="65" spans="1:16" s="26" customFormat="1" x14ac:dyDescent="0.2">
      <c r="A65" s="881" t="s">
        <v>390</v>
      </c>
      <c r="B65" s="810" t="s">
        <v>412</v>
      </c>
      <c r="C65" s="824"/>
      <c r="D65" s="820"/>
      <c r="E65" s="834"/>
      <c r="F65" s="821"/>
      <c r="G65" s="822"/>
      <c r="H65" s="823"/>
      <c r="I65" s="821"/>
      <c r="J65" s="824"/>
      <c r="K65" s="815"/>
      <c r="L65" s="818"/>
      <c r="M65" s="818"/>
      <c r="N65" s="856"/>
      <c r="O65" s="13"/>
      <c r="P65" s="13"/>
    </row>
    <row r="66" spans="1:16" s="26" customFormat="1" x14ac:dyDescent="0.2">
      <c r="A66" s="881" t="s">
        <v>322</v>
      </c>
      <c r="B66" s="810"/>
      <c r="C66" s="824"/>
      <c r="D66" s="820"/>
      <c r="E66" s="834"/>
      <c r="F66" s="821"/>
      <c r="G66" s="822"/>
      <c r="H66" s="823"/>
      <c r="I66" s="821"/>
      <c r="J66" s="824"/>
      <c r="K66" s="815"/>
      <c r="L66" s="818"/>
      <c r="M66" s="818"/>
      <c r="N66" s="856"/>
      <c r="O66" s="13"/>
      <c r="P66" s="13"/>
    </row>
    <row r="67" spans="1:16" s="26" customFormat="1" x14ac:dyDescent="0.2">
      <c r="A67" s="881" t="s">
        <v>371</v>
      </c>
      <c r="B67" s="810"/>
      <c r="C67" s="824"/>
      <c r="D67" s="820"/>
      <c r="E67" s="834"/>
      <c r="F67" s="821"/>
      <c r="G67" s="822"/>
      <c r="H67" s="823"/>
      <c r="I67" s="821"/>
      <c r="J67" s="824"/>
      <c r="K67" s="815"/>
      <c r="L67" s="818"/>
      <c r="M67" s="818"/>
      <c r="N67" s="856"/>
      <c r="O67" s="13"/>
      <c r="P67" s="13"/>
    </row>
    <row r="68" spans="1:16" s="26" customFormat="1" x14ac:dyDescent="0.2">
      <c r="A68" s="881" t="s">
        <v>324</v>
      </c>
      <c r="B68" s="810"/>
      <c r="C68" s="824"/>
      <c r="D68" s="820"/>
      <c r="E68" s="834"/>
      <c r="F68" s="821"/>
      <c r="G68" s="822"/>
      <c r="H68" s="823"/>
      <c r="I68" s="821"/>
      <c r="J68" s="824"/>
      <c r="K68" s="815"/>
      <c r="L68" s="818"/>
      <c r="M68" s="818"/>
      <c r="N68" s="856"/>
      <c r="O68" s="13"/>
      <c r="P68" s="13"/>
    </row>
    <row r="69" spans="1:16" s="26" customFormat="1" x14ac:dyDescent="0.2">
      <c r="A69" s="881" t="s">
        <v>270</v>
      </c>
      <c r="B69" s="810"/>
      <c r="C69" s="824"/>
      <c r="D69" s="820"/>
      <c r="E69" s="834"/>
      <c r="F69" s="821"/>
      <c r="G69" s="822"/>
      <c r="H69" s="823"/>
      <c r="I69" s="821"/>
      <c r="J69" s="824"/>
      <c r="K69" s="815"/>
      <c r="L69" s="818"/>
      <c r="M69" s="818"/>
      <c r="N69" s="856"/>
      <c r="O69" s="13"/>
      <c r="P69" s="13"/>
    </row>
    <row r="70" spans="1:16" s="26" customFormat="1" x14ac:dyDescent="0.2">
      <c r="A70" s="881" t="s">
        <v>264</v>
      </c>
      <c r="B70" s="810"/>
      <c r="C70" s="824"/>
      <c r="D70" s="820"/>
      <c r="E70" s="834"/>
      <c r="F70" s="821"/>
      <c r="G70" s="822"/>
      <c r="H70" s="823"/>
      <c r="I70" s="821"/>
      <c r="J70" s="824"/>
      <c r="K70" s="815"/>
      <c r="L70" s="818"/>
      <c r="M70" s="818"/>
      <c r="N70" s="856"/>
      <c r="O70" s="13"/>
      <c r="P70" s="13"/>
    </row>
    <row r="71" spans="1:16" s="26" customFormat="1" x14ac:dyDescent="0.2">
      <c r="A71" s="809"/>
      <c r="B71" s="810"/>
      <c r="C71" s="824"/>
      <c r="D71" s="820"/>
      <c r="E71" s="834"/>
      <c r="F71" s="821"/>
      <c r="G71" s="822"/>
      <c r="H71" s="823"/>
      <c r="I71" s="821"/>
      <c r="J71" s="824"/>
      <c r="K71" s="815"/>
      <c r="L71" s="818"/>
      <c r="M71" s="818"/>
      <c r="N71" s="856"/>
      <c r="O71" s="13"/>
      <c r="P71" s="13"/>
    </row>
    <row r="72" spans="1:16" s="26" customFormat="1" x14ac:dyDescent="0.2">
      <c r="A72" s="866" t="s">
        <v>402</v>
      </c>
      <c r="B72" s="857"/>
      <c r="C72" s="858"/>
      <c r="D72" s="859"/>
      <c r="E72" s="860"/>
      <c r="F72" s="861"/>
      <c r="G72" s="862"/>
      <c r="H72" s="863"/>
      <c r="I72" s="861"/>
      <c r="J72" s="858"/>
      <c r="K72" s="864"/>
      <c r="L72" s="865"/>
      <c r="M72" s="865"/>
      <c r="N72" s="856"/>
      <c r="O72" s="13"/>
      <c r="P72" s="13"/>
    </row>
    <row r="73" spans="1:16" s="26" customFormat="1" x14ac:dyDescent="0.2">
      <c r="A73" s="889" t="s">
        <v>345</v>
      </c>
      <c r="B73" s="810" t="s">
        <v>278</v>
      </c>
      <c r="C73" s="824"/>
      <c r="D73" s="820"/>
      <c r="E73" s="834">
        <f>50436*1.085</f>
        <v>54723.06</v>
      </c>
      <c r="F73" s="821">
        <f>E73</f>
        <v>54723.06</v>
      </c>
      <c r="G73" s="822"/>
      <c r="H73" s="823"/>
      <c r="I73" s="821"/>
      <c r="J73" s="824"/>
      <c r="K73" s="815"/>
      <c r="L73" s="818" t="str">
        <f t="shared" ref="L73" si="8">IF(I73="en attente",F73,"")</f>
        <v/>
      </c>
      <c r="M73" s="818">
        <f t="shared" ref="M73" si="9">IF(H73="",F73-I73,0)</f>
        <v>54723.06</v>
      </c>
      <c r="N73" s="856"/>
      <c r="O73" s="13"/>
      <c r="P73" s="13"/>
    </row>
    <row r="74" spans="1:16" s="26" customFormat="1" x14ac:dyDescent="0.2">
      <c r="A74" s="889" t="s">
        <v>338</v>
      </c>
      <c r="B74" s="810"/>
      <c r="C74" s="824"/>
      <c r="D74" s="820"/>
      <c r="E74" s="834"/>
      <c r="F74" s="821"/>
      <c r="G74" s="822"/>
      <c r="H74" s="823"/>
      <c r="I74" s="821"/>
      <c r="J74" s="824"/>
      <c r="K74" s="815"/>
      <c r="L74" s="818"/>
      <c r="M74" s="818"/>
      <c r="N74" s="884"/>
      <c r="O74" s="13"/>
      <c r="P74" s="13"/>
    </row>
    <row r="75" spans="1:16" s="26" customFormat="1" x14ac:dyDescent="0.2">
      <c r="A75" s="889" t="s">
        <v>346</v>
      </c>
      <c r="B75" s="810"/>
      <c r="C75" s="824"/>
      <c r="D75" s="820"/>
      <c r="E75" s="834"/>
      <c r="F75" s="821"/>
      <c r="G75" s="822"/>
      <c r="H75" s="823"/>
      <c r="I75" s="821"/>
      <c r="J75" s="824"/>
      <c r="K75" s="815"/>
      <c r="L75" s="818"/>
      <c r="M75" s="818"/>
      <c r="N75" s="884"/>
      <c r="O75" s="13"/>
      <c r="P75" s="13"/>
    </row>
    <row r="76" spans="1:16" s="26" customFormat="1" x14ac:dyDescent="0.2">
      <c r="A76" s="889" t="s">
        <v>336</v>
      </c>
      <c r="B76" s="810"/>
      <c r="C76" s="824"/>
      <c r="D76" s="820"/>
      <c r="E76" s="834"/>
      <c r="F76" s="821"/>
      <c r="G76" s="822"/>
      <c r="H76" s="823"/>
      <c r="I76" s="821"/>
      <c r="J76" s="824"/>
      <c r="K76" s="815"/>
      <c r="L76" s="818"/>
      <c r="M76" s="818"/>
      <c r="N76" s="884"/>
      <c r="O76" s="13"/>
      <c r="P76" s="13"/>
    </row>
    <row r="77" spans="1:16" s="26" customFormat="1" x14ac:dyDescent="0.2">
      <c r="A77" s="889" t="s">
        <v>342</v>
      </c>
      <c r="B77" s="810"/>
      <c r="C77" s="824"/>
      <c r="D77" s="820"/>
      <c r="E77" s="834"/>
      <c r="F77" s="821"/>
      <c r="G77" s="822"/>
      <c r="H77" s="823"/>
      <c r="I77" s="821"/>
      <c r="J77" s="824"/>
      <c r="K77" s="815"/>
      <c r="L77" s="818"/>
      <c r="M77" s="818"/>
      <c r="N77" s="884"/>
      <c r="O77" s="13"/>
      <c r="P77" s="13"/>
    </row>
    <row r="78" spans="1:16" s="26" customFormat="1" x14ac:dyDescent="0.2">
      <c r="A78" s="889" t="s">
        <v>395</v>
      </c>
      <c r="B78" s="810"/>
      <c r="C78" s="824"/>
      <c r="D78" s="820"/>
      <c r="E78" s="834"/>
      <c r="F78" s="821"/>
      <c r="G78" s="822"/>
      <c r="H78" s="823"/>
      <c r="I78" s="821"/>
      <c r="J78" s="824"/>
      <c r="K78" s="815"/>
      <c r="L78" s="818"/>
      <c r="M78" s="818"/>
      <c r="N78" s="884"/>
      <c r="O78" s="13"/>
      <c r="P78" s="13"/>
    </row>
    <row r="79" spans="1:16" s="26" customFormat="1" x14ac:dyDescent="0.2">
      <c r="A79" s="889" t="s">
        <v>379</v>
      </c>
      <c r="B79" s="810"/>
      <c r="C79" s="824"/>
      <c r="D79" s="820"/>
      <c r="E79" s="834"/>
      <c r="F79" s="821"/>
      <c r="G79" s="822"/>
      <c r="H79" s="823"/>
      <c r="I79" s="821"/>
      <c r="J79" s="824"/>
      <c r="K79" s="815"/>
      <c r="L79" s="818"/>
      <c r="M79" s="818"/>
      <c r="N79" s="884"/>
      <c r="O79" s="13"/>
      <c r="P79" s="13"/>
    </row>
    <row r="80" spans="1:16" s="26" customFormat="1" x14ac:dyDescent="0.2">
      <c r="A80" s="889" t="s">
        <v>398</v>
      </c>
      <c r="B80" s="810"/>
      <c r="C80" s="824"/>
      <c r="D80" s="820"/>
      <c r="E80" s="834"/>
      <c r="F80" s="821"/>
      <c r="G80" s="822"/>
      <c r="H80" s="823"/>
      <c r="I80" s="821"/>
      <c r="J80" s="824"/>
      <c r="K80" s="815"/>
      <c r="L80" s="818"/>
      <c r="M80" s="818"/>
      <c r="N80" s="884"/>
      <c r="O80" s="13"/>
      <c r="P80" s="13"/>
    </row>
    <row r="81" spans="1:16" s="26" customFormat="1" x14ac:dyDescent="0.2">
      <c r="A81" s="889" t="s">
        <v>414</v>
      </c>
      <c r="B81" s="810"/>
      <c r="C81" s="824"/>
      <c r="D81" s="820"/>
      <c r="E81" s="834"/>
      <c r="F81" s="821"/>
      <c r="G81" s="822"/>
      <c r="H81" s="823"/>
      <c r="I81" s="821"/>
      <c r="J81" s="824"/>
      <c r="K81" s="815"/>
      <c r="L81" s="818"/>
      <c r="M81" s="818"/>
      <c r="N81" s="856"/>
      <c r="O81" s="13"/>
      <c r="P81" s="13"/>
    </row>
    <row r="82" spans="1:16" s="26" customFormat="1" x14ac:dyDescent="0.2">
      <c r="A82" s="889" t="s">
        <v>415</v>
      </c>
      <c r="B82" s="810"/>
      <c r="C82" s="824"/>
      <c r="D82" s="820"/>
      <c r="E82" s="834"/>
      <c r="F82" s="821"/>
      <c r="G82" s="822"/>
      <c r="H82" s="823"/>
      <c r="I82" s="821"/>
      <c r="J82" s="824"/>
      <c r="K82" s="815"/>
      <c r="L82" s="818"/>
      <c r="M82" s="818"/>
      <c r="N82" s="856"/>
      <c r="O82" s="13"/>
      <c r="P82" s="13"/>
    </row>
    <row r="83" spans="1:16" s="26" customFormat="1" x14ac:dyDescent="0.2">
      <c r="A83" s="889"/>
      <c r="B83" s="810"/>
      <c r="C83" s="824"/>
      <c r="D83" s="820"/>
      <c r="E83" s="834"/>
      <c r="F83" s="821"/>
      <c r="G83" s="822"/>
      <c r="H83" s="823"/>
      <c r="I83" s="821"/>
      <c r="J83" s="824"/>
      <c r="K83" s="815"/>
      <c r="L83" s="818"/>
      <c r="M83" s="818"/>
      <c r="N83" s="856"/>
      <c r="O83" s="13"/>
      <c r="P83" s="13"/>
    </row>
    <row r="84" spans="1:16" s="8" customFormat="1" x14ac:dyDescent="0.2">
      <c r="A84" s="890"/>
      <c r="B84" s="48"/>
      <c r="C84" s="48"/>
      <c r="D84" s="48"/>
      <c r="E84" s="813">
        <f>SUM(E6:E81)</f>
        <v>2197461.3749500006</v>
      </c>
      <c r="F84" s="41">
        <f>SUMPRODUCT((DateAF_EDF&lt;&gt;"")*MontantAF_EDF)</f>
        <v>1305059.4414500003</v>
      </c>
      <c r="G84" s="49"/>
      <c r="H84" s="792"/>
      <c r="I84" s="634">
        <f>SUM(MtntPaye_EDF)</f>
        <v>1009076.4700000002</v>
      </c>
      <c r="J84" s="50"/>
      <c r="K84" s="49"/>
      <c r="L84" s="41">
        <f>SUM(L6:L81)</f>
        <v>294933.78645000001</v>
      </c>
      <c r="M84" s="41">
        <f>SUM(M6:M81)</f>
        <v>715764.06830000016</v>
      </c>
      <c r="N84" s="856"/>
      <c r="O84" s="13"/>
      <c r="P84" s="13"/>
    </row>
    <row r="85" spans="1:16" x14ac:dyDescent="0.2">
      <c r="A85" s="75"/>
      <c r="B85" s="75"/>
      <c r="C85" s="76"/>
      <c r="D85" s="76"/>
      <c r="E85" s="76"/>
      <c r="F85" s="475"/>
      <c r="G85" s="75"/>
      <c r="H85" s="793"/>
      <c r="I85" s="76"/>
      <c r="J85" s="76"/>
      <c r="K85" s="797"/>
      <c r="L85" s="921">
        <f>SUM(L84:M84)</f>
        <v>1010697.8547500002</v>
      </c>
      <c r="M85" s="922"/>
      <c r="N85" s="856"/>
      <c r="O85" s="13"/>
      <c r="P85" s="13"/>
    </row>
    <row r="86" spans="1:16" x14ac:dyDescent="0.2">
      <c r="N86" s="856"/>
      <c r="O86" s="13"/>
      <c r="P86" s="13"/>
    </row>
    <row r="87" spans="1:16" x14ac:dyDescent="0.2">
      <c r="F87" s="786" t="s">
        <v>219</v>
      </c>
      <c r="I87" s="372" t="s">
        <v>221</v>
      </c>
      <c r="L87" s="371" t="s">
        <v>219</v>
      </c>
      <c r="M87" s="372" t="s">
        <v>221</v>
      </c>
      <c r="N87" s="884"/>
      <c r="O87" s="13"/>
      <c r="P87" s="13"/>
    </row>
    <row r="88" spans="1:16" x14ac:dyDescent="0.2">
      <c r="E88" s="380">
        <v>42430</v>
      </c>
      <c r="F88" s="91">
        <f t="shared" ref="F88:F115" si="10">SUMPRODUCT((DateAF_EDF&lt;&gt;"")*(MONTH(DateAF_EDF)=MONTH(E88))*(YEAR(DateAF_EDF)=YEAR(E88))*MontantAF_EDF)</f>
        <v>51875.6</v>
      </c>
      <c r="H88" s="380">
        <v>42430</v>
      </c>
      <c r="I88" s="91">
        <f t="shared" ref="I88:I103" si="11">SUMPRODUCT((DatePmt_EDF&lt;&gt;"")*(DatePmt_EDF&lt;&gt;"en attente")*(MONTH(DatePmt_EDF)=MONTH(H88))*(YEAR(DatePmt_EDF)=YEAR(H88))*(ISNUMBER(MtntPaye_EDF)),MtntPaye_EDF)</f>
        <v>0</v>
      </c>
      <c r="K88" s="6">
        <v>2016</v>
      </c>
      <c r="L88" s="91">
        <f>SUMPRODUCT((YEAR($E$88:$E$103)=K88)*($F$88:$F$103))</f>
        <v>236124.36</v>
      </c>
      <c r="M88" s="91">
        <f>SUMPRODUCT((YEAR($H$88:$H$103)=K88)*($I$88:$I$103))</f>
        <v>51875.6</v>
      </c>
      <c r="O88" s="91"/>
    </row>
    <row r="89" spans="1:16" x14ac:dyDescent="0.2">
      <c r="E89" s="380">
        <v>42491</v>
      </c>
      <c r="F89" s="91">
        <f t="shared" si="10"/>
        <v>0</v>
      </c>
      <c r="H89" s="380">
        <v>42491</v>
      </c>
      <c r="I89" s="91">
        <f t="shared" si="11"/>
        <v>51875.6</v>
      </c>
      <c r="K89" s="6">
        <v>2017</v>
      </c>
      <c r="L89" s="91">
        <f>SUMPRODUCT((YEAR($E$88:$E$103)=K89)*($F$88:$F$103))</f>
        <v>495438.09499999997</v>
      </c>
      <c r="M89" s="91">
        <f>SUMPRODUCT((YEAR($H$88:$H$103)=K89)*($I$88:$I$103))</f>
        <v>281461.53000000003</v>
      </c>
    </row>
    <row r="90" spans="1:16" x14ac:dyDescent="0.2">
      <c r="E90" s="380">
        <v>42644</v>
      </c>
      <c r="F90" s="91">
        <f t="shared" si="10"/>
        <v>154658.38999999998</v>
      </c>
      <c r="H90" s="380">
        <v>42644</v>
      </c>
      <c r="I90" s="91">
        <f t="shared" si="11"/>
        <v>0</v>
      </c>
      <c r="K90" s="6">
        <v>2018</v>
      </c>
      <c r="L90" s="91">
        <f>SUMPRODUCT((YEAR($E$88:$E$127)=K90)*($F$88:$F$127))</f>
        <v>435832.05645000003</v>
      </c>
      <c r="M90" s="91">
        <f>SUMPRODUCT((YEAR($H$88:$H$127)=K90)*($I$88:$I$127))</f>
        <v>310341.90999999997</v>
      </c>
    </row>
    <row r="91" spans="1:16" x14ac:dyDescent="0.2">
      <c r="E91" s="380">
        <v>42705</v>
      </c>
      <c r="F91" s="91">
        <f t="shared" si="10"/>
        <v>29590.37</v>
      </c>
      <c r="H91" s="380">
        <v>42705</v>
      </c>
      <c r="I91" s="91">
        <f>SUMPRODUCT((DatePmt_EDF&lt;&gt;"")*(DatePmt_EDF&lt;&gt;"en attente")*(MONTH(DatePmt_EDF)=MONTH(H91))*(YEAR(DatePmt_EDF)=YEAR(H91))*(ISNUMBER(MtntPaye_EDF)),MtntPaye_EDF)</f>
        <v>0</v>
      </c>
      <c r="K91" s="6">
        <v>2019</v>
      </c>
      <c r="L91" s="91">
        <f>SUMPRODUCT((YEAR($E$88:$E$127)=K91)*($F$88:$F$127))</f>
        <v>137664.93</v>
      </c>
      <c r="M91" s="91">
        <f>SUMPRODUCT((YEAR($H$88:$H$127)=K91)*($I$88:$I$127))</f>
        <v>365397.43</v>
      </c>
    </row>
    <row r="92" spans="1:16" x14ac:dyDescent="0.2">
      <c r="E92" s="380">
        <v>42736</v>
      </c>
      <c r="F92" s="91">
        <f t="shared" si="10"/>
        <v>78665.91</v>
      </c>
      <c r="H92" s="380">
        <v>42736</v>
      </c>
      <c r="I92" s="91">
        <f t="shared" si="11"/>
        <v>0</v>
      </c>
      <c r="L92" s="462">
        <f>SUM(L88:L91)</f>
        <v>1305059.44145</v>
      </c>
      <c r="M92" s="462">
        <f>SUM(M88:M91)</f>
        <v>1009076.47</v>
      </c>
    </row>
    <row r="93" spans="1:16" x14ac:dyDescent="0.2">
      <c r="E93" s="380">
        <v>42767</v>
      </c>
      <c r="F93" s="91">
        <f t="shared" si="10"/>
        <v>58548.7</v>
      </c>
      <c r="H93" s="380">
        <v>42767</v>
      </c>
      <c r="I93" s="91">
        <f t="shared" si="11"/>
        <v>0</v>
      </c>
      <c r="L93" s="166">
        <f>+L92-F128</f>
        <v>0</v>
      </c>
      <c r="M93" s="166">
        <f>+M92-I128</f>
        <v>0</v>
      </c>
    </row>
    <row r="94" spans="1:16" x14ac:dyDescent="0.2">
      <c r="E94" s="380">
        <v>42795</v>
      </c>
      <c r="F94" s="91">
        <f t="shared" si="10"/>
        <v>17009.03</v>
      </c>
      <c r="H94" s="380">
        <v>42795</v>
      </c>
      <c r="I94" s="91">
        <f t="shared" si="11"/>
        <v>28319.18</v>
      </c>
    </row>
    <row r="95" spans="1:16" x14ac:dyDescent="0.2">
      <c r="E95" s="380">
        <v>42826</v>
      </c>
      <c r="F95" s="91">
        <f t="shared" si="10"/>
        <v>118005.2</v>
      </c>
      <c r="H95" s="380">
        <v>42826</v>
      </c>
      <c r="I95" s="91">
        <f t="shared" si="11"/>
        <v>76418.290000000008</v>
      </c>
    </row>
    <row r="96" spans="1:16" x14ac:dyDescent="0.2">
      <c r="E96" s="380">
        <v>42856</v>
      </c>
      <c r="F96" s="91">
        <f t="shared" si="10"/>
        <v>0</v>
      </c>
      <c r="H96" s="380">
        <v>42856</v>
      </c>
      <c r="I96" s="91">
        <f t="shared" si="11"/>
        <v>17009.03</v>
      </c>
    </row>
    <row r="97" spans="5:9" x14ac:dyDescent="0.2">
      <c r="E97" s="380">
        <v>42887</v>
      </c>
      <c r="F97" s="91">
        <f t="shared" si="10"/>
        <v>0</v>
      </c>
      <c r="H97" s="380">
        <v>42887</v>
      </c>
      <c r="I97" s="91">
        <f t="shared" si="11"/>
        <v>93111.2</v>
      </c>
    </row>
    <row r="98" spans="5:9" x14ac:dyDescent="0.2">
      <c r="E98" s="380">
        <v>42917</v>
      </c>
      <c r="F98" s="91">
        <f t="shared" si="10"/>
        <v>0</v>
      </c>
      <c r="H98" s="380">
        <v>42917</v>
      </c>
      <c r="I98" s="91">
        <f t="shared" si="11"/>
        <v>0</v>
      </c>
    </row>
    <row r="99" spans="5:9" x14ac:dyDescent="0.2">
      <c r="E99" s="380">
        <v>42948</v>
      </c>
      <c r="F99" s="91">
        <f t="shared" si="10"/>
        <v>37303.18</v>
      </c>
      <c r="H99" s="380">
        <v>42948</v>
      </c>
      <c r="I99" s="91">
        <f t="shared" si="11"/>
        <v>0</v>
      </c>
    </row>
    <row r="100" spans="5:9" x14ac:dyDescent="0.2">
      <c r="E100" s="380">
        <v>42979</v>
      </c>
      <c r="F100" s="91">
        <f t="shared" si="10"/>
        <v>0</v>
      </c>
      <c r="H100" s="380">
        <v>42979</v>
      </c>
      <c r="I100" s="91">
        <f t="shared" si="11"/>
        <v>66603.83</v>
      </c>
    </row>
    <row r="101" spans="5:9" x14ac:dyDescent="0.2">
      <c r="E101" s="380">
        <v>43009</v>
      </c>
      <c r="F101" s="91">
        <f t="shared" si="10"/>
        <v>0</v>
      </c>
      <c r="H101" s="380">
        <v>43009</v>
      </c>
      <c r="I101" s="91">
        <f t="shared" si="11"/>
        <v>0</v>
      </c>
    </row>
    <row r="102" spans="5:9" x14ac:dyDescent="0.2">
      <c r="E102" s="380">
        <v>43040</v>
      </c>
      <c r="F102" s="91">
        <f t="shared" si="10"/>
        <v>145586.16499999998</v>
      </c>
      <c r="H102" s="380">
        <v>43040</v>
      </c>
      <c r="I102" s="91">
        <f t="shared" si="11"/>
        <v>0</v>
      </c>
    </row>
    <row r="103" spans="5:9" x14ac:dyDescent="0.2">
      <c r="E103" s="380">
        <v>43070</v>
      </c>
      <c r="F103" s="91">
        <f t="shared" si="10"/>
        <v>40319.910000000003</v>
      </c>
      <c r="H103" s="380">
        <v>43070</v>
      </c>
      <c r="I103" s="91">
        <f t="shared" si="11"/>
        <v>0</v>
      </c>
    </row>
    <row r="104" spans="5:9" x14ac:dyDescent="0.2">
      <c r="E104" s="380">
        <v>43101</v>
      </c>
      <c r="F104" s="91">
        <f t="shared" si="10"/>
        <v>0</v>
      </c>
      <c r="H104" s="380">
        <v>43101</v>
      </c>
      <c r="I104" s="91">
        <f t="shared" ref="I104:I115" si="12">SUMPRODUCT((DatePmt_EDF&lt;&gt;"")*(DatePmt_EDF&lt;&gt;"en attente")*(MONTH(DatePmt_EDF)=MONTH(H104))*(YEAR(DatePmt_EDF)=YEAR(H104))*(ISNUMBER(MtntPaye_EDF)),MtntPaye_EDF)</f>
        <v>0</v>
      </c>
    </row>
    <row r="105" spans="5:9" x14ac:dyDescent="0.2">
      <c r="E105" s="380">
        <v>43132</v>
      </c>
      <c r="F105" s="91">
        <f t="shared" si="10"/>
        <v>0</v>
      </c>
      <c r="H105" s="380">
        <v>43132</v>
      </c>
      <c r="I105" s="91">
        <f t="shared" si="12"/>
        <v>0</v>
      </c>
    </row>
    <row r="106" spans="5:9" x14ac:dyDescent="0.2">
      <c r="E106" s="380">
        <v>43160</v>
      </c>
      <c r="F106" s="91">
        <f t="shared" si="10"/>
        <v>152798.87</v>
      </c>
      <c r="H106" s="380">
        <v>43160</v>
      </c>
      <c r="I106" s="91">
        <f t="shared" si="12"/>
        <v>0</v>
      </c>
    </row>
    <row r="107" spans="5:9" x14ac:dyDescent="0.2">
      <c r="E107" s="380">
        <v>43191</v>
      </c>
      <c r="F107" s="91">
        <f t="shared" si="10"/>
        <v>0</v>
      </c>
      <c r="H107" s="380">
        <v>43191</v>
      </c>
      <c r="I107" s="91">
        <f t="shared" si="12"/>
        <v>0</v>
      </c>
    </row>
    <row r="108" spans="5:9" x14ac:dyDescent="0.2">
      <c r="E108" s="380">
        <v>43221</v>
      </c>
      <c r="F108" s="91">
        <f t="shared" si="10"/>
        <v>0</v>
      </c>
      <c r="H108" s="380">
        <v>43221</v>
      </c>
      <c r="I108" s="91">
        <f t="shared" si="12"/>
        <v>18573.52</v>
      </c>
    </row>
    <row r="109" spans="5:9" x14ac:dyDescent="0.2">
      <c r="E109" s="380">
        <v>43252</v>
      </c>
      <c r="F109" s="91">
        <f t="shared" si="10"/>
        <v>29077.75</v>
      </c>
      <c r="H109" s="380">
        <v>43252</v>
      </c>
      <c r="I109" s="91">
        <f t="shared" si="12"/>
        <v>69910.28</v>
      </c>
    </row>
    <row r="110" spans="5:9" x14ac:dyDescent="0.2">
      <c r="E110" s="380">
        <v>43282</v>
      </c>
      <c r="F110" s="91">
        <f t="shared" si="10"/>
        <v>0</v>
      </c>
      <c r="H110" s="380">
        <v>43282</v>
      </c>
      <c r="I110" s="91">
        <f t="shared" si="12"/>
        <v>0</v>
      </c>
    </row>
    <row r="111" spans="5:9" x14ac:dyDescent="0.2">
      <c r="E111" s="380">
        <v>43313</v>
      </c>
      <c r="F111" s="91">
        <f t="shared" si="10"/>
        <v>18371</v>
      </c>
      <c r="H111" s="380">
        <v>43313</v>
      </c>
      <c r="I111" s="91">
        <f t="shared" si="12"/>
        <v>19296.939999999999</v>
      </c>
    </row>
    <row r="112" spans="5:9" x14ac:dyDescent="0.2">
      <c r="E112" s="380">
        <v>43344</v>
      </c>
      <c r="F112" s="91">
        <f t="shared" si="10"/>
        <v>36226.06</v>
      </c>
      <c r="H112" s="380">
        <v>43344</v>
      </c>
      <c r="I112" s="91">
        <f t="shared" si="12"/>
        <v>0</v>
      </c>
    </row>
    <row r="113" spans="5:9" x14ac:dyDescent="0.2">
      <c r="E113" s="380">
        <v>43374</v>
      </c>
      <c r="F113" s="91">
        <f t="shared" si="10"/>
        <v>15430.63</v>
      </c>
      <c r="H113" s="380">
        <v>43374</v>
      </c>
      <c r="I113" s="91">
        <f t="shared" si="12"/>
        <v>18371</v>
      </c>
    </row>
    <row r="114" spans="5:9" x14ac:dyDescent="0.2">
      <c r="E114" s="380">
        <v>43405</v>
      </c>
      <c r="F114" s="91">
        <f t="shared" si="10"/>
        <v>162248.74645000001</v>
      </c>
      <c r="H114" s="380">
        <v>43405</v>
      </c>
      <c r="I114" s="91">
        <f t="shared" si="12"/>
        <v>157030.60999999999</v>
      </c>
    </row>
    <row r="115" spans="5:9" x14ac:dyDescent="0.2">
      <c r="E115" s="380">
        <v>43435</v>
      </c>
      <c r="F115" s="91">
        <f t="shared" si="10"/>
        <v>21679</v>
      </c>
      <c r="H115" s="380">
        <v>43435</v>
      </c>
      <c r="I115" s="91">
        <f t="shared" si="12"/>
        <v>27159.56</v>
      </c>
    </row>
    <row r="116" spans="5:9" x14ac:dyDescent="0.2">
      <c r="E116" s="380">
        <v>43466</v>
      </c>
      <c r="F116" s="91">
        <f t="shared" ref="F116:F127" si="13">SUMPRODUCT((DateAF_EDF&lt;&gt;"")*(MONTH(DateAF_EDF)=MONTH(E116))*(YEAR(DateAF_EDF)=YEAR(E116))*MontantAF_EDF)</f>
        <v>33809.42</v>
      </c>
      <c r="H116" s="380">
        <v>43466</v>
      </c>
      <c r="I116" s="91">
        <f t="shared" ref="I116:I127" si="14">SUMPRODUCT((DatePmt_EDF&lt;&gt;"")*(DatePmt_EDF&lt;&gt;"en attente")*(MONTH(DatePmt_EDF)=MONTH(H116))*(YEAR(DatePmt_EDF)=YEAR(H116))*(ISNUMBER(MtntPaye_EDF)),MtntPaye_EDF)</f>
        <v>134445.37</v>
      </c>
    </row>
    <row r="117" spans="5:9" x14ac:dyDescent="0.2">
      <c r="E117" s="380">
        <v>43497</v>
      </c>
      <c r="F117" s="91">
        <f t="shared" si="13"/>
        <v>103855.51</v>
      </c>
      <c r="H117" s="380">
        <v>43497</v>
      </c>
      <c r="I117" s="91">
        <f t="shared" si="14"/>
        <v>0</v>
      </c>
    </row>
    <row r="118" spans="5:9" x14ac:dyDescent="0.2">
      <c r="E118" s="380">
        <v>43525</v>
      </c>
      <c r="F118" s="91">
        <f t="shared" si="13"/>
        <v>0</v>
      </c>
      <c r="H118" s="380">
        <v>43525</v>
      </c>
      <c r="I118" s="91">
        <f t="shared" si="14"/>
        <v>138853.60999999999</v>
      </c>
    </row>
    <row r="119" spans="5:9" x14ac:dyDescent="0.2">
      <c r="E119" s="380">
        <v>43556</v>
      </c>
      <c r="F119" s="91">
        <f t="shared" si="13"/>
        <v>0</v>
      </c>
      <c r="H119" s="380">
        <v>43556</v>
      </c>
      <c r="I119" s="91">
        <f t="shared" si="14"/>
        <v>92098.45</v>
      </c>
    </row>
    <row r="120" spans="5:9" x14ac:dyDescent="0.2">
      <c r="E120" s="380">
        <v>43586</v>
      </c>
      <c r="F120" s="91">
        <f t="shared" si="13"/>
        <v>0</v>
      </c>
      <c r="H120" s="380">
        <v>43586</v>
      </c>
      <c r="I120" s="91">
        <f t="shared" si="14"/>
        <v>0</v>
      </c>
    </row>
    <row r="121" spans="5:9" x14ac:dyDescent="0.2">
      <c r="E121" s="380">
        <v>43617</v>
      </c>
      <c r="F121" s="91">
        <f t="shared" si="13"/>
        <v>0</v>
      </c>
      <c r="H121" s="380">
        <v>43617</v>
      </c>
      <c r="I121" s="91">
        <f t="shared" si="14"/>
        <v>0</v>
      </c>
    </row>
    <row r="122" spans="5:9" x14ac:dyDescent="0.2">
      <c r="E122" s="380">
        <v>43647</v>
      </c>
      <c r="F122" s="91">
        <f t="shared" si="13"/>
        <v>0</v>
      </c>
      <c r="H122" s="380">
        <v>43647</v>
      </c>
      <c r="I122" s="91">
        <f t="shared" si="14"/>
        <v>0</v>
      </c>
    </row>
    <row r="123" spans="5:9" x14ac:dyDescent="0.2">
      <c r="E123" s="380">
        <v>43678</v>
      </c>
      <c r="F123" s="91">
        <f t="shared" si="13"/>
        <v>0</v>
      </c>
      <c r="H123" s="380">
        <v>43678</v>
      </c>
      <c r="I123" s="91">
        <f t="shared" si="14"/>
        <v>0</v>
      </c>
    </row>
    <row r="124" spans="5:9" x14ac:dyDescent="0.2">
      <c r="E124" s="380">
        <v>43709</v>
      </c>
      <c r="F124" s="91">
        <f t="shared" si="13"/>
        <v>0</v>
      </c>
      <c r="H124" s="380">
        <v>43709</v>
      </c>
      <c r="I124" s="91">
        <f t="shared" si="14"/>
        <v>0</v>
      </c>
    </row>
    <row r="125" spans="5:9" x14ac:dyDescent="0.2">
      <c r="E125" s="380">
        <v>43739</v>
      </c>
      <c r="F125" s="91">
        <f t="shared" si="13"/>
        <v>0</v>
      </c>
      <c r="H125" s="380">
        <v>43739</v>
      </c>
      <c r="I125" s="91">
        <f t="shared" si="14"/>
        <v>0</v>
      </c>
    </row>
    <row r="126" spans="5:9" x14ac:dyDescent="0.2">
      <c r="E126" s="380">
        <v>43770</v>
      </c>
      <c r="F126" s="91">
        <f t="shared" si="13"/>
        <v>0</v>
      </c>
      <c r="H126" s="380">
        <v>43770</v>
      </c>
      <c r="I126" s="91">
        <f t="shared" si="14"/>
        <v>0</v>
      </c>
    </row>
    <row r="127" spans="5:9" x14ac:dyDescent="0.2">
      <c r="E127" s="380">
        <v>43800</v>
      </c>
      <c r="F127" s="91">
        <f t="shared" si="13"/>
        <v>0</v>
      </c>
      <c r="H127" s="380">
        <v>43800</v>
      </c>
      <c r="I127" s="91">
        <f t="shared" si="14"/>
        <v>0</v>
      </c>
    </row>
    <row r="128" spans="5:9" x14ac:dyDescent="0.2">
      <c r="F128" s="462">
        <f>SUM(F88:F127)</f>
        <v>1305059.44145</v>
      </c>
      <c r="G128" s="461"/>
      <c r="I128" s="462">
        <f>SUM(I88:I127)</f>
        <v>1009076.47</v>
      </c>
    </row>
    <row r="129" spans="6:9" x14ac:dyDescent="0.2">
      <c r="F129" s="166">
        <f>+F128-F84</f>
        <v>0</v>
      </c>
      <c r="G129" s="467"/>
      <c r="H129" s="794"/>
      <c r="I129" s="166">
        <f>+I128-I84</f>
        <v>0</v>
      </c>
    </row>
  </sheetData>
  <mergeCells count="7">
    <mergeCell ref="L85:M85"/>
    <mergeCell ref="A2:L2"/>
    <mergeCell ref="A4:A5"/>
    <mergeCell ref="C4:C5"/>
    <mergeCell ref="E4:E5"/>
    <mergeCell ref="F4:K4"/>
    <mergeCell ref="L4:M4"/>
  </mergeCells>
  <pageMargins left="0.31496062992125984" right="0.31496062992125984" top="0.35433070866141736" bottom="0.35433070866141736" header="0.31496062992125984" footer="0.31496062992125984"/>
  <pageSetup paperSize="8" scale="80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</sheetPr>
  <dimension ref="A1:P24"/>
  <sheetViews>
    <sheetView topLeftCell="A4" workbookViewId="0">
      <selection activeCell="F14" sqref="F14"/>
    </sheetView>
  </sheetViews>
  <sheetFormatPr baseColWidth="10" defaultColWidth="11.42578125" defaultRowHeight="12" outlineLevelCol="1" x14ac:dyDescent="0.2"/>
  <cols>
    <col min="1" max="1" width="31.7109375" style="6" bestFit="1" customWidth="1"/>
    <col min="2" max="2" width="30.5703125" style="1" hidden="1" customWidth="1" outlineLevel="1"/>
    <col min="3" max="3" width="11.28515625" style="1" bestFit="1" customWidth="1" collapsed="1"/>
    <col min="4" max="4" width="13.5703125" style="1" bestFit="1" customWidth="1"/>
    <col min="5" max="5" width="14.5703125" style="1" customWidth="1"/>
    <col min="6" max="6" width="4.140625" style="6" bestFit="1" customWidth="1"/>
    <col min="7" max="7" width="10.5703125" style="1" bestFit="1" customWidth="1"/>
    <col min="8" max="8" width="12.42578125" style="1" customWidth="1"/>
    <col min="9" max="9" width="10.5703125" style="1" bestFit="1" customWidth="1"/>
    <col min="10" max="10" width="18.7109375" style="1" bestFit="1" customWidth="1"/>
    <col min="11" max="11" width="14.5703125" style="1" customWidth="1"/>
    <col min="12" max="12" width="14.28515625" style="1" bestFit="1" customWidth="1"/>
    <col min="13" max="13" width="4.140625" style="1" customWidth="1"/>
    <col min="14" max="14" width="14.5703125" style="1" bestFit="1" customWidth="1"/>
    <col min="15" max="15" width="13.5703125" style="1" bestFit="1" customWidth="1"/>
    <col min="16" max="16384" width="11.42578125" style="1"/>
  </cols>
  <sheetData>
    <row r="1" spans="1:16" x14ac:dyDescent="0.2">
      <c r="N1" s="246"/>
      <c r="O1" s="8"/>
    </row>
    <row r="2" spans="1:16" x14ac:dyDescent="0.2">
      <c r="A2" s="923" t="s">
        <v>146</v>
      </c>
      <c r="B2" s="923"/>
      <c r="C2" s="923"/>
      <c r="D2" s="923"/>
      <c r="E2" s="923"/>
      <c r="F2" s="923"/>
      <c r="G2" s="923"/>
      <c r="H2" s="923"/>
      <c r="I2" s="923"/>
      <c r="J2" s="923"/>
      <c r="K2" s="923"/>
      <c r="L2" s="9">
        <v>42785</v>
      </c>
      <c r="O2" s="61"/>
    </row>
    <row r="4" spans="1:16" s="13" customFormat="1" ht="12.2" customHeight="1" x14ac:dyDescent="0.2">
      <c r="A4" s="951" t="s">
        <v>2</v>
      </c>
      <c r="B4" s="951" t="s">
        <v>0</v>
      </c>
      <c r="C4" s="951" t="s">
        <v>21</v>
      </c>
      <c r="D4" s="951" t="s">
        <v>12</v>
      </c>
      <c r="E4" s="953" t="s">
        <v>4</v>
      </c>
      <c r="F4" s="954"/>
      <c r="G4" s="954"/>
      <c r="H4" s="954"/>
      <c r="I4" s="954"/>
      <c r="J4" s="955"/>
      <c r="K4" s="953" t="s">
        <v>13</v>
      </c>
      <c r="L4" s="955"/>
      <c r="O4" s="247"/>
      <c r="P4" s="247"/>
    </row>
    <row r="5" spans="1:16" s="13" customFormat="1" x14ac:dyDescent="0.2">
      <c r="A5" s="952"/>
      <c r="B5" s="952"/>
      <c r="C5" s="952"/>
      <c r="D5" s="952"/>
      <c r="E5" s="248" t="s">
        <v>1</v>
      </c>
      <c r="F5" s="249" t="s">
        <v>3</v>
      </c>
      <c r="G5" s="249" t="s">
        <v>15</v>
      </c>
      <c r="H5" s="250" t="s">
        <v>14</v>
      </c>
      <c r="I5" s="248" t="s">
        <v>15</v>
      </c>
      <c r="J5" s="249" t="s">
        <v>18</v>
      </c>
      <c r="K5" s="251" t="s">
        <v>20</v>
      </c>
      <c r="L5" s="251" t="s">
        <v>19</v>
      </c>
    </row>
    <row r="6" spans="1:16" x14ac:dyDescent="0.2">
      <c r="A6" s="291" t="s">
        <v>64</v>
      </c>
      <c r="B6" s="292"/>
      <c r="C6" s="288">
        <v>40203</v>
      </c>
      <c r="D6" s="293">
        <v>161331.72</v>
      </c>
      <c r="E6" s="294"/>
      <c r="F6" s="295"/>
      <c r="G6" s="296"/>
      <c r="H6" s="297"/>
      <c r="I6" s="298"/>
      <c r="J6" s="296"/>
      <c r="K6" s="299"/>
      <c r="L6" s="299"/>
    </row>
    <row r="7" spans="1:16" s="26" customFormat="1" x14ac:dyDescent="0.2">
      <c r="A7" s="291" t="s">
        <v>147</v>
      </c>
      <c r="B7" s="300"/>
      <c r="C7" s="286"/>
      <c r="D7" s="293"/>
      <c r="E7" s="284">
        <v>32266.34</v>
      </c>
      <c r="F7" s="285">
        <v>1</v>
      </c>
      <c r="G7" s="288">
        <v>40408</v>
      </c>
      <c r="H7" s="284">
        <f>+E7</f>
        <v>32266.34</v>
      </c>
      <c r="I7" s="288">
        <v>40449</v>
      </c>
      <c r="J7" s="289">
        <f>IF(I7="",$L$2-G7,I7-G7)</f>
        <v>41</v>
      </c>
      <c r="K7" s="290" t="str">
        <f>IF(H7="en attente",E7,"")</f>
        <v/>
      </c>
      <c r="L7" s="290">
        <f>IF(G7="",E7-H7,0)</f>
        <v>0</v>
      </c>
      <c r="N7" s="27"/>
      <c r="O7" s="27"/>
    </row>
    <row r="8" spans="1:16" s="26" customFormat="1" x14ac:dyDescent="0.2">
      <c r="A8" s="281"/>
      <c r="B8" s="300"/>
      <c r="C8" s="286"/>
      <c r="D8" s="293"/>
      <c r="E8" s="284">
        <v>129065.38</v>
      </c>
      <c r="F8" s="285">
        <v>2</v>
      </c>
      <c r="G8" s="286">
        <v>42292</v>
      </c>
      <c r="H8" s="284">
        <v>102373.48</v>
      </c>
      <c r="I8" s="288">
        <v>42341</v>
      </c>
      <c r="J8" s="289">
        <f>IF(I8="",$L$2-G8,I8-G8)</f>
        <v>49</v>
      </c>
      <c r="K8" s="290">
        <f>+E8-H8</f>
        <v>26691.900000000009</v>
      </c>
      <c r="L8" s="290">
        <f t="shared" ref="L8:L14" si="0">IF(G8="",E8-H8,0)</f>
        <v>0</v>
      </c>
      <c r="N8" s="27"/>
      <c r="O8" s="27"/>
    </row>
    <row r="9" spans="1:16" s="26" customFormat="1" x14ac:dyDescent="0.2">
      <c r="A9" s="281"/>
      <c r="B9" s="300"/>
      <c r="C9" s="286"/>
      <c r="D9" s="293"/>
      <c r="E9" s="284"/>
      <c r="F9" s="285"/>
      <c r="G9" s="286"/>
      <c r="H9" s="287"/>
      <c r="I9" s="288"/>
      <c r="J9" s="289"/>
      <c r="K9" s="290" t="str">
        <f t="shared" ref="K9:K14" si="1">IF(H9="en attente",E9,"")</f>
        <v/>
      </c>
      <c r="L9" s="290">
        <f t="shared" si="0"/>
        <v>0</v>
      </c>
      <c r="N9" s="252"/>
      <c r="O9" s="27"/>
    </row>
    <row r="10" spans="1:16" s="26" customFormat="1" x14ac:dyDescent="0.2">
      <c r="A10" s="291" t="s">
        <v>64</v>
      </c>
      <c r="B10" s="300"/>
      <c r="C10" s="286">
        <v>40329</v>
      </c>
      <c r="D10" s="293">
        <v>189240.94</v>
      </c>
      <c r="E10" s="284"/>
      <c r="F10" s="285"/>
      <c r="G10" s="286"/>
      <c r="H10" s="287"/>
      <c r="I10" s="301"/>
      <c r="J10" s="289"/>
      <c r="K10" s="290" t="str">
        <f t="shared" si="1"/>
        <v/>
      </c>
      <c r="L10" s="290">
        <f t="shared" si="0"/>
        <v>0</v>
      </c>
      <c r="N10" s="27"/>
      <c r="O10" s="27"/>
    </row>
    <row r="11" spans="1:16" s="26" customFormat="1" x14ac:dyDescent="0.2">
      <c r="A11" s="291" t="s">
        <v>148</v>
      </c>
      <c r="B11" s="302"/>
      <c r="C11" s="282"/>
      <c r="D11" s="303"/>
      <c r="E11" s="284">
        <v>37848.19</v>
      </c>
      <c r="F11" s="285">
        <v>1</v>
      </c>
      <c r="G11" s="288">
        <v>40408</v>
      </c>
      <c r="H11" s="284">
        <f>+E11</f>
        <v>37848.19</v>
      </c>
      <c r="I11" s="288">
        <v>40449</v>
      </c>
      <c r="J11" s="289">
        <f>IF(I11="",$L$2-G11,I11-G11)</f>
        <v>41</v>
      </c>
      <c r="K11" s="290" t="str">
        <f t="shared" si="1"/>
        <v/>
      </c>
      <c r="L11" s="290">
        <f t="shared" si="0"/>
        <v>0</v>
      </c>
      <c r="N11" s="27"/>
    </row>
    <row r="12" spans="1:16" s="26" customFormat="1" x14ac:dyDescent="0.2">
      <c r="A12" s="291"/>
      <c r="B12" s="302"/>
      <c r="C12" s="282"/>
      <c r="D12" s="303"/>
      <c r="E12" s="284">
        <v>151392.75</v>
      </c>
      <c r="F12" s="285">
        <v>2</v>
      </c>
      <c r="G12" s="286">
        <v>42292</v>
      </c>
      <c r="H12" s="287">
        <v>52579.55</v>
      </c>
      <c r="I12" s="288">
        <v>42353</v>
      </c>
      <c r="J12" s="289">
        <f>IF(I12="",$L$2-G12,I12-G12)</f>
        <v>61</v>
      </c>
      <c r="K12" s="290">
        <f>+E12-H12</f>
        <v>98813.2</v>
      </c>
      <c r="L12" s="290">
        <f t="shared" si="0"/>
        <v>0</v>
      </c>
      <c r="N12" s="27"/>
    </row>
    <row r="13" spans="1:16" x14ac:dyDescent="0.2">
      <c r="A13" s="281"/>
      <c r="B13" s="304"/>
      <c r="C13" s="286"/>
      <c r="D13" s="293"/>
      <c r="E13" s="284"/>
      <c r="F13" s="285"/>
      <c r="G13" s="287"/>
      <c r="H13" s="284"/>
      <c r="I13" s="301"/>
      <c r="J13" s="289"/>
      <c r="K13" s="290" t="str">
        <f t="shared" si="1"/>
        <v/>
      </c>
      <c r="L13" s="290">
        <f t="shared" si="0"/>
        <v>0</v>
      </c>
      <c r="N13" s="26"/>
    </row>
    <row r="14" spans="1:16" x14ac:dyDescent="0.2">
      <c r="A14" s="281"/>
      <c r="B14" s="300"/>
      <c r="C14" s="286"/>
      <c r="D14" s="293"/>
      <c r="E14" s="284"/>
      <c r="F14" s="285"/>
      <c r="G14" s="286"/>
      <c r="H14" s="287"/>
      <c r="I14" s="288"/>
      <c r="J14" s="300"/>
      <c r="K14" s="290" t="str">
        <f t="shared" si="1"/>
        <v/>
      </c>
      <c r="L14" s="290">
        <f t="shared" si="0"/>
        <v>0</v>
      </c>
      <c r="N14" s="27"/>
      <c r="O14" s="27"/>
    </row>
    <row r="15" spans="1:16" s="8" customFormat="1" ht="16.5" customHeight="1" x14ac:dyDescent="0.2">
      <c r="A15" s="48"/>
      <c r="B15" s="48"/>
      <c r="C15" s="48"/>
      <c r="D15" s="41">
        <f>SUM(D6:D14)</f>
        <v>350572.66000000003</v>
      </c>
      <c r="E15" s="41">
        <f>SUM(E7:E14)</f>
        <v>350572.66000000003</v>
      </c>
      <c r="F15" s="49"/>
      <c r="G15" s="50"/>
      <c r="H15" s="41">
        <f>SUM(H6:H14)</f>
        <v>225067.56</v>
      </c>
      <c r="I15" s="50"/>
      <c r="J15" s="50"/>
      <c r="K15" s="41">
        <f>SUM(K6:K14)</f>
        <v>125505.1</v>
      </c>
      <c r="L15" s="41">
        <f>SUM(L6:L14)</f>
        <v>0</v>
      </c>
      <c r="N15" s="20"/>
      <c r="O15" s="20"/>
    </row>
    <row r="16" spans="1:16" ht="16.5" customHeight="1" x14ac:dyDescent="0.2">
      <c r="A16" s="75"/>
      <c r="B16" s="76"/>
      <c r="C16" s="76"/>
      <c r="D16" s="76"/>
      <c r="E16" s="76"/>
      <c r="F16" s="75"/>
      <c r="G16" s="76"/>
      <c r="H16" s="76"/>
      <c r="I16" s="76"/>
      <c r="J16" s="52"/>
      <c r="K16" s="948">
        <f>SUM(K15:L15)</f>
        <v>125505.1</v>
      </c>
      <c r="L16" s="949"/>
    </row>
    <row r="18" spans="1:12" x14ac:dyDescent="0.2">
      <c r="A18" s="8"/>
      <c r="E18" s="371" t="s">
        <v>219</v>
      </c>
      <c r="H18" s="372" t="s">
        <v>221</v>
      </c>
      <c r="K18" s="371" t="s">
        <v>219</v>
      </c>
      <c r="L18" s="372" t="s">
        <v>221</v>
      </c>
    </row>
    <row r="19" spans="1:12" x14ac:dyDescent="0.2">
      <c r="A19" s="27"/>
      <c r="D19" s="498">
        <v>40408</v>
      </c>
      <c r="E19" s="91">
        <f>SUMPRODUCT((DateAF_EAU&lt;&gt;"")*(MONTH(DateAF_EAU)=MONTH(D19))*(YEAR(DateAF_EAU)=YEAR(D19))*MontantAF_EAU)</f>
        <v>70114.53</v>
      </c>
      <c r="F19" s="1"/>
      <c r="G19" s="498">
        <v>40408</v>
      </c>
      <c r="H19" s="91">
        <f>SUMPRODUCT((DatePmt_EAU&lt;&gt;"")*(DatePmt_EAU&lt;&gt;"en attente")*(MONTH(DatePmt_EAU)=MONTH(G19))*(YEAR(DatePmt_EAU)=YEAR(G19))*(ISNUMBER(MtntPaye_EAU)),MtntPaye_EAU)</f>
        <v>0</v>
      </c>
      <c r="J19" s="1">
        <v>2010</v>
      </c>
      <c r="K19" s="91">
        <f>SUMPRODUCT((YEAR($D$19:$D$22)=J19)*($E$19:$E$22))</f>
        <v>70114.53</v>
      </c>
      <c r="L19" s="91">
        <f>SUMPRODUCT((YEAR($G$19:$G$22)=J19)*($H$19:$H$22))</f>
        <v>70114.53</v>
      </c>
    </row>
    <row r="20" spans="1:12" x14ac:dyDescent="0.2">
      <c r="D20" s="498">
        <v>40449</v>
      </c>
      <c r="E20" s="91">
        <f>SUMPRODUCT((DateAF_EAU&lt;&gt;"")*(MONTH(DateAF_EAU)=MONTH(D20))*(YEAR(DateAF_EAU)=YEAR(D20))*MontantAF_EAU)</f>
        <v>0</v>
      </c>
      <c r="G20" s="498">
        <v>40449</v>
      </c>
      <c r="H20" s="91">
        <f>SUMPRODUCT((DatePmt_EAU&lt;&gt;"")*(DatePmt_EAU&lt;&gt;"en attente")*(MONTH(DatePmt_EAU)=MONTH(G20))*(YEAR(DatePmt_EAU)=YEAR(G20))*(ISNUMBER(MtntPaye_EAU)),MtntPaye_EAU)</f>
        <v>70114.53</v>
      </c>
      <c r="J20" s="1">
        <v>2015</v>
      </c>
      <c r="K20" s="91">
        <f>SUMPRODUCT((YEAR($D$19:$D$22)=J20)*($E$19:$E$22))</f>
        <v>280458.13</v>
      </c>
      <c r="L20" s="91">
        <f>SUMPRODUCT((YEAR($G$19:$G$22)=J20)*($H$19:$H$22))</f>
        <v>154953.03</v>
      </c>
    </row>
    <row r="21" spans="1:12" x14ac:dyDescent="0.2">
      <c r="D21" s="498">
        <v>42292</v>
      </c>
      <c r="E21" s="91">
        <f>SUMPRODUCT((DateAF_EAU&lt;&gt;"")*(MONTH(DateAF_EAU)=MONTH(D21))*(YEAR(DateAF_EAU)=YEAR(D21))*MontantAF_EAU)</f>
        <v>280458.13</v>
      </c>
      <c r="G21" s="498">
        <v>42292</v>
      </c>
      <c r="H21" s="91">
        <f>SUMPRODUCT((DatePmt_EAU&lt;&gt;"")*(DatePmt_EAU&lt;&gt;"en attente")*(MONTH(DatePmt_EAU)=MONTH(G21))*(YEAR(DatePmt_EAU)=YEAR(G21))*(ISNUMBER(MtntPaye_EAU)),MtntPaye_EAU)</f>
        <v>0</v>
      </c>
      <c r="K21" s="462">
        <f>SUM(K19:K20)</f>
        <v>350572.66000000003</v>
      </c>
      <c r="L21" s="462">
        <f>SUM(L19:L20)</f>
        <v>225067.56</v>
      </c>
    </row>
    <row r="22" spans="1:12" x14ac:dyDescent="0.2">
      <c r="D22" s="498">
        <v>42353</v>
      </c>
      <c r="E22" s="91">
        <f>SUMPRODUCT((DateAF_EAU&lt;&gt;"")*(MONTH(DateAF_EAU)=MONTH(D22))*(YEAR(DateAF_EAU)=YEAR(D22))*MontantAF_EAU)</f>
        <v>0</v>
      </c>
      <c r="G22" s="498">
        <v>42353</v>
      </c>
      <c r="H22" s="91">
        <f>SUMPRODUCT((DatePmt_EAU&lt;&gt;"")*(DatePmt_EAU&lt;&gt;"en attente")*(MONTH(DatePmt_EAU)=MONTH(G22))*(YEAR(DatePmt_EAU)=YEAR(G22))*(ISNUMBER(MtntPaye_EAU)),MtntPaye_EAU)</f>
        <v>154953.03</v>
      </c>
      <c r="K22" s="166">
        <f>+K21-E23</f>
        <v>0</v>
      </c>
      <c r="L22" s="166">
        <f>+L21-H23</f>
        <v>0</v>
      </c>
    </row>
    <row r="23" spans="1:12" x14ac:dyDescent="0.2">
      <c r="E23" s="462">
        <f>SUM(E19:E22)</f>
        <v>350572.66000000003</v>
      </c>
      <c r="F23" s="461"/>
      <c r="G23" s="8"/>
      <c r="H23" s="462">
        <f>SUM(H19:H22)</f>
        <v>225067.56</v>
      </c>
    </row>
    <row r="24" spans="1:12" s="161" customFormat="1" x14ac:dyDescent="0.2">
      <c r="A24" s="467"/>
      <c r="E24" s="166">
        <f>+E23-E15</f>
        <v>0</v>
      </c>
      <c r="F24" s="467"/>
      <c r="H24" s="166">
        <f>+H23-H15</f>
        <v>0</v>
      </c>
    </row>
  </sheetData>
  <mergeCells count="8">
    <mergeCell ref="K16:L16"/>
    <mergeCell ref="A2:K2"/>
    <mergeCell ref="A4:A5"/>
    <mergeCell ref="B4:B5"/>
    <mergeCell ref="C4:C5"/>
    <mergeCell ref="D4:D5"/>
    <mergeCell ref="E4:J4"/>
    <mergeCell ref="K4:L4"/>
  </mergeCell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</sheetPr>
  <dimension ref="A1:M14"/>
  <sheetViews>
    <sheetView workbookViewId="0">
      <selection activeCell="D11" sqref="D11"/>
    </sheetView>
  </sheetViews>
  <sheetFormatPr baseColWidth="10" defaultRowHeight="12.75" x14ac:dyDescent="0.2"/>
  <cols>
    <col min="9" max="9" width="13.7109375" customWidth="1"/>
  </cols>
  <sheetData>
    <row r="1" spans="1:13" x14ac:dyDescent="0.2">
      <c r="A1" s="923" t="s">
        <v>161</v>
      </c>
      <c r="B1" s="923"/>
      <c r="C1" s="923"/>
      <c r="D1" s="923"/>
      <c r="E1" s="923"/>
      <c r="F1" s="923"/>
      <c r="G1" s="923"/>
      <c r="H1" s="923"/>
      <c r="I1" s="923"/>
      <c r="J1" s="923"/>
      <c r="K1" s="923"/>
      <c r="L1" s="9">
        <f ca="1">TODAY()</f>
        <v>43593</v>
      </c>
    </row>
    <row r="2" spans="1:13" x14ac:dyDescent="0.2">
      <c r="A2" s="6"/>
      <c r="B2" s="1"/>
      <c r="C2" s="1"/>
      <c r="D2" s="1"/>
      <c r="E2" s="1"/>
      <c r="F2" s="6"/>
      <c r="G2" s="1"/>
      <c r="H2" s="1"/>
      <c r="I2" s="1"/>
      <c r="J2" s="1"/>
      <c r="K2" s="1"/>
      <c r="L2" s="1"/>
    </row>
    <row r="3" spans="1:13" x14ac:dyDescent="0.2">
      <c r="A3" s="940" t="s">
        <v>2</v>
      </c>
      <c r="B3" s="940" t="s">
        <v>0</v>
      </c>
      <c r="C3" s="928" t="s">
        <v>21</v>
      </c>
      <c r="D3" s="928" t="s">
        <v>12</v>
      </c>
      <c r="E3" s="924" t="s">
        <v>4</v>
      </c>
      <c r="F3" s="925"/>
      <c r="G3" s="925"/>
      <c r="H3" s="925"/>
      <c r="I3" s="925"/>
      <c r="J3" s="926"/>
      <c r="K3" s="927" t="s">
        <v>13</v>
      </c>
      <c r="L3" s="928"/>
    </row>
    <row r="4" spans="1:13" x14ac:dyDescent="0.2">
      <c r="A4" s="941"/>
      <c r="B4" s="941"/>
      <c r="C4" s="942"/>
      <c r="D4" s="942"/>
      <c r="E4" s="10" t="s">
        <v>1</v>
      </c>
      <c r="F4" s="11" t="s">
        <v>3</v>
      </c>
      <c r="G4" s="11" t="s">
        <v>15</v>
      </c>
      <c r="H4" s="12" t="s">
        <v>14</v>
      </c>
      <c r="I4" s="10" t="s">
        <v>15</v>
      </c>
      <c r="J4" s="11" t="s">
        <v>18</v>
      </c>
      <c r="K4" s="3" t="s">
        <v>20</v>
      </c>
      <c r="L4" s="3" t="s">
        <v>19</v>
      </c>
    </row>
    <row r="5" spans="1:13" x14ac:dyDescent="0.2">
      <c r="A5" s="274" t="s">
        <v>64</v>
      </c>
      <c r="B5" s="661"/>
      <c r="C5" s="662"/>
      <c r="D5" s="663">
        <v>1085000</v>
      </c>
      <c r="E5" s="277"/>
      <c r="F5" s="664"/>
      <c r="G5" s="665"/>
      <c r="H5" s="279"/>
      <c r="I5" s="658"/>
      <c r="J5" s="665"/>
      <c r="K5" s="276"/>
      <c r="L5" s="276"/>
    </row>
    <row r="6" spans="1:13" x14ac:dyDescent="0.2">
      <c r="A6" s="281"/>
      <c r="B6" s="300"/>
      <c r="C6" s="286"/>
      <c r="D6" s="293"/>
      <c r="E6" s="284">
        <v>1085000</v>
      </c>
      <c r="F6" s="285">
        <v>1</v>
      </c>
      <c r="G6" s="288">
        <v>42074</v>
      </c>
      <c r="H6" s="284">
        <v>1085000</v>
      </c>
      <c r="I6" s="288">
        <v>42339</v>
      </c>
      <c r="J6" s="300">
        <f>I6-G6</f>
        <v>265</v>
      </c>
      <c r="K6" s="290">
        <f>+IF(G6="",0,E6-H6)</f>
        <v>0</v>
      </c>
      <c r="L6" s="290">
        <f>IF(G6="",E6-H6,0)</f>
        <v>0</v>
      </c>
    </row>
    <row r="7" spans="1:13" x14ac:dyDescent="0.2">
      <c r="A7" s="666"/>
      <c r="B7" s="667"/>
      <c r="C7" s="668"/>
      <c r="D7" s="669"/>
      <c r="E7" s="670"/>
      <c r="F7" s="671"/>
      <c r="G7" s="668"/>
      <c r="H7" s="672"/>
      <c r="I7" s="673"/>
      <c r="J7" s="667"/>
      <c r="K7" s="674">
        <f>+IF(G7="",0,E7-H7)</f>
        <v>0</v>
      </c>
      <c r="L7" s="674">
        <f>IF(G7="",E7-H7,0)</f>
        <v>0</v>
      </c>
    </row>
    <row r="8" spans="1:13" s="660" customFormat="1" x14ac:dyDescent="0.2">
      <c r="A8" s="263" t="s">
        <v>64</v>
      </c>
      <c r="B8" s="57"/>
      <c r="C8" s="264"/>
      <c r="D8" s="56"/>
      <c r="E8" s="265">
        <v>542500</v>
      </c>
      <c r="F8" s="266">
        <v>1</v>
      </c>
      <c r="G8" s="264">
        <v>43157</v>
      </c>
      <c r="H8" s="675" t="s">
        <v>104</v>
      </c>
      <c r="I8" s="268"/>
      <c r="J8" s="57"/>
      <c r="K8" s="269">
        <f>+E8</f>
        <v>542500</v>
      </c>
      <c r="L8" s="269"/>
      <c r="M8" s="676" t="s">
        <v>361</v>
      </c>
    </row>
    <row r="9" spans="1:13" s="660" customFormat="1" x14ac:dyDescent="0.2">
      <c r="A9" s="118" t="s">
        <v>359</v>
      </c>
      <c r="B9" s="39"/>
      <c r="C9" s="36"/>
      <c r="D9" s="40"/>
      <c r="E9" s="35"/>
      <c r="F9" s="44"/>
      <c r="G9" s="36"/>
      <c r="H9" s="37"/>
      <c r="I9" s="155"/>
      <c r="J9" s="39"/>
      <c r="K9" s="157"/>
      <c r="L9" s="157"/>
    </row>
    <row r="10" spans="1:13" s="660" customFormat="1" x14ac:dyDescent="0.2">
      <c r="A10" s="263" t="s">
        <v>64</v>
      </c>
      <c r="B10" s="4"/>
      <c r="C10" s="15"/>
      <c r="D10" s="16"/>
      <c r="E10" s="23">
        <v>542500</v>
      </c>
      <c r="F10" s="42">
        <v>1</v>
      </c>
      <c r="G10" s="15">
        <v>43284</v>
      </c>
      <c r="H10" s="24">
        <v>542500</v>
      </c>
      <c r="I10" s="30">
        <v>43315</v>
      </c>
      <c r="J10" s="4"/>
      <c r="K10" s="81">
        <f>+E10</f>
        <v>542500</v>
      </c>
      <c r="L10" s="81"/>
      <c r="M10" s="676" t="s">
        <v>358</v>
      </c>
    </row>
    <row r="11" spans="1:13" s="660" customFormat="1" x14ac:dyDescent="0.2">
      <c r="A11" s="118" t="s">
        <v>360</v>
      </c>
      <c r="B11" s="4"/>
      <c r="C11" s="15"/>
      <c r="D11" s="16"/>
      <c r="E11" s="23"/>
      <c r="F11" s="42"/>
      <c r="G11" s="15"/>
      <c r="H11" s="24"/>
      <c r="I11" s="30"/>
      <c r="J11" s="4"/>
      <c r="K11" s="81"/>
      <c r="L11" s="81"/>
    </row>
    <row r="12" spans="1:13" x14ac:dyDescent="0.2">
      <c r="A12" s="48"/>
      <c r="B12" s="48"/>
      <c r="C12" s="48"/>
      <c r="D12" s="41">
        <f>SUM(D5:D7)</f>
        <v>1085000</v>
      </c>
      <c r="E12" s="41">
        <f>+E6</f>
        <v>1085000</v>
      </c>
      <c r="F12" s="49"/>
      <c r="G12" s="50"/>
      <c r="H12" s="41">
        <f>SUM(H5:H11)</f>
        <v>1627500</v>
      </c>
      <c r="I12" s="50"/>
      <c r="J12" s="50"/>
      <c r="K12" s="41">
        <f>SUM(K8:K11)</f>
        <v>1085000</v>
      </c>
      <c r="L12" s="41">
        <f>SUM(L5:L7)</f>
        <v>0</v>
      </c>
    </row>
    <row r="13" spans="1:13" x14ac:dyDescent="0.2">
      <c r="A13" s="75"/>
      <c r="B13" s="76"/>
      <c r="C13" s="76"/>
      <c r="D13" s="76"/>
      <c r="E13" s="76"/>
      <c r="F13" s="75"/>
      <c r="G13" s="76"/>
      <c r="H13" s="76"/>
      <c r="I13" s="76"/>
      <c r="J13" s="52"/>
      <c r="K13" s="921">
        <f>SUM(K12:L12)</f>
        <v>1085000</v>
      </c>
      <c r="L13" s="922"/>
    </row>
    <row r="14" spans="1:13" x14ac:dyDescent="0.2">
      <c r="A14" s="6"/>
      <c r="B14" s="1"/>
      <c r="C14" s="1"/>
      <c r="D14" s="1"/>
      <c r="E14" s="1"/>
      <c r="F14" s="6"/>
      <c r="G14" s="1"/>
      <c r="H14" s="1"/>
      <c r="I14" s="1"/>
      <c r="J14" s="1"/>
      <c r="K14" s="1"/>
      <c r="L14" s="1"/>
    </row>
  </sheetData>
  <mergeCells count="8">
    <mergeCell ref="K13:L13"/>
    <mergeCell ref="A1:K1"/>
    <mergeCell ref="A3:A4"/>
    <mergeCell ref="B3:B4"/>
    <mergeCell ref="C3:C4"/>
    <mergeCell ref="D3:D4"/>
    <mergeCell ref="E3:J3"/>
    <mergeCell ref="K3:L3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V60"/>
  <sheetViews>
    <sheetView tabSelected="1" workbookViewId="0">
      <pane xSplit="1" ySplit="2" topLeftCell="L3" activePane="bottomRight" state="frozen"/>
      <selection pane="topRight" activeCell="B1" sqref="B1"/>
      <selection pane="bottomLeft" activeCell="A2" sqref="A2"/>
      <selection pane="bottomRight" activeCell="V4" sqref="V4"/>
    </sheetView>
  </sheetViews>
  <sheetFormatPr baseColWidth="10" defaultRowHeight="12.75" outlineLevelCol="1" x14ac:dyDescent="0.2"/>
  <cols>
    <col min="1" max="1" width="23.85546875" style="442" customWidth="1"/>
    <col min="2" max="2" width="19.85546875" customWidth="1" outlineLevel="1"/>
    <col min="3" max="3" width="13.140625" customWidth="1" outlineLevel="1"/>
    <col min="4" max="5" width="14.42578125" customWidth="1" outlineLevel="1"/>
    <col min="6" max="6" width="15.85546875" customWidth="1" outlineLevel="1"/>
    <col min="7" max="7" width="11.42578125" customWidth="1" outlineLevel="1"/>
    <col min="8" max="8" width="12.7109375" customWidth="1" outlineLevel="1"/>
    <col min="9" max="9" width="14.42578125" customWidth="1" outlineLevel="1"/>
    <col min="10" max="10" width="11.42578125" customWidth="1" outlineLevel="1"/>
    <col min="11" max="11" width="16" customWidth="1" outlineLevel="1"/>
    <col min="12" max="12" width="20.85546875" customWidth="1"/>
    <col min="13" max="13" width="18.28515625" customWidth="1"/>
    <col min="22" max="22" width="15" customWidth="1"/>
  </cols>
  <sheetData>
    <row r="1" spans="1:22" x14ac:dyDescent="0.2">
      <c r="M1" s="962">
        <v>2018</v>
      </c>
      <c r="N1" s="963"/>
      <c r="O1" s="963"/>
      <c r="P1" s="963"/>
      <c r="Q1" s="963"/>
      <c r="R1" s="963"/>
      <c r="S1" s="963"/>
      <c r="T1" s="963"/>
      <c r="U1" s="963"/>
      <c r="V1" s="964"/>
    </row>
    <row r="2" spans="1:22" s="957" customFormat="1" x14ac:dyDescent="0.2">
      <c r="A2" s="958" t="s">
        <v>419</v>
      </c>
      <c r="B2" s="959" t="s">
        <v>117</v>
      </c>
      <c r="C2" s="959" t="s">
        <v>418</v>
      </c>
      <c r="D2" s="959" t="s">
        <v>116</v>
      </c>
      <c r="E2" s="959" t="s">
        <v>98</v>
      </c>
      <c r="F2" s="959" t="s">
        <v>420</v>
      </c>
      <c r="G2" s="959" t="s">
        <v>296</v>
      </c>
      <c r="H2" s="959" t="s">
        <v>297</v>
      </c>
      <c r="I2" s="959" t="s">
        <v>298</v>
      </c>
      <c r="J2" s="959" t="s">
        <v>421</v>
      </c>
      <c r="K2" s="959" t="s">
        <v>301</v>
      </c>
      <c r="L2" s="959" t="s">
        <v>426</v>
      </c>
      <c r="M2" s="961" t="s">
        <v>117</v>
      </c>
      <c r="N2" s="961" t="s">
        <v>418</v>
      </c>
      <c r="O2" s="961" t="s">
        <v>116</v>
      </c>
      <c r="P2" s="961" t="s">
        <v>98</v>
      </c>
      <c r="Q2" s="961" t="s">
        <v>420</v>
      </c>
      <c r="R2" s="961" t="s">
        <v>296</v>
      </c>
      <c r="S2" s="961" t="s">
        <v>297</v>
      </c>
      <c r="T2" s="961" t="s">
        <v>298</v>
      </c>
      <c r="U2" s="961" t="s">
        <v>421</v>
      </c>
      <c r="V2" s="961" t="s">
        <v>301</v>
      </c>
    </row>
    <row r="3" spans="1:22" x14ac:dyDescent="0.2">
      <c r="A3" s="956" t="s">
        <v>336</v>
      </c>
      <c r="B3" s="960">
        <f>SUMPRODUCT((OP_FRAFU=A3)*(Bdgt_FRAFU))</f>
        <v>0</v>
      </c>
      <c r="C3" s="960">
        <f>SUMPRODUCT((OP_Rehab=A3)*(Bdgt_Rehab))</f>
        <v>18200</v>
      </c>
      <c r="D3" s="960">
        <f>SUMPRODUCT((OP_LBU=A3)*(Bdgt_LBU))</f>
        <v>0</v>
      </c>
      <c r="E3" s="960">
        <f>SUMPRODUCT((OP_Region=A3)*(Bdgt_Region))</f>
        <v>0</v>
      </c>
      <c r="F3" s="960">
        <f>SUMPRODUCT((OP_Rectorat=A3)*(Bdgt_Rectorat))</f>
        <v>0</v>
      </c>
      <c r="G3" s="960">
        <f>SUMPRODUCT((OP_ADEME=A3)*(Bdgt_ADEME))</f>
        <v>0</v>
      </c>
      <c r="H3" s="960">
        <f>SUMPRODUCT((OP_P_Ile=A3)*(Bdgt_P_Ile))</f>
        <v>0</v>
      </c>
      <c r="I3" s="960">
        <f>SUMPRODUCT((OP_EDF=A3)*(Bdgt_EDF))</f>
        <v>0</v>
      </c>
      <c r="J3" s="960">
        <f>SUMPRODUCT((OP_ETG_SALE=A3)*(Bdgt_ETG_SALE))</f>
        <v>0</v>
      </c>
      <c r="K3" s="960">
        <f>SUMPRODUCT((OP_ST_JO=A3)*(Bdgt_ST_JO))</f>
        <v>0</v>
      </c>
      <c r="L3" s="960">
        <f>SUM(B3:K3)</f>
        <v>18200</v>
      </c>
      <c r="V3">
        <f>SUMPRODUCT((OP_ST_JO=A3)*(DatePmt_ST_JOSEPH&lt;&gt;"")*(DatePmt_ST_JOSEPH&lt;&gt;"en attente")*(YEAR(DatePmt_ST_JOSEPH)=YEAR(M1))*(ISNUMBER(MtntPaye_ST_JOSEPH)),MtntPaye_ST_JOSEPH)</f>
        <v>0</v>
      </c>
    </row>
    <row r="4" spans="1:22" x14ac:dyDescent="0.2">
      <c r="A4" s="956" t="s">
        <v>272</v>
      </c>
      <c r="B4" s="960">
        <f>SUMPRODUCT((OP_FRAFU=A4)*(Bdgt_FRAFU))</f>
        <v>0</v>
      </c>
      <c r="C4" s="960">
        <f>SUMPRODUCT((OP_Rehab=A4)*(Bdgt_Rehab))</f>
        <v>0</v>
      </c>
      <c r="D4" s="960">
        <f>SUMPRODUCT((OP_LBU=A4)*(Bdgt_LBU))</f>
        <v>672000</v>
      </c>
      <c r="E4" s="960">
        <f>SUMPRODUCT((OP_Region=A4)*(Bdgt_Region))</f>
        <v>0</v>
      </c>
      <c r="F4" s="960">
        <f>SUMPRODUCT((OP_Rectorat=A4)*(Bdgt_Rectorat))</f>
        <v>0</v>
      </c>
      <c r="G4" s="960">
        <f>SUMPRODUCT((OP_ADEME=A4)*(Bdgt_ADEME))</f>
        <v>0</v>
      </c>
      <c r="H4" s="960">
        <f>SUMPRODUCT((OP_P_Ile=A4)*(Bdgt_P_Ile))</f>
        <v>0</v>
      </c>
      <c r="I4" s="960">
        <f>SUMPRODUCT((OP_EDF=A4)*(Bdgt_EDF))</f>
        <v>164216.22999999998</v>
      </c>
      <c r="J4" s="960">
        <f>SUMPRODUCT((OP_ETG_SALE=A4)*(Bdgt_ETG_SALE))</f>
        <v>0</v>
      </c>
      <c r="K4" s="960">
        <f>SUMPRODUCT((OP_ST_JO=A4)*(Bdgt_ST_JO))</f>
        <v>0</v>
      </c>
      <c r="L4" s="960">
        <f t="shared" ref="L4:L60" si="0">SUM(B4:K4)</f>
        <v>836216.23</v>
      </c>
      <c r="V4" t="e">
        <f>SUMPRODUCT((OP_ST_JO=A4)*(DatePmt_ST_JOSEPH&lt;&gt;"")*(DatePmt_ST_JOSEPH&lt;&gt;"en attente")*(YEAR(DatePmt_ST_JOSEPH)=YEAR(M2))*(ISNUMBER(MtntPaye_ST_JOSEPH)),MtntPaye_ST_JOSEPH)</f>
        <v>#VALUE!</v>
      </c>
    </row>
    <row r="5" spans="1:22" x14ac:dyDescent="0.2">
      <c r="A5" s="956" t="s">
        <v>36</v>
      </c>
      <c r="B5" s="960">
        <f>SUMPRODUCT((OP_FRAFU=A5)*(Bdgt_FRAFU))</f>
        <v>2200000</v>
      </c>
      <c r="C5" s="960">
        <f>SUMPRODUCT((OP_Rehab=A5)*(Bdgt_Rehab))</f>
        <v>0</v>
      </c>
      <c r="D5" s="960">
        <f>SUMPRODUCT((OP_LBU=A5)*(Bdgt_LBU))</f>
        <v>1245001</v>
      </c>
      <c r="E5" s="960">
        <f>SUMPRODUCT((OP_Region=A5)*(Bdgt_Region))</f>
        <v>0</v>
      </c>
      <c r="F5" s="960">
        <f>SUMPRODUCT((OP_Rectorat=A5)*(Bdgt_Rectorat))</f>
        <v>0</v>
      </c>
      <c r="G5" s="960">
        <f>SUMPRODUCT((OP_ADEME=A5)*(Bdgt_ADEME))</f>
        <v>0</v>
      </c>
      <c r="H5" s="960">
        <f>SUMPRODUCT((OP_P_Ile=A5)*(Bdgt_P_Ile))</f>
        <v>0</v>
      </c>
      <c r="I5" s="960">
        <f>SUMPRODUCT((OP_EDF=A5)*(Bdgt_EDF))</f>
        <v>0</v>
      </c>
      <c r="J5" s="960">
        <f>SUMPRODUCT((OP_ETG_SALE=A5)*(Bdgt_ETG_SALE))</f>
        <v>0</v>
      </c>
      <c r="K5" s="960">
        <f>SUMPRODUCT((OP_ST_JO=A5)*(Bdgt_ST_JO))</f>
        <v>0</v>
      </c>
      <c r="L5" s="960">
        <f t="shared" si="0"/>
        <v>3445001</v>
      </c>
      <c r="V5">
        <f>SUMPRODUCT((OP_ST_JO=A5)*(DatePmt_ST_JOSEPH&lt;&gt;"")*(DatePmt_ST_JOSEPH&lt;&gt;"en attente")*(YEAR(DatePmt_ST_JOSEPH)=YEAR(M3))*(ISNUMBER(MtntPaye_ST_JOSEPH)),MtntPaye_ST_JOSEPH)</f>
        <v>0</v>
      </c>
    </row>
    <row r="6" spans="1:22" x14ac:dyDescent="0.2">
      <c r="A6" s="956" t="s">
        <v>379</v>
      </c>
      <c r="B6" s="960">
        <f>SUMPRODUCT((OP_FRAFU=A6)*(Bdgt_FRAFU))</f>
        <v>0</v>
      </c>
      <c r="C6" s="960">
        <f>SUMPRODUCT((OP_Rehab=A6)*(Bdgt_Rehab))</f>
        <v>655705.55999999994</v>
      </c>
      <c r="D6" s="960">
        <f>SUMPRODUCT((OP_LBU=A6)*(Bdgt_LBU))</f>
        <v>0</v>
      </c>
      <c r="E6" s="960">
        <f>SUMPRODUCT((OP_Region=A6)*(Bdgt_Region))</f>
        <v>0</v>
      </c>
      <c r="F6" s="960">
        <f>SUMPRODUCT((OP_Rectorat=A6)*(Bdgt_Rectorat))</f>
        <v>0</v>
      </c>
      <c r="G6" s="960">
        <f>SUMPRODUCT((OP_ADEME=A6)*(Bdgt_ADEME))</f>
        <v>0</v>
      </c>
      <c r="H6" s="960">
        <f>SUMPRODUCT((OP_P_Ile=A6)*(Bdgt_P_Ile))</f>
        <v>0</v>
      </c>
      <c r="I6" s="960">
        <f>SUMPRODUCT((OP_EDF=A6)*(Bdgt_EDF))</f>
        <v>0</v>
      </c>
      <c r="J6" s="960">
        <f>SUMPRODUCT((OP_ETG_SALE=A6)*(Bdgt_ETG_SALE))</f>
        <v>0</v>
      </c>
      <c r="K6" s="960">
        <f>SUMPRODUCT((OP_ST_JO=A6)*(Bdgt_ST_JO))</f>
        <v>0</v>
      </c>
      <c r="L6" s="960">
        <f t="shared" si="0"/>
        <v>655705.55999999994</v>
      </c>
      <c r="V6">
        <f>SUMPRODUCT((OP_ST_JO=A6)*(DatePmt_ST_JOSEPH&lt;&gt;"")*(DatePmt_ST_JOSEPH&lt;&gt;"en attente")*(YEAR(DatePmt_ST_JOSEPH)=YEAR(M4))*(ISNUMBER(MtntPaye_ST_JOSEPH)),MtntPaye_ST_JOSEPH)</f>
        <v>0</v>
      </c>
    </row>
    <row r="7" spans="1:22" x14ac:dyDescent="0.2">
      <c r="A7" s="956" t="s">
        <v>337</v>
      </c>
      <c r="B7" s="960">
        <f>SUMPRODUCT((OP_FRAFU=A7)*(Bdgt_FRAFU))</f>
        <v>0</v>
      </c>
      <c r="C7" s="960">
        <f>SUMPRODUCT((OP_Rehab=A7)*(Bdgt_Rehab))</f>
        <v>47320</v>
      </c>
      <c r="D7" s="960">
        <f>SUMPRODUCT((OP_LBU=A7)*(Bdgt_LBU))</f>
        <v>0</v>
      </c>
      <c r="E7" s="960">
        <f>SUMPRODUCT((OP_Region=A7)*(Bdgt_Region))</f>
        <v>0</v>
      </c>
      <c r="F7" s="960">
        <f>SUMPRODUCT((OP_Rectorat=A7)*(Bdgt_Rectorat))</f>
        <v>0</v>
      </c>
      <c r="G7" s="960">
        <f>SUMPRODUCT((OP_ADEME=A7)*(Bdgt_ADEME))</f>
        <v>0</v>
      </c>
      <c r="H7" s="960">
        <f>SUMPRODUCT((OP_P_Ile=A7)*(Bdgt_P_Ile))</f>
        <v>0</v>
      </c>
      <c r="I7" s="960">
        <f>SUMPRODUCT((OP_EDF=A7)*(Bdgt_EDF))</f>
        <v>0</v>
      </c>
      <c r="J7" s="960">
        <f>SUMPRODUCT((OP_ETG_SALE=A7)*(Bdgt_ETG_SALE))</f>
        <v>0</v>
      </c>
      <c r="K7" s="960">
        <f>SUMPRODUCT((OP_ST_JO=A7)*(Bdgt_ST_JO))</f>
        <v>0</v>
      </c>
      <c r="L7" s="960">
        <f t="shared" si="0"/>
        <v>47320</v>
      </c>
      <c r="V7">
        <f>SUMPRODUCT((OP_ST_JO=A7)*(DatePmt_ST_JOSEPH&lt;&gt;"")*(DatePmt_ST_JOSEPH&lt;&gt;"en attente")*(YEAR(DatePmt_ST_JOSEPH)=YEAR(M5))*(ISNUMBER(MtntPaye_ST_JOSEPH)),MtntPaye_ST_JOSEPH)</f>
        <v>0</v>
      </c>
    </row>
    <row r="8" spans="1:22" x14ac:dyDescent="0.2">
      <c r="A8" s="956" t="s">
        <v>265</v>
      </c>
      <c r="B8" s="960">
        <f>SUMPRODUCT((OP_FRAFU=A8)*(Bdgt_FRAFU))</f>
        <v>0</v>
      </c>
      <c r="C8" s="960">
        <f>SUMPRODUCT((OP_Rehab=A8)*(Bdgt_Rehab))</f>
        <v>0</v>
      </c>
      <c r="D8" s="960">
        <f>SUMPRODUCT((OP_LBU=A8)*(Bdgt_LBU))</f>
        <v>270000</v>
      </c>
      <c r="E8" s="960">
        <f>SUMPRODUCT((OP_Region=A8)*(Bdgt_Region))</f>
        <v>0</v>
      </c>
      <c r="F8" s="960">
        <f>SUMPRODUCT((OP_Rectorat=A8)*(Bdgt_Rectorat))</f>
        <v>0</v>
      </c>
      <c r="G8" s="960">
        <f>SUMPRODUCT((OP_ADEME=A8)*(Bdgt_ADEME))</f>
        <v>0</v>
      </c>
      <c r="H8" s="960">
        <f>SUMPRODUCT((OP_P_Ile=A8)*(Bdgt_P_Ile))</f>
        <v>0</v>
      </c>
      <c r="I8" s="960">
        <f>SUMPRODUCT((OP_EDF=A8)*(Bdgt_EDF))</f>
        <v>0</v>
      </c>
      <c r="J8" s="960">
        <f>SUMPRODUCT((OP_ETG_SALE=A8)*(Bdgt_ETG_SALE))</f>
        <v>0</v>
      </c>
      <c r="K8" s="960">
        <f>SUMPRODUCT((OP_ST_JO=A8)*(Bdgt_ST_JO))</f>
        <v>0</v>
      </c>
      <c r="L8" s="960">
        <f t="shared" si="0"/>
        <v>270000</v>
      </c>
      <c r="V8">
        <f>SUMPRODUCT((OP_ST_JO=A8)*(DatePmt_ST_JOSEPH&lt;&gt;"")*(DatePmt_ST_JOSEPH&lt;&gt;"en attente")*(YEAR(DatePmt_ST_JOSEPH)=YEAR(M6))*(ISNUMBER(MtntPaye_ST_JOSEPH)),MtntPaye_ST_JOSEPH)</f>
        <v>0</v>
      </c>
    </row>
    <row r="9" spans="1:22" x14ac:dyDescent="0.2">
      <c r="A9" s="956" t="s">
        <v>346</v>
      </c>
      <c r="B9" s="960">
        <f>SUMPRODUCT((OP_FRAFU=A9)*(Bdgt_FRAFU))</f>
        <v>0</v>
      </c>
      <c r="C9" s="960">
        <f>SUMPRODUCT((OP_Rehab=A9)*(Bdgt_Rehab))</f>
        <v>401760</v>
      </c>
      <c r="D9" s="960">
        <f>SUMPRODUCT((OP_LBU=A9)*(Bdgt_LBU))</f>
        <v>0</v>
      </c>
      <c r="E9" s="960">
        <f>SUMPRODUCT((OP_Region=A9)*(Bdgt_Region))</f>
        <v>0</v>
      </c>
      <c r="F9" s="960">
        <f>SUMPRODUCT((OP_Rectorat=A9)*(Bdgt_Rectorat))</f>
        <v>0</v>
      </c>
      <c r="G9" s="960">
        <f>SUMPRODUCT((OP_ADEME=A9)*(Bdgt_ADEME))</f>
        <v>0</v>
      </c>
      <c r="H9" s="960">
        <f>SUMPRODUCT((OP_P_Ile=A9)*(Bdgt_P_Ile))</f>
        <v>0</v>
      </c>
      <c r="I9" s="960">
        <f>SUMPRODUCT((OP_EDF=A9)*(Bdgt_EDF))</f>
        <v>0</v>
      </c>
      <c r="J9" s="960">
        <f>SUMPRODUCT((OP_ETG_SALE=A9)*(Bdgt_ETG_SALE))</f>
        <v>0</v>
      </c>
      <c r="K9" s="960">
        <f>SUMPRODUCT((OP_ST_JO=A9)*(Bdgt_ST_JO))</f>
        <v>0</v>
      </c>
      <c r="L9" s="960">
        <f t="shared" si="0"/>
        <v>401760</v>
      </c>
      <c r="V9">
        <f>SUMPRODUCT((OP_ST_JO=A9)*(DatePmt_ST_JOSEPH&lt;&gt;"")*(DatePmt_ST_JOSEPH&lt;&gt;"en attente")*(YEAR(DatePmt_ST_JOSEPH)=YEAR(M7))*(ISNUMBER(MtntPaye_ST_JOSEPH)),MtntPaye_ST_JOSEPH)</f>
        <v>0</v>
      </c>
    </row>
    <row r="10" spans="1:22" x14ac:dyDescent="0.2">
      <c r="A10" s="956" t="s">
        <v>319</v>
      </c>
      <c r="B10" s="960">
        <f>SUMPRODUCT((OP_FRAFU=A10)*(Bdgt_FRAFU))</f>
        <v>0</v>
      </c>
      <c r="C10" s="960">
        <f>SUMPRODUCT((OP_Rehab=A10)*(Bdgt_Rehab))</f>
        <v>0</v>
      </c>
      <c r="D10" s="960">
        <f>SUMPRODUCT((OP_LBU=A10)*(Bdgt_LBU))</f>
        <v>480000</v>
      </c>
      <c r="E10" s="960">
        <f>SUMPRODUCT((OP_Region=A10)*(Bdgt_Region))</f>
        <v>0</v>
      </c>
      <c r="F10" s="960">
        <f>SUMPRODUCT((OP_Rectorat=A10)*(Bdgt_Rectorat))</f>
        <v>0</v>
      </c>
      <c r="G10" s="960">
        <f>SUMPRODUCT((OP_ADEME=A10)*(Bdgt_ADEME))</f>
        <v>0</v>
      </c>
      <c r="H10" s="960">
        <f>SUMPRODUCT((OP_P_Ile=A10)*(Bdgt_P_Ile))</f>
        <v>0</v>
      </c>
      <c r="I10" s="960">
        <f>SUMPRODUCT((OP_EDF=A10)*(Bdgt_EDF))</f>
        <v>47338.549999999996</v>
      </c>
      <c r="J10" s="960">
        <f>SUMPRODUCT((OP_ETG_SALE=A10)*(Bdgt_ETG_SALE))</f>
        <v>0</v>
      </c>
      <c r="K10" s="960">
        <f>SUMPRODUCT((OP_ST_JO=A10)*(Bdgt_ST_JO))</f>
        <v>0</v>
      </c>
      <c r="L10" s="960">
        <f t="shared" si="0"/>
        <v>527338.55000000005</v>
      </c>
      <c r="V10">
        <f>SUMPRODUCT((OP_ST_JO=A10)*(DatePmt_ST_JOSEPH&lt;&gt;"")*(DatePmt_ST_JOSEPH&lt;&gt;"en attente")*(YEAR(DatePmt_ST_JOSEPH)=YEAR(M8))*(ISNUMBER(MtntPaye_ST_JOSEPH)),MtntPaye_ST_JOSEPH)</f>
        <v>0</v>
      </c>
    </row>
    <row r="11" spans="1:22" x14ac:dyDescent="0.2">
      <c r="A11" s="956" t="s">
        <v>398</v>
      </c>
      <c r="B11" s="960">
        <f>SUMPRODUCT((OP_FRAFU=A11)*(Bdgt_FRAFU))</f>
        <v>0</v>
      </c>
      <c r="C11" s="960">
        <f>SUMPRODUCT((OP_Rehab=A11)*(Bdgt_Rehab))</f>
        <v>115000</v>
      </c>
      <c r="D11" s="960">
        <f>SUMPRODUCT((OP_LBU=A11)*(Bdgt_LBU))</f>
        <v>0</v>
      </c>
      <c r="E11" s="960">
        <f>SUMPRODUCT((OP_Region=A11)*(Bdgt_Region))</f>
        <v>0</v>
      </c>
      <c r="F11" s="960">
        <f>SUMPRODUCT((OP_Rectorat=A11)*(Bdgt_Rectorat))</f>
        <v>0</v>
      </c>
      <c r="G11" s="960">
        <f>SUMPRODUCT((OP_ADEME=A11)*(Bdgt_ADEME))</f>
        <v>0</v>
      </c>
      <c r="H11" s="960">
        <f>SUMPRODUCT((OP_P_Ile=A11)*(Bdgt_P_Ile))</f>
        <v>0</v>
      </c>
      <c r="I11" s="960">
        <f>SUMPRODUCT((OP_EDF=A11)*(Bdgt_EDF))</f>
        <v>0</v>
      </c>
      <c r="J11" s="960">
        <f>SUMPRODUCT((OP_ETG_SALE=A11)*(Bdgt_ETG_SALE))</f>
        <v>0</v>
      </c>
      <c r="K11" s="960">
        <f>SUMPRODUCT((OP_ST_JO=A11)*(Bdgt_ST_JO))</f>
        <v>0</v>
      </c>
      <c r="L11" s="960">
        <f t="shared" si="0"/>
        <v>115000</v>
      </c>
      <c r="V11">
        <f>SUMPRODUCT((OP_ST_JO=A11)*(DatePmt_ST_JOSEPH&lt;&gt;"")*(DatePmt_ST_JOSEPH&lt;&gt;"en attente")*(YEAR(DatePmt_ST_JOSEPH)=YEAR(M9))*(ISNUMBER(MtntPaye_ST_JOSEPH)),MtntPaye_ST_JOSEPH)</f>
        <v>0</v>
      </c>
    </row>
    <row r="12" spans="1:22" x14ac:dyDescent="0.2">
      <c r="A12" s="956" t="s">
        <v>365</v>
      </c>
      <c r="B12" s="960">
        <f>SUMPRODUCT((OP_FRAFU=A12)*(Bdgt_FRAFU))</f>
        <v>0</v>
      </c>
      <c r="C12" s="960">
        <f>SUMPRODUCT((OP_Rehab=A12)*(Bdgt_Rehab))</f>
        <v>0</v>
      </c>
      <c r="D12" s="960">
        <f>SUMPRODUCT((OP_LBU=A12)*(Bdgt_LBU))</f>
        <v>780000</v>
      </c>
      <c r="E12" s="960">
        <f>SUMPRODUCT((OP_Region=A12)*(Bdgt_Region))</f>
        <v>0</v>
      </c>
      <c r="F12" s="960">
        <f>SUMPRODUCT((OP_Rectorat=A12)*(Bdgt_Rectorat))</f>
        <v>0</v>
      </c>
      <c r="G12" s="960">
        <f>SUMPRODUCT((OP_ADEME=A12)*(Bdgt_ADEME))</f>
        <v>0</v>
      </c>
      <c r="H12" s="960">
        <f>SUMPRODUCT((OP_P_Ile=A12)*(Bdgt_P_Ile))</f>
        <v>0</v>
      </c>
      <c r="I12" s="960">
        <f>SUMPRODUCT((OP_EDF=A12)*(Bdgt_EDF))</f>
        <v>0</v>
      </c>
      <c r="J12" s="960">
        <f>SUMPRODUCT((OP_ETG_SALE=A12)*(Bdgt_ETG_SALE))</f>
        <v>0</v>
      </c>
      <c r="K12" s="960">
        <f>SUMPRODUCT((OP_ST_JO=A12)*(Bdgt_ST_JO))</f>
        <v>0</v>
      </c>
      <c r="L12" s="960">
        <f t="shared" si="0"/>
        <v>780000</v>
      </c>
      <c r="V12">
        <f>SUMPRODUCT((OP_ST_JO=A12)*(DatePmt_ST_JOSEPH&lt;&gt;"")*(DatePmt_ST_JOSEPH&lt;&gt;"en attente")*(YEAR(DatePmt_ST_JOSEPH)=YEAR(M10))*(ISNUMBER(MtntPaye_ST_JOSEPH)),MtntPaye_ST_JOSEPH)</f>
        <v>0</v>
      </c>
    </row>
    <row r="13" spans="1:22" x14ac:dyDescent="0.2">
      <c r="A13" s="956" t="s">
        <v>338</v>
      </c>
      <c r="B13" s="960">
        <f>SUMPRODUCT((OP_FRAFU=A13)*(Bdgt_FRAFU))</f>
        <v>0</v>
      </c>
      <c r="C13" s="960">
        <f>SUMPRODUCT((OP_Rehab=A13)*(Bdgt_Rehab))</f>
        <v>10920</v>
      </c>
      <c r="D13" s="960">
        <f>SUMPRODUCT((OP_LBU=A13)*(Bdgt_LBU))</f>
        <v>0</v>
      </c>
      <c r="E13" s="960">
        <f>SUMPRODUCT((OP_Region=A13)*(Bdgt_Region))</f>
        <v>0</v>
      </c>
      <c r="F13" s="960">
        <f>SUMPRODUCT((OP_Rectorat=A13)*(Bdgt_Rectorat))</f>
        <v>0</v>
      </c>
      <c r="G13" s="960">
        <f>SUMPRODUCT((OP_ADEME=A13)*(Bdgt_ADEME))</f>
        <v>0</v>
      </c>
      <c r="H13" s="960">
        <f>SUMPRODUCT((OP_P_Ile=A13)*(Bdgt_P_Ile))</f>
        <v>0</v>
      </c>
      <c r="I13" s="960">
        <f>SUMPRODUCT((OP_EDF=A13)*(Bdgt_EDF))</f>
        <v>0</v>
      </c>
      <c r="J13" s="960">
        <f>SUMPRODUCT((OP_ETG_SALE=A13)*(Bdgt_ETG_SALE))</f>
        <v>0</v>
      </c>
      <c r="K13" s="960">
        <f>SUMPRODUCT((OP_ST_JO=A13)*(Bdgt_ST_JO))</f>
        <v>0</v>
      </c>
      <c r="L13" s="960">
        <f t="shared" si="0"/>
        <v>10920</v>
      </c>
      <c r="V13">
        <f>SUMPRODUCT((OP_ST_JO=A13)*(DatePmt_ST_JOSEPH&lt;&gt;"")*(DatePmt_ST_JOSEPH&lt;&gt;"en attente")*(YEAR(DatePmt_ST_JOSEPH)=YEAR(M11))*(ISNUMBER(MtntPaye_ST_JOSEPH)),MtntPaye_ST_JOSEPH)</f>
        <v>0</v>
      </c>
    </row>
    <row r="14" spans="1:22" x14ac:dyDescent="0.2">
      <c r="A14" s="956" t="s">
        <v>422</v>
      </c>
      <c r="B14" s="960">
        <f>SUMPRODUCT((OP_FRAFU=A14)*(Bdgt_FRAFU))</f>
        <v>0</v>
      </c>
      <c r="C14" s="960">
        <f>SUMPRODUCT((OP_Rehab=A14)*(Bdgt_Rehab))</f>
        <v>0</v>
      </c>
      <c r="D14" s="960">
        <f>SUMPRODUCT((OP_LBU=A14)*(Bdgt_LBU))</f>
        <v>900000</v>
      </c>
      <c r="E14" s="960">
        <f>SUMPRODUCT((OP_Region=A14)*(Bdgt_Region))</f>
        <v>0</v>
      </c>
      <c r="F14" s="960">
        <f>SUMPRODUCT((OP_Rectorat=A14)*(Bdgt_Rectorat))</f>
        <v>0</v>
      </c>
      <c r="G14" s="960">
        <f>SUMPRODUCT((OP_ADEME=A14)*(Bdgt_ADEME))</f>
        <v>9355</v>
      </c>
      <c r="H14" s="960">
        <f>SUMPRODUCT((OP_P_Ile=A14)*(Bdgt_P_Ile))</f>
        <v>0</v>
      </c>
      <c r="I14" s="960">
        <f>SUMPRODUCT((OP_EDF=A14)*(Bdgt_EDF))</f>
        <v>65212.84</v>
      </c>
      <c r="J14" s="960">
        <f>SUMPRODUCT((OP_ETG_SALE=A14)*(Bdgt_ETG_SALE))</f>
        <v>0</v>
      </c>
      <c r="K14" s="960">
        <f>SUMPRODUCT((OP_ST_JO=A14)*(Bdgt_ST_JO))</f>
        <v>0</v>
      </c>
      <c r="L14" s="960">
        <f t="shared" si="0"/>
        <v>974567.84</v>
      </c>
      <c r="V14">
        <f>SUMPRODUCT((OP_ST_JO=A14)*(DatePmt_ST_JOSEPH&lt;&gt;"")*(DatePmt_ST_JOSEPH&lt;&gt;"en attente")*(YEAR(DatePmt_ST_JOSEPH)=YEAR(M12))*(ISNUMBER(MtntPaye_ST_JOSEPH)),MtntPaye_ST_JOSEPH)</f>
        <v>0</v>
      </c>
    </row>
    <row r="15" spans="1:22" x14ac:dyDescent="0.2">
      <c r="A15" s="956" t="s">
        <v>342</v>
      </c>
      <c r="B15" s="960">
        <f>SUMPRODUCT((OP_FRAFU=A15)*(Bdgt_FRAFU))</f>
        <v>0</v>
      </c>
      <c r="C15" s="960">
        <f>SUMPRODUCT((OP_Rehab=A15)*(Bdgt_Rehab))</f>
        <v>281250</v>
      </c>
      <c r="D15" s="960">
        <f>SUMPRODUCT((OP_LBU=A15)*(Bdgt_LBU))</f>
        <v>0</v>
      </c>
      <c r="E15" s="960">
        <f>SUMPRODUCT((OP_Region=A15)*(Bdgt_Region))</f>
        <v>0</v>
      </c>
      <c r="F15" s="960">
        <f>SUMPRODUCT((OP_Rectorat=A15)*(Bdgt_Rectorat))</f>
        <v>0</v>
      </c>
      <c r="G15" s="960">
        <f>SUMPRODUCT((OP_ADEME=A15)*(Bdgt_ADEME))</f>
        <v>0</v>
      </c>
      <c r="H15" s="960">
        <f>SUMPRODUCT((OP_P_Ile=A15)*(Bdgt_P_Ile))</f>
        <v>0</v>
      </c>
      <c r="I15" s="960">
        <f>SUMPRODUCT((OP_EDF=A15)*(Bdgt_EDF))</f>
        <v>0</v>
      </c>
      <c r="J15" s="960">
        <f>SUMPRODUCT((OP_ETG_SALE=A15)*(Bdgt_ETG_SALE))</f>
        <v>0</v>
      </c>
      <c r="K15" s="960">
        <f>SUMPRODUCT((OP_ST_JO=A15)*(Bdgt_ST_JO))</f>
        <v>0</v>
      </c>
      <c r="L15" s="960">
        <f t="shared" si="0"/>
        <v>281250</v>
      </c>
      <c r="V15">
        <f>SUMPRODUCT((OP_ST_JO=A15)*(DatePmt_ST_JOSEPH&lt;&gt;"")*(DatePmt_ST_JOSEPH&lt;&gt;"en attente")*(YEAR(DatePmt_ST_JOSEPH)=YEAR(M13))*(ISNUMBER(MtntPaye_ST_JOSEPH)),MtntPaye_ST_JOSEPH)</f>
        <v>0</v>
      </c>
    </row>
    <row r="16" spans="1:22" x14ac:dyDescent="0.2">
      <c r="A16" s="956" t="s">
        <v>390</v>
      </c>
      <c r="B16" s="960">
        <f>SUMPRODUCT((OP_FRAFU=A16)*(Bdgt_FRAFU))</f>
        <v>0</v>
      </c>
      <c r="C16" s="960">
        <f>SUMPRODUCT((OP_Rehab=A16)*(Bdgt_Rehab))</f>
        <v>0</v>
      </c>
      <c r="D16" s="960">
        <f>SUMPRODUCT((OP_LBU=A16)*(Bdgt_LBU))</f>
        <v>741000</v>
      </c>
      <c r="E16" s="960">
        <f>SUMPRODUCT((OP_Region=A16)*(Bdgt_Region))</f>
        <v>0</v>
      </c>
      <c r="F16" s="960">
        <f>SUMPRODUCT((OP_Rectorat=A16)*(Bdgt_Rectorat))</f>
        <v>0</v>
      </c>
      <c r="G16" s="960">
        <f>SUMPRODUCT((OP_ADEME=A16)*(Bdgt_ADEME))</f>
        <v>0</v>
      </c>
      <c r="H16" s="960">
        <f>SUMPRODUCT((OP_P_Ile=A16)*(Bdgt_P_Ile))</f>
        <v>0</v>
      </c>
      <c r="I16" s="960">
        <f>SUMPRODUCT((OP_EDF=A16)*(Bdgt_EDF))</f>
        <v>0</v>
      </c>
      <c r="J16" s="960">
        <f>SUMPRODUCT((OP_ETG_SALE=A16)*(Bdgt_ETG_SALE))</f>
        <v>0</v>
      </c>
      <c r="K16" s="960">
        <f>SUMPRODUCT((OP_ST_JO=A16)*(Bdgt_ST_JO))</f>
        <v>0</v>
      </c>
      <c r="L16" s="960">
        <f t="shared" si="0"/>
        <v>741000</v>
      </c>
      <c r="V16">
        <f>SUMPRODUCT((OP_ST_JO=A16)*(DatePmt_ST_JOSEPH&lt;&gt;"")*(DatePmt_ST_JOSEPH&lt;&gt;"en attente")*(YEAR(DatePmt_ST_JOSEPH)=YEAR(M14))*(ISNUMBER(MtntPaye_ST_JOSEPH)),MtntPaye_ST_JOSEPH)</f>
        <v>0</v>
      </c>
    </row>
    <row r="17" spans="1:22" x14ac:dyDescent="0.2">
      <c r="A17" s="956" t="s">
        <v>75</v>
      </c>
      <c r="B17" s="960">
        <f>SUMPRODUCT((OP_FRAFU=A17)*(Bdgt_FRAFU))</f>
        <v>1778822.24</v>
      </c>
      <c r="C17" s="960">
        <f>SUMPRODUCT((OP_Rehab=A17)*(Bdgt_Rehab))</f>
        <v>0</v>
      </c>
      <c r="D17" s="960">
        <f>SUMPRODUCT((OP_LBU=A17)*(Bdgt_LBU))</f>
        <v>0</v>
      </c>
      <c r="E17" s="960">
        <f>SUMPRODUCT((OP_Region=A17)*(Bdgt_Region))</f>
        <v>0</v>
      </c>
      <c r="F17" s="960">
        <f>SUMPRODUCT((OP_Rectorat=A17)*(Bdgt_Rectorat))</f>
        <v>0</v>
      </c>
      <c r="G17" s="960">
        <f>SUMPRODUCT((OP_ADEME=A17)*(Bdgt_ADEME))</f>
        <v>0</v>
      </c>
      <c r="H17" s="960">
        <f>SUMPRODUCT((OP_P_Ile=A17)*(Bdgt_P_Ile))</f>
        <v>0</v>
      </c>
      <c r="I17" s="960">
        <f>SUMPRODUCT((OP_EDF=A17)*(Bdgt_EDF))</f>
        <v>0</v>
      </c>
      <c r="J17" s="960">
        <f>SUMPRODUCT((OP_ETG_SALE=A17)*(Bdgt_ETG_SALE))</f>
        <v>0</v>
      </c>
      <c r="K17" s="960">
        <f>SUMPRODUCT((OP_ST_JO=A17)*(Bdgt_ST_JO))</f>
        <v>0</v>
      </c>
      <c r="L17" s="960">
        <f t="shared" si="0"/>
        <v>1778822.24</v>
      </c>
      <c r="V17">
        <f>SUMPRODUCT((OP_ST_JO=A17)*(DatePmt_ST_JOSEPH&lt;&gt;"")*(DatePmt_ST_JOSEPH&lt;&gt;"en attente")*(YEAR(DatePmt_ST_JOSEPH)=YEAR(M15))*(ISNUMBER(MtntPaye_ST_JOSEPH)),MtntPaye_ST_JOSEPH)</f>
        <v>0</v>
      </c>
    </row>
    <row r="18" spans="1:22" x14ac:dyDescent="0.2">
      <c r="A18" s="956" t="s">
        <v>366</v>
      </c>
      <c r="B18" s="960">
        <f>SUMPRODUCT((OP_FRAFU=A18)*(Bdgt_FRAFU))</f>
        <v>0</v>
      </c>
      <c r="C18" s="960">
        <f>SUMPRODUCT((OP_Rehab=A18)*(Bdgt_Rehab))</f>
        <v>0</v>
      </c>
      <c r="D18" s="960">
        <f>SUMPRODUCT((OP_LBU=A18)*(Bdgt_LBU))</f>
        <v>0</v>
      </c>
      <c r="E18" s="960">
        <f>SUMPRODUCT((OP_Region=A18)*(Bdgt_Region))</f>
        <v>1227844</v>
      </c>
      <c r="F18" s="960">
        <f>SUMPRODUCT((OP_Rectorat=A18)*(Bdgt_Rectorat))</f>
        <v>1227844</v>
      </c>
      <c r="G18" s="960">
        <f>SUMPRODUCT((OP_ADEME=A18)*(Bdgt_ADEME))</f>
        <v>0</v>
      </c>
      <c r="H18" s="960">
        <f>SUMPRODUCT((OP_P_Ile=A18)*(Bdgt_P_Ile))</f>
        <v>0</v>
      </c>
      <c r="I18" s="960">
        <f>SUMPRODUCT((OP_EDF=A18)*(Bdgt_EDF))</f>
        <v>0</v>
      </c>
      <c r="J18" s="960">
        <f>SUMPRODUCT((OP_ETG_SALE=A18)*(Bdgt_ETG_SALE))</f>
        <v>0</v>
      </c>
      <c r="K18" s="960">
        <f>SUMPRODUCT((OP_ST_JO=A18)*(Bdgt_ST_JO))</f>
        <v>0</v>
      </c>
      <c r="L18" s="960">
        <f t="shared" si="0"/>
        <v>2455688</v>
      </c>
      <c r="V18">
        <f>SUMPRODUCT((OP_ST_JO=A18)*(DatePmt_ST_JOSEPH&lt;&gt;"")*(DatePmt_ST_JOSEPH&lt;&gt;"en attente")*(YEAR(DatePmt_ST_JOSEPH)=YEAR(M16))*(ISNUMBER(MtntPaye_ST_JOSEPH)),MtntPaye_ST_JOSEPH)</f>
        <v>0</v>
      </c>
    </row>
    <row r="19" spans="1:22" x14ac:dyDescent="0.2">
      <c r="A19" s="956" t="s">
        <v>387</v>
      </c>
      <c r="B19" s="960">
        <f>SUMPRODUCT((OP_FRAFU=A19)*(Bdgt_FRAFU))</f>
        <v>0</v>
      </c>
      <c r="C19" s="960">
        <f>SUMPRODUCT((OP_Rehab=A19)*(Bdgt_Rehab))</f>
        <v>0</v>
      </c>
      <c r="D19" s="960">
        <f>SUMPRODUCT((OP_LBU=A19)*(Bdgt_LBU))</f>
        <v>0</v>
      </c>
      <c r="E19" s="960">
        <f>SUMPRODUCT((OP_Region=A19)*(Bdgt_Region))</f>
        <v>655125</v>
      </c>
      <c r="F19" s="960">
        <f>SUMPRODUCT((OP_Rectorat=A19)*(Bdgt_Rectorat))</f>
        <v>655125</v>
      </c>
      <c r="G19" s="960">
        <f>SUMPRODUCT((OP_ADEME=A19)*(Bdgt_ADEME))</f>
        <v>0</v>
      </c>
      <c r="H19" s="960">
        <f>SUMPRODUCT((OP_P_Ile=A19)*(Bdgt_P_Ile))</f>
        <v>0</v>
      </c>
      <c r="I19" s="960">
        <f>SUMPRODUCT((OP_EDF=A19)*(Bdgt_EDF))</f>
        <v>0</v>
      </c>
      <c r="J19" s="960">
        <f>SUMPRODUCT((OP_ETG_SALE=A19)*(Bdgt_ETG_SALE))</f>
        <v>0</v>
      </c>
      <c r="K19" s="960">
        <f>SUMPRODUCT((OP_ST_JO=A19)*(Bdgt_ST_JO))</f>
        <v>0</v>
      </c>
      <c r="L19" s="960">
        <f t="shared" si="0"/>
        <v>1310250</v>
      </c>
      <c r="V19">
        <f>SUMPRODUCT((OP_ST_JO=A19)*(DatePmt_ST_JOSEPH&lt;&gt;"")*(DatePmt_ST_JOSEPH&lt;&gt;"en attente")*(YEAR(DatePmt_ST_JOSEPH)=YEAR(M17))*(ISNUMBER(MtntPaye_ST_JOSEPH)),MtntPaye_ST_JOSEPH)</f>
        <v>0</v>
      </c>
    </row>
    <row r="20" spans="1:22" x14ac:dyDescent="0.2">
      <c r="A20" s="956" t="s">
        <v>324</v>
      </c>
      <c r="B20" s="960">
        <f>SUMPRODUCT((OP_FRAFU=A20)*(Bdgt_FRAFU))</f>
        <v>0</v>
      </c>
      <c r="C20" s="960">
        <f>SUMPRODUCT((OP_Rehab=A20)*(Bdgt_Rehab))</f>
        <v>0</v>
      </c>
      <c r="D20" s="960">
        <f>SUMPRODUCT((OP_LBU=A20)*(Bdgt_LBU))</f>
        <v>520000</v>
      </c>
      <c r="E20" s="960">
        <f>SUMPRODUCT((OP_Region=A20)*(Bdgt_Region))</f>
        <v>0</v>
      </c>
      <c r="F20" s="960">
        <f>SUMPRODUCT((OP_Rectorat=A20)*(Bdgt_Rectorat))</f>
        <v>0</v>
      </c>
      <c r="G20" s="960">
        <f>SUMPRODUCT((OP_ADEME=A20)*(Bdgt_ADEME))</f>
        <v>0</v>
      </c>
      <c r="H20" s="960">
        <f>SUMPRODUCT((OP_P_Ile=A20)*(Bdgt_P_Ile))</f>
        <v>0</v>
      </c>
      <c r="I20" s="960">
        <f>SUMPRODUCT((OP_EDF=A20)*(Bdgt_EDF))</f>
        <v>0</v>
      </c>
      <c r="J20" s="960">
        <f>SUMPRODUCT((OP_ETG_SALE=A20)*(Bdgt_ETG_SALE))</f>
        <v>0</v>
      </c>
      <c r="K20" s="960">
        <f>SUMPRODUCT((OP_ST_JO=A20)*(Bdgt_ST_JO))</f>
        <v>0</v>
      </c>
      <c r="L20" s="960">
        <f t="shared" si="0"/>
        <v>520000</v>
      </c>
      <c r="V20">
        <f>SUMPRODUCT((OP_ST_JO=A20)*(DatePmt_ST_JOSEPH&lt;&gt;"")*(DatePmt_ST_JOSEPH&lt;&gt;"en attente")*(YEAR(DatePmt_ST_JOSEPH)=YEAR(M18))*(ISNUMBER(MtntPaye_ST_JOSEPH)),MtntPaye_ST_JOSEPH)</f>
        <v>0</v>
      </c>
    </row>
    <row r="21" spans="1:22" x14ac:dyDescent="0.2">
      <c r="A21" s="956" t="s">
        <v>62</v>
      </c>
      <c r="B21" s="960">
        <f>SUMPRODUCT((OP_FRAFU=A21)*(Bdgt_FRAFU))</f>
        <v>480000</v>
      </c>
      <c r="C21" s="960">
        <f>SUMPRODUCT((OP_Rehab=A21)*(Bdgt_Rehab))</f>
        <v>0</v>
      </c>
      <c r="D21" s="960">
        <f>SUMPRODUCT((OP_LBU=A21)*(Bdgt_LBU))</f>
        <v>360003.61209999997</v>
      </c>
      <c r="E21" s="960">
        <f>SUMPRODUCT((OP_Region=A21)*(Bdgt_Region))</f>
        <v>0</v>
      </c>
      <c r="F21" s="960">
        <f>SUMPRODUCT((OP_Rectorat=A21)*(Bdgt_Rectorat))</f>
        <v>0</v>
      </c>
      <c r="G21" s="960">
        <f>SUMPRODUCT((OP_ADEME=A21)*(Bdgt_ADEME))</f>
        <v>0</v>
      </c>
      <c r="H21" s="960">
        <f>SUMPRODUCT((OP_P_Ile=A21)*(Bdgt_P_Ile))</f>
        <v>0</v>
      </c>
      <c r="I21" s="960">
        <f>SUMPRODUCT((OP_EDF=A21)*(Bdgt_EDF))</f>
        <v>54484.369999999995</v>
      </c>
      <c r="J21" s="960">
        <f>SUMPRODUCT((OP_ETG_SALE=A21)*(Bdgt_ETG_SALE))</f>
        <v>0</v>
      </c>
      <c r="K21" s="960">
        <f>SUMPRODUCT((OP_ST_JO=A21)*(Bdgt_ST_JO))</f>
        <v>0</v>
      </c>
      <c r="L21" s="960">
        <f t="shared" si="0"/>
        <v>894487.98210000002</v>
      </c>
      <c r="V21">
        <f>SUMPRODUCT((OP_ST_JO=A21)*(DatePmt_ST_JOSEPH&lt;&gt;"")*(DatePmt_ST_JOSEPH&lt;&gt;"en attente")*(YEAR(DatePmt_ST_JOSEPH)=YEAR(M19))*(ISNUMBER(MtntPaye_ST_JOSEPH)),MtntPaye_ST_JOSEPH)</f>
        <v>0</v>
      </c>
    </row>
    <row r="22" spans="1:22" x14ac:dyDescent="0.2">
      <c r="A22" s="956" t="s">
        <v>323</v>
      </c>
      <c r="B22" s="960">
        <f>SUMPRODUCT((OP_FRAFU=A22)*(Bdgt_FRAFU))</f>
        <v>0</v>
      </c>
      <c r="C22" s="960">
        <f>SUMPRODUCT((OP_Rehab=A22)*(Bdgt_Rehab))</f>
        <v>0</v>
      </c>
      <c r="D22" s="960">
        <f>SUMPRODUCT((OP_LBU=A22)*(Bdgt_LBU))</f>
        <v>0</v>
      </c>
      <c r="E22" s="960">
        <f>SUMPRODUCT((OP_Region=A22)*(Bdgt_Region))</f>
        <v>0</v>
      </c>
      <c r="F22" s="960">
        <f>SUMPRODUCT((OP_Rectorat=A22)*(Bdgt_Rectorat))</f>
        <v>0</v>
      </c>
      <c r="G22" s="960">
        <f>SUMPRODUCT((OP_ADEME=A22)*(Bdgt_ADEME))</f>
        <v>0</v>
      </c>
      <c r="H22" s="960">
        <f>SUMPRODUCT((OP_P_Ile=A22)*(Bdgt_P_Ile))</f>
        <v>0</v>
      </c>
      <c r="I22" s="960">
        <f>SUMPRODUCT((OP_EDF=A22)*(Bdgt_EDF))</f>
        <v>18729.66</v>
      </c>
      <c r="J22" s="960">
        <f>SUMPRODUCT((OP_ETG_SALE=A22)*(Bdgt_ETG_SALE))</f>
        <v>0</v>
      </c>
      <c r="K22" s="960">
        <f>SUMPRODUCT((OP_ST_JO=A22)*(Bdgt_ST_JO))</f>
        <v>0</v>
      </c>
      <c r="L22" s="960">
        <f t="shared" si="0"/>
        <v>18729.66</v>
      </c>
      <c r="V22">
        <f>SUMPRODUCT((OP_ST_JO=A22)*(DatePmt_ST_JOSEPH&lt;&gt;"")*(DatePmt_ST_JOSEPH&lt;&gt;"en attente")*(YEAR(DatePmt_ST_JOSEPH)=YEAR(M20))*(ISNUMBER(MtntPaye_ST_JOSEPH)),MtntPaye_ST_JOSEPH)</f>
        <v>0</v>
      </c>
    </row>
    <row r="23" spans="1:22" x14ac:dyDescent="0.2">
      <c r="A23" s="956" t="s">
        <v>263</v>
      </c>
      <c r="B23" s="960">
        <f>SUMPRODUCT((OP_FRAFU=A23)*(Bdgt_FRAFU))</f>
        <v>0</v>
      </c>
      <c r="C23" s="960">
        <f>SUMPRODUCT((OP_Rehab=A23)*(Bdgt_Rehab))</f>
        <v>0</v>
      </c>
      <c r="D23" s="960">
        <f>SUMPRODUCT((OP_LBU=A23)*(Bdgt_LBU))</f>
        <v>400000</v>
      </c>
      <c r="E23" s="960">
        <f>SUMPRODUCT((OP_Region=A23)*(Bdgt_Region))</f>
        <v>0</v>
      </c>
      <c r="F23" s="960">
        <f>SUMPRODUCT((OP_Rectorat=A23)*(Bdgt_Rectorat))</f>
        <v>0</v>
      </c>
      <c r="G23" s="960">
        <f>SUMPRODUCT((OP_ADEME=A23)*(Bdgt_ADEME))</f>
        <v>0</v>
      </c>
      <c r="H23" s="960">
        <f>SUMPRODUCT((OP_P_Ile=A23)*(Bdgt_P_Ile))</f>
        <v>0</v>
      </c>
      <c r="I23" s="960">
        <f>SUMPRODUCT((OP_EDF=A23)*(Bdgt_EDF))</f>
        <v>16082.955</v>
      </c>
      <c r="J23" s="960">
        <f>SUMPRODUCT((OP_ETG_SALE=A23)*(Bdgt_ETG_SALE))</f>
        <v>0</v>
      </c>
      <c r="K23" s="960">
        <f>SUMPRODUCT((OP_ST_JO=A23)*(Bdgt_ST_JO))</f>
        <v>0</v>
      </c>
      <c r="L23" s="960">
        <f t="shared" si="0"/>
        <v>416082.95500000002</v>
      </c>
      <c r="V23">
        <f>SUMPRODUCT((OP_ST_JO=A23)*(DatePmt_ST_JOSEPH&lt;&gt;"")*(DatePmt_ST_JOSEPH&lt;&gt;"en attente")*(YEAR(DatePmt_ST_JOSEPH)=YEAR(M21))*(ISNUMBER(MtntPaye_ST_JOSEPH)),MtntPaye_ST_JOSEPH)</f>
        <v>0</v>
      </c>
    </row>
    <row r="24" spans="1:22" x14ac:dyDescent="0.2">
      <c r="A24" s="956" t="s">
        <v>345</v>
      </c>
      <c r="B24" s="960">
        <f>SUMPRODUCT((OP_FRAFU=A24)*(Bdgt_FRAFU))</f>
        <v>0</v>
      </c>
      <c r="C24" s="960">
        <f>SUMPRODUCT((OP_Rehab=A24)*(Bdgt_Rehab))</f>
        <v>462500</v>
      </c>
      <c r="D24" s="960">
        <f>SUMPRODUCT((OP_LBU=A24)*(Bdgt_LBU))</f>
        <v>0</v>
      </c>
      <c r="E24" s="960">
        <f>SUMPRODUCT((OP_Region=A24)*(Bdgt_Region))</f>
        <v>0</v>
      </c>
      <c r="F24" s="960">
        <f>SUMPRODUCT((OP_Rectorat=A24)*(Bdgt_Rectorat))</f>
        <v>0</v>
      </c>
      <c r="G24" s="960">
        <f>SUMPRODUCT((OP_ADEME=A24)*(Bdgt_ADEME))</f>
        <v>0</v>
      </c>
      <c r="H24" s="960">
        <f>SUMPRODUCT((OP_P_Ile=A24)*(Bdgt_P_Ile))</f>
        <v>0</v>
      </c>
      <c r="I24" s="960">
        <f>SUMPRODUCT((OP_EDF=A24)*(Bdgt_EDF))</f>
        <v>54723.06</v>
      </c>
      <c r="J24" s="960">
        <f>SUMPRODUCT((OP_ETG_SALE=A24)*(Bdgt_ETG_SALE))</f>
        <v>0</v>
      </c>
      <c r="K24" s="960">
        <f>SUMPRODUCT((OP_ST_JO=A24)*(Bdgt_ST_JO))</f>
        <v>0</v>
      </c>
      <c r="L24" s="960">
        <f t="shared" si="0"/>
        <v>517223.06</v>
      </c>
      <c r="V24">
        <f>SUMPRODUCT((OP_ST_JO=A24)*(DatePmt_ST_JOSEPH&lt;&gt;"")*(DatePmt_ST_JOSEPH&lt;&gt;"en attente")*(YEAR(DatePmt_ST_JOSEPH)=YEAR(M22))*(ISNUMBER(MtntPaye_ST_JOSEPH)),MtntPaye_ST_JOSEPH)</f>
        <v>0</v>
      </c>
    </row>
    <row r="25" spans="1:22" x14ac:dyDescent="0.2">
      <c r="A25" s="956" t="s">
        <v>285</v>
      </c>
      <c r="B25" s="960">
        <f>SUMPRODUCT((OP_FRAFU=A25)*(Bdgt_FRAFU))</f>
        <v>0</v>
      </c>
      <c r="C25" s="960">
        <f>SUMPRODUCT((OP_Rehab=A25)*(Bdgt_Rehab))</f>
        <v>0</v>
      </c>
      <c r="D25" s="960">
        <f>SUMPRODUCT((OP_LBU=A25)*(Bdgt_LBU))</f>
        <v>280000</v>
      </c>
      <c r="E25" s="960">
        <f>SUMPRODUCT((OP_Region=A25)*(Bdgt_Region))</f>
        <v>0</v>
      </c>
      <c r="F25" s="960">
        <f>SUMPRODUCT((OP_Rectorat=A25)*(Bdgt_Rectorat))</f>
        <v>0</v>
      </c>
      <c r="G25" s="960">
        <f>SUMPRODUCT((OP_ADEME=A25)*(Bdgt_ADEME))</f>
        <v>0</v>
      </c>
      <c r="H25" s="960">
        <f>SUMPRODUCT((OP_P_Ile=A25)*(Bdgt_P_Ile))</f>
        <v>0</v>
      </c>
      <c r="I25" s="960">
        <f>SUMPRODUCT((OP_EDF=A25)*(Bdgt_EDF))</f>
        <v>12414</v>
      </c>
      <c r="J25" s="960">
        <f>SUMPRODUCT((OP_ETG_SALE=A25)*(Bdgt_ETG_SALE))</f>
        <v>0</v>
      </c>
      <c r="K25" s="960">
        <f>SUMPRODUCT((OP_ST_JO=A25)*(Bdgt_ST_JO))</f>
        <v>0</v>
      </c>
      <c r="L25" s="960">
        <f t="shared" si="0"/>
        <v>292414</v>
      </c>
      <c r="V25">
        <f>SUMPRODUCT((OP_ST_JO=A25)*(DatePmt_ST_JOSEPH&lt;&gt;"")*(DatePmt_ST_JOSEPH&lt;&gt;"en attente")*(YEAR(DatePmt_ST_JOSEPH)=YEAR(M23))*(ISNUMBER(MtntPaye_ST_JOSEPH)),MtntPaye_ST_JOSEPH)</f>
        <v>0</v>
      </c>
    </row>
    <row r="26" spans="1:22" x14ac:dyDescent="0.2">
      <c r="A26" s="956" t="s">
        <v>286</v>
      </c>
      <c r="B26" s="960">
        <f>SUMPRODUCT((OP_FRAFU=A26)*(Bdgt_FRAFU))</f>
        <v>0</v>
      </c>
      <c r="C26" s="960">
        <f>SUMPRODUCT((OP_Rehab=A26)*(Bdgt_Rehab))</f>
        <v>0</v>
      </c>
      <c r="D26" s="960">
        <f>SUMPRODUCT((OP_LBU=A26)*(Bdgt_LBU))</f>
        <v>600000</v>
      </c>
      <c r="E26" s="960">
        <f>SUMPRODUCT((OP_Region=A26)*(Bdgt_Region))</f>
        <v>0</v>
      </c>
      <c r="F26" s="960">
        <f>SUMPRODUCT((OP_Rectorat=A26)*(Bdgt_Rectorat))</f>
        <v>0</v>
      </c>
      <c r="G26" s="960">
        <f>SUMPRODUCT((OP_ADEME=A26)*(Bdgt_ADEME))</f>
        <v>0</v>
      </c>
      <c r="H26" s="960">
        <f>SUMPRODUCT((OP_P_Ile=A26)*(Bdgt_P_Ile))</f>
        <v>0</v>
      </c>
      <c r="I26" s="960">
        <f>SUMPRODUCT((OP_EDF=A26)*(Bdgt_EDF))</f>
        <v>38342.75</v>
      </c>
      <c r="J26" s="960">
        <f>SUMPRODUCT((OP_ETG_SALE=A26)*(Bdgt_ETG_SALE))</f>
        <v>0</v>
      </c>
      <c r="K26" s="960">
        <f>SUMPRODUCT((OP_ST_JO=A26)*(Bdgt_ST_JO))</f>
        <v>0</v>
      </c>
      <c r="L26" s="960">
        <f t="shared" si="0"/>
        <v>638342.75</v>
      </c>
      <c r="V26">
        <f>SUMPRODUCT((OP_ST_JO=A26)*(DatePmt_ST_JOSEPH&lt;&gt;"")*(DatePmt_ST_JOSEPH&lt;&gt;"en attente")*(YEAR(DatePmt_ST_JOSEPH)=YEAR(M24))*(ISNUMBER(MtntPaye_ST_JOSEPH)),MtntPaye_ST_JOSEPH)</f>
        <v>0</v>
      </c>
    </row>
    <row r="27" spans="1:22" x14ac:dyDescent="0.2">
      <c r="A27" s="956" t="s">
        <v>159</v>
      </c>
      <c r="B27" s="960">
        <f>SUMPRODUCT((OP_FRAFU=A27)*(Bdgt_FRAFU))</f>
        <v>0</v>
      </c>
      <c r="C27" s="960">
        <f>SUMPRODUCT((OP_Rehab=A27)*(Bdgt_Rehab))</f>
        <v>0</v>
      </c>
      <c r="D27" s="960">
        <f>SUMPRODUCT((OP_LBU=A27)*(Bdgt_LBU))</f>
        <v>360000</v>
      </c>
      <c r="E27" s="960">
        <f>SUMPRODUCT((OP_Region=A27)*(Bdgt_Region))</f>
        <v>0</v>
      </c>
      <c r="F27" s="960">
        <f>SUMPRODUCT((OP_Rectorat=A27)*(Bdgt_Rectorat))</f>
        <v>0</v>
      </c>
      <c r="G27" s="960">
        <f>SUMPRODUCT((OP_ADEME=A27)*(Bdgt_ADEME))</f>
        <v>0</v>
      </c>
      <c r="H27" s="960">
        <f>SUMPRODUCT((OP_P_Ile=A27)*(Bdgt_P_Ile))</f>
        <v>0</v>
      </c>
      <c r="I27" s="960">
        <f>SUMPRODUCT((OP_EDF=A27)*(Bdgt_EDF))</f>
        <v>22103.5766</v>
      </c>
      <c r="J27" s="960">
        <f>SUMPRODUCT((OP_ETG_SALE=A27)*(Bdgt_ETG_SALE))</f>
        <v>0</v>
      </c>
      <c r="K27" s="960">
        <f>SUMPRODUCT((OP_ST_JO=A27)*(Bdgt_ST_JO))</f>
        <v>0</v>
      </c>
      <c r="L27" s="960">
        <f t="shared" si="0"/>
        <v>382103.57660000003</v>
      </c>
      <c r="V27">
        <f>SUMPRODUCT((OP_ST_JO=A27)*(DatePmt_ST_JOSEPH&lt;&gt;"")*(DatePmt_ST_JOSEPH&lt;&gt;"en attente")*(YEAR(DatePmt_ST_JOSEPH)=YEAR(M25))*(ISNUMBER(MtntPaye_ST_JOSEPH)),MtntPaye_ST_JOSEPH)</f>
        <v>0</v>
      </c>
    </row>
    <row r="28" spans="1:22" x14ac:dyDescent="0.2">
      <c r="A28" s="956" t="s">
        <v>322</v>
      </c>
      <c r="B28" s="960">
        <f>SUMPRODUCT((OP_FRAFU=A28)*(Bdgt_FRAFU))</f>
        <v>0</v>
      </c>
      <c r="C28" s="960">
        <f>SUMPRODUCT((OP_Rehab=A28)*(Bdgt_Rehab))</f>
        <v>0</v>
      </c>
      <c r="D28" s="960">
        <f>SUMPRODUCT((OP_LBU=A28)*(Bdgt_LBU))</f>
        <v>1512000</v>
      </c>
      <c r="E28" s="960">
        <f>SUMPRODUCT((OP_Region=A28)*(Bdgt_Region))</f>
        <v>0</v>
      </c>
      <c r="F28" s="960">
        <f>SUMPRODUCT((OP_Rectorat=A28)*(Bdgt_Rectorat))</f>
        <v>0</v>
      </c>
      <c r="G28" s="960">
        <f>SUMPRODUCT((OP_ADEME=A28)*(Bdgt_ADEME))</f>
        <v>0</v>
      </c>
      <c r="H28" s="960">
        <f>SUMPRODUCT((OP_P_Ile=A28)*(Bdgt_P_Ile))</f>
        <v>0</v>
      </c>
      <c r="I28" s="960">
        <f>SUMPRODUCT((OP_EDF=A28)*(Bdgt_EDF))</f>
        <v>0</v>
      </c>
      <c r="J28" s="960">
        <f>SUMPRODUCT((OP_ETG_SALE=A28)*(Bdgt_ETG_SALE))</f>
        <v>0</v>
      </c>
      <c r="K28" s="960">
        <f>SUMPRODUCT((OP_ST_JO=A28)*(Bdgt_ST_JO))</f>
        <v>0</v>
      </c>
      <c r="L28" s="960">
        <f t="shared" si="0"/>
        <v>1512000</v>
      </c>
      <c r="V28">
        <f>SUMPRODUCT((OP_ST_JO=A28)*(DatePmt_ST_JOSEPH&lt;&gt;"")*(DatePmt_ST_JOSEPH&lt;&gt;"en attente")*(YEAR(DatePmt_ST_JOSEPH)=YEAR(M26))*(ISNUMBER(MtntPaye_ST_JOSEPH)),MtntPaye_ST_JOSEPH)</f>
        <v>0</v>
      </c>
    </row>
    <row r="29" spans="1:22" x14ac:dyDescent="0.2">
      <c r="A29" s="956" t="s">
        <v>371</v>
      </c>
      <c r="B29" s="960">
        <f>SUMPRODUCT((OP_FRAFU=A29)*(Bdgt_FRAFU))</f>
        <v>0</v>
      </c>
      <c r="C29" s="960">
        <f>SUMPRODUCT((OP_Rehab=A29)*(Bdgt_Rehab))</f>
        <v>0</v>
      </c>
      <c r="D29" s="960">
        <f>SUMPRODUCT((OP_LBU=A29)*(Bdgt_LBU))</f>
        <v>418000</v>
      </c>
      <c r="E29" s="960">
        <f>SUMPRODUCT((OP_Region=A29)*(Bdgt_Region))</f>
        <v>0</v>
      </c>
      <c r="F29" s="960">
        <f>SUMPRODUCT((OP_Rectorat=A29)*(Bdgt_Rectorat))</f>
        <v>0</v>
      </c>
      <c r="G29" s="960">
        <f>SUMPRODUCT((OP_ADEME=A29)*(Bdgt_ADEME))</f>
        <v>0</v>
      </c>
      <c r="H29" s="960">
        <f>SUMPRODUCT((OP_P_Ile=A29)*(Bdgt_P_Ile))</f>
        <v>0</v>
      </c>
      <c r="I29" s="960">
        <f>SUMPRODUCT((OP_EDF=A29)*(Bdgt_EDF))</f>
        <v>0</v>
      </c>
      <c r="J29" s="960">
        <f>SUMPRODUCT((OP_ETG_SALE=A29)*(Bdgt_ETG_SALE))</f>
        <v>0</v>
      </c>
      <c r="K29" s="960">
        <f>SUMPRODUCT((OP_ST_JO=A29)*(Bdgt_ST_JO))</f>
        <v>0</v>
      </c>
      <c r="L29" s="960">
        <f t="shared" si="0"/>
        <v>418000</v>
      </c>
      <c r="V29">
        <f>SUMPRODUCT((OP_ST_JO=A29)*(DatePmt_ST_JOSEPH&lt;&gt;"")*(DatePmt_ST_JOSEPH&lt;&gt;"en attente")*(YEAR(DatePmt_ST_JOSEPH)=YEAR(M27))*(ISNUMBER(MtntPaye_ST_JOSEPH)),MtntPaye_ST_JOSEPH)</f>
        <v>0</v>
      </c>
    </row>
    <row r="30" spans="1:22" x14ac:dyDescent="0.2">
      <c r="A30" s="956" t="s">
        <v>372</v>
      </c>
      <c r="B30" s="960">
        <f>SUMPRODUCT((OP_FRAFU=A30)*(Bdgt_FRAFU))</f>
        <v>0</v>
      </c>
      <c r="C30" s="960">
        <f>SUMPRODUCT((OP_Rehab=A30)*(Bdgt_Rehab))</f>
        <v>0</v>
      </c>
      <c r="D30" s="960">
        <f>SUMPRODUCT((OP_LBU=A30)*(Bdgt_LBU))</f>
        <v>714000</v>
      </c>
      <c r="E30" s="960">
        <f>SUMPRODUCT((OP_Region=A30)*(Bdgt_Region))</f>
        <v>0</v>
      </c>
      <c r="F30" s="960">
        <f>SUMPRODUCT((OP_Rectorat=A30)*(Bdgt_Rectorat))</f>
        <v>0</v>
      </c>
      <c r="G30" s="960">
        <f>SUMPRODUCT((OP_ADEME=A30)*(Bdgt_ADEME))</f>
        <v>0</v>
      </c>
      <c r="H30" s="960">
        <f>SUMPRODUCT((OP_P_Ile=A30)*(Bdgt_P_Ile))</f>
        <v>0</v>
      </c>
      <c r="I30" s="960">
        <f>SUMPRODUCT((OP_EDF=A30)*(Bdgt_EDF))</f>
        <v>0</v>
      </c>
      <c r="J30" s="960">
        <f>SUMPRODUCT((OP_ETG_SALE=A30)*(Bdgt_ETG_SALE))</f>
        <v>0</v>
      </c>
      <c r="K30" s="960">
        <f>SUMPRODUCT((OP_ST_JO=A30)*(Bdgt_ST_JO))</f>
        <v>0</v>
      </c>
      <c r="L30" s="960">
        <f t="shared" si="0"/>
        <v>714000</v>
      </c>
      <c r="V30">
        <f>SUMPRODUCT((OP_ST_JO=A30)*(DatePmt_ST_JOSEPH&lt;&gt;"")*(DatePmt_ST_JOSEPH&lt;&gt;"en attente")*(YEAR(DatePmt_ST_JOSEPH)=YEAR(M28))*(ISNUMBER(MtntPaye_ST_JOSEPH)),MtntPaye_ST_JOSEPH)</f>
        <v>0</v>
      </c>
    </row>
    <row r="31" spans="1:22" x14ac:dyDescent="0.2">
      <c r="A31" s="956" t="s">
        <v>57</v>
      </c>
      <c r="B31" s="960">
        <f>SUMPRODUCT((OP_FRAFU=A31)*(Bdgt_FRAFU))</f>
        <v>0</v>
      </c>
      <c r="C31" s="960">
        <f>SUMPRODUCT((OP_Rehab=A31)*(Bdgt_Rehab))</f>
        <v>0</v>
      </c>
      <c r="D31" s="960">
        <f>SUMPRODUCT((OP_LBU=A31)*(Bdgt_LBU))</f>
        <v>393834.24429999996</v>
      </c>
      <c r="E31" s="960">
        <f>SUMPRODUCT((OP_Region=A31)*(Bdgt_Region))</f>
        <v>0</v>
      </c>
      <c r="F31" s="960">
        <f>SUMPRODUCT((OP_Rectorat=A31)*(Bdgt_Rectorat))</f>
        <v>0</v>
      </c>
      <c r="G31" s="960">
        <f>SUMPRODUCT((OP_ADEME=A31)*(Bdgt_ADEME))</f>
        <v>0</v>
      </c>
      <c r="H31" s="960">
        <f>SUMPRODUCT((OP_P_Ile=A31)*(Bdgt_P_Ile))</f>
        <v>0</v>
      </c>
      <c r="I31" s="960">
        <f>SUMPRODUCT((OP_EDF=A31)*(Bdgt_EDF))</f>
        <v>34402.42</v>
      </c>
      <c r="J31" s="960">
        <f>SUMPRODUCT((OP_ETG_SALE=A31)*(Bdgt_ETG_SALE))</f>
        <v>0</v>
      </c>
      <c r="K31" s="960">
        <f>SUMPRODUCT((OP_ST_JO=A31)*(Bdgt_ST_JO))</f>
        <v>162750</v>
      </c>
      <c r="L31" s="960">
        <f t="shared" si="0"/>
        <v>590986.66429999995</v>
      </c>
      <c r="V31">
        <f>SUMPRODUCT((OP_ST_JO=A31)*(DatePmt_ST_JOSEPH&lt;&gt;"")*(DatePmt_ST_JOSEPH&lt;&gt;"en attente")*(YEAR(DatePmt_ST_JOSEPH)=YEAR(M29))*(ISNUMBER(MtntPaye_ST_JOSEPH)),MtntPaye_ST_JOSEPH)</f>
        <v>0</v>
      </c>
    </row>
    <row r="32" spans="1:22" x14ac:dyDescent="0.2">
      <c r="A32" s="956" t="s">
        <v>414</v>
      </c>
      <c r="B32" s="960">
        <f>SUMPRODUCT((OP_FRAFU=A32)*(Bdgt_FRAFU))</f>
        <v>0</v>
      </c>
      <c r="C32" s="960">
        <f>SUMPRODUCT((OP_Rehab=A32)*(Bdgt_Rehab))</f>
        <v>150000</v>
      </c>
      <c r="D32" s="960">
        <f>SUMPRODUCT((OP_LBU=A32)*(Bdgt_LBU))</f>
        <v>0</v>
      </c>
      <c r="E32" s="960">
        <f>SUMPRODUCT((OP_Region=A32)*(Bdgt_Region))</f>
        <v>0</v>
      </c>
      <c r="F32" s="960">
        <f>SUMPRODUCT((OP_Rectorat=A32)*(Bdgt_Rectorat))</f>
        <v>0</v>
      </c>
      <c r="G32" s="960">
        <f>SUMPRODUCT((OP_ADEME=A32)*(Bdgt_ADEME))</f>
        <v>0</v>
      </c>
      <c r="H32" s="960">
        <f>SUMPRODUCT((OP_P_Ile=A32)*(Bdgt_P_Ile))</f>
        <v>0</v>
      </c>
      <c r="I32" s="960">
        <f>SUMPRODUCT((OP_EDF=A32)*(Bdgt_EDF))</f>
        <v>0</v>
      </c>
      <c r="J32" s="960">
        <f>SUMPRODUCT((OP_ETG_SALE=A32)*(Bdgt_ETG_SALE))</f>
        <v>0</v>
      </c>
      <c r="K32" s="960">
        <f>SUMPRODUCT((OP_ST_JO=A32)*(Bdgt_ST_JO))</f>
        <v>0</v>
      </c>
      <c r="L32" s="960">
        <f t="shared" si="0"/>
        <v>150000</v>
      </c>
      <c r="V32">
        <f>SUMPRODUCT((OP_ST_JO=A32)*(DatePmt_ST_JOSEPH&lt;&gt;"")*(DatePmt_ST_JOSEPH&lt;&gt;"en attente")*(YEAR(DatePmt_ST_JOSEPH)=YEAR(M30))*(ISNUMBER(MtntPaye_ST_JOSEPH)),MtntPaye_ST_JOSEPH)</f>
        <v>0</v>
      </c>
    </row>
    <row r="33" spans="1:22" x14ac:dyDescent="0.2">
      <c r="A33" s="956" t="s">
        <v>415</v>
      </c>
      <c r="B33" s="960">
        <f>SUMPRODUCT((OP_FRAFU=A33)*(Bdgt_FRAFU))</f>
        <v>0</v>
      </c>
      <c r="C33" s="960">
        <f>SUMPRODUCT((OP_Rehab=A33)*(Bdgt_Rehab))</f>
        <v>0</v>
      </c>
      <c r="D33" s="960">
        <f>SUMPRODUCT((OP_LBU=A33)*(Bdgt_LBU))</f>
        <v>0</v>
      </c>
      <c r="E33" s="960">
        <f>SUMPRODUCT((OP_Region=A33)*(Bdgt_Region))</f>
        <v>0</v>
      </c>
      <c r="F33" s="960">
        <f>SUMPRODUCT((OP_Rectorat=A33)*(Bdgt_Rectorat))</f>
        <v>0</v>
      </c>
      <c r="G33" s="960">
        <f>SUMPRODUCT((OP_ADEME=A33)*(Bdgt_ADEME))</f>
        <v>0</v>
      </c>
      <c r="H33" s="960">
        <f>SUMPRODUCT((OP_P_Ile=A33)*(Bdgt_P_Ile))</f>
        <v>0</v>
      </c>
      <c r="I33" s="960">
        <f>SUMPRODUCT((OP_EDF=A33)*(Bdgt_EDF))</f>
        <v>0</v>
      </c>
      <c r="J33" s="960">
        <f>SUMPRODUCT((OP_ETG_SALE=A33)*(Bdgt_ETG_SALE))</f>
        <v>0</v>
      </c>
      <c r="K33" s="960">
        <f>SUMPRODUCT((OP_ST_JO=A33)*(Bdgt_ST_JO))</f>
        <v>0</v>
      </c>
      <c r="L33" s="960">
        <f t="shared" si="0"/>
        <v>0</v>
      </c>
      <c r="V33">
        <f>SUMPRODUCT((OP_ST_JO=A33)*(DatePmt_ST_JOSEPH&lt;&gt;"")*(DatePmt_ST_JOSEPH&lt;&gt;"en attente")*(YEAR(DatePmt_ST_JOSEPH)=YEAR(M31))*(ISNUMBER(MtntPaye_ST_JOSEPH)),MtntPaye_ST_JOSEPH)</f>
        <v>0</v>
      </c>
    </row>
    <row r="34" spans="1:22" x14ac:dyDescent="0.2">
      <c r="A34" s="956" t="s">
        <v>407</v>
      </c>
      <c r="B34" s="960">
        <f>SUMPRODUCT((OP_FRAFU=A34)*(Bdgt_FRAFU))</f>
        <v>0</v>
      </c>
      <c r="C34" s="960">
        <f>SUMPRODUCT((OP_Rehab=A34)*(Bdgt_Rehab))</f>
        <v>0</v>
      </c>
      <c r="D34" s="960">
        <f>SUMPRODUCT((OP_LBU=A34)*(Bdgt_LBU))</f>
        <v>0</v>
      </c>
      <c r="E34" s="960">
        <f>SUMPRODUCT((OP_Region=A34)*(Bdgt_Region))</f>
        <v>0</v>
      </c>
      <c r="F34" s="960">
        <f>SUMPRODUCT((OP_Rectorat=A34)*(Bdgt_Rectorat))</f>
        <v>0</v>
      </c>
      <c r="G34" s="960">
        <f>SUMPRODUCT((OP_ADEME=A34)*(Bdgt_ADEME))</f>
        <v>1575</v>
      </c>
      <c r="H34" s="960">
        <f>SUMPRODUCT((OP_P_Ile=A34)*(Bdgt_P_Ile))</f>
        <v>0</v>
      </c>
      <c r="I34" s="960">
        <f>SUMPRODUCT((OP_EDF=A34)*(Bdgt_EDF))</f>
        <v>0</v>
      </c>
      <c r="J34" s="960">
        <f>SUMPRODUCT((OP_ETG_SALE=A34)*(Bdgt_ETG_SALE))</f>
        <v>0</v>
      </c>
      <c r="K34" s="960">
        <f>SUMPRODUCT((OP_ST_JO=A34)*(Bdgt_ST_JO))</f>
        <v>0</v>
      </c>
      <c r="L34" s="960">
        <f t="shared" si="0"/>
        <v>1575</v>
      </c>
      <c r="V34">
        <f>SUMPRODUCT((OP_ST_JO=A34)*(DatePmt_ST_JOSEPH&lt;&gt;"")*(DatePmt_ST_JOSEPH&lt;&gt;"en attente")*(YEAR(DatePmt_ST_JOSEPH)=YEAR(M32))*(ISNUMBER(MtntPaye_ST_JOSEPH)),MtntPaye_ST_JOSEPH)</f>
        <v>0</v>
      </c>
    </row>
    <row r="35" spans="1:22" x14ac:dyDescent="0.2">
      <c r="A35" s="956" t="s">
        <v>142</v>
      </c>
      <c r="B35" s="960">
        <f>SUMPRODUCT((OP_FRAFU=A35)*(Bdgt_FRAFU))</f>
        <v>0</v>
      </c>
      <c r="C35" s="960">
        <f>SUMPRODUCT((OP_Rehab=A35)*(Bdgt_Rehab))</f>
        <v>0</v>
      </c>
      <c r="D35" s="960">
        <f>SUMPRODUCT((OP_LBU=A35)*(Bdgt_LBU))</f>
        <v>400000</v>
      </c>
      <c r="E35" s="960">
        <f>SUMPRODUCT((OP_Region=A35)*(Bdgt_Region))</f>
        <v>0</v>
      </c>
      <c r="F35" s="960">
        <f>SUMPRODUCT((OP_Rectorat=A35)*(Bdgt_Rectorat))</f>
        <v>0</v>
      </c>
      <c r="G35" s="960">
        <f>SUMPRODUCT((OP_ADEME=A35)*(Bdgt_ADEME))</f>
        <v>0</v>
      </c>
      <c r="H35" s="960">
        <f>SUMPRODUCT((OP_P_Ile=A35)*(Bdgt_P_Ile))</f>
        <v>0</v>
      </c>
      <c r="I35" s="960">
        <f>SUMPRODUCT((OP_EDF=A35)*(Bdgt_EDF))</f>
        <v>30128.059999999998</v>
      </c>
      <c r="J35" s="960">
        <f>SUMPRODUCT((OP_ETG_SALE=A35)*(Bdgt_ETG_SALE))</f>
        <v>0</v>
      </c>
      <c r="K35" s="960">
        <f>SUMPRODUCT((OP_ST_JO=A35)*(Bdgt_ST_JO))</f>
        <v>0</v>
      </c>
      <c r="L35" s="960">
        <f t="shared" si="0"/>
        <v>430128.06</v>
      </c>
      <c r="V35">
        <f>SUMPRODUCT((OP_ST_JO=A35)*(DatePmt_ST_JOSEPH&lt;&gt;"")*(DatePmt_ST_JOSEPH&lt;&gt;"en attente")*(YEAR(DatePmt_ST_JOSEPH)=YEAR(M33))*(ISNUMBER(MtntPaye_ST_JOSEPH)),MtntPaye_ST_JOSEPH)</f>
        <v>0</v>
      </c>
    </row>
    <row r="36" spans="1:22" x14ac:dyDescent="0.2">
      <c r="A36" s="956" t="s">
        <v>331</v>
      </c>
      <c r="B36" s="960">
        <f>SUMPRODUCT((OP_FRAFU=A36)*(Bdgt_FRAFU))</f>
        <v>0</v>
      </c>
      <c r="C36" s="960">
        <f>SUMPRODUCT((OP_Rehab=A36)*(Bdgt_Rehab))</f>
        <v>0</v>
      </c>
      <c r="D36" s="960">
        <f>SUMPRODUCT((OP_LBU=A36)*(Bdgt_LBU))</f>
        <v>504000</v>
      </c>
      <c r="E36" s="960">
        <f>SUMPRODUCT((OP_Region=A36)*(Bdgt_Region))</f>
        <v>0</v>
      </c>
      <c r="F36" s="960">
        <f>SUMPRODUCT((OP_Rectorat=A36)*(Bdgt_Rectorat))</f>
        <v>0</v>
      </c>
      <c r="G36" s="960">
        <f>SUMPRODUCT((OP_ADEME=A36)*(Bdgt_ADEME))</f>
        <v>0</v>
      </c>
      <c r="H36" s="960">
        <f>SUMPRODUCT((OP_P_Ile=A36)*(Bdgt_P_Ile))</f>
        <v>0</v>
      </c>
      <c r="I36" s="960">
        <f>SUMPRODUCT((OP_EDF=A36)*(Bdgt_EDF))</f>
        <v>102991.94324999998</v>
      </c>
      <c r="J36" s="960">
        <f>SUMPRODUCT((OP_ETG_SALE=A36)*(Bdgt_ETG_SALE))</f>
        <v>0</v>
      </c>
      <c r="K36" s="960">
        <f>SUMPRODUCT((OP_ST_JO=A36)*(Bdgt_ST_JO))</f>
        <v>0</v>
      </c>
      <c r="L36" s="960">
        <f t="shared" si="0"/>
        <v>606991.94325000001</v>
      </c>
      <c r="V36">
        <f>SUMPRODUCT((OP_ST_JO=A36)*(DatePmt_ST_JOSEPH&lt;&gt;"")*(DatePmt_ST_JOSEPH&lt;&gt;"en attente")*(YEAR(DatePmt_ST_JOSEPH)=YEAR(M34))*(ISNUMBER(MtntPaye_ST_JOSEPH)),MtntPaye_ST_JOSEPH)</f>
        <v>0</v>
      </c>
    </row>
    <row r="37" spans="1:22" x14ac:dyDescent="0.2">
      <c r="A37" s="956" t="s">
        <v>293</v>
      </c>
      <c r="B37" s="960">
        <f>SUMPRODUCT((OP_FRAFU=A37)*(Bdgt_FRAFU))</f>
        <v>0</v>
      </c>
      <c r="C37" s="960">
        <f>SUMPRODUCT((OP_Rehab=A37)*(Bdgt_Rehab))</f>
        <v>0</v>
      </c>
      <c r="D37" s="960">
        <f>SUMPRODUCT((OP_LBU=A37)*(Bdgt_LBU))</f>
        <v>945000</v>
      </c>
      <c r="E37" s="960">
        <f>SUMPRODUCT((OP_Region=A37)*(Bdgt_Region))</f>
        <v>0</v>
      </c>
      <c r="F37" s="960">
        <f>SUMPRODUCT((OP_Rectorat=A37)*(Bdgt_Rectorat))</f>
        <v>0</v>
      </c>
      <c r="G37" s="960">
        <f>SUMPRODUCT((OP_ADEME=A37)*(Bdgt_ADEME))</f>
        <v>0</v>
      </c>
      <c r="H37" s="960">
        <f>SUMPRODUCT((OP_P_Ile=A37)*(Bdgt_P_Ile))</f>
        <v>0</v>
      </c>
      <c r="I37" s="960">
        <f>SUMPRODUCT((OP_EDF=A37)*(Bdgt_EDF))</f>
        <v>173939.71350000001</v>
      </c>
      <c r="J37" s="960">
        <f>SUMPRODUCT((OP_ETG_SALE=A37)*(Bdgt_ETG_SALE))</f>
        <v>0</v>
      </c>
      <c r="K37" s="960">
        <f>SUMPRODUCT((OP_ST_JO=A37)*(Bdgt_ST_JO))</f>
        <v>0</v>
      </c>
      <c r="L37" s="960">
        <f t="shared" si="0"/>
        <v>1118939.7135000001</v>
      </c>
      <c r="V37">
        <f>SUMPRODUCT((OP_ST_JO=A37)*(DatePmt_ST_JOSEPH&lt;&gt;"")*(DatePmt_ST_JOSEPH&lt;&gt;"en attente")*(YEAR(DatePmt_ST_JOSEPH)=YEAR(M35))*(ISNUMBER(MtntPaye_ST_JOSEPH)),MtntPaye_ST_JOSEPH)</f>
        <v>0</v>
      </c>
    </row>
    <row r="38" spans="1:22" x14ac:dyDescent="0.2">
      <c r="A38" s="956" t="s">
        <v>274</v>
      </c>
      <c r="B38" s="960">
        <f>SUMPRODUCT((OP_FRAFU=A38)*(Bdgt_FRAFU))</f>
        <v>560000</v>
      </c>
      <c r="C38" s="960">
        <f>SUMPRODUCT((OP_Rehab=A38)*(Bdgt_Rehab))</f>
        <v>0</v>
      </c>
      <c r="D38" s="960">
        <f>SUMPRODUCT((OP_LBU=A38)*(Bdgt_LBU))</f>
        <v>656000</v>
      </c>
      <c r="E38" s="960">
        <f>SUMPRODUCT((OP_Region=A38)*(Bdgt_Region))</f>
        <v>0</v>
      </c>
      <c r="F38" s="960">
        <f>SUMPRODUCT((OP_Rectorat=A38)*(Bdgt_Rectorat))</f>
        <v>0</v>
      </c>
      <c r="G38" s="960">
        <f>SUMPRODUCT((OP_ADEME=A38)*(Bdgt_ADEME))</f>
        <v>0</v>
      </c>
      <c r="H38" s="960">
        <f>SUMPRODUCT((OP_P_Ile=A38)*(Bdgt_P_Ile))</f>
        <v>92042.64</v>
      </c>
      <c r="I38" s="960">
        <f>SUMPRODUCT((OP_EDF=A38)*(Bdgt_EDF))</f>
        <v>74691.399999999994</v>
      </c>
      <c r="J38" s="960">
        <f>SUMPRODUCT((OP_ETG_SALE=A38)*(Bdgt_ETG_SALE))</f>
        <v>0</v>
      </c>
      <c r="K38" s="960">
        <f>SUMPRODUCT((OP_ST_JO=A38)*(Bdgt_ST_JO))</f>
        <v>0</v>
      </c>
      <c r="L38" s="960">
        <f t="shared" si="0"/>
        <v>1382734.0399999998</v>
      </c>
      <c r="V38">
        <f>SUMPRODUCT((OP_ST_JO=A38)*(DatePmt_ST_JOSEPH&lt;&gt;"")*(DatePmt_ST_JOSEPH&lt;&gt;"en attente")*(YEAR(DatePmt_ST_JOSEPH)=YEAR(M36))*(ISNUMBER(MtntPaye_ST_JOSEPH)),MtntPaye_ST_JOSEPH)</f>
        <v>0</v>
      </c>
    </row>
    <row r="39" spans="1:22" x14ac:dyDescent="0.2">
      <c r="A39" s="956" t="s">
        <v>37</v>
      </c>
      <c r="B39" s="960">
        <f>SUMPRODUCT((OP_FRAFU=A39)*(Bdgt_FRAFU))</f>
        <v>0</v>
      </c>
      <c r="C39" s="960">
        <f>SUMPRODUCT((OP_Rehab=A39)*(Bdgt_Rehab))</f>
        <v>0</v>
      </c>
      <c r="D39" s="960">
        <f>SUMPRODUCT((OP_LBU=A39)*(Bdgt_LBU))</f>
        <v>442750</v>
      </c>
      <c r="E39" s="960">
        <f>SUMPRODUCT((OP_Region=A39)*(Bdgt_Region))</f>
        <v>0</v>
      </c>
      <c r="F39" s="960">
        <f>SUMPRODUCT((OP_Rectorat=A39)*(Bdgt_Rectorat))</f>
        <v>0</v>
      </c>
      <c r="G39" s="960">
        <f>SUMPRODUCT((OP_ADEME=A39)*(Bdgt_ADEME))</f>
        <v>0</v>
      </c>
      <c r="H39" s="960">
        <f>SUMPRODUCT((OP_P_Ile=A39)*(Bdgt_P_Ile))</f>
        <v>0</v>
      </c>
      <c r="I39" s="960">
        <f>SUMPRODUCT((OP_EDF=A39)*(Bdgt_EDF))</f>
        <v>123038.96219999999</v>
      </c>
      <c r="J39" s="960">
        <f>SUMPRODUCT((OP_ETG_SALE=A39)*(Bdgt_ETG_SALE))</f>
        <v>0</v>
      </c>
      <c r="K39" s="960">
        <f>SUMPRODUCT((OP_ST_JO=A39)*(Bdgt_ST_JO))</f>
        <v>292222.2</v>
      </c>
      <c r="L39" s="960">
        <f t="shared" si="0"/>
        <v>858011.1621999999</v>
      </c>
      <c r="V39">
        <f>SUMPRODUCT((OP_ST_JO=A39)*(DatePmt_ST_JOSEPH&lt;&gt;"")*(DatePmt_ST_JOSEPH&lt;&gt;"en attente")*(YEAR(DatePmt_ST_JOSEPH)=YEAR(M37))*(ISNUMBER(MtntPaye_ST_JOSEPH)),MtntPaye_ST_JOSEPH)</f>
        <v>0</v>
      </c>
    </row>
    <row r="40" spans="1:22" x14ac:dyDescent="0.2">
      <c r="A40" s="956" t="s">
        <v>305</v>
      </c>
      <c r="B40" s="960">
        <f>SUMPRODUCT((OP_FRAFU=A40)*(Bdgt_FRAFU))</f>
        <v>0</v>
      </c>
      <c r="C40" s="960">
        <f>SUMPRODUCT((OP_Rehab=A40)*(Bdgt_Rehab))</f>
        <v>0</v>
      </c>
      <c r="D40" s="960">
        <f>SUMPRODUCT((OP_LBU=A40)*(Bdgt_LBU))</f>
        <v>1100000</v>
      </c>
      <c r="E40" s="960">
        <f>SUMPRODUCT((OP_Region=A40)*(Bdgt_Region))</f>
        <v>0</v>
      </c>
      <c r="F40" s="960">
        <f>SUMPRODUCT((OP_Rectorat=A40)*(Bdgt_Rectorat))</f>
        <v>0</v>
      </c>
      <c r="G40" s="960">
        <f>SUMPRODUCT((OP_ADEME=A40)*(Bdgt_ADEME))</f>
        <v>0</v>
      </c>
      <c r="H40" s="960">
        <f>SUMPRODUCT((OP_P_Ile=A40)*(Bdgt_P_Ile))</f>
        <v>0</v>
      </c>
      <c r="I40" s="960">
        <f>SUMPRODUCT((OP_EDF=A40)*(Bdgt_EDF))</f>
        <v>0</v>
      </c>
      <c r="J40" s="960">
        <f>SUMPRODUCT((OP_ETG_SALE=A40)*(Bdgt_ETG_SALE))</f>
        <v>0</v>
      </c>
      <c r="K40" s="960">
        <f>SUMPRODUCT((OP_ST_JO=A40)*(Bdgt_ST_JO))</f>
        <v>0</v>
      </c>
      <c r="L40" s="960">
        <f t="shared" si="0"/>
        <v>1100000</v>
      </c>
      <c r="V40">
        <f>SUMPRODUCT((OP_ST_JO=A40)*(DatePmt_ST_JOSEPH&lt;&gt;"")*(DatePmt_ST_JOSEPH&lt;&gt;"en attente")*(YEAR(DatePmt_ST_JOSEPH)=YEAR(M38))*(ISNUMBER(MtntPaye_ST_JOSEPH)),MtntPaye_ST_JOSEPH)</f>
        <v>0</v>
      </c>
    </row>
    <row r="41" spans="1:22" x14ac:dyDescent="0.2">
      <c r="A41" s="956" t="s">
        <v>373</v>
      </c>
      <c r="B41" s="960">
        <f>SUMPRODUCT((OP_FRAFU=A41)*(Bdgt_FRAFU))</f>
        <v>0</v>
      </c>
      <c r="C41" s="960">
        <f>SUMPRODUCT((OP_Rehab=A41)*(Bdgt_Rehab))</f>
        <v>0</v>
      </c>
      <c r="D41" s="960">
        <f>SUMPRODUCT((OP_LBU=A41)*(Bdgt_LBU))</f>
        <v>323000</v>
      </c>
      <c r="E41" s="960">
        <f>SUMPRODUCT((OP_Region=A41)*(Bdgt_Region))</f>
        <v>0</v>
      </c>
      <c r="F41" s="960">
        <f>SUMPRODUCT((OP_Rectorat=A41)*(Bdgt_Rectorat))</f>
        <v>0</v>
      </c>
      <c r="G41" s="960">
        <f>SUMPRODUCT((OP_ADEME=A41)*(Bdgt_ADEME))</f>
        <v>4200</v>
      </c>
      <c r="H41" s="960">
        <f>SUMPRODUCT((OP_P_Ile=A41)*(Bdgt_P_Ile))</f>
        <v>0</v>
      </c>
      <c r="I41" s="960">
        <f>SUMPRODUCT((OP_EDF=A41)*(Bdgt_EDF))</f>
        <v>0</v>
      </c>
      <c r="J41" s="960">
        <f>SUMPRODUCT((OP_ETG_SALE=A41)*(Bdgt_ETG_SALE))</f>
        <v>0</v>
      </c>
      <c r="K41" s="960">
        <f>SUMPRODUCT((OP_ST_JO=A41)*(Bdgt_ST_JO))</f>
        <v>0</v>
      </c>
      <c r="L41" s="960">
        <f t="shared" si="0"/>
        <v>327200</v>
      </c>
      <c r="V41">
        <f>SUMPRODUCT((OP_ST_JO=A41)*(DatePmt_ST_JOSEPH&lt;&gt;"")*(DatePmt_ST_JOSEPH&lt;&gt;"en attente")*(YEAR(DatePmt_ST_JOSEPH)=YEAR(M39))*(ISNUMBER(MtntPaye_ST_JOSEPH)),MtntPaye_ST_JOSEPH)</f>
        <v>0</v>
      </c>
    </row>
    <row r="42" spans="1:22" x14ac:dyDescent="0.2">
      <c r="A42" s="956" t="s">
        <v>268</v>
      </c>
      <c r="B42" s="960">
        <f>SUMPRODUCT((OP_FRAFU=A42)*(Bdgt_FRAFU))</f>
        <v>0</v>
      </c>
      <c r="C42" s="960">
        <f>SUMPRODUCT((OP_Rehab=A42)*(Bdgt_Rehab))</f>
        <v>0</v>
      </c>
      <c r="D42" s="960">
        <f>SUMPRODUCT((OP_LBU=A42)*(Bdgt_LBU))</f>
        <v>270000</v>
      </c>
      <c r="E42" s="960">
        <f>SUMPRODUCT((OP_Region=A42)*(Bdgt_Region))</f>
        <v>0</v>
      </c>
      <c r="F42" s="960">
        <f>SUMPRODUCT((OP_Rectorat=A42)*(Bdgt_Rectorat))</f>
        <v>0</v>
      </c>
      <c r="G42" s="960">
        <f>SUMPRODUCT((OP_ADEME=A42)*(Bdgt_ADEME))</f>
        <v>0</v>
      </c>
      <c r="H42" s="960">
        <f>SUMPRODUCT((OP_P_Ile=A42)*(Bdgt_P_Ile))</f>
        <v>0</v>
      </c>
      <c r="I42" s="960">
        <f>SUMPRODUCT((OP_EDF=A42)*(Bdgt_EDF))</f>
        <v>69990.431349999999</v>
      </c>
      <c r="J42" s="960">
        <f>SUMPRODUCT((OP_ETG_SALE=A42)*(Bdgt_ETG_SALE))</f>
        <v>0</v>
      </c>
      <c r="K42" s="960">
        <f>SUMPRODUCT((OP_ST_JO=A42)*(Bdgt_ST_JO))</f>
        <v>0</v>
      </c>
      <c r="L42" s="960">
        <f t="shared" si="0"/>
        <v>339990.43134999997</v>
      </c>
      <c r="V42">
        <f>SUMPRODUCT((OP_ST_JO=A42)*(DatePmt_ST_JOSEPH&lt;&gt;"")*(DatePmt_ST_JOSEPH&lt;&gt;"en attente")*(YEAR(DatePmt_ST_JOSEPH)=YEAR(M40))*(ISNUMBER(MtntPaye_ST_JOSEPH)),MtntPaye_ST_JOSEPH)</f>
        <v>0</v>
      </c>
    </row>
    <row r="43" spans="1:22" x14ac:dyDescent="0.2">
      <c r="A43" s="956" t="s">
        <v>374</v>
      </c>
      <c r="B43" s="960">
        <f>SUMPRODUCT((OP_FRAFU=A43)*(Bdgt_FRAFU))</f>
        <v>0</v>
      </c>
      <c r="C43" s="960">
        <f>SUMPRODUCT((OP_Rehab=A43)*(Bdgt_Rehab))</f>
        <v>0</v>
      </c>
      <c r="D43" s="960">
        <f>SUMPRODUCT((OP_LBU=A43)*(Bdgt_LBU))</f>
        <v>643500</v>
      </c>
      <c r="E43" s="960">
        <f>SUMPRODUCT((OP_Region=A43)*(Bdgt_Region))</f>
        <v>0</v>
      </c>
      <c r="F43" s="960">
        <f>SUMPRODUCT((OP_Rectorat=A43)*(Bdgt_Rectorat))</f>
        <v>0</v>
      </c>
      <c r="G43" s="960">
        <f>SUMPRODUCT((OP_ADEME=A43)*(Bdgt_ADEME))</f>
        <v>0</v>
      </c>
      <c r="H43" s="960">
        <f>SUMPRODUCT((OP_P_Ile=A43)*(Bdgt_P_Ile))</f>
        <v>0</v>
      </c>
      <c r="I43" s="960">
        <f>SUMPRODUCT((OP_EDF=A43)*(Bdgt_EDF))</f>
        <v>0</v>
      </c>
      <c r="J43" s="960">
        <f>SUMPRODUCT((OP_ETG_SALE=A43)*(Bdgt_ETG_SALE))</f>
        <v>0</v>
      </c>
      <c r="K43" s="960">
        <f>SUMPRODUCT((OP_ST_JO=A43)*(Bdgt_ST_JO))</f>
        <v>0</v>
      </c>
      <c r="L43" s="960">
        <f t="shared" si="0"/>
        <v>643500</v>
      </c>
      <c r="V43">
        <f>SUMPRODUCT((OP_ST_JO=A43)*(DatePmt_ST_JOSEPH&lt;&gt;"")*(DatePmt_ST_JOSEPH&lt;&gt;"en attente")*(YEAR(DatePmt_ST_JOSEPH)=YEAR(M41))*(ISNUMBER(MtntPaye_ST_JOSEPH)),MtntPaye_ST_JOSEPH)</f>
        <v>0</v>
      </c>
    </row>
    <row r="44" spans="1:22" x14ac:dyDescent="0.2">
      <c r="A44" s="956" t="s">
        <v>56</v>
      </c>
      <c r="B44" s="960">
        <f>SUMPRODUCT((OP_FRAFU=A44)*(Bdgt_FRAFU))</f>
        <v>680000</v>
      </c>
      <c r="C44" s="960">
        <f>SUMPRODUCT((OP_Rehab=A44)*(Bdgt_Rehab))</f>
        <v>0</v>
      </c>
      <c r="D44" s="960">
        <f>SUMPRODUCT((OP_LBU=A44)*(Bdgt_LBU))</f>
        <v>680003.73609999998</v>
      </c>
      <c r="E44" s="960">
        <f>SUMPRODUCT((OP_Region=A44)*(Bdgt_Region))</f>
        <v>0</v>
      </c>
      <c r="F44" s="960">
        <f>SUMPRODUCT((OP_Rectorat=A44)*(Bdgt_Rectorat))</f>
        <v>0</v>
      </c>
      <c r="G44" s="960">
        <f>SUMPRODUCT((OP_ADEME=A44)*(Bdgt_ADEME))</f>
        <v>0</v>
      </c>
      <c r="H44" s="960">
        <f>SUMPRODUCT((OP_P_Ile=A44)*(Bdgt_P_Ile))</f>
        <v>0</v>
      </c>
      <c r="I44" s="960">
        <f>SUMPRODUCT((OP_EDF=A44)*(Bdgt_EDF))</f>
        <v>120804.55</v>
      </c>
      <c r="J44" s="960">
        <f>SUMPRODUCT((OP_ETG_SALE=A44)*(Bdgt_ETG_SALE))</f>
        <v>0</v>
      </c>
      <c r="K44" s="960">
        <f>SUMPRODUCT((OP_ST_JO=A44)*(Bdgt_ST_JO))</f>
        <v>55743.18</v>
      </c>
      <c r="L44" s="960">
        <f t="shared" si="0"/>
        <v>1536551.4660999998</v>
      </c>
      <c r="V44">
        <f>SUMPRODUCT((OP_ST_JO=A44)*(DatePmt_ST_JOSEPH&lt;&gt;"")*(DatePmt_ST_JOSEPH&lt;&gt;"en attente")*(YEAR(DatePmt_ST_JOSEPH)=YEAR(M42))*(ISNUMBER(MtntPaye_ST_JOSEPH)),MtntPaye_ST_JOSEPH)</f>
        <v>0</v>
      </c>
    </row>
    <row r="45" spans="1:22" x14ac:dyDescent="0.2">
      <c r="A45" s="956" t="s">
        <v>60</v>
      </c>
      <c r="B45" s="960">
        <f>SUMPRODUCT((OP_FRAFU=A45)*(Bdgt_FRAFU))</f>
        <v>0</v>
      </c>
      <c r="C45" s="960">
        <f>SUMPRODUCT((OP_Rehab=A45)*(Bdgt_Rehab))</f>
        <v>0</v>
      </c>
      <c r="D45" s="960">
        <f>SUMPRODUCT((OP_LBU=A45)*(Bdgt_LBU))</f>
        <v>1</v>
      </c>
      <c r="E45" s="960">
        <f>SUMPRODUCT((OP_Region=A45)*(Bdgt_Region))</f>
        <v>0</v>
      </c>
      <c r="F45" s="960">
        <f>SUMPRODUCT((OP_Rectorat=A45)*(Bdgt_Rectorat))</f>
        <v>0</v>
      </c>
      <c r="G45" s="960">
        <f>SUMPRODUCT((OP_ADEME=A45)*(Bdgt_ADEME))</f>
        <v>0</v>
      </c>
      <c r="H45" s="960">
        <f>SUMPRODUCT((OP_P_Ile=A45)*(Bdgt_P_Ile))</f>
        <v>0</v>
      </c>
      <c r="I45" s="960">
        <f>SUMPRODUCT((OP_EDF=A45)*(Bdgt_EDF))</f>
        <v>57669.912850000001</v>
      </c>
      <c r="J45" s="960">
        <f>SUMPRODUCT((OP_ETG_SALE=A45)*(Bdgt_ETG_SALE))</f>
        <v>0</v>
      </c>
      <c r="K45" s="960">
        <f>SUMPRODUCT((OP_ST_JO=A45)*(Bdgt_ST_JO))</f>
        <v>0</v>
      </c>
      <c r="L45" s="960">
        <f t="shared" si="0"/>
        <v>57670.912850000001</v>
      </c>
      <c r="V45">
        <f>SUMPRODUCT((OP_ST_JO=A45)*(DatePmt_ST_JOSEPH&lt;&gt;"")*(DatePmt_ST_JOSEPH&lt;&gt;"en attente")*(YEAR(DatePmt_ST_JOSEPH)=YEAR(M43))*(ISNUMBER(MtntPaye_ST_JOSEPH)),MtntPaye_ST_JOSEPH)</f>
        <v>0</v>
      </c>
    </row>
    <row r="46" spans="1:22" x14ac:dyDescent="0.2">
      <c r="A46" s="956" t="s">
        <v>155</v>
      </c>
      <c r="B46" s="960">
        <f>SUMPRODUCT((OP_FRAFU=A46)*(Bdgt_FRAFU))</f>
        <v>0</v>
      </c>
      <c r="C46" s="960">
        <f>SUMPRODUCT((OP_Rehab=A46)*(Bdgt_Rehab))</f>
        <v>0</v>
      </c>
      <c r="D46" s="960">
        <f>SUMPRODUCT((OP_LBU=A46)*(Bdgt_LBU))</f>
        <v>360000</v>
      </c>
      <c r="E46" s="960">
        <f>SUMPRODUCT((OP_Region=A46)*(Bdgt_Region))</f>
        <v>0</v>
      </c>
      <c r="F46" s="960">
        <f>SUMPRODUCT((OP_Rectorat=A46)*(Bdgt_Rectorat))</f>
        <v>0</v>
      </c>
      <c r="G46" s="960">
        <f>SUMPRODUCT((OP_ADEME=A46)*(Bdgt_ADEME))</f>
        <v>0</v>
      </c>
      <c r="H46" s="960">
        <f>SUMPRODUCT((OP_P_Ile=A46)*(Bdgt_P_Ile))</f>
        <v>0</v>
      </c>
      <c r="I46" s="960">
        <f>SUMPRODUCT((OP_EDF=A46)*(Bdgt_EDF))</f>
        <v>28277.031300000002</v>
      </c>
      <c r="J46" s="960">
        <f>SUMPRODUCT((OP_ETG_SALE=A46)*(Bdgt_ETG_SALE))</f>
        <v>0</v>
      </c>
      <c r="K46" s="960">
        <f>SUMPRODUCT((OP_ST_JO=A46)*(Bdgt_ST_JO))</f>
        <v>0</v>
      </c>
      <c r="L46" s="960">
        <f t="shared" si="0"/>
        <v>388277.03130000003</v>
      </c>
      <c r="V46">
        <f>SUMPRODUCT((OP_ST_JO=A46)*(DatePmt_ST_JOSEPH&lt;&gt;"")*(DatePmt_ST_JOSEPH&lt;&gt;"en attente")*(YEAR(DatePmt_ST_JOSEPH)=YEAR(M44))*(ISNUMBER(MtntPaye_ST_JOSEPH)),MtntPaye_ST_JOSEPH)</f>
        <v>0</v>
      </c>
    </row>
    <row r="47" spans="1:22" x14ac:dyDescent="0.2">
      <c r="A47" s="956" t="s">
        <v>395</v>
      </c>
      <c r="B47" s="960">
        <f>SUMPRODUCT((OP_FRAFU=A47)*(Bdgt_FRAFU))</f>
        <v>0</v>
      </c>
      <c r="C47" s="960">
        <f>SUMPRODUCT((OP_Rehab=A47)*(Bdgt_Rehab))</f>
        <v>136000</v>
      </c>
      <c r="D47" s="960">
        <f>SUMPRODUCT((OP_LBU=A47)*(Bdgt_LBU))</f>
        <v>0</v>
      </c>
      <c r="E47" s="960">
        <f>SUMPRODUCT((OP_Region=A47)*(Bdgt_Region))</f>
        <v>0</v>
      </c>
      <c r="F47" s="960">
        <f>SUMPRODUCT((OP_Rectorat=A47)*(Bdgt_Rectorat))</f>
        <v>0</v>
      </c>
      <c r="G47" s="960">
        <f>SUMPRODUCT((OP_ADEME=A47)*(Bdgt_ADEME))</f>
        <v>0</v>
      </c>
      <c r="H47" s="960">
        <f>SUMPRODUCT((OP_P_Ile=A47)*(Bdgt_P_Ile))</f>
        <v>0</v>
      </c>
      <c r="I47" s="960">
        <f>SUMPRODUCT((OP_EDF=A47)*(Bdgt_EDF))</f>
        <v>0</v>
      </c>
      <c r="J47" s="960">
        <f>SUMPRODUCT((OP_ETG_SALE=A47)*(Bdgt_ETG_SALE))</f>
        <v>0</v>
      </c>
      <c r="K47" s="960">
        <f>SUMPRODUCT((OP_ST_JO=A47)*(Bdgt_ST_JO))</f>
        <v>0</v>
      </c>
      <c r="L47" s="960">
        <f t="shared" si="0"/>
        <v>136000</v>
      </c>
      <c r="V47">
        <f>SUMPRODUCT((OP_ST_JO=A47)*(DatePmt_ST_JOSEPH&lt;&gt;"")*(DatePmt_ST_JOSEPH&lt;&gt;"en attente")*(YEAR(DatePmt_ST_JOSEPH)=YEAR(M45))*(ISNUMBER(MtntPaye_ST_JOSEPH)),MtntPaye_ST_JOSEPH)</f>
        <v>0</v>
      </c>
    </row>
    <row r="48" spans="1:22" ht="13.5" customHeight="1" x14ac:dyDescent="0.2">
      <c r="A48" s="956" t="s">
        <v>59</v>
      </c>
      <c r="B48" s="960">
        <f>SUMPRODUCT((OP_FRAFU=A48)*(Bdgt_FRAFU))</f>
        <v>0</v>
      </c>
      <c r="C48" s="960">
        <f>SUMPRODUCT((OP_Rehab=A48)*(Bdgt_Rehab))</f>
        <v>0</v>
      </c>
      <c r="D48" s="960">
        <f>SUMPRODUCT((OP_LBU=A48)*(Bdgt_LBU))</f>
        <v>1</v>
      </c>
      <c r="E48" s="960">
        <f>SUMPRODUCT((OP_Region=A48)*(Bdgt_Region))</f>
        <v>0</v>
      </c>
      <c r="F48" s="960">
        <f>SUMPRODUCT((OP_Rectorat=A48)*(Bdgt_Rectorat))</f>
        <v>0</v>
      </c>
      <c r="G48" s="960">
        <f>SUMPRODUCT((OP_ADEME=A48)*(Bdgt_ADEME))</f>
        <v>0</v>
      </c>
      <c r="H48" s="960">
        <f>SUMPRODUCT((OP_P_Ile=A48)*(Bdgt_P_Ile))</f>
        <v>0</v>
      </c>
      <c r="I48" s="960">
        <f>SUMPRODUCT((OP_EDF=A48)*(Bdgt_EDF))</f>
        <v>44263.48575</v>
      </c>
      <c r="J48" s="960">
        <f>SUMPRODUCT((OP_ETG_SALE=A48)*(Bdgt_ETG_SALE))</f>
        <v>0</v>
      </c>
      <c r="K48" s="960">
        <f>SUMPRODUCT((OP_ST_JO=A48)*(Bdgt_ST_JO))</f>
        <v>0</v>
      </c>
      <c r="L48" s="960">
        <f t="shared" si="0"/>
        <v>44264.48575</v>
      </c>
      <c r="V48">
        <f>SUMPRODUCT((OP_ST_JO=A48)*(DatePmt_ST_JOSEPH&lt;&gt;"")*(DatePmt_ST_JOSEPH&lt;&gt;"en attente")*(YEAR(DatePmt_ST_JOSEPH)=YEAR(M46))*(ISNUMBER(MtntPaye_ST_JOSEPH)),MtntPaye_ST_JOSEPH)</f>
        <v>0</v>
      </c>
    </row>
    <row r="49" spans="1:22" x14ac:dyDescent="0.2">
      <c r="A49" s="956" t="s">
        <v>64</v>
      </c>
      <c r="B49" s="960">
        <f>SUMPRODUCT((OP_FRAFU=A49)*(Bdgt_FRAFU))</f>
        <v>12983142</v>
      </c>
      <c r="C49" s="960">
        <f>SUMPRODUCT((OP_Rehab=A49)*(Bdgt_Rehab))</f>
        <v>0</v>
      </c>
      <c r="D49" s="960">
        <f>SUMPRODUCT((OP_LBU=A49)*(Bdgt_LBU))</f>
        <v>0</v>
      </c>
      <c r="E49" s="960">
        <f>SUMPRODUCT((OP_Region=A49)*(Bdgt_Region))</f>
        <v>0</v>
      </c>
      <c r="F49" s="960">
        <f>SUMPRODUCT((OP_Rectorat=A49)*(Bdgt_Rectorat))</f>
        <v>0</v>
      </c>
      <c r="G49" s="960">
        <f>SUMPRODUCT((OP_ADEME=A49)*(Bdgt_ADEME))</f>
        <v>0</v>
      </c>
      <c r="H49" s="960">
        <f>SUMPRODUCT((OP_P_Ile=A49)*(Bdgt_P_Ile))</f>
        <v>0</v>
      </c>
      <c r="I49" s="960">
        <f>SUMPRODUCT((OP_EDF=A49)*(Bdgt_EDF))</f>
        <v>0</v>
      </c>
      <c r="J49" s="960">
        <f>SUMPRODUCT((OP_ETG_SALE=A49)*(Bdgt_ETG_SALE))</f>
        <v>1085000</v>
      </c>
      <c r="K49" s="960">
        <f>SUMPRODUCT((OP_ST_JO=A49)*(Bdgt_ST_JO))</f>
        <v>0</v>
      </c>
      <c r="L49" s="960">
        <f t="shared" si="0"/>
        <v>14068142</v>
      </c>
      <c r="V49">
        <f>SUMPRODUCT((OP_ST_JO=A49)*(DatePmt_ST_JOSEPH&lt;&gt;"")*(DatePmt_ST_JOSEPH&lt;&gt;"en attente")*(YEAR(DatePmt_ST_JOSEPH)=YEAR(M47))*(ISNUMBER(MtntPaye_ST_JOSEPH)),MtntPaye_ST_JOSEPH)</f>
        <v>0</v>
      </c>
    </row>
    <row r="50" spans="1:22" x14ac:dyDescent="0.2">
      <c r="A50" s="956" t="s">
        <v>270</v>
      </c>
      <c r="B50" s="960">
        <f>SUMPRODUCT((OP_FRAFU=A50)*(Bdgt_FRAFU))</f>
        <v>0</v>
      </c>
      <c r="C50" s="960">
        <f>SUMPRODUCT((OP_Rehab=A50)*(Bdgt_Rehab))</f>
        <v>0</v>
      </c>
      <c r="D50" s="960">
        <f>SUMPRODUCT((OP_LBU=A50)*(Bdgt_LBU))</f>
        <v>800000</v>
      </c>
      <c r="E50" s="960">
        <f>SUMPRODUCT((OP_Region=A50)*(Bdgt_Region))</f>
        <v>0</v>
      </c>
      <c r="F50" s="960">
        <f>SUMPRODUCT((OP_Rectorat=A50)*(Bdgt_Rectorat))</f>
        <v>0</v>
      </c>
      <c r="G50" s="960">
        <f>SUMPRODUCT((OP_ADEME=A50)*(Bdgt_ADEME))</f>
        <v>0</v>
      </c>
      <c r="H50" s="960">
        <f>SUMPRODUCT((OP_P_Ile=A50)*(Bdgt_P_Ile))</f>
        <v>0</v>
      </c>
      <c r="I50" s="960">
        <f>SUMPRODUCT((OP_EDF=A50)*(Bdgt_EDF))</f>
        <v>25750.793249999999</v>
      </c>
      <c r="J50" s="960">
        <f>SUMPRODUCT((OP_ETG_SALE=A50)*(Bdgt_ETG_SALE))</f>
        <v>0</v>
      </c>
      <c r="K50" s="960">
        <f>SUMPRODUCT((OP_ST_JO=A50)*(Bdgt_ST_JO))</f>
        <v>0</v>
      </c>
      <c r="L50" s="960">
        <f t="shared" si="0"/>
        <v>825750.79324999999</v>
      </c>
      <c r="V50">
        <f>SUMPRODUCT((OP_ST_JO=A50)*(DatePmt_ST_JOSEPH&lt;&gt;"")*(DatePmt_ST_JOSEPH&lt;&gt;"en attente")*(YEAR(DatePmt_ST_JOSEPH)=YEAR(M48))*(ISNUMBER(MtntPaye_ST_JOSEPH)),MtntPaye_ST_JOSEPH)</f>
        <v>0</v>
      </c>
    </row>
    <row r="51" spans="1:22" x14ac:dyDescent="0.2">
      <c r="A51" s="956" t="s">
        <v>143</v>
      </c>
      <c r="B51" s="960">
        <f>SUMPRODUCT((OP_FRAFU=A51)*(Bdgt_FRAFU))</f>
        <v>380000</v>
      </c>
      <c r="C51" s="960">
        <f>SUMPRODUCT((OP_Rehab=A51)*(Bdgt_Rehab))</f>
        <v>0</v>
      </c>
      <c r="D51" s="960">
        <f>SUMPRODUCT((OP_LBU=A51)*(Bdgt_LBU))</f>
        <v>420000</v>
      </c>
      <c r="E51" s="960">
        <f>SUMPRODUCT((OP_Region=A51)*(Bdgt_Region))</f>
        <v>0</v>
      </c>
      <c r="F51" s="960">
        <f>SUMPRODUCT((OP_Rectorat=A51)*(Bdgt_Rectorat))</f>
        <v>0</v>
      </c>
      <c r="G51" s="960">
        <f>SUMPRODUCT((OP_ADEME=A51)*(Bdgt_ADEME))</f>
        <v>0</v>
      </c>
      <c r="H51" s="960">
        <f>SUMPRODUCT((OP_P_Ile=A51)*(Bdgt_P_Ile))</f>
        <v>0</v>
      </c>
      <c r="I51" s="960">
        <f>SUMPRODUCT((OP_EDF=A51)*(Bdgt_EDF))</f>
        <v>72532.304250000001</v>
      </c>
      <c r="J51" s="960">
        <f>SUMPRODUCT((OP_ETG_SALE=A51)*(Bdgt_ETG_SALE))</f>
        <v>0</v>
      </c>
      <c r="K51" s="960">
        <f>SUMPRODUCT((OP_ST_JO=A51)*(Bdgt_ST_JO))</f>
        <v>0</v>
      </c>
      <c r="L51" s="960">
        <f t="shared" si="0"/>
        <v>872532.30425000004</v>
      </c>
      <c r="V51">
        <f>SUMPRODUCT((OP_ST_JO=A51)*(DatePmt_ST_JOSEPH&lt;&gt;"")*(DatePmt_ST_JOSEPH&lt;&gt;"en attente")*(YEAR(DatePmt_ST_JOSEPH)=YEAR(M49))*(ISNUMBER(MtntPaye_ST_JOSEPH)),MtntPaye_ST_JOSEPH)</f>
        <v>0</v>
      </c>
    </row>
    <row r="52" spans="1:22" x14ac:dyDescent="0.2">
      <c r="A52" s="956" t="s">
        <v>61</v>
      </c>
      <c r="B52" s="960">
        <f>SUMPRODUCT((OP_FRAFU=A52)*(Bdgt_FRAFU))</f>
        <v>0</v>
      </c>
      <c r="C52" s="960">
        <f>SUMPRODUCT((OP_Rehab=A52)*(Bdgt_Rehab))</f>
        <v>0</v>
      </c>
      <c r="D52" s="960">
        <f>SUMPRODUCT((OP_LBU=A52)*(Bdgt_LBU))</f>
        <v>432003.58999999997</v>
      </c>
      <c r="E52" s="960">
        <f>SUMPRODUCT((OP_Region=A52)*(Bdgt_Region))</f>
        <v>0</v>
      </c>
      <c r="F52" s="960">
        <f>SUMPRODUCT((OP_Rectorat=A52)*(Bdgt_Rectorat))</f>
        <v>0</v>
      </c>
      <c r="G52" s="960">
        <f>SUMPRODUCT((OP_ADEME=A52)*(Bdgt_ADEME))</f>
        <v>0</v>
      </c>
      <c r="H52" s="960">
        <f>SUMPRODUCT((OP_P_Ile=A52)*(Bdgt_P_Ile))</f>
        <v>0</v>
      </c>
      <c r="I52" s="960">
        <f>SUMPRODUCT((OP_EDF=A52)*(Bdgt_EDF))</f>
        <v>19296.941999999999</v>
      </c>
      <c r="J52" s="960">
        <f>SUMPRODUCT((OP_ETG_SALE=A52)*(Bdgt_ETG_SALE))</f>
        <v>0</v>
      </c>
      <c r="K52" s="960">
        <f>SUMPRODUCT((OP_ST_JO=A52)*(Bdgt_ST_JO))</f>
        <v>0</v>
      </c>
      <c r="L52" s="960">
        <f t="shared" si="0"/>
        <v>451300.53199999995</v>
      </c>
      <c r="V52">
        <f>SUMPRODUCT((OP_ST_JO=A52)*(DatePmt_ST_JOSEPH&lt;&gt;"")*(DatePmt_ST_JOSEPH&lt;&gt;"en attente")*(YEAR(DatePmt_ST_JOSEPH)=YEAR(M50))*(ISNUMBER(MtntPaye_ST_JOSEPH)),MtntPaye_ST_JOSEPH)</f>
        <v>0</v>
      </c>
    </row>
    <row r="53" spans="1:22" x14ac:dyDescent="0.2">
      <c r="A53" s="956" t="s">
        <v>281</v>
      </c>
      <c r="B53" s="960">
        <f>SUMPRODUCT((OP_FRAFU=A53)*(Bdgt_FRAFU))</f>
        <v>0</v>
      </c>
      <c r="C53" s="960">
        <f>SUMPRODUCT((OP_Rehab=A53)*(Bdgt_Rehab))</f>
        <v>0</v>
      </c>
      <c r="D53" s="960">
        <f>SUMPRODUCT((OP_LBU=A53)*(Bdgt_LBU))</f>
        <v>0</v>
      </c>
      <c r="E53" s="960">
        <f>SUMPRODUCT((OP_Region=A53)*(Bdgt_Region))</f>
        <v>0</v>
      </c>
      <c r="F53" s="960">
        <f>SUMPRODUCT((OP_Rectorat=A53)*(Bdgt_Rectorat))</f>
        <v>0</v>
      </c>
      <c r="G53" s="960">
        <f>SUMPRODUCT((OP_ADEME=A53)*(Bdgt_ADEME))</f>
        <v>0</v>
      </c>
      <c r="H53" s="960">
        <f>SUMPRODUCT((OP_P_Ile=A53)*(Bdgt_P_Ile))</f>
        <v>0</v>
      </c>
      <c r="I53" s="960">
        <f>SUMPRODUCT((OP_EDF=A53)*(Bdgt_EDF))</f>
        <v>108289.3147</v>
      </c>
      <c r="J53" s="960">
        <f>SUMPRODUCT((OP_ETG_SALE=A53)*(Bdgt_ETG_SALE))</f>
        <v>0</v>
      </c>
      <c r="K53" s="960">
        <f>SUMPRODUCT((OP_ST_JO=A53)*(Bdgt_ST_JO))</f>
        <v>0</v>
      </c>
      <c r="L53" s="960">
        <f t="shared" si="0"/>
        <v>108289.3147</v>
      </c>
      <c r="V53">
        <f>SUMPRODUCT((OP_ST_JO=A53)*(DatePmt_ST_JOSEPH&lt;&gt;"")*(DatePmt_ST_JOSEPH&lt;&gt;"en attente")*(YEAR(DatePmt_ST_JOSEPH)=YEAR(M51))*(ISNUMBER(MtntPaye_ST_JOSEPH)),MtntPaye_ST_JOSEPH)</f>
        <v>0</v>
      </c>
    </row>
    <row r="54" spans="1:22" x14ac:dyDescent="0.2">
      <c r="A54" s="956" t="s">
        <v>76</v>
      </c>
      <c r="B54" s="960">
        <f>SUMPRODUCT((OP_FRAFU=A54)*(Bdgt_FRAFU))</f>
        <v>0</v>
      </c>
      <c r="C54" s="960">
        <f>SUMPRODUCT((OP_Rehab=A54)*(Bdgt_Rehab))</f>
        <v>0</v>
      </c>
      <c r="D54" s="960">
        <f>SUMPRODUCT((OP_LBU=A54)*(Bdgt_LBU))</f>
        <v>1</v>
      </c>
      <c r="E54" s="960">
        <f>SUMPRODUCT((OP_Region=A54)*(Bdgt_Region))</f>
        <v>0</v>
      </c>
      <c r="F54" s="960">
        <f>SUMPRODUCT((OP_Rectorat=A54)*(Bdgt_Rectorat))</f>
        <v>0</v>
      </c>
      <c r="G54" s="960">
        <f>SUMPRODUCT((OP_ADEME=A54)*(Bdgt_ADEME))</f>
        <v>0</v>
      </c>
      <c r="H54" s="960">
        <f>SUMPRODUCT((OP_P_Ile=A54)*(Bdgt_P_Ile))</f>
        <v>0</v>
      </c>
      <c r="I54" s="960">
        <f>SUMPRODUCT((OP_EDF=A54)*(Bdgt_EDF))</f>
        <v>0</v>
      </c>
      <c r="J54" s="960">
        <f>SUMPRODUCT((OP_ETG_SALE=A54)*(Bdgt_ETG_SALE))</f>
        <v>0</v>
      </c>
      <c r="K54" s="960">
        <f>SUMPRODUCT((OP_ST_JO=A54)*(Bdgt_ST_JO))</f>
        <v>0</v>
      </c>
      <c r="L54" s="960">
        <f t="shared" si="0"/>
        <v>1</v>
      </c>
      <c r="V54">
        <f>SUMPRODUCT((OP_ST_JO=A54)*(DatePmt_ST_JOSEPH&lt;&gt;"")*(DatePmt_ST_JOSEPH&lt;&gt;"en attente")*(YEAR(DatePmt_ST_JOSEPH)=YEAR(M52))*(ISNUMBER(MtntPaye_ST_JOSEPH)),MtntPaye_ST_JOSEPH)</f>
        <v>0</v>
      </c>
    </row>
    <row r="55" spans="1:22" x14ac:dyDescent="0.2">
      <c r="A55" s="956" t="s">
        <v>52</v>
      </c>
      <c r="B55" s="960">
        <f>SUMPRODUCT((OP_FRAFU=A55)*(Bdgt_FRAFU))</f>
        <v>0</v>
      </c>
      <c r="C55" s="960">
        <f>SUMPRODUCT((OP_Rehab=A55)*(Bdgt_Rehab))</f>
        <v>0</v>
      </c>
      <c r="D55" s="960">
        <f>SUMPRODUCT((OP_LBU=A55)*(Bdgt_LBU))</f>
        <v>660004.61700000009</v>
      </c>
      <c r="E55" s="960">
        <f>SUMPRODUCT((OP_Region=A55)*(Bdgt_Region))</f>
        <v>0</v>
      </c>
      <c r="F55" s="960">
        <f>SUMPRODUCT((OP_Rectorat=A55)*(Bdgt_Rectorat))</f>
        <v>0</v>
      </c>
      <c r="G55" s="960">
        <f>SUMPRODUCT((OP_ADEME=A55)*(Bdgt_ADEME))</f>
        <v>0</v>
      </c>
      <c r="H55" s="960">
        <f>SUMPRODUCT((OP_P_Ile=A55)*(Bdgt_P_Ile))</f>
        <v>0</v>
      </c>
      <c r="I55" s="960">
        <f>SUMPRODUCT((OP_EDF=A55)*(Bdgt_EDF))</f>
        <v>58548.7</v>
      </c>
      <c r="J55" s="960">
        <f>SUMPRODUCT((OP_ETG_SALE=A55)*(Bdgt_ETG_SALE))</f>
        <v>0</v>
      </c>
      <c r="K55" s="960">
        <f>SUMPRODUCT((OP_ST_JO=A55)*(Bdgt_ST_JO))</f>
        <v>0</v>
      </c>
      <c r="L55" s="960">
        <f t="shared" si="0"/>
        <v>718553.31700000004</v>
      </c>
      <c r="V55">
        <f>SUMPRODUCT((OP_ST_JO=A55)*(DatePmt_ST_JOSEPH&lt;&gt;"")*(DatePmt_ST_JOSEPH&lt;&gt;"en attente")*(YEAR(DatePmt_ST_JOSEPH)=YEAR(M53))*(ISNUMBER(MtntPaye_ST_JOSEPH)),MtntPaye_ST_JOSEPH)</f>
        <v>0</v>
      </c>
    </row>
    <row r="56" spans="1:22" x14ac:dyDescent="0.2">
      <c r="A56" s="956" t="s">
        <v>318</v>
      </c>
      <c r="B56" s="960">
        <f>SUMPRODUCT((OP_FRAFU=A56)*(Bdgt_FRAFU))</f>
        <v>0</v>
      </c>
      <c r="C56" s="960">
        <f>SUMPRODUCT((OP_Rehab=A56)*(Bdgt_Rehab))</f>
        <v>0</v>
      </c>
      <c r="D56" s="960">
        <f>SUMPRODUCT((OP_LBU=A56)*(Bdgt_LBU))</f>
        <v>700000</v>
      </c>
      <c r="E56" s="960">
        <f>SUMPRODUCT((OP_Region=A56)*(Bdgt_Region))</f>
        <v>0</v>
      </c>
      <c r="F56" s="960">
        <f>SUMPRODUCT((OP_Rectorat=A56)*(Bdgt_Rectorat))</f>
        <v>0</v>
      </c>
      <c r="G56" s="960">
        <f>SUMPRODUCT((OP_ADEME=A56)*(Bdgt_ADEME))</f>
        <v>0</v>
      </c>
      <c r="H56" s="960">
        <f>SUMPRODUCT((OP_P_Ile=A56)*(Bdgt_P_Ile))</f>
        <v>0</v>
      </c>
      <c r="I56" s="960">
        <f>SUMPRODUCT((OP_EDF=A56)*(Bdgt_EDF))</f>
        <v>0</v>
      </c>
      <c r="J56" s="960">
        <f>SUMPRODUCT((OP_ETG_SALE=A56)*(Bdgt_ETG_SALE))</f>
        <v>0</v>
      </c>
      <c r="K56" s="960">
        <f>SUMPRODUCT((OP_ST_JO=A56)*(Bdgt_ST_JO))</f>
        <v>0</v>
      </c>
      <c r="L56" s="960">
        <f t="shared" si="0"/>
        <v>700000</v>
      </c>
      <c r="V56">
        <f>SUMPRODUCT((OP_ST_JO=A56)*(DatePmt_ST_JOSEPH&lt;&gt;"")*(DatePmt_ST_JOSEPH&lt;&gt;"en attente")*(YEAR(DatePmt_ST_JOSEPH)=YEAR(M54))*(ISNUMBER(MtntPaye_ST_JOSEPH)),MtntPaye_ST_JOSEPH)</f>
        <v>0</v>
      </c>
    </row>
    <row r="57" spans="1:22" x14ac:dyDescent="0.2">
      <c r="A57" s="956" t="s">
        <v>114</v>
      </c>
      <c r="B57" s="960">
        <f>SUMPRODUCT((OP_FRAFU=A57)*(Bdgt_FRAFU))</f>
        <v>0</v>
      </c>
      <c r="C57" s="960">
        <f>SUMPRODUCT((OP_Rehab=A57)*(Bdgt_Rehab))</f>
        <v>0</v>
      </c>
      <c r="D57" s="960">
        <f>SUMPRODUCT((OP_LBU=A57)*(Bdgt_LBU))</f>
        <v>543200</v>
      </c>
      <c r="E57" s="960">
        <f>SUMPRODUCT((OP_Region=A57)*(Bdgt_Region))</f>
        <v>0</v>
      </c>
      <c r="F57" s="960">
        <f>SUMPRODUCT((OP_Rectorat=A57)*(Bdgt_Rectorat))</f>
        <v>0</v>
      </c>
      <c r="G57" s="960">
        <f>SUMPRODUCT((OP_ADEME=A57)*(Bdgt_ADEME))</f>
        <v>0</v>
      </c>
      <c r="H57" s="960">
        <f>SUMPRODUCT((OP_P_Ile=A57)*(Bdgt_P_Ile))</f>
        <v>0</v>
      </c>
      <c r="I57" s="960">
        <f>SUMPRODUCT((OP_EDF=A57)*(Bdgt_EDF))</f>
        <v>0</v>
      </c>
      <c r="J57" s="960">
        <f>SUMPRODUCT((OP_ETG_SALE=A57)*(Bdgt_ETG_SALE))</f>
        <v>0</v>
      </c>
      <c r="K57" s="960">
        <f>SUMPRODUCT((OP_ST_JO=A57)*(Bdgt_ST_JO))</f>
        <v>0</v>
      </c>
      <c r="L57" s="960">
        <f t="shared" si="0"/>
        <v>543200</v>
      </c>
      <c r="V57">
        <f>SUMPRODUCT((OP_ST_JO=A57)*(DatePmt_ST_JOSEPH&lt;&gt;"")*(DatePmt_ST_JOSEPH&lt;&gt;"en attente")*(YEAR(DatePmt_ST_JOSEPH)=YEAR(M55))*(ISNUMBER(MtntPaye_ST_JOSEPH)),MtntPaye_ST_JOSEPH)</f>
        <v>0</v>
      </c>
    </row>
    <row r="58" spans="1:22" x14ac:dyDescent="0.2">
      <c r="A58" s="956" t="s">
        <v>333</v>
      </c>
      <c r="B58" s="960">
        <f>SUMPRODUCT((OP_FRAFU=A58)*(Bdgt_FRAFU))</f>
        <v>0</v>
      </c>
      <c r="C58" s="960">
        <f>SUMPRODUCT((OP_Rehab=A58)*(Bdgt_Rehab))</f>
        <v>0</v>
      </c>
      <c r="D58" s="960">
        <f>SUMPRODUCT((OP_LBU=A58)*(Bdgt_LBU))</f>
        <v>660000</v>
      </c>
      <c r="E58" s="960">
        <f>SUMPRODUCT((OP_Region=A58)*(Bdgt_Region))</f>
        <v>0</v>
      </c>
      <c r="F58" s="960">
        <f>SUMPRODUCT((OP_Rectorat=A58)*(Bdgt_Rectorat))</f>
        <v>0</v>
      </c>
      <c r="G58" s="960">
        <f>SUMPRODUCT((OP_ADEME=A58)*(Bdgt_ADEME))</f>
        <v>0</v>
      </c>
      <c r="H58" s="960">
        <f>SUMPRODUCT((OP_P_Ile=A58)*(Bdgt_P_Ile))</f>
        <v>0</v>
      </c>
      <c r="I58" s="960">
        <f>SUMPRODUCT((OP_EDF=A58)*(Bdgt_EDF))</f>
        <v>0</v>
      </c>
      <c r="J58" s="960">
        <f>SUMPRODUCT((OP_ETG_SALE=A58)*(Bdgt_ETG_SALE))</f>
        <v>0</v>
      </c>
      <c r="K58" s="960">
        <f>SUMPRODUCT((OP_ST_JO=A58)*(Bdgt_ST_JO))</f>
        <v>0</v>
      </c>
      <c r="L58" s="960">
        <f t="shared" si="0"/>
        <v>660000</v>
      </c>
      <c r="V58">
        <f>SUMPRODUCT((OP_ST_JO=A58)*(DatePmt_ST_JOSEPH&lt;&gt;"")*(DatePmt_ST_JOSEPH&lt;&gt;"en attente")*(YEAR(DatePmt_ST_JOSEPH)=YEAR(M56))*(ISNUMBER(MtntPaye_ST_JOSEPH)),MtntPaye_ST_JOSEPH)</f>
        <v>0</v>
      </c>
    </row>
    <row r="59" spans="1:22" x14ac:dyDescent="0.2">
      <c r="A59" s="956" t="s">
        <v>113</v>
      </c>
      <c r="B59" s="960">
        <f>SUMPRODUCT((OP_FRAFU=A59)*(Bdgt_FRAFU))</f>
        <v>0</v>
      </c>
      <c r="C59" s="960">
        <f>SUMPRODUCT((OP_Rehab=A59)*(Bdgt_Rehab))</f>
        <v>0</v>
      </c>
      <c r="D59" s="960">
        <f>SUMPRODUCT((OP_LBU=A59)*(Bdgt_LBU))</f>
        <v>925000</v>
      </c>
      <c r="E59" s="960">
        <f>SUMPRODUCT((OP_Region=A59)*(Bdgt_Region))</f>
        <v>0</v>
      </c>
      <c r="F59" s="960">
        <f>SUMPRODUCT((OP_Rectorat=A59)*(Bdgt_Rectorat))</f>
        <v>0</v>
      </c>
      <c r="G59" s="960">
        <f>SUMPRODUCT((OP_ADEME=A59)*(Bdgt_ADEME))</f>
        <v>0</v>
      </c>
      <c r="H59" s="960">
        <f>SUMPRODUCT((OP_P_Ile=A59)*(Bdgt_P_Ile))</f>
        <v>0</v>
      </c>
      <c r="I59" s="960">
        <f>SUMPRODUCT((OP_EDF=A59)*(Bdgt_EDF))</f>
        <v>0</v>
      </c>
      <c r="J59" s="960">
        <f>SUMPRODUCT((OP_ETG_SALE=A59)*(Bdgt_ETG_SALE))</f>
        <v>0</v>
      </c>
      <c r="K59" s="960">
        <f>SUMPRODUCT((OP_ST_JO=A59)*(Bdgt_ST_JO))</f>
        <v>0</v>
      </c>
      <c r="L59" s="960">
        <f t="shared" si="0"/>
        <v>925000</v>
      </c>
      <c r="V59">
        <f>SUMPRODUCT((OP_ST_JO=A59)*(DatePmt_ST_JOSEPH&lt;&gt;"")*(DatePmt_ST_JOSEPH&lt;&gt;"en attente")*(YEAR(DatePmt_ST_JOSEPH)=YEAR(M57))*(ISNUMBER(MtntPaye_ST_JOSEPH)),MtntPaye_ST_JOSEPH)</f>
        <v>0</v>
      </c>
    </row>
    <row r="60" spans="1:22" x14ac:dyDescent="0.2">
      <c r="A60" s="956" t="s">
        <v>355</v>
      </c>
      <c r="B60" s="960">
        <f>SUMPRODUCT((OP_FRAFU=A60)*(Bdgt_FRAFU))</f>
        <v>0</v>
      </c>
      <c r="C60" s="960">
        <f>SUMPRODUCT((OP_Rehab=A60)*(Bdgt_Rehab))</f>
        <v>0</v>
      </c>
      <c r="D60" s="960">
        <f>SUMPRODUCT((OP_LBU=A60)*(Bdgt_LBU))</f>
        <v>0</v>
      </c>
      <c r="E60" s="960">
        <f>SUMPRODUCT((OP_Region=A60)*(Bdgt_Region))</f>
        <v>0</v>
      </c>
      <c r="F60" s="960">
        <f>SUMPRODUCT((OP_Rectorat=A60)*(Bdgt_Rectorat))</f>
        <v>0</v>
      </c>
      <c r="G60" s="960">
        <f>SUMPRODUCT((OP_ADEME=A60)*(Bdgt_ADEME))</f>
        <v>0</v>
      </c>
      <c r="H60" s="960">
        <f>SUMPRODUCT((OP_P_Ile=A60)*(Bdgt_P_Ile))</f>
        <v>0</v>
      </c>
      <c r="I60" s="960">
        <f>SUMPRODUCT((OP_EDF=A60)*(Bdgt_EDF))</f>
        <v>27159.557249999998</v>
      </c>
      <c r="J60" s="960">
        <f>SUMPRODUCT((OP_ETG_SALE=A60)*(Bdgt_ETG_SALE))</f>
        <v>0</v>
      </c>
      <c r="K60" s="960">
        <f>SUMPRODUCT((OP_ST_JO=A60)*(Bdgt_ST_JO))</f>
        <v>0</v>
      </c>
      <c r="L60" s="960">
        <f t="shared" si="0"/>
        <v>27159.557249999998</v>
      </c>
      <c r="V60">
        <f>SUMPRODUCT((OP_ST_JO=A60)*(DatePmt_ST_JOSEPH&lt;&gt;"")*(DatePmt_ST_JOSEPH&lt;&gt;"en attente")*(YEAR(DatePmt_ST_JOSEPH)=YEAR(M58))*(ISNUMBER(MtntPaye_ST_JOSEPH)),MtntPaye_ST_JOSEPH)</f>
        <v>0</v>
      </c>
    </row>
  </sheetData>
  <autoFilter ref="A2:V60"/>
  <mergeCells count="1">
    <mergeCell ref="M1:V1"/>
  </mergeCells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O57"/>
  <sheetViews>
    <sheetView workbookViewId="0">
      <selection activeCell="H14" sqref="H14"/>
    </sheetView>
  </sheetViews>
  <sheetFormatPr baseColWidth="10" defaultRowHeight="12.75" x14ac:dyDescent="0.2"/>
  <cols>
    <col min="10" max="10" width="16.85546875" customWidth="1"/>
  </cols>
  <sheetData>
    <row r="1" spans="1:13" x14ac:dyDescent="0.2">
      <c r="A1" s="923" t="s">
        <v>165</v>
      </c>
      <c r="B1" s="923"/>
      <c r="C1" s="923"/>
      <c r="D1" s="923"/>
      <c r="E1" s="923"/>
      <c r="F1" s="923"/>
      <c r="G1" s="923"/>
      <c r="H1" s="923"/>
      <c r="I1" s="923"/>
      <c r="J1" s="923"/>
      <c r="K1" s="923"/>
      <c r="L1" s="9">
        <f ca="1">TODAY()</f>
        <v>43593</v>
      </c>
    </row>
    <row r="2" spans="1:13" x14ac:dyDescent="0.2">
      <c r="A2" s="6"/>
      <c r="B2" s="1"/>
      <c r="C2" s="1"/>
      <c r="D2" s="1"/>
      <c r="E2" s="1"/>
      <c r="F2" s="6"/>
      <c r="G2" s="1"/>
      <c r="H2" s="1"/>
      <c r="I2" s="1"/>
      <c r="J2" s="1"/>
      <c r="K2" s="1"/>
      <c r="L2" s="1"/>
    </row>
    <row r="3" spans="1:13" x14ac:dyDescent="0.2">
      <c r="A3" s="940" t="s">
        <v>2</v>
      </c>
      <c r="B3" s="940" t="s">
        <v>0</v>
      </c>
      <c r="C3" s="928" t="s">
        <v>21</v>
      </c>
      <c r="D3" s="928" t="s">
        <v>12</v>
      </c>
      <c r="E3" s="924" t="s">
        <v>4</v>
      </c>
      <c r="F3" s="925"/>
      <c r="G3" s="925"/>
      <c r="H3" s="925"/>
      <c r="I3" s="925"/>
      <c r="J3" s="926"/>
      <c r="K3" s="927" t="s">
        <v>13</v>
      </c>
      <c r="L3" s="928"/>
    </row>
    <row r="4" spans="1:13" x14ac:dyDescent="0.2">
      <c r="A4" s="941"/>
      <c r="B4" s="941"/>
      <c r="C4" s="942"/>
      <c r="D4" s="942"/>
      <c r="E4" s="10" t="s">
        <v>1</v>
      </c>
      <c r="F4" s="11" t="s">
        <v>3</v>
      </c>
      <c r="G4" s="11" t="s">
        <v>15</v>
      </c>
      <c r="H4" s="12" t="s">
        <v>14</v>
      </c>
      <c r="I4" s="10" t="s">
        <v>15</v>
      </c>
      <c r="J4" s="11" t="s">
        <v>18</v>
      </c>
      <c r="K4" s="3" t="s">
        <v>20</v>
      </c>
      <c r="L4" s="3" t="s">
        <v>19</v>
      </c>
    </row>
    <row r="5" spans="1:13" x14ac:dyDescent="0.2">
      <c r="A5" s="402" t="s">
        <v>57</v>
      </c>
      <c r="B5" s="403"/>
      <c r="C5" s="352">
        <v>42068</v>
      </c>
      <c r="D5" s="409">
        <v>162750</v>
      </c>
      <c r="E5" s="404"/>
      <c r="F5" s="405"/>
      <c r="G5" s="406"/>
      <c r="H5" s="407"/>
      <c r="I5" s="408"/>
      <c r="J5" s="406"/>
      <c r="K5" s="409"/>
      <c r="L5" s="409"/>
    </row>
    <row r="6" spans="1:13" x14ac:dyDescent="0.2">
      <c r="A6" s="334"/>
      <c r="B6" s="353" t="s">
        <v>118</v>
      </c>
      <c r="C6" s="347"/>
      <c r="D6" s="348">
        <v>0.5</v>
      </c>
      <c r="E6" s="349">
        <v>81375</v>
      </c>
      <c r="F6" s="350">
        <v>1</v>
      </c>
      <c r="G6" s="696">
        <v>42401</v>
      </c>
      <c r="H6" s="349">
        <v>81375</v>
      </c>
      <c r="I6" s="352">
        <v>42415</v>
      </c>
      <c r="J6" s="353">
        <f>IF(I6="",$L$1-G6,I6-G6)</f>
        <v>14</v>
      </c>
      <c r="K6" s="354" t="str">
        <f>IF(H6="en attente",E6,"")</f>
        <v/>
      </c>
      <c r="L6" s="354">
        <f>IF(G6="",E6-H6,0)</f>
        <v>0</v>
      </c>
    </row>
    <row r="7" spans="1:13" x14ac:dyDescent="0.2">
      <c r="A7" s="334"/>
      <c r="B7" s="353"/>
      <c r="C7" s="347"/>
      <c r="D7" s="348">
        <v>0.5</v>
      </c>
      <c r="E7" s="349">
        <v>81375</v>
      </c>
      <c r="F7" s="350">
        <v>2</v>
      </c>
      <c r="G7" s="347">
        <v>43305</v>
      </c>
      <c r="H7" s="351">
        <v>81375</v>
      </c>
      <c r="I7" s="352">
        <v>43320</v>
      </c>
      <c r="J7" s="353"/>
      <c r="K7" s="354" t="str">
        <f>IF(H7="en attente",E7,"")</f>
        <v/>
      </c>
      <c r="L7" s="354">
        <f>IF(G7="",E7-H7,0)</f>
        <v>0</v>
      </c>
    </row>
    <row r="8" spans="1:13" x14ac:dyDescent="0.2">
      <c r="A8" s="334"/>
      <c r="B8" s="353"/>
      <c r="C8" s="347"/>
      <c r="D8" s="348"/>
      <c r="E8" s="349"/>
      <c r="F8" s="350"/>
      <c r="G8" s="347"/>
      <c r="H8" s="351"/>
      <c r="I8" s="352"/>
      <c r="J8" s="353"/>
      <c r="K8" s="354"/>
      <c r="L8" s="354"/>
    </row>
    <row r="9" spans="1:13" x14ac:dyDescent="0.2">
      <c r="A9" s="325" t="s">
        <v>56</v>
      </c>
      <c r="B9" s="570"/>
      <c r="C9" s="399">
        <v>41338</v>
      </c>
      <c r="D9" s="327">
        <v>55743.18</v>
      </c>
      <c r="E9" s="393"/>
      <c r="F9" s="703"/>
      <c r="G9" s="399"/>
      <c r="H9" s="704"/>
      <c r="I9" s="705"/>
      <c r="J9" s="570"/>
      <c r="K9" s="706"/>
      <c r="L9" s="706"/>
    </row>
    <row r="10" spans="1:13" ht="14.25" customHeight="1" x14ac:dyDescent="0.2">
      <c r="A10" s="334"/>
      <c r="B10" s="353" t="s">
        <v>118</v>
      </c>
      <c r="C10" s="347"/>
      <c r="D10" s="348">
        <v>0.5</v>
      </c>
      <c r="E10" s="349">
        <v>27871.59</v>
      </c>
      <c r="F10" s="350">
        <v>1</v>
      </c>
      <c r="G10" s="696">
        <v>42599</v>
      </c>
      <c r="H10" s="707">
        <v>27871.59</v>
      </c>
      <c r="I10" s="352">
        <v>42615</v>
      </c>
      <c r="J10" s="353">
        <f>IF(I10="",$L$1-G10,I10-G10)</f>
        <v>16</v>
      </c>
      <c r="K10" s="354" t="str">
        <f>IF(H10="en attente",E10,"")</f>
        <v/>
      </c>
      <c r="L10" s="354">
        <f t="shared" ref="L10:L15" si="0">IF(G10="",E10-H10,0)</f>
        <v>0</v>
      </c>
      <c r="M10" s="442" t="s">
        <v>259</v>
      </c>
    </row>
    <row r="11" spans="1:13" x14ac:dyDescent="0.2">
      <c r="A11" s="334"/>
      <c r="B11" s="353"/>
      <c r="C11" s="347"/>
      <c r="D11" s="348">
        <v>0.5</v>
      </c>
      <c r="E11" s="349">
        <v>27871.59</v>
      </c>
      <c r="F11" s="350">
        <v>2</v>
      </c>
      <c r="G11" s="347">
        <v>43269</v>
      </c>
      <c r="H11" s="351">
        <v>27871.59</v>
      </c>
      <c r="I11" s="352">
        <v>43287</v>
      </c>
      <c r="J11" s="353"/>
      <c r="K11" s="354" t="str">
        <f>IF(H11="en attente",E11,"")</f>
        <v/>
      </c>
      <c r="L11" s="354">
        <f t="shared" si="0"/>
        <v>0</v>
      </c>
    </row>
    <row r="12" spans="1:13" x14ac:dyDescent="0.2">
      <c r="A12" s="356"/>
      <c r="B12" s="363"/>
      <c r="C12" s="358"/>
      <c r="D12" s="428"/>
      <c r="E12" s="359"/>
      <c r="F12" s="360"/>
      <c r="G12" s="358"/>
      <c r="H12" s="361"/>
      <c r="I12" s="362"/>
      <c r="J12" s="363"/>
      <c r="K12" s="364"/>
      <c r="L12" s="364">
        <f t="shared" si="0"/>
        <v>0</v>
      </c>
    </row>
    <row r="13" spans="1:13" x14ac:dyDescent="0.2">
      <c r="A13" s="45" t="s">
        <v>37</v>
      </c>
      <c r="B13" s="4"/>
      <c r="C13" s="15">
        <v>42068</v>
      </c>
      <c r="D13" s="272">
        <v>292222.2</v>
      </c>
      <c r="E13" s="23"/>
      <c r="F13" s="42"/>
      <c r="G13" s="15"/>
      <c r="H13" s="24"/>
      <c r="I13" s="30"/>
      <c r="J13" s="4"/>
      <c r="K13" s="81"/>
      <c r="L13" s="81">
        <f t="shared" si="0"/>
        <v>0</v>
      </c>
    </row>
    <row r="14" spans="1:13" x14ac:dyDescent="0.2">
      <c r="A14" s="45"/>
      <c r="B14" s="4" t="s">
        <v>118</v>
      </c>
      <c r="C14" s="15"/>
      <c r="D14" s="108">
        <v>0.5</v>
      </c>
      <c r="E14" s="23">
        <f>D13/2</f>
        <v>146111.1</v>
      </c>
      <c r="F14" s="42">
        <v>1</v>
      </c>
      <c r="G14" s="15">
        <v>42935</v>
      </c>
      <c r="H14" s="24">
        <v>146111.1</v>
      </c>
      <c r="I14" s="30">
        <v>43178</v>
      </c>
      <c r="J14" s="4"/>
      <c r="K14" s="81" t="str">
        <f>IF(H14="en attente",E14,"")</f>
        <v/>
      </c>
      <c r="L14" s="81">
        <f t="shared" si="0"/>
        <v>0</v>
      </c>
    </row>
    <row r="15" spans="1:13" x14ac:dyDescent="0.2">
      <c r="A15" s="46"/>
      <c r="B15" s="4"/>
      <c r="C15" s="15"/>
      <c r="D15" s="108">
        <v>0.5</v>
      </c>
      <c r="E15" s="23">
        <f>D13/2</f>
        <v>146111.1</v>
      </c>
      <c r="F15" s="42">
        <v>2</v>
      </c>
      <c r="G15" s="15"/>
      <c r="H15" s="24"/>
      <c r="I15" s="30"/>
      <c r="J15" s="4"/>
      <c r="K15" s="81" t="str">
        <f>IF(H15="en attente",E15,"")</f>
        <v/>
      </c>
      <c r="L15" s="81">
        <f t="shared" si="0"/>
        <v>146111.1</v>
      </c>
    </row>
    <row r="16" spans="1:13" x14ac:dyDescent="0.2">
      <c r="A16" s="46"/>
      <c r="B16" s="4"/>
      <c r="C16" s="15"/>
      <c r="D16" s="108"/>
      <c r="E16" s="23"/>
      <c r="F16" s="42"/>
      <c r="G16" s="15"/>
      <c r="H16" s="24"/>
      <c r="I16" s="30"/>
      <c r="J16" s="4"/>
      <c r="K16" s="81"/>
      <c r="L16" s="81"/>
    </row>
    <row r="17" spans="1:15" x14ac:dyDescent="0.2">
      <c r="A17" s="48"/>
      <c r="B17" s="48"/>
      <c r="C17" s="48"/>
      <c r="D17" s="41">
        <f>D5+D9+D13</f>
        <v>510715.38</v>
      </c>
      <c r="E17" s="41">
        <f>SUMPRODUCT((DateAF_ST_JOSEPH&lt;&gt;"")*MontantAF_ST_JOSEPH)</f>
        <v>364604.28</v>
      </c>
      <c r="F17" s="49"/>
      <c r="G17" s="50"/>
      <c r="H17" s="41">
        <f>SUM(H6:H16)</f>
        <v>364604.28</v>
      </c>
      <c r="I17" s="50"/>
      <c r="J17" s="50"/>
      <c r="K17" s="41">
        <f>SUM(K6:K16)</f>
        <v>0</v>
      </c>
      <c r="L17" s="41">
        <f>SUM(L5:L16)</f>
        <v>146111.1</v>
      </c>
      <c r="O17" s="232"/>
    </row>
    <row r="18" spans="1:15" x14ac:dyDescent="0.2">
      <c r="A18" s="75"/>
      <c r="B18" s="76"/>
      <c r="C18" s="76"/>
      <c r="D18" s="76"/>
      <c r="E18" s="76"/>
      <c r="F18" s="75"/>
      <c r="G18" s="76"/>
      <c r="H18" s="76"/>
      <c r="I18" s="76"/>
      <c r="J18" s="52"/>
      <c r="K18" s="921">
        <f>SUM(K17:L17)</f>
        <v>146111.1</v>
      </c>
      <c r="L18" s="922"/>
    </row>
    <row r="20" spans="1:15" x14ac:dyDescent="0.2">
      <c r="D20" s="499"/>
      <c r="E20" s="371" t="s">
        <v>219</v>
      </c>
      <c r="F20" s="6"/>
      <c r="G20" s="1"/>
      <c r="H20" s="372" t="s">
        <v>221</v>
      </c>
      <c r="K20" s="371" t="s">
        <v>219</v>
      </c>
      <c r="L20" s="372" t="s">
        <v>221</v>
      </c>
    </row>
    <row r="21" spans="1:15" ht="13.5" x14ac:dyDescent="0.25">
      <c r="D21" s="500">
        <v>42401</v>
      </c>
      <c r="E21" s="91">
        <f t="shared" ref="E21:E35" si="1">SUMPRODUCT((DateAF_ST_JOSEPH&lt;&gt;"")*(MONTH(DateAF_ST_JOSEPH)=MONTH(D21))*(YEAR(DateAF_ST_JOSEPH)=YEAR(D21))*MontantAF_ST_JOSEPH)</f>
        <v>81375</v>
      </c>
      <c r="G21" s="500">
        <v>42401</v>
      </c>
      <c r="H21" s="91">
        <f>SUMPRODUCT((DatePmt_ST_JOSEPH&lt;&gt;"")*(DatePmt_ST_JOSEPH&lt;&gt;"en attente")*(MONTH(DatePmt_ST_JOSEPH)=MONTH(G21))*(YEAR(DatePmt_ST_JOSEPH)=YEAR(G21))*(ISNUMBER(MtntPaye_ST_JOSEPH)),MtntPaye_ST_JOSEPH)</f>
        <v>81375</v>
      </c>
      <c r="J21" s="503">
        <v>2016</v>
      </c>
      <c r="K21" s="504">
        <f>SUMPRODUCT((YEAR($D$21:$D$35)=J21)*($E$21:$E$35))</f>
        <v>109246.59</v>
      </c>
      <c r="L21" s="504">
        <f>SUMPRODUCT((YEAR($G$21:$G$35)=J21)*($H$21:$H$35))</f>
        <v>109246.59</v>
      </c>
    </row>
    <row r="22" spans="1:15" ht="13.5" x14ac:dyDescent="0.25">
      <c r="D22" s="500">
        <v>42599</v>
      </c>
      <c r="E22" s="91">
        <f t="shared" si="1"/>
        <v>27871.59</v>
      </c>
      <c r="G22" s="500">
        <v>42599</v>
      </c>
      <c r="H22" s="91">
        <f t="shared" ref="H21:H35" si="2">SUMPRODUCT((DatePmt_ST_JOSEPH&lt;&gt;"")*(DatePmt_ST_JOSEPH&lt;&gt;"en attente")*(MONTH(DatePmt_ST_JOSEPH)=MONTH(G22))*(YEAR(DatePmt_ST_JOSEPH)=YEAR(G22))*(ISNUMBER(MtntPaye_ST_JOSEPH)),MtntPaye_ST_JOSEPH)</f>
        <v>0</v>
      </c>
      <c r="J22" s="503">
        <v>2017</v>
      </c>
      <c r="K22" s="504">
        <f>SUMPRODUCT((YEAR($D$21:$D$35)=J22)*($E$21:$E$35))</f>
        <v>146111.1</v>
      </c>
      <c r="L22" s="504">
        <f>SUMPRODUCT((YEAR($G$21:$G$35)=J22)*($H$21:$H$35))</f>
        <v>0</v>
      </c>
    </row>
    <row r="23" spans="1:15" ht="13.5" x14ac:dyDescent="0.25">
      <c r="D23" s="500">
        <v>42615</v>
      </c>
      <c r="E23" s="91">
        <f t="shared" si="1"/>
        <v>0</v>
      </c>
      <c r="G23" s="500">
        <v>42615</v>
      </c>
      <c r="H23" s="91">
        <f t="shared" si="2"/>
        <v>27871.59</v>
      </c>
      <c r="J23" s="503">
        <v>2018</v>
      </c>
      <c r="K23" s="504">
        <f>SUMPRODUCT((YEAR($D$21:$D$55)=J23)*($E$21:$E$55))</f>
        <v>109246.59</v>
      </c>
      <c r="L23" s="504">
        <f>SUMPRODUCT((YEAR($G$21:$G$55)=J23)*($H$21:$H$55))</f>
        <v>255357.69</v>
      </c>
    </row>
    <row r="24" spans="1:15" ht="13.5" x14ac:dyDescent="0.25">
      <c r="D24" s="500">
        <v>42736</v>
      </c>
      <c r="E24" s="91">
        <f t="shared" si="1"/>
        <v>0</v>
      </c>
      <c r="G24" s="500">
        <v>42736</v>
      </c>
      <c r="H24" s="91">
        <f t="shared" si="2"/>
        <v>0</v>
      </c>
      <c r="J24" s="503">
        <v>2019</v>
      </c>
      <c r="K24" s="504">
        <f>SUMPRODUCT((YEAR($D$21:$D$55)=J24)*($E$21:$E$55))</f>
        <v>0</v>
      </c>
      <c r="L24" s="504">
        <f>SUMPRODUCT((YEAR($G$21:$G$55)=J24)*($H$21:$H$55))</f>
        <v>0</v>
      </c>
    </row>
    <row r="25" spans="1:15" ht="13.5" x14ac:dyDescent="0.25">
      <c r="D25" s="500">
        <v>42767</v>
      </c>
      <c r="E25" s="91">
        <f t="shared" si="1"/>
        <v>0</v>
      </c>
      <c r="G25" s="500">
        <v>42767</v>
      </c>
      <c r="H25" s="91">
        <f t="shared" si="2"/>
        <v>0</v>
      </c>
      <c r="J25" s="503"/>
      <c r="K25" s="505">
        <f>SUM(K21:K24)</f>
        <v>364604.28</v>
      </c>
      <c r="L25" s="505">
        <f>SUM(L21:L24)</f>
        <v>364604.28</v>
      </c>
    </row>
    <row r="26" spans="1:15" ht="13.5" x14ac:dyDescent="0.25">
      <c r="D26" s="500">
        <v>42795</v>
      </c>
      <c r="E26" s="91">
        <f t="shared" si="1"/>
        <v>0</v>
      </c>
      <c r="G26" s="500">
        <v>42795</v>
      </c>
      <c r="H26" s="91">
        <f t="shared" si="2"/>
        <v>0</v>
      </c>
      <c r="J26" s="503"/>
      <c r="K26" s="504">
        <f>K25-E56</f>
        <v>0</v>
      </c>
      <c r="L26" s="504">
        <f>L25-H56</f>
        <v>0</v>
      </c>
    </row>
    <row r="27" spans="1:15" ht="13.5" x14ac:dyDescent="0.25">
      <c r="D27" s="500">
        <v>42826</v>
      </c>
      <c r="E27" s="91">
        <f t="shared" si="1"/>
        <v>0</v>
      </c>
      <c r="G27" s="500">
        <v>42826</v>
      </c>
      <c r="H27" s="91">
        <f t="shared" si="2"/>
        <v>0</v>
      </c>
      <c r="J27" s="503"/>
      <c r="K27" s="503"/>
      <c r="L27" s="503"/>
    </row>
    <row r="28" spans="1:15" x14ac:dyDescent="0.2">
      <c r="D28" s="500">
        <v>42856</v>
      </c>
      <c r="E28" s="91">
        <f t="shared" si="1"/>
        <v>0</v>
      </c>
      <c r="G28" s="500">
        <v>42856</v>
      </c>
      <c r="H28" s="91">
        <f t="shared" si="2"/>
        <v>0</v>
      </c>
    </row>
    <row r="29" spans="1:15" x14ac:dyDescent="0.2">
      <c r="D29" s="500">
        <v>42887</v>
      </c>
      <c r="E29" s="91">
        <f t="shared" si="1"/>
        <v>0</v>
      </c>
      <c r="G29" s="500">
        <v>42887</v>
      </c>
      <c r="H29" s="91">
        <f t="shared" si="2"/>
        <v>0</v>
      </c>
    </row>
    <row r="30" spans="1:15" x14ac:dyDescent="0.2">
      <c r="D30" s="500">
        <v>42917</v>
      </c>
      <c r="E30" s="91">
        <f t="shared" si="1"/>
        <v>146111.1</v>
      </c>
      <c r="G30" s="500">
        <v>42917</v>
      </c>
      <c r="H30" s="91">
        <f t="shared" si="2"/>
        <v>0</v>
      </c>
    </row>
    <row r="31" spans="1:15" x14ac:dyDescent="0.2">
      <c r="D31" s="500">
        <v>42948</v>
      </c>
      <c r="E31" s="91">
        <f t="shared" si="1"/>
        <v>0</v>
      </c>
      <c r="G31" s="500">
        <v>42948</v>
      </c>
      <c r="H31" s="91">
        <f t="shared" si="2"/>
        <v>0</v>
      </c>
    </row>
    <row r="32" spans="1:15" x14ac:dyDescent="0.2">
      <c r="D32" s="500">
        <v>42979</v>
      </c>
      <c r="E32" s="91">
        <f t="shared" si="1"/>
        <v>0</v>
      </c>
      <c r="G32" s="500">
        <v>42979</v>
      </c>
      <c r="H32" s="91">
        <f t="shared" si="2"/>
        <v>0</v>
      </c>
    </row>
    <row r="33" spans="4:12" x14ac:dyDescent="0.2">
      <c r="D33" s="500">
        <v>43009</v>
      </c>
      <c r="E33" s="91">
        <f t="shared" si="1"/>
        <v>0</v>
      </c>
      <c r="G33" s="500">
        <v>43009</v>
      </c>
      <c r="H33" s="91">
        <f t="shared" si="2"/>
        <v>0</v>
      </c>
    </row>
    <row r="34" spans="4:12" x14ac:dyDescent="0.2">
      <c r="D34" s="500">
        <v>43040</v>
      </c>
      <c r="E34" s="91">
        <f t="shared" si="1"/>
        <v>0</v>
      </c>
      <c r="G34" s="500">
        <v>43040</v>
      </c>
      <c r="H34" s="91">
        <f t="shared" si="2"/>
        <v>0</v>
      </c>
    </row>
    <row r="35" spans="4:12" x14ac:dyDescent="0.2">
      <c r="D35" s="500">
        <v>43070</v>
      </c>
      <c r="E35" s="91">
        <f t="shared" si="1"/>
        <v>0</v>
      </c>
      <c r="G35" s="500">
        <v>43070</v>
      </c>
      <c r="H35" s="91">
        <f t="shared" si="2"/>
        <v>0</v>
      </c>
    </row>
    <row r="36" spans="4:12" x14ac:dyDescent="0.2">
      <c r="D36" s="500">
        <v>43101</v>
      </c>
      <c r="E36" s="91">
        <f t="shared" ref="E36:E55" si="3">SUMPRODUCT((DateAF_ST_JOSEPH&lt;&gt;"")*(MONTH(DateAF_ST_JOSEPH)=MONTH(D36))*(YEAR(DateAF_ST_JOSEPH)=YEAR(D36))*MontantAF_ST_JOSEPH)</f>
        <v>0</v>
      </c>
      <c r="G36" s="500">
        <v>43101</v>
      </c>
      <c r="H36" s="91">
        <f t="shared" ref="H36:H55" si="4">SUMPRODUCT((DatePmt_ST_JOSEPH&lt;&gt;"")*(DatePmt_ST_JOSEPH&lt;&gt;"en attente")*(MONTH(DatePmt_ST_JOSEPH)=MONTH(G36))*(YEAR(DatePmt_ST_JOSEPH)=YEAR(G36))*(ISNUMBER(MtntPaye_ST_JOSEPH)),MtntPaye_ST_JOSEPH)</f>
        <v>0</v>
      </c>
    </row>
    <row r="37" spans="4:12" x14ac:dyDescent="0.2">
      <c r="D37" s="500">
        <v>43132</v>
      </c>
      <c r="E37" s="91">
        <f t="shared" si="3"/>
        <v>0</v>
      </c>
      <c r="G37" s="500">
        <v>43132</v>
      </c>
      <c r="H37" s="91">
        <f t="shared" si="4"/>
        <v>0</v>
      </c>
    </row>
    <row r="38" spans="4:12" x14ac:dyDescent="0.2">
      <c r="D38" s="500">
        <v>43160</v>
      </c>
      <c r="E38" s="91">
        <f t="shared" si="3"/>
        <v>0</v>
      </c>
      <c r="G38" s="500">
        <v>43160</v>
      </c>
      <c r="H38" s="91">
        <f t="shared" si="4"/>
        <v>146111.1</v>
      </c>
    </row>
    <row r="39" spans="4:12" x14ac:dyDescent="0.2">
      <c r="D39" s="500">
        <v>43191</v>
      </c>
      <c r="E39" s="91">
        <f t="shared" si="3"/>
        <v>0</v>
      </c>
      <c r="G39" s="500">
        <v>43191</v>
      </c>
      <c r="H39" s="91">
        <f t="shared" si="4"/>
        <v>0</v>
      </c>
    </row>
    <row r="40" spans="4:12" x14ac:dyDescent="0.2">
      <c r="D40" s="500">
        <v>43221</v>
      </c>
      <c r="E40" s="91">
        <f t="shared" si="3"/>
        <v>0</v>
      </c>
      <c r="G40" s="500">
        <v>43221</v>
      </c>
      <c r="H40" s="91">
        <f t="shared" si="4"/>
        <v>0</v>
      </c>
    </row>
    <row r="41" spans="4:12" x14ac:dyDescent="0.2">
      <c r="D41" s="500">
        <v>43252</v>
      </c>
      <c r="E41" s="91">
        <f t="shared" si="3"/>
        <v>27871.59</v>
      </c>
      <c r="G41" s="500">
        <v>43252</v>
      </c>
      <c r="H41" s="91">
        <f t="shared" si="4"/>
        <v>0</v>
      </c>
    </row>
    <row r="42" spans="4:12" x14ac:dyDescent="0.2">
      <c r="D42" s="500">
        <v>43282</v>
      </c>
      <c r="E42" s="91">
        <f t="shared" si="3"/>
        <v>81375</v>
      </c>
      <c r="G42" s="500">
        <v>43282</v>
      </c>
      <c r="H42" s="91">
        <f t="shared" si="4"/>
        <v>27871.59</v>
      </c>
    </row>
    <row r="43" spans="4:12" x14ac:dyDescent="0.2">
      <c r="D43" s="500">
        <v>43313</v>
      </c>
      <c r="E43" s="91">
        <f t="shared" si="3"/>
        <v>0</v>
      </c>
      <c r="G43" s="500">
        <v>43313</v>
      </c>
      <c r="H43" s="91">
        <f t="shared" si="4"/>
        <v>81375</v>
      </c>
    </row>
    <row r="44" spans="4:12" x14ac:dyDescent="0.2">
      <c r="D44" s="500">
        <v>43344</v>
      </c>
      <c r="E44" s="91">
        <f t="shared" si="3"/>
        <v>0</v>
      </c>
      <c r="G44" s="500">
        <v>43344</v>
      </c>
      <c r="H44" s="91">
        <f t="shared" si="4"/>
        <v>0</v>
      </c>
    </row>
    <row r="45" spans="4:12" x14ac:dyDescent="0.2">
      <c r="D45" s="500">
        <v>43374</v>
      </c>
      <c r="E45" s="91">
        <f t="shared" si="3"/>
        <v>0</v>
      </c>
      <c r="G45" s="500">
        <v>43374</v>
      </c>
      <c r="H45" s="91">
        <f t="shared" si="4"/>
        <v>0</v>
      </c>
    </row>
    <row r="46" spans="4:12" x14ac:dyDescent="0.2">
      <c r="D46" s="500">
        <v>43405</v>
      </c>
      <c r="E46" s="91">
        <f t="shared" si="3"/>
        <v>0</v>
      </c>
      <c r="G46" s="500">
        <v>43405</v>
      </c>
      <c r="H46" s="91">
        <f t="shared" si="4"/>
        <v>0</v>
      </c>
    </row>
    <row r="47" spans="4:12" x14ac:dyDescent="0.2">
      <c r="D47" s="500">
        <v>43435</v>
      </c>
      <c r="E47" s="91">
        <f t="shared" si="3"/>
        <v>0</v>
      </c>
      <c r="G47" s="500">
        <v>43435</v>
      </c>
      <c r="H47" s="91">
        <f t="shared" si="4"/>
        <v>0</v>
      </c>
    </row>
    <row r="48" spans="4:12" s="501" customFormat="1" x14ac:dyDescent="0.2">
      <c r="D48" s="500">
        <v>43586</v>
      </c>
      <c r="E48" s="91">
        <f t="shared" si="3"/>
        <v>0</v>
      </c>
      <c r="G48" s="500">
        <v>43586</v>
      </c>
      <c r="H48" s="91">
        <f t="shared" si="4"/>
        <v>0</v>
      </c>
      <c r="J48"/>
      <c r="K48"/>
      <c r="L48"/>
    </row>
    <row r="49" spans="4:12" s="465" customFormat="1" x14ac:dyDescent="0.2">
      <c r="D49" s="500">
        <v>43617</v>
      </c>
      <c r="E49" s="91">
        <f t="shared" si="3"/>
        <v>0</v>
      </c>
      <c r="G49" s="500">
        <v>43617</v>
      </c>
      <c r="H49" s="91">
        <f t="shared" si="4"/>
        <v>0</v>
      </c>
      <c r="J49"/>
      <c r="K49"/>
      <c r="L49"/>
    </row>
    <row r="50" spans="4:12" x14ac:dyDescent="0.2">
      <c r="D50" s="500">
        <v>43647</v>
      </c>
      <c r="E50" s="91">
        <f t="shared" si="3"/>
        <v>0</v>
      </c>
      <c r="G50" s="500">
        <v>43647</v>
      </c>
      <c r="H50" s="91">
        <f t="shared" si="4"/>
        <v>0</v>
      </c>
      <c r="J50" s="501"/>
      <c r="K50" s="501"/>
      <c r="L50" s="501"/>
    </row>
    <row r="51" spans="4:12" x14ac:dyDescent="0.2">
      <c r="D51" s="500">
        <v>43678</v>
      </c>
      <c r="E51" s="91">
        <f t="shared" si="3"/>
        <v>0</v>
      </c>
      <c r="G51" s="500">
        <v>43678</v>
      </c>
      <c r="H51" s="91">
        <f t="shared" si="4"/>
        <v>0</v>
      </c>
      <c r="J51" s="465"/>
      <c r="K51" s="465"/>
      <c r="L51" s="465"/>
    </row>
    <row r="52" spans="4:12" x14ac:dyDescent="0.2">
      <c r="D52" s="500">
        <v>43709</v>
      </c>
      <c r="E52" s="91">
        <f t="shared" si="3"/>
        <v>0</v>
      </c>
      <c r="G52" s="500">
        <v>43709</v>
      </c>
      <c r="H52" s="91">
        <f t="shared" si="4"/>
        <v>0</v>
      </c>
    </row>
    <row r="53" spans="4:12" x14ac:dyDescent="0.2">
      <c r="D53" s="500">
        <v>43739</v>
      </c>
      <c r="E53" s="91">
        <f t="shared" si="3"/>
        <v>0</v>
      </c>
      <c r="G53" s="500">
        <v>43739</v>
      </c>
      <c r="H53" s="91">
        <f t="shared" si="4"/>
        <v>0</v>
      </c>
    </row>
    <row r="54" spans="4:12" x14ac:dyDescent="0.2">
      <c r="D54" s="500">
        <v>43770</v>
      </c>
      <c r="E54" s="91">
        <f t="shared" si="3"/>
        <v>0</v>
      </c>
      <c r="G54" s="500">
        <v>43770</v>
      </c>
      <c r="H54" s="91">
        <f t="shared" si="4"/>
        <v>0</v>
      </c>
    </row>
    <row r="55" spans="4:12" x14ac:dyDescent="0.2">
      <c r="D55" s="500">
        <v>43800</v>
      </c>
      <c r="E55" s="91">
        <f t="shared" si="3"/>
        <v>0</v>
      </c>
      <c r="G55" s="500">
        <v>43800</v>
      </c>
      <c r="H55" s="91">
        <f t="shared" si="4"/>
        <v>0</v>
      </c>
    </row>
    <row r="56" spans="4:12" x14ac:dyDescent="0.2">
      <c r="D56" s="502"/>
      <c r="E56" s="462">
        <f>SUM(E21:E55)</f>
        <v>364604.28</v>
      </c>
      <c r="F56" s="501"/>
      <c r="G56" s="501"/>
      <c r="H56" s="462">
        <f>SUM(H21:H55)</f>
        <v>364604.28</v>
      </c>
    </row>
    <row r="57" spans="4:12" x14ac:dyDescent="0.2">
      <c r="D57" s="465"/>
      <c r="E57" s="166">
        <f>+E56-E17</f>
        <v>0</v>
      </c>
      <c r="F57" s="465"/>
      <c r="G57" s="465"/>
      <c r="H57" s="166">
        <f>+H56-H17</f>
        <v>0</v>
      </c>
    </row>
  </sheetData>
  <mergeCells count="8">
    <mergeCell ref="K18:L18"/>
    <mergeCell ref="A1:K1"/>
    <mergeCell ref="A3:A4"/>
    <mergeCell ref="B3:B4"/>
    <mergeCell ref="C3:C4"/>
    <mergeCell ref="D3:D4"/>
    <mergeCell ref="E3:J3"/>
    <mergeCell ref="K3:L3"/>
  </mergeCells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P16"/>
  <sheetViews>
    <sheetView workbookViewId="0">
      <selection sqref="A1:XFD1048576"/>
    </sheetView>
  </sheetViews>
  <sheetFormatPr baseColWidth="10" defaultColWidth="11.42578125" defaultRowHeight="12" outlineLevelCol="1" x14ac:dyDescent="0.2"/>
  <cols>
    <col min="1" max="1" width="31.5703125" style="6" bestFit="1" customWidth="1"/>
    <col min="2" max="2" width="30.42578125" style="1" hidden="1" customWidth="1" outlineLevel="1"/>
    <col min="3" max="3" width="11.42578125" style="1" bestFit="1" customWidth="1" collapsed="1"/>
    <col min="4" max="4" width="13.42578125" style="1" bestFit="1" customWidth="1"/>
    <col min="5" max="5" width="14.42578125" style="1" customWidth="1"/>
    <col min="6" max="6" width="4.140625" style="6" bestFit="1" customWidth="1"/>
    <col min="7" max="7" width="10.42578125" style="1" bestFit="1" customWidth="1"/>
    <col min="8" max="8" width="12.42578125" style="1" customWidth="1"/>
    <col min="9" max="9" width="10.42578125" style="1" bestFit="1" customWidth="1"/>
    <col min="10" max="10" width="18.5703125" style="1" bestFit="1" customWidth="1"/>
    <col min="11" max="11" width="14.42578125" style="1" customWidth="1"/>
    <col min="12" max="12" width="14.42578125" style="1" bestFit="1" customWidth="1"/>
    <col min="13" max="13" width="4.140625" style="1" customWidth="1"/>
    <col min="14" max="14" width="14.42578125" style="1" bestFit="1" customWidth="1"/>
    <col min="15" max="15" width="13.42578125" style="1" bestFit="1" customWidth="1"/>
    <col min="16" max="16384" width="11.42578125" style="1"/>
  </cols>
  <sheetData>
    <row r="1" spans="1:16" x14ac:dyDescent="0.2">
      <c r="N1" s="90"/>
      <c r="O1" s="8"/>
    </row>
    <row r="2" spans="1:16" x14ac:dyDescent="0.2">
      <c r="A2" s="923" t="s">
        <v>74</v>
      </c>
      <c r="B2" s="923"/>
      <c r="C2" s="923"/>
      <c r="D2" s="923"/>
      <c r="E2" s="923"/>
      <c r="F2" s="923"/>
      <c r="G2" s="923"/>
      <c r="H2" s="923"/>
      <c r="I2" s="923"/>
      <c r="J2" s="923"/>
      <c r="K2" s="923"/>
      <c r="L2" s="9">
        <v>42155</v>
      </c>
      <c r="O2" s="61"/>
    </row>
    <row r="4" spans="1:16" s="2" customFormat="1" x14ac:dyDescent="0.2">
      <c r="A4" s="940" t="s">
        <v>2</v>
      </c>
      <c r="B4" s="940" t="s">
        <v>0</v>
      </c>
      <c r="C4" s="928" t="s">
        <v>21</v>
      </c>
      <c r="D4" s="928" t="s">
        <v>12</v>
      </c>
      <c r="E4" s="924" t="s">
        <v>4</v>
      </c>
      <c r="F4" s="925"/>
      <c r="G4" s="925"/>
      <c r="H4" s="925"/>
      <c r="I4" s="925"/>
      <c r="J4" s="926"/>
      <c r="K4" s="927" t="s">
        <v>13</v>
      </c>
      <c r="L4" s="928"/>
      <c r="O4" s="63"/>
      <c r="P4" s="63"/>
    </row>
    <row r="5" spans="1:16" s="13" customFormat="1" x14ac:dyDescent="0.2">
      <c r="A5" s="941"/>
      <c r="B5" s="941"/>
      <c r="C5" s="942"/>
      <c r="D5" s="942"/>
      <c r="E5" s="10" t="s">
        <v>1</v>
      </c>
      <c r="F5" s="11" t="s">
        <v>3</v>
      </c>
      <c r="G5" s="11" t="s">
        <v>15</v>
      </c>
      <c r="H5" s="12" t="s">
        <v>14</v>
      </c>
      <c r="I5" s="10" t="s">
        <v>15</v>
      </c>
      <c r="J5" s="11" t="s">
        <v>18</v>
      </c>
      <c r="K5" s="3" t="s">
        <v>20</v>
      </c>
      <c r="L5" s="3" t="s">
        <v>19</v>
      </c>
    </row>
    <row r="6" spans="1:16" x14ac:dyDescent="0.2">
      <c r="A6" s="45" t="s">
        <v>44</v>
      </c>
      <c r="B6" s="14"/>
      <c r="C6" s="30">
        <v>40798</v>
      </c>
      <c r="D6" s="16">
        <v>100000</v>
      </c>
      <c r="E6" s="17"/>
      <c r="F6" s="18"/>
      <c r="G6" s="19"/>
      <c r="H6" s="20"/>
      <c r="I6" s="85"/>
      <c r="J6" s="19"/>
      <c r="K6" s="22"/>
      <c r="L6" s="22"/>
    </row>
    <row r="7" spans="1:16" s="26" customFormat="1" x14ac:dyDescent="0.2">
      <c r="A7" s="46"/>
      <c r="B7" s="4"/>
      <c r="C7" s="15"/>
      <c r="D7" s="16"/>
      <c r="E7" s="23">
        <v>80000</v>
      </c>
      <c r="F7" s="42">
        <v>1</v>
      </c>
      <c r="G7" s="30"/>
      <c r="H7" s="23">
        <v>80000</v>
      </c>
      <c r="I7" s="30">
        <v>40925</v>
      </c>
      <c r="J7" s="4"/>
      <c r="K7" s="81">
        <f>+IF(G7="",0,E7-H7)</f>
        <v>0</v>
      </c>
      <c r="L7" s="81">
        <f>IF(G7="",E7-H7,0)</f>
        <v>0</v>
      </c>
      <c r="N7" s="27"/>
      <c r="O7" s="27"/>
    </row>
    <row r="8" spans="1:16" s="26" customFormat="1" x14ac:dyDescent="0.2">
      <c r="A8" s="45"/>
      <c r="B8" s="4"/>
      <c r="C8" s="15"/>
      <c r="D8" s="16"/>
      <c r="E8" s="23">
        <v>20000</v>
      </c>
      <c r="F8" s="42">
        <v>2</v>
      </c>
      <c r="G8" s="15"/>
      <c r="H8" s="24"/>
      <c r="I8" s="30"/>
      <c r="J8" s="4"/>
      <c r="K8" s="81">
        <f t="shared" ref="K8:K14" si="0">+IF(G8="",0,E8-H8)</f>
        <v>0</v>
      </c>
      <c r="L8" s="81">
        <f t="shared" ref="L8:L14" si="1">IF(G8="",E8-H8,0)</f>
        <v>20000</v>
      </c>
      <c r="N8" s="27"/>
      <c r="O8" s="27"/>
    </row>
    <row r="9" spans="1:16" x14ac:dyDescent="0.2">
      <c r="A9" s="45" t="s">
        <v>54</v>
      </c>
      <c r="B9" s="74"/>
      <c r="C9" s="15"/>
      <c r="D9" s="16">
        <v>100000</v>
      </c>
      <c r="E9" s="23"/>
      <c r="F9" s="42"/>
      <c r="G9" s="15"/>
      <c r="H9" s="24"/>
      <c r="I9" s="30"/>
      <c r="J9" s="4"/>
      <c r="K9" s="81">
        <f t="shared" si="0"/>
        <v>0</v>
      </c>
      <c r="L9" s="81">
        <f t="shared" si="1"/>
        <v>0</v>
      </c>
    </row>
    <row r="10" spans="1:16" x14ac:dyDescent="0.2">
      <c r="A10" s="46"/>
      <c r="B10" s="74"/>
      <c r="C10" s="15"/>
      <c r="D10" s="16"/>
      <c r="E10" s="23">
        <v>50000</v>
      </c>
      <c r="F10" s="42">
        <v>1</v>
      </c>
      <c r="G10" s="15">
        <v>41729</v>
      </c>
      <c r="H10" s="23">
        <v>50000</v>
      </c>
      <c r="I10" s="30">
        <v>41829</v>
      </c>
      <c r="J10" s="4"/>
      <c r="K10" s="81">
        <f t="shared" si="0"/>
        <v>0</v>
      </c>
      <c r="L10" s="81">
        <f t="shared" si="1"/>
        <v>0</v>
      </c>
    </row>
    <row r="11" spans="1:16" x14ac:dyDescent="0.2">
      <c r="A11" s="46"/>
      <c r="B11" s="74"/>
      <c r="C11" s="15"/>
      <c r="D11" s="16"/>
      <c r="E11" s="23">
        <v>50000</v>
      </c>
      <c r="F11" s="42">
        <v>2</v>
      </c>
      <c r="G11" s="15"/>
      <c r="H11" s="24"/>
      <c r="I11" s="30"/>
      <c r="J11" s="4"/>
      <c r="K11" s="81">
        <f t="shared" si="0"/>
        <v>0</v>
      </c>
      <c r="L11" s="81">
        <f t="shared" si="1"/>
        <v>50000</v>
      </c>
    </row>
    <row r="12" spans="1:16" x14ac:dyDescent="0.2">
      <c r="A12" s="45" t="s">
        <v>10</v>
      </c>
      <c r="B12" s="74"/>
      <c r="C12" s="15"/>
      <c r="D12" s="16">
        <v>100000</v>
      </c>
      <c r="E12" s="23"/>
      <c r="F12" s="42"/>
      <c r="G12" s="15"/>
      <c r="H12" s="24"/>
      <c r="I12" s="30"/>
      <c r="J12" s="4"/>
      <c r="K12" s="81">
        <f t="shared" si="0"/>
        <v>0</v>
      </c>
      <c r="L12" s="81">
        <f t="shared" si="1"/>
        <v>0</v>
      </c>
    </row>
    <row r="13" spans="1:16" x14ac:dyDescent="0.2">
      <c r="A13" s="46"/>
      <c r="B13" s="74"/>
      <c r="C13" s="15"/>
      <c r="D13" s="16"/>
      <c r="E13" s="23">
        <v>50000</v>
      </c>
      <c r="F13" s="42">
        <v>1</v>
      </c>
      <c r="G13" s="15">
        <v>41729</v>
      </c>
      <c r="H13" s="24">
        <v>50000</v>
      </c>
      <c r="I13" s="30">
        <v>41829</v>
      </c>
      <c r="J13" s="4"/>
      <c r="K13" s="81">
        <f t="shared" si="0"/>
        <v>0</v>
      </c>
      <c r="L13" s="81">
        <f t="shared" si="1"/>
        <v>0</v>
      </c>
    </row>
    <row r="14" spans="1:16" x14ac:dyDescent="0.2">
      <c r="A14" s="46"/>
      <c r="B14" s="74"/>
      <c r="C14" s="15"/>
      <c r="D14" s="16"/>
      <c r="E14" s="23">
        <v>50000</v>
      </c>
      <c r="F14" s="42">
        <v>2</v>
      </c>
      <c r="G14" s="15"/>
      <c r="H14" s="24"/>
      <c r="I14" s="30"/>
      <c r="J14" s="4"/>
      <c r="K14" s="81">
        <f t="shared" si="0"/>
        <v>0</v>
      </c>
      <c r="L14" s="81">
        <f t="shared" si="1"/>
        <v>50000</v>
      </c>
    </row>
    <row r="15" spans="1:16" s="8" customFormat="1" x14ac:dyDescent="0.2">
      <c r="A15" s="48"/>
      <c r="B15" s="48"/>
      <c r="C15" s="48"/>
      <c r="D15" s="41">
        <f>SUM(D6:D14)</f>
        <v>300000</v>
      </c>
      <c r="E15" s="41">
        <f>SUM(E6:E14)</f>
        <v>300000</v>
      </c>
      <c r="F15" s="49"/>
      <c r="G15" s="50"/>
      <c r="H15" s="41">
        <f>SUM(H6:H14)</f>
        <v>180000</v>
      </c>
      <c r="I15" s="50"/>
      <c r="J15" s="50"/>
      <c r="K15" s="41">
        <f>SUM(K6:K14)</f>
        <v>0</v>
      </c>
      <c r="L15" s="41">
        <f>SUM(L6:L14)</f>
        <v>120000</v>
      </c>
      <c r="N15" s="20"/>
      <c r="O15" s="20"/>
    </row>
    <row r="16" spans="1:16" x14ac:dyDescent="0.2">
      <c r="A16" s="75"/>
      <c r="B16" s="76"/>
      <c r="C16" s="76"/>
      <c r="D16" s="76"/>
      <c r="E16" s="76"/>
      <c r="F16" s="75"/>
      <c r="G16" s="76"/>
      <c r="H16" s="76"/>
      <c r="I16" s="76"/>
      <c r="J16" s="52"/>
      <c r="K16" s="921">
        <f>SUM(K15:L15)</f>
        <v>120000</v>
      </c>
      <c r="L16" s="922"/>
    </row>
  </sheetData>
  <mergeCells count="8">
    <mergeCell ref="K16:L16"/>
    <mergeCell ref="A2:K2"/>
    <mergeCell ref="A4:A5"/>
    <mergeCell ref="B4:B5"/>
    <mergeCell ref="C4:C5"/>
    <mergeCell ref="D4:D5"/>
    <mergeCell ref="E4:J4"/>
    <mergeCell ref="K4:L4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"/>
  <sheetViews>
    <sheetView workbookViewId="0">
      <selection activeCell="L39" sqref="L39:L40"/>
    </sheetView>
  </sheetViews>
  <sheetFormatPr baseColWidth="10" defaultRowHeight="12.75" x14ac:dyDescent="0.2"/>
  <sheetData>
    <row r="1" spans="1:12" x14ac:dyDescent="0.2">
      <c r="A1" s="923" t="s">
        <v>74</v>
      </c>
      <c r="B1" s="923"/>
      <c r="C1" s="923"/>
      <c r="D1" s="923"/>
      <c r="E1" s="923"/>
      <c r="F1" s="923"/>
      <c r="G1" s="923"/>
      <c r="H1" s="923"/>
      <c r="I1" s="923"/>
      <c r="J1" s="923"/>
      <c r="K1" s="923"/>
      <c r="L1" s="9">
        <f ca="1">TODAY()</f>
        <v>43593</v>
      </c>
    </row>
    <row r="2" spans="1:12" x14ac:dyDescent="0.2">
      <c r="A2" s="6"/>
      <c r="B2" s="1"/>
      <c r="C2" s="1"/>
      <c r="D2" s="1"/>
      <c r="E2" s="1"/>
      <c r="F2" s="6"/>
      <c r="G2" s="1"/>
      <c r="H2" s="1"/>
      <c r="I2" s="1"/>
      <c r="J2" s="1"/>
      <c r="K2" s="1"/>
      <c r="L2" s="1"/>
    </row>
    <row r="3" spans="1:12" x14ac:dyDescent="0.2">
      <c r="A3" s="940" t="s">
        <v>2</v>
      </c>
      <c r="B3" s="940" t="s">
        <v>0</v>
      </c>
      <c r="C3" s="928" t="s">
        <v>21</v>
      </c>
      <c r="D3" s="928" t="s">
        <v>12</v>
      </c>
      <c r="E3" s="924" t="s">
        <v>4</v>
      </c>
      <c r="F3" s="925"/>
      <c r="G3" s="925"/>
      <c r="H3" s="925"/>
      <c r="I3" s="925"/>
      <c r="J3" s="926"/>
      <c r="K3" s="927" t="s">
        <v>13</v>
      </c>
      <c r="L3" s="928"/>
    </row>
    <row r="4" spans="1:12" x14ac:dyDescent="0.2">
      <c r="A4" s="941"/>
      <c r="B4" s="941"/>
      <c r="C4" s="942"/>
      <c r="D4" s="942"/>
      <c r="E4" s="10" t="s">
        <v>1</v>
      </c>
      <c r="F4" s="11" t="s">
        <v>3</v>
      </c>
      <c r="G4" s="11" t="s">
        <v>15</v>
      </c>
      <c r="H4" s="12" t="s">
        <v>14</v>
      </c>
      <c r="I4" s="10" t="s">
        <v>15</v>
      </c>
      <c r="J4" s="11" t="s">
        <v>18</v>
      </c>
      <c r="K4" s="3" t="s">
        <v>20</v>
      </c>
      <c r="L4" s="3" t="s">
        <v>19</v>
      </c>
    </row>
    <row r="5" spans="1:12" x14ac:dyDescent="0.2">
      <c r="A5" s="45" t="s">
        <v>162</v>
      </c>
      <c r="B5" s="14"/>
      <c r="C5" s="30">
        <v>41631</v>
      </c>
      <c r="D5" s="16">
        <v>100000</v>
      </c>
      <c r="E5" s="17"/>
      <c r="F5" s="18"/>
      <c r="G5" s="19"/>
      <c r="H5" s="20"/>
      <c r="I5" s="21"/>
      <c r="J5" s="19"/>
      <c r="K5" s="22"/>
      <c r="L5" s="22"/>
    </row>
    <row r="6" spans="1:12" x14ac:dyDescent="0.2">
      <c r="A6" s="46"/>
      <c r="B6" s="4"/>
      <c r="C6" s="15"/>
      <c r="D6" s="16"/>
      <c r="E6" s="23">
        <v>50000</v>
      </c>
      <c r="F6" s="42">
        <v>1</v>
      </c>
      <c r="G6" s="30">
        <v>41729</v>
      </c>
      <c r="H6" s="270" t="s">
        <v>164</v>
      </c>
      <c r="I6" s="30"/>
      <c r="J6" s="4">
        <f>I6-G6</f>
        <v>-41729</v>
      </c>
      <c r="K6" s="81">
        <v>50000</v>
      </c>
      <c r="L6" s="81">
        <f>IF(G6="",E6-H6,0)</f>
        <v>0</v>
      </c>
    </row>
    <row r="7" spans="1:12" x14ac:dyDescent="0.2">
      <c r="A7" s="46"/>
      <c r="B7" s="4"/>
      <c r="C7" s="15"/>
      <c r="D7" s="16"/>
      <c r="E7" s="23">
        <v>50000</v>
      </c>
      <c r="F7" s="42"/>
      <c r="G7" s="15"/>
      <c r="H7" s="24"/>
      <c r="I7" s="30"/>
      <c r="J7" s="4"/>
      <c r="K7" s="81"/>
      <c r="L7" s="81">
        <v>50000</v>
      </c>
    </row>
    <row r="8" spans="1:12" x14ac:dyDescent="0.2">
      <c r="A8" s="263" t="s">
        <v>163</v>
      </c>
      <c r="B8" s="57"/>
      <c r="C8" s="264">
        <v>41631</v>
      </c>
      <c r="D8" s="56">
        <v>100000</v>
      </c>
      <c r="E8" s="265"/>
      <c r="F8" s="266"/>
      <c r="G8" s="264"/>
      <c r="H8" s="267"/>
      <c r="I8" s="268"/>
      <c r="J8" s="57"/>
      <c r="K8" s="269"/>
      <c r="L8" s="269"/>
    </row>
    <row r="9" spans="1:12" x14ac:dyDescent="0.2">
      <c r="A9" s="46"/>
      <c r="B9" s="4"/>
      <c r="C9" s="15"/>
      <c r="D9" s="16"/>
      <c r="E9" s="23">
        <v>50000</v>
      </c>
      <c r="F9" s="42">
        <v>1</v>
      </c>
      <c r="G9" s="15">
        <v>41729</v>
      </c>
      <c r="H9" s="271" t="s">
        <v>164</v>
      </c>
      <c r="I9" s="30"/>
      <c r="J9" s="4"/>
      <c r="K9" s="81">
        <v>50000</v>
      </c>
      <c r="L9" s="81"/>
    </row>
    <row r="10" spans="1:12" x14ac:dyDescent="0.2">
      <c r="A10" s="46"/>
      <c r="B10" s="4"/>
      <c r="C10" s="15"/>
      <c r="D10" s="16"/>
      <c r="E10" s="23">
        <v>50000</v>
      </c>
      <c r="F10" s="42"/>
      <c r="G10" s="15"/>
      <c r="H10" s="24"/>
      <c r="I10" s="30"/>
      <c r="J10" s="4"/>
      <c r="K10" s="81">
        <f>+IF(G10="",0,E10-H10)</f>
        <v>0</v>
      </c>
      <c r="L10" s="81">
        <f>IF(G10="",E10-H10,0)</f>
        <v>50000</v>
      </c>
    </row>
    <row r="11" spans="1:12" x14ac:dyDescent="0.2">
      <c r="A11" s="48"/>
      <c r="B11" s="48"/>
      <c r="C11" s="48"/>
      <c r="D11" s="41">
        <f>SUM(D5:D10)</f>
        <v>200000</v>
      </c>
      <c r="E11" s="41"/>
      <c r="F11" s="49"/>
      <c r="G11" s="50"/>
      <c r="H11" s="41">
        <f>SUM(H5:H10)</f>
        <v>0</v>
      </c>
      <c r="I11" s="50"/>
      <c r="J11" s="50"/>
      <c r="K11" s="41">
        <f>K6+K9</f>
        <v>100000</v>
      </c>
      <c r="L11" s="41">
        <f>SUM(L5:L10)</f>
        <v>100000</v>
      </c>
    </row>
    <row r="12" spans="1:12" x14ac:dyDescent="0.2">
      <c r="A12" s="75"/>
      <c r="B12" s="76"/>
      <c r="C12" s="76"/>
      <c r="D12" s="76"/>
      <c r="E12" s="76"/>
      <c r="F12" s="75"/>
      <c r="G12" s="76"/>
      <c r="H12" s="76"/>
      <c r="I12" s="76"/>
      <c r="J12" s="52"/>
      <c r="K12" s="921">
        <f>SUM(K11:L11)</f>
        <v>200000</v>
      </c>
      <c r="L12" s="922"/>
    </row>
    <row r="13" spans="1:12" x14ac:dyDescent="0.2">
      <c r="A13" s="6"/>
      <c r="B13" s="1"/>
      <c r="C13" s="1"/>
      <c r="D13" s="1"/>
      <c r="E13" s="1"/>
      <c r="F13" s="6"/>
      <c r="G13" s="1"/>
      <c r="H13" s="1"/>
      <c r="I13" s="1"/>
      <c r="J13" s="1"/>
      <c r="K13" s="1"/>
      <c r="L13" s="1"/>
    </row>
  </sheetData>
  <mergeCells count="8">
    <mergeCell ref="K12:L12"/>
    <mergeCell ref="A1:K1"/>
    <mergeCell ref="A3:A4"/>
    <mergeCell ref="B3:B4"/>
    <mergeCell ref="C3:C4"/>
    <mergeCell ref="D3:D4"/>
    <mergeCell ref="E3:J3"/>
    <mergeCell ref="K3:L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20</vt:i4>
      </vt:variant>
      <vt:variant>
        <vt:lpstr>Plages nommées</vt:lpstr>
      </vt:variant>
      <vt:variant>
        <vt:i4>79</vt:i4>
      </vt:variant>
    </vt:vector>
  </HeadingPairs>
  <TitlesOfParts>
    <vt:vector size="99" baseType="lpstr">
      <vt:lpstr>SYNTHESE</vt:lpstr>
      <vt:lpstr>FRAFU DEAL</vt:lpstr>
      <vt:lpstr>LBU REHAB</vt:lpstr>
      <vt:lpstr>LBU DEAL</vt:lpstr>
      <vt:lpstr>ST LEU</vt:lpstr>
      <vt:lpstr>CAF</vt:lpstr>
      <vt:lpstr>REGION</vt:lpstr>
      <vt:lpstr>RECTORAT</vt:lpstr>
      <vt:lpstr>DIECCTE</vt:lpstr>
      <vt:lpstr>FEDER</vt:lpstr>
      <vt:lpstr>TCO</vt:lpstr>
      <vt:lpstr>ADEME</vt:lpstr>
      <vt:lpstr>PETITE ILE</vt:lpstr>
      <vt:lpstr>EDF</vt:lpstr>
      <vt:lpstr>OFFICE DE L'EAU</vt:lpstr>
      <vt:lpstr>ETANG-SALE</vt:lpstr>
      <vt:lpstr>GLOBAL OPERATION</vt:lpstr>
      <vt:lpstr>ST JOSEPH</vt:lpstr>
      <vt:lpstr>CILGERE</vt:lpstr>
      <vt:lpstr>cilgère</vt:lpstr>
      <vt:lpstr>Bdgt_ADEME</vt:lpstr>
      <vt:lpstr>Bdgt_EDF</vt:lpstr>
      <vt:lpstr>Bdgt_ETG_SALE</vt:lpstr>
      <vt:lpstr>Bdgt_FRAFU</vt:lpstr>
      <vt:lpstr>Bdgt_LBU</vt:lpstr>
      <vt:lpstr>Bdgt_P_Ile</vt:lpstr>
      <vt:lpstr>Bdgt_Rectorat</vt:lpstr>
      <vt:lpstr>Bdgt_Region</vt:lpstr>
      <vt:lpstr>Bdgt_Rehab</vt:lpstr>
      <vt:lpstr>Bdgt_ST_JO</vt:lpstr>
      <vt:lpstr>Date_AF_FRAFU</vt:lpstr>
      <vt:lpstr>DateAF</vt:lpstr>
      <vt:lpstr>DateAF_ADEME</vt:lpstr>
      <vt:lpstr>DateAF_CAF</vt:lpstr>
      <vt:lpstr>DateAF_EAU</vt:lpstr>
      <vt:lpstr>DateAF_EDF</vt:lpstr>
      <vt:lpstr>DateAF_FEDER</vt:lpstr>
      <vt:lpstr>DateAF_LBU</vt:lpstr>
      <vt:lpstr>DateAF_LBU_rehab</vt:lpstr>
      <vt:lpstr>DateAF_P_ILE</vt:lpstr>
      <vt:lpstr>DateAF_Region</vt:lpstr>
      <vt:lpstr>DateAF_ST_JOSEPH</vt:lpstr>
      <vt:lpstr>DateAF_ST_LEU</vt:lpstr>
      <vt:lpstr>DateAF_TCO</vt:lpstr>
      <vt:lpstr>DatePmt</vt:lpstr>
      <vt:lpstr>DatePmt_ADEME</vt:lpstr>
      <vt:lpstr>DatePmt_caf</vt:lpstr>
      <vt:lpstr>DatePmt_EAU</vt:lpstr>
      <vt:lpstr>DatePmt_EDF</vt:lpstr>
      <vt:lpstr>DatePmt_FEDER</vt:lpstr>
      <vt:lpstr>DatePmt_LBU</vt:lpstr>
      <vt:lpstr>DatePmt_P_ILE</vt:lpstr>
      <vt:lpstr>DatePmt_Region</vt:lpstr>
      <vt:lpstr>DatePmt_ST_JOSEPH</vt:lpstr>
      <vt:lpstr>DatePmt_ST_LEU</vt:lpstr>
      <vt:lpstr>DatePmt_TCO</vt:lpstr>
      <vt:lpstr>DatePmtRehab</vt:lpstr>
      <vt:lpstr>'ST LEU'!Impression_des_titres</vt:lpstr>
      <vt:lpstr>MontantAF</vt:lpstr>
      <vt:lpstr>MontantAF_ADEME</vt:lpstr>
      <vt:lpstr>MontantAF_CAF</vt:lpstr>
      <vt:lpstr>MontantAF_EAU</vt:lpstr>
      <vt:lpstr>MontantAF_EDF</vt:lpstr>
      <vt:lpstr>MontantAF_FEDER</vt:lpstr>
      <vt:lpstr>MontantAF_FRAFU</vt:lpstr>
      <vt:lpstr>MontantAF_LBU</vt:lpstr>
      <vt:lpstr>MontantAF_LBU_rehab</vt:lpstr>
      <vt:lpstr>MontantAF_P_ILE</vt:lpstr>
      <vt:lpstr>MontantAF_Region</vt:lpstr>
      <vt:lpstr>MontantAF_ST_JOSEPH</vt:lpstr>
      <vt:lpstr>MontantAF_ST_LEU</vt:lpstr>
      <vt:lpstr>MontantAF_TCO</vt:lpstr>
      <vt:lpstr>MontantPaye</vt:lpstr>
      <vt:lpstr>MontantPayeRehab</vt:lpstr>
      <vt:lpstr>MtntPaye_ADEME</vt:lpstr>
      <vt:lpstr>MtntPaye_CAF</vt:lpstr>
      <vt:lpstr>MtntPaye_EAU</vt:lpstr>
      <vt:lpstr>MtntPaye_EDF</vt:lpstr>
      <vt:lpstr>MtntPaye_FEDER</vt:lpstr>
      <vt:lpstr>MtntPaye_LBU</vt:lpstr>
      <vt:lpstr>MtntPaye_P_ILE</vt:lpstr>
      <vt:lpstr>MtntPaye_Region</vt:lpstr>
      <vt:lpstr>MtntPaye_ST_JOSEPH</vt:lpstr>
      <vt:lpstr>MtntPaye_ST_LEU</vt:lpstr>
      <vt:lpstr>MtntPaye_TCO</vt:lpstr>
      <vt:lpstr>OP_ADEME</vt:lpstr>
      <vt:lpstr>OP_EDF</vt:lpstr>
      <vt:lpstr>OP_ETG_SALE</vt:lpstr>
      <vt:lpstr>OP_FRAFU</vt:lpstr>
      <vt:lpstr>OP_LBU</vt:lpstr>
      <vt:lpstr>OP_P_Ile</vt:lpstr>
      <vt:lpstr>OP_Rectorat</vt:lpstr>
      <vt:lpstr>OP_Region</vt:lpstr>
      <vt:lpstr>OP_Rehab</vt:lpstr>
      <vt:lpstr>OP_ST_JO</vt:lpstr>
      <vt:lpstr>CAF!Zone_d_impression</vt:lpstr>
      <vt:lpstr>'FRAFU DEAL'!Zone_d_impression</vt:lpstr>
      <vt:lpstr>'LBU DEAL'!Zone_d_impression</vt:lpstr>
      <vt:lpstr>'ST LEU'!Zone_d_impression</vt:lpstr>
    </vt:vector>
  </TitlesOfParts>
  <Company>SODEGIS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ndi</dc:creator>
  <cp:lastModifiedBy>Nathalie BLANDINO</cp:lastModifiedBy>
  <cp:lastPrinted>2019-01-17T10:29:54Z</cp:lastPrinted>
  <dcterms:created xsi:type="dcterms:W3CDTF">2011-03-18T06:22:23Z</dcterms:created>
  <dcterms:modified xsi:type="dcterms:W3CDTF">2019-05-08T16:33:34Z</dcterms:modified>
</cp:coreProperties>
</file>